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0" yWindow="0" windowWidth="28800" windowHeight="11700"/>
  </bookViews>
  <sheets>
    <sheet name="G Lead Sheet" sheetId="3" r:id="rId1"/>
    <sheet name="Weather Adj. For CBR" sheetId="1" r:id="rId2"/>
    <sheet name="Weather Adj. Volumes" sheetId="2" r:id="rId3"/>
  </sheets>
  <externalReferences>
    <externalReference r:id="rId4"/>
  </externalReferences>
  <definedNames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 hidden="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HTML_Description">""</definedName>
    <definedName name="HTML_Email">""</definedName>
    <definedName name="HTML_LineAfter">FALSE</definedName>
    <definedName name="HTML_LineBefore">FALSE</definedName>
    <definedName name="HTML_OBDlg2">TRUE</definedName>
    <definedName name="HTML_OBDlg4">TRUE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Number_of_Payments">MATCH(0.01,End_Bal,-1)+1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'Weather Adj. For CBR'!$A$1:$P$56</definedName>
    <definedName name="_xlnm.Print_Area" localSheetId="2">'Weather Adj. Volumes'!$B$1:$P$260</definedName>
    <definedName name="_xlnm.Print_Titles" localSheetId="2">'Weather Adj. Volumes'!$1:$6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D42" i="3"/>
  <c r="D41" i="3"/>
  <c r="E32" i="3"/>
  <c r="E34" i="3"/>
  <c r="E30" i="3"/>
  <c r="O35" i="2"/>
  <c r="N35" i="2"/>
  <c r="M35" i="2"/>
  <c r="L35" i="2"/>
  <c r="K35" i="2"/>
  <c r="J35" i="2"/>
  <c r="C16" i="3" s="1" a="1"/>
  <c r="C16" i="3" s="1"/>
  <c r="I35" i="2"/>
  <c r="H35" i="2"/>
  <c r="G35" i="2"/>
  <c r="F35" i="2"/>
  <c r="E35" i="2"/>
  <c r="D35" i="2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F39" i="3"/>
  <c r="C23" i="3" l="1"/>
  <c r="C21" i="3"/>
  <c r="C22" i="3"/>
  <c r="C20" i="3"/>
  <c r="C27" i="3"/>
  <c r="C26" i="3"/>
  <c r="C18" i="3"/>
  <c r="C25" i="3"/>
  <c r="C17" i="3"/>
  <c r="C19" i="3"/>
  <c r="C24" i="3"/>
  <c r="O217" i="2"/>
  <c r="N217" i="2"/>
  <c r="M217" i="2"/>
  <c r="L217" i="2"/>
  <c r="K217" i="2"/>
  <c r="J217" i="2"/>
  <c r="I217" i="2"/>
  <c r="H217" i="2"/>
  <c r="G217" i="2"/>
  <c r="F217" i="2"/>
  <c r="E217" i="2"/>
  <c r="D217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P212" i="2" s="1"/>
  <c r="O211" i="2"/>
  <c r="N211" i="2"/>
  <c r="M211" i="2"/>
  <c r="L211" i="2"/>
  <c r="K211" i="2"/>
  <c r="J211" i="2"/>
  <c r="I211" i="2"/>
  <c r="H211" i="2"/>
  <c r="G211" i="2"/>
  <c r="F211" i="2"/>
  <c r="E211" i="2"/>
  <c r="D211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203" i="2"/>
  <c r="N203" i="2"/>
  <c r="M203" i="2"/>
  <c r="L203" i="2"/>
  <c r="K203" i="2"/>
  <c r="J203" i="2"/>
  <c r="I203" i="2"/>
  <c r="H203" i="2"/>
  <c r="G203" i="2"/>
  <c r="G218" i="2" s="1"/>
  <c r="F203" i="2"/>
  <c r="E203" i="2"/>
  <c r="D203" i="2"/>
  <c r="I197" i="2"/>
  <c r="I234" i="2" s="1"/>
  <c r="P188" i="2"/>
  <c r="E187" i="2"/>
  <c r="E225" i="2" s="1"/>
  <c r="N183" i="2"/>
  <c r="K183" i="2"/>
  <c r="P176" i="2"/>
  <c r="P173" i="2"/>
  <c r="P169" i="2"/>
  <c r="P168" i="2"/>
  <c r="P164" i="2"/>
  <c r="O142" i="2"/>
  <c r="O197" i="2" s="1"/>
  <c r="O234" i="2" s="1"/>
  <c r="N142" i="2"/>
  <c r="N197" i="2" s="1"/>
  <c r="N234" i="2" s="1"/>
  <c r="M142" i="2"/>
  <c r="M197" i="2" s="1"/>
  <c r="M234" i="2" s="1"/>
  <c r="L142" i="2"/>
  <c r="L197" i="2" s="1"/>
  <c r="L234" i="2" s="1"/>
  <c r="K142" i="2"/>
  <c r="K197" i="2" s="1"/>
  <c r="K234" i="2" s="1"/>
  <c r="J142" i="2"/>
  <c r="J197" i="2" s="1"/>
  <c r="J234" i="2" s="1"/>
  <c r="I142" i="2"/>
  <c r="H142" i="2"/>
  <c r="H197" i="2" s="1"/>
  <c r="H234" i="2" s="1"/>
  <c r="G142" i="2"/>
  <c r="G197" i="2" s="1"/>
  <c r="G234" i="2" s="1"/>
  <c r="F142" i="2"/>
  <c r="F197" i="2" s="1"/>
  <c r="F234" i="2" s="1"/>
  <c r="E142" i="2"/>
  <c r="E197" i="2" s="1"/>
  <c r="E234" i="2" s="1"/>
  <c r="D142" i="2"/>
  <c r="D197" i="2" s="1"/>
  <c r="O141" i="2"/>
  <c r="N141" i="2"/>
  <c r="M141" i="2"/>
  <c r="L141" i="2"/>
  <c r="K141" i="2"/>
  <c r="J141" i="2"/>
  <c r="I141" i="2"/>
  <c r="H141" i="2"/>
  <c r="G141" i="2"/>
  <c r="F141" i="2"/>
  <c r="E141" i="2"/>
  <c r="D141" i="2"/>
  <c r="O140" i="2"/>
  <c r="N140" i="2"/>
  <c r="N195" i="2" s="1"/>
  <c r="N232" i="2" s="1"/>
  <c r="M140" i="2"/>
  <c r="M195" i="2" s="1"/>
  <c r="M232" i="2" s="1"/>
  <c r="L140" i="2"/>
  <c r="L195" i="2" s="1"/>
  <c r="L232" i="2" s="1"/>
  <c r="K140" i="2"/>
  <c r="J140" i="2"/>
  <c r="I140" i="2"/>
  <c r="I195" i="2" s="1"/>
  <c r="I232" i="2" s="1"/>
  <c r="H140" i="2"/>
  <c r="G140" i="2"/>
  <c r="F140" i="2"/>
  <c r="E140" i="2"/>
  <c r="D140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K253" i="2" s="1"/>
  <c r="B136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O134" i="2"/>
  <c r="N134" i="2"/>
  <c r="M134" i="2"/>
  <c r="L134" i="2"/>
  <c r="K134" i="2"/>
  <c r="K195" i="2" s="1"/>
  <c r="K232" i="2" s="1"/>
  <c r="J134" i="2"/>
  <c r="I134" i="2"/>
  <c r="H134" i="2"/>
  <c r="G134" i="2"/>
  <c r="F134" i="2"/>
  <c r="E134" i="2"/>
  <c r="D134" i="2"/>
  <c r="O133" i="2"/>
  <c r="O192" i="2" s="1"/>
  <c r="O229" i="2" s="1"/>
  <c r="N133" i="2"/>
  <c r="N192" i="2" s="1"/>
  <c r="N229" i="2" s="1"/>
  <c r="M133" i="2"/>
  <c r="M192" i="2" s="1"/>
  <c r="M229" i="2" s="1"/>
  <c r="L133" i="2"/>
  <c r="L192" i="2" s="1"/>
  <c r="L229" i="2" s="1"/>
  <c r="K133" i="2"/>
  <c r="K192" i="2" s="1"/>
  <c r="K229" i="2" s="1"/>
  <c r="J133" i="2"/>
  <c r="J192" i="2" s="1"/>
  <c r="J229" i="2" s="1"/>
  <c r="I133" i="2"/>
  <c r="I192" i="2" s="1"/>
  <c r="I229" i="2" s="1"/>
  <c r="H133" i="2"/>
  <c r="H192" i="2" s="1"/>
  <c r="H229" i="2" s="1"/>
  <c r="G133" i="2"/>
  <c r="G192" i="2" s="1"/>
  <c r="G229" i="2" s="1"/>
  <c r="F133" i="2"/>
  <c r="F192" i="2" s="1"/>
  <c r="F229" i="2" s="1"/>
  <c r="E133" i="2"/>
  <c r="D133" i="2"/>
  <c r="O132" i="2"/>
  <c r="O187" i="2" s="1"/>
  <c r="O225" i="2" s="1"/>
  <c r="N132" i="2"/>
  <c r="N187" i="2" s="1"/>
  <c r="N225" i="2" s="1"/>
  <c r="M132" i="2"/>
  <c r="M187" i="2" s="1"/>
  <c r="M225" i="2" s="1"/>
  <c r="L132" i="2"/>
  <c r="L187" i="2" s="1"/>
  <c r="L225" i="2" s="1"/>
  <c r="K132" i="2"/>
  <c r="K187" i="2" s="1"/>
  <c r="K225" i="2" s="1"/>
  <c r="J132" i="2"/>
  <c r="J187" i="2" s="1"/>
  <c r="J225" i="2" s="1"/>
  <c r="I132" i="2"/>
  <c r="I187" i="2" s="1"/>
  <c r="I225" i="2" s="1"/>
  <c r="H132" i="2"/>
  <c r="H187" i="2" s="1"/>
  <c r="H225" i="2" s="1"/>
  <c r="G132" i="2"/>
  <c r="G187" i="2" s="1"/>
  <c r="G225" i="2" s="1"/>
  <c r="F132" i="2"/>
  <c r="F187" i="2" s="1"/>
  <c r="F225" i="2" s="1"/>
  <c r="E132" i="2"/>
  <c r="D132" i="2"/>
  <c r="D187" i="2" s="1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O130" i="2"/>
  <c r="O183" i="2" s="1"/>
  <c r="N130" i="2"/>
  <c r="M130" i="2"/>
  <c r="M183" i="2" s="1"/>
  <c r="L130" i="2"/>
  <c r="K130" i="2"/>
  <c r="J130" i="2"/>
  <c r="I130" i="2"/>
  <c r="I183" i="2" s="1"/>
  <c r="H130" i="2"/>
  <c r="H183" i="2" s="1"/>
  <c r="G130" i="2"/>
  <c r="F130" i="2"/>
  <c r="F183" i="2" s="1"/>
  <c r="E130" i="2"/>
  <c r="E183" i="2" s="1"/>
  <c r="D130" i="2"/>
  <c r="D183" i="2" s="1"/>
  <c r="O112" i="2"/>
  <c r="O126" i="2" s="1"/>
  <c r="O158" i="2" s="1"/>
  <c r="L107" i="2"/>
  <c r="L121" i="2" s="1"/>
  <c r="L153" i="2" s="1"/>
  <c r="O85" i="2"/>
  <c r="N85" i="2"/>
  <c r="M85" i="2"/>
  <c r="L85" i="2"/>
  <c r="K85" i="2"/>
  <c r="J85" i="2"/>
  <c r="J102" i="2" s="1"/>
  <c r="J116" i="2" s="1"/>
  <c r="I85" i="2"/>
  <c r="H85" i="2"/>
  <c r="G85" i="2"/>
  <c r="F85" i="2"/>
  <c r="F111" i="2" s="1"/>
  <c r="F125" i="2" s="1"/>
  <c r="F157" i="2" s="1"/>
  <c r="E85" i="2"/>
  <c r="D85" i="2"/>
  <c r="P84" i="2"/>
  <c r="P83" i="2"/>
  <c r="P85" i="2" s="1"/>
  <c r="O80" i="2"/>
  <c r="O113" i="2" s="1"/>
  <c r="O127" i="2" s="1"/>
  <c r="N80" i="2"/>
  <c r="M80" i="2"/>
  <c r="L80" i="2"/>
  <c r="L113" i="2" s="1"/>
  <c r="L127" i="2" s="1"/>
  <c r="L159" i="2" s="1"/>
  <c r="K80" i="2"/>
  <c r="J80" i="2"/>
  <c r="I80" i="2"/>
  <c r="H80" i="2"/>
  <c r="H113" i="2" s="1"/>
  <c r="H127" i="2" s="1"/>
  <c r="G80" i="2"/>
  <c r="G113" i="2" s="1"/>
  <c r="G127" i="2" s="1"/>
  <c r="F80" i="2"/>
  <c r="F113" i="2" s="1"/>
  <c r="F127" i="2" s="1"/>
  <c r="E80" i="2"/>
  <c r="D80" i="2"/>
  <c r="D113" i="2" s="1"/>
  <c r="O79" i="2"/>
  <c r="O111" i="2" s="1"/>
  <c r="O125" i="2" s="1"/>
  <c r="O157" i="2" s="1"/>
  <c r="N79" i="2"/>
  <c r="M79" i="2"/>
  <c r="L79" i="2"/>
  <c r="K79" i="2"/>
  <c r="K111" i="2" s="1"/>
  <c r="K125" i="2" s="1"/>
  <c r="K157" i="2" s="1"/>
  <c r="J79" i="2"/>
  <c r="I79" i="2"/>
  <c r="H79" i="2"/>
  <c r="H111" i="2" s="1"/>
  <c r="H125" i="2" s="1"/>
  <c r="H157" i="2" s="1"/>
  <c r="G79" i="2"/>
  <c r="F79" i="2"/>
  <c r="E79" i="2"/>
  <c r="D79" i="2"/>
  <c r="D111" i="2" s="1"/>
  <c r="O78" i="2"/>
  <c r="O110" i="2" s="1"/>
  <c r="O124" i="2" s="1"/>
  <c r="N78" i="2"/>
  <c r="M78" i="2"/>
  <c r="L78" i="2"/>
  <c r="L110" i="2" s="1"/>
  <c r="L124" i="2" s="1"/>
  <c r="K78" i="2"/>
  <c r="J78" i="2"/>
  <c r="I78" i="2"/>
  <c r="H78" i="2"/>
  <c r="H110" i="2" s="1"/>
  <c r="H124" i="2" s="1"/>
  <c r="G78" i="2"/>
  <c r="G110" i="2" s="1"/>
  <c r="G124" i="2" s="1"/>
  <c r="F78" i="2"/>
  <c r="E78" i="2"/>
  <c r="D78" i="2"/>
  <c r="O77" i="2"/>
  <c r="O109" i="2" s="1"/>
  <c r="O123" i="2" s="1"/>
  <c r="N77" i="2"/>
  <c r="M77" i="2"/>
  <c r="M109" i="2" s="1"/>
  <c r="M123" i="2" s="1"/>
  <c r="L77" i="2"/>
  <c r="L109" i="2" s="1"/>
  <c r="L123" i="2" s="1"/>
  <c r="K77" i="2"/>
  <c r="J77" i="2"/>
  <c r="I77" i="2"/>
  <c r="I109" i="2" s="1"/>
  <c r="I123" i="2" s="1"/>
  <c r="H77" i="2"/>
  <c r="H109" i="2" s="1"/>
  <c r="H123" i="2" s="1"/>
  <c r="G77" i="2"/>
  <c r="F77" i="2"/>
  <c r="E77" i="2"/>
  <c r="D77" i="2"/>
  <c r="D109" i="2" s="1"/>
  <c r="O76" i="2"/>
  <c r="O108" i="2" s="1"/>
  <c r="O122" i="2" s="1"/>
  <c r="O154" i="2" s="1"/>
  <c r="N76" i="2"/>
  <c r="M76" i="2"/>
  <c r="L76" i="2"/>
  <c r="L108" i="2" s="1"/>
  <c r="L122" i="2" s="1"/>
  <c r="K76" i="2"/>
  <c r="J76" i="2"/>
  <c r="J108" i="2" s="1"/>
  <c r="J122" i="2" s="1"/>
  <c r="I76" i="2"/>
  <c r="H76" i="2"/>
  <c r="H108" i="2" s="1"/>
  <c r="H122" i="2" s="1"/>
  <c r="H154" i="2" s="1"/>
  <c r="G76" i="2"/>
  <c r="F76" i="2"/>
  <c r="E76" i="2"/>
  <c r="D76" i="2"/>
  <c r="D108" i="2" s="1"/>
  <c r="O75" i="2"/>
  <c r="O107" i="2" s="1"/>
  <c r="O121" i="2" s="1"/>
  <c r="O153" i="2" s="1"/>
  <c r="O177" i="2" s="1"/>
  <c r="N75" i="2"/>
  <c r="M75" i="2"/>
  <c r="L75" i="2"/>
  <c r="K75" i="2"/>
  <c r="J75" i="2"/>
  <c r="J107" i="2" s="1"/>
  <c r="J121" i="2" s="1"/>
  <c r="J196" i="2" s="1"/>
  <c r="J233" i="2" s="1"/>
  <c r="I75" i="2"/>
  <c r="H75" i="2"/>
  <c r="H107" i="2" s="1"/>
  <c r="H121" i="2" s="1"/>
  <c r="G75" i="2"/>
  <c r="G107" i="2" s="1"/>
  <c r="G121" i="2" s="1"/>
  <c r="F75" i="2"/>
  <c r="F107" i="2" s="1"/>
  <c r="F121" i="2" s="1"/>
  <c r="E75" i="2"/>
  <c r="D75" i="2"/>
  <c r="D107" i="2" s="1"/>
  <c r="O74" i="2"/>
  <c r="O106" i="2" s="1"/>
  <c r="O120" i="2" s="1"/>
  <c r="N74" i="2"/>
  <c r="M74" i="2"/>
  <c r="L74" i="2"/>
  <c r="L106" i="2" s="1"/>
  <c r="L120" i="2" s="1"/>
  <c r="K74" i="2"/>
  <c r="J74" i="2"/>
  <c r="J106" i="2" s="1"/>
  <c r="J120" i="2" s="1"/>
  <c r="J194" i="2" s="1"/>
  <c r="J231" i="2" s="1"/>
  <c r="I74" i="2"/>
  <c r="H74" i="2"/>
  <c r="H106" i="2" s="1"/>
  <c r="H120" i="2" s="1"/>
  <c r="G74" i="2"/>
  <c r="G106" i="2" s="1"/>
  <c r="G120" i="2" s="1"/>
  <c r="F74" i="2"/>
  <c r="E74" i="2"/>
  <c r="D74" i="2"/>
  <c r="O73" i="2"/>
  <c r="O105" i="2" s="1"/>
  <c r="O119" i="2" s="1"/>
  <c r="N73" i="2"/>
  <c r="M73" i="2"/>
  <c r="L73" i="2"/>
  <c r="K73" i="2"/>
  <c r="J73" i="2"/>
  <c r="I73" i="2"/>
  <c r="I105" i="2" s="1"/>
  <c r="I119" i="2" s="1"/>
  <c r="H73" i="2"/>
  <c r="H105" i="2" s="1"/>
  <c r="H119" i="2" s="1"/>
  <c r="G73" i="2"/>
  <c r="G105" i="2" s="1"/>
  <c r="G119" i="2" s="1"/>
  <c r="F73" i="2"/>
  <c r="E73" i="2"/>
  <c r="D73" i="2"/>
  <c r="D105" i="2" s="1"/>
  <c r="O72" i="2"/>
  <c r="N72" i="2"/>
  <c r="N112" i="2" s="1"/>
  <c r="N126" i="2" s="1"/>
  <c r="N158" i="2" s="1"/>
  <c r="M72" i="2"/>
  <c r="L72" i="2"/>
  <c r="K72" i="2"/>
  <c r="J72" i="2"/>
  <c r="I72" i="2"/>
  <c r="H72" i="2"/>
  <c r="H112" i="2" s="1"/>
  <c r="H126" i="2" s="1"/>
  <c r="H158" i="2" s="1"/>
  <c r="G72" i="2"/>
  <c r="G112" i="2" s="1"/>
  <c r="G126" i="2" s="1"/>
  <c r="G158" i="2" s="1"/>
  <c r="F72" i="2"/>
  <c r="E72" i="2"/>
  <c r="D72" i="2"/>
  <c r="D112" i="2" s="1"/>
  <c r="O71" i="2"/>
  <c r="O104" i="2" s="1"/>
  <c r="O118" i="2" s="1"/>
  <c r="N71" i="2"/>
  <c r="M71" i="2"/>
  <c r="L71" i="2"/>
  <c r="L104" i="2" s="1"/>
  <c r="L118" i="2" s="1"/>
  <c r="K71" i="2"/>
  <c r="K104" i="2" s="1"/>
  <c r="K118" i="2" s="1"/>
  <c r="J71" i="2"/>
  <c r="I71" i="2"/>
  <c r="H71" i="2"/>
  <c r="H104" i="2" s="1"/>
  <c r="H118" i="2" s="1"/>
  <c r="G71" i="2"/>
  <c r="F71" i="2"/>
  <c r="E71" i="2"/>
  <c r="D71" i="2"/>
  <c r="O70" i="2"/>
  <c r="O103" i="2" s="1"/>
  <c r="O117" i="2" s="1"/>
  <c r="N70" i="2"/>
  <c r="M70" i="2"/>
  <c r="M103" i="2" s="1"/>
  <c r="M117" i="2" s="1"/>
  <c r="L70" i="2"/>
  <c r="L103" i="2" s="1"/>
  <c r="L117" i="2" s="1"/>
  <c r="L149" i="2" s="1"/>
  <c r="K70" i="2"/>
  <c r="J70" i="2"/>
  <c r="I70" i="2"/>
  <c r="I103" i="2" s="1"/>
  <c r="I117" i="2" s="1"/>
  <c r="H70" i="2"/>
  <c r="H103" i="2" s="1"/>
  <c r="H117" i="2" s="1"/>
  <c r="H149" i="2" s="1"/>
  <c r="G70" i="2"/>
  <c r="G103" i="2" s="1"/>
  <c r="G117" i="2" s="1"/>
  <c r="F70" i="2"/>
  <c r="E70" i="2"/>
  <c r="D70" i="2"/>
  <c r="D103" i="2" s="1"/>
  <c r="O69" i="2"/>
  <c r="N69" i="2"/>
  <c r="M69" i="2"/>
  <c r="L69" i="2"/>
  <c r="L102" i="2" s="1"/>
  <c r="L116" i="2" s="1"/>
  <c r="K69" i="2"/>
  <c r="K102" i="2" s="1"/>
  <c r="K116" i="2" s="1"/>
  <c r="J69" i="2"/>
  <c r="I69" i="2"/>
  <c r="H69" i="2"/>
  <c r="H102" i="2" s="1"/>
  <c r="H116" i="2" s="1"/>
  <c r="H184" i="2" s="1"/>
  <c r="G69" i="2"/>
  <c r="G102" i="2" s="1"/>
  <c r="G116" i="2" s="1"/>
  <c r="F69" i="2"/>
  <c r="E69" i="2"/>
  <c r="D69" i="2"/>
  <c r="O66" i="2"/>
  <c r="N66" i="2"/>
  <c r="M66" i="2"/>
  <c r="L66" i="2"/>
  <c r="K66" i="2"/>
  <c r="J66" i="2"/>
  <c r="I66" i="2"/>
  <c r="H66" i="2"/>
  <c r="G66" i="2"/>
  <c r="F66" i="2"/>
  <c r="E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O34" i="2"/>
  <c r="N34" i="2"/>
  <c r="M34" i="2"/>
  <c r="L34" i="2"/>
  <c r="K34" i="2"/>
  <c r="J34" i="2"/>
  <c r="I34" i="2"/>
  <c r="H34" i="2"/>
  <c r="G34" i="2"/>
  <c r="F34" i="2"/>
  <c r="E34" i="2"/>
  <c r="D34" i="2"/>
  <c r="O33" i="2"/>
  <c r="N33" i="2"/>
  <c r="M33" i="2"/>
  <c r="L33" i="2"/>
  <c r="K33" i="2"/>
  <c r="J33" i="2"/>
  <c r="I33" i="2"/>
  <c r="H33" i="2"/>
  <c r="G33" i="2"/>
  <c r="F33" i="2"/>
  <c r="E33" i="2"/>
  <c r="D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P55" i="1"/>
  <c r="N47" i="1"/>
  <c r="I47" i="1"/>
  <c r="H47" i="1"/>
  <c r="F47" i="1"/>
  <c r="D47" i="1"/>
  <c r="O47" i="1"/>
  <c r="M47" i="1"/>
  <c r="L47" i="1"/>
  <c r="K47" i="1"/>
  <c r="J47" i="1"/>
  <c r="G47" i="1"/>
  <c r="E47" i="1"/>
  <c r="N39" i="1"/>
  <c r="M39" i="1"/>
  <c r="O39" i="1"/>
  <c r="L39" i="1"/>
  <c r="K39" i="1"/>
  <c r="J39" i="1"/>
  <c r="I39" i="1"/>
  <c r="H39" i="1"/>
  <c r="G39" i="1"/>
  <c r="F39" i="1"/>
  <c r="E39" i="1"/>
  <c r="D39" i="1"/>
  <c r="N31" i="1"/>
  <c r="L31" i="1"/>
  <c r="K31" i="1"/>
  <c r="J31" i="1"/>
  <c r="I31" i="1"/>
  <c r="O31" i="1"/>
  <c r="M31" i="1"/>
  <c r="H31" i="1"/>
  <c r="G31" i="1"/>
  <c r="F31" i="1"/>
  <c r="E31" i="1"/>
  <c r="D31" i="1"/>
  <c r="K23" i="1"/>
  <c r="G23" i="1"/>
  <c r="F23" i="1"/>
  <c r="E23" i="1"/>
  <c r="O23" i="1"/>
  <c r="N23" i="1"/>
  <c r="M23" i="1"/>
  <c r="L23" i="1"/>
  <c r="J23" i="1"/>
  <c r="I23" i="1"/>
  <c r="H23" i="1"/>
  <c r="D23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M113" i="2" l="1"/>
  <c r="M127" i="2" s="1"/>
  <c r="N113" i="2"/>
  <c r="N127" i="2" s="1"/>
  <c r="P35" i="2"/>
  <c r="E103" i="2"/>
  <c r="E117" i="2" s="1"/>
  <c r="E112" i="2"/>
  <c r="E126" i="2" s="1"/>
  <c r="E158" i="2" s="1"/>
  <c r="M106" i="2"/>
  <c r="M120" i="2" s="1"/>
  <c r="F103" i="2"/>
  <c r="F117" i="2" s="1"/>
  <c r="N103" i="2"/>
  <c r="N117" i="2" s="1"/>
  <c r="N185" i="2" s="1"/>
  <c r="N223" i="2" s="1"/>
  <c r="J104" i="2"/>
  <c r="J118" i="2" s="1"/>
  <c r="J105" i="2"/>
  <c r="J119" i="2" s="1"/>
  <c r="J251" i="2" s="1"/>
  <c r="N106" i="2"/>
  <c r="N120" i="2" s="1"/>
  <c r="N152" i="2" s="1"/>
  <c r="N175" i="2" s="1"/>
  <c r="M108" i="2"/>
  <c r="M122" i="2" s="1"/>
  <c r="M189" i="2" s="1"/>
  <c r="E110" i="2"/>
  <c r="E124" i="2" s="1"/>
  <c r="E156" i="2" s="1"/>
  <c r="G109" i="2"/>
  <c r="G123" i="2" s="1"/>
  <c r="O102" i="2"/>
  <c r="O116" i="2" s="1"/>
  <c r="O148" i="2" s="1"/>
  <c r="P134" i="2"/>
  <c r="P33" i="2"/>
  <c r="F108" i="2"/>
  <c r="F122" i="2" s="1"/>
  <c r="F255" i="2" s="1"/>
  <c r="N108" i="2"/>
  <c r="N122" i="2" s="1"/>
  <c r="J109" i="2"/>
  <c r="J123" i="2" s="1"/>
  <c r="F110" i="2"/>
  <c r="F124" i="2" s="1"/>
  <c r="F191" i="2" s="1"/>
  <c r="F228" i="2" s="1"/>
  <c r="N110" i="2"/>
  <c r="N124" i="2" s="1"/>
  <c r="N191" i="2" s="1"/>
  <c r="N228" i="2" s="1"/>
  <c r="J111" i="2"/>
  <c r="J125" i="2" s="1"/>
  <c r="J157" i="2" s="1"/>
  <c r="G195" i="2"/>
  <c r="G232" i="2" s="1"/>
  <c r="O195" i="2"/>
  <c r="O232" i="2" s="1"/>
  <c r="M104" i="2"/>
  <c r="M118" i="2" s="1"/>
  <c r="M150" i="2" s="1"/>
  <c r="E106" i="2"/>
  <c r="E120" i="2" s="1"/>
  <c r="I106" i="2"/>
  <c r="I120" i="2" s="1"/>
  <c r="H195" i="2"/>
  <c r="H232" i="2" s="1"/>
  <c r="P207" i="2"/>
  <c r="P215" i="2"/>
  <c r="M218" i="2"/>
  <c r="M219" i="2" s="1"/>
  <c r="E218" i="2"/>
  <c r="E219" i="2" s="1"/>
  <c r="M102" i="2"/>
  <c r="M116" i="2" s="1"/>
  <c r="M184" i="2" s="1"/>
  <c r="M222" i="2" s="1"/>
  <c r="E104" i="2"/>
  <c r="E118" i="2" s="1"/>
  <c r="M105" i="2"/>
  <c r="M119" i="2" s="1"/>
  <c r="E107" i="2"/>
  <c r="E121" i="2" s="1"/>
  <c r="E196" i="2" s="1"/>
  <c r="E233" i="2" s="1"/>
  <c r="M107" i="2"/>
  <c r="M121" i="2" s="1"/>
  <c r="M153" i="2" s="1"/>
  <c r="M11" i="1" s="1"/>
  <c r="M54" i="1" s="1"/>
  <c r="F112" i="2"/>
  <c r="F126" i="2" s="1"/>
  <c r="F158" i="2" s="1"/>
  <c r="F102" i="2"/>
  <c r="F116" i="2" s="1"/>
  <c r="F245" i="2" s="1"/>
  <c r="N102" i="2"/>
  <c r="N116" i="2" s="1"/>
  <c r="N184" i="2" s="1"/>
  <c r="J103" i="2"/>
  <c r="J117" i="2" s="1"/>
  <c r="J149" i="2" s="1"/>
  <c r="J166" i="2" s="1"/>
  <c r="F104" i="2"/>
  <c r="F118" i="2" s="1"/>
  <c r="N104" i="2"/>
  <c r="N118" i="2" s="1"/>
  <c r="J112" i="2"/>
  <c r="J126" i="2" s="1"/>
  <c r="J158" i="2" s="1"/>
  <c r="F105" i="2"/>
  <c r="F119" i="2" s="1"/>
  <c r="N105" i="2"/>
  <c r="N119" i="2" s="1"/>
  <c r="N151" i="2" s="1"/>
  <c r="N174" i="2" s="1"/>
  <c r="N107" i="2"/>
  <c r="N121" i="2" s="1"/>
  <c r="N196" i="2" s="1"/>
  <c r="N233" i="2" s="1"/>
  <c r="E109" i="2"/>
  <c r="E123" i="2" s="1"/>
  <c r="E190" i="2" s="1"/>
  <c r="E227" i="2" s="1"/>
  <c r="M111" i="2"/>
  <c r="M125" i="2" s="1"/>
  <c r="M157" i="2" s="1"/>
  <c r="K107" i="2"/>
  <c r="K121" i="2" s="1"/>
  <c r="P131" i="2"/>
  <c r="P133" i="2"/>
  <c r="J195" i="2"/>
  <c r="J232" i="2" s="1"/>
  <c r="F218" i="2"/>
  <c r="F219" i="2" s="1"/>
  <c r="P75" i="2"/>
  <c r="N109" i="2"/>
  <c r="N123" i="2" s="1"/>
  <c r="J110" i="2"/>
  <c r="J124" i="2" s="1"/>
  <c r="J156" i="2" s="1"/>
  <c r="J10" i="1" s="1"/>
  <c r="J53" i="1" s="1"/>
  <c r="N111" i="2"/>
  <c r="N125" i="2" s="1"/>
  <c r="N157" i="2" s="1"/>
  <c r="J113" i="2"/>
  <c r="J127" i="2" s="1"/>
  <c r="J198" i="2" s="1"/>
  <c r="J235" i="2" s="1"/>
  <c r="E143" i="2"/>
  <c r="D192" i="2"/>
  <c r="D229" i="2" s="1"/>
  <c r="C28" i="3"/>
  <c r="K249" i="2"/>
  <c r="L256" i="2"/>
  <c r="F143" i="2"/>
  <c r="H143" i="2"/>
  <c r="P73" i="2"/>
  <c r="D110" i="2"/>
  <c r="D124" i="2" s="1"/>
  <c r="L105" i="2"/>
  <c r="L119" i="2" s="1"/>
  <c r="L251" i="2" s="1"/>
  <c r="M143" i="2"/>
  <c r="P137" i="2"/>
  <c r="O259" i="2"/>
  <c r="O198" i="2"/>
  <c r="O235" i="2" s="1"/>
  <c r="O159" i="2"/>
  <c r="D125" i="2"/>
  <c r="O165" i="2"/>
  <c r="E186" i="2"/>
  <c r="E224" i="2" s="1"/>
  <c r="E247" i="2"/>
  <c r="E150" i="2"/>
  <c r="E167" i="2" s="1"/>
  <c r="O191" i="2"/>
  <c r="O228" i="2" s="1"/>
  <c r="O156" i="2"/>
  <c r="O257" i="2"/>
  <c r="H252" i="2"/>
  <c r="H194" i="2"/>
  <c r="H231" i="2" s="1"/>
  <c r="H152" i="2"/>
  <c r="G149" i="2"/>
  <c r="I149" i="2"/>
  <c r="F185" i="2"/>
  <c r="F223" i="2" s="1"/>
  <c r="F246" i="2"/>
  <c r="F149" i="2"/>
  <c r="F166" i="2" s="1"/>
  <c r="I251" i="2"/>
  <c r="I151" i="2"/>
  <c r="I174" i="2" s="1"/>
  <c r="I193" i="2"/>
  <c r="I230" i="2" s="1"/>
  <c r="F189" i="2"/>
  <c r="M151" i="2"/>
  <c r="M174" i="2" s="1"/>
  <c r="M251" i="2"/>
  <c r="M193" i="2"/>
  <c r="M230" i="2" s="1"/>
  <c r="J255" i="2"/>
  <c r="J189" i="2"/>
  <c r="J154" i="2"/>
  <c r="L255" i="2"/>
  <c r="L154" i="2"/>
  <c r="L189" i="2"/>
  <c r="K245" i="2"/>
  <c r="K184" i="2"/>
  <c r="K148" i="2"/>
  <c r="K150" i="2"/>
  <c r="I256" i="2"/>
  <c r="I155" i="2"/>
  <c r="I171" i="2" s="1"/>
  <c r="I190" i="2"/>
  <c r="I227" i="2" s="1"/>
  <c r="L184" i="2"/>
  <c r="L245" i="2"/>
  <c r="L148" i="2"/>
  <c r="L252" i="2"/>
  <c r="L152" i="2"/>
  <c r="L194" i="2"/>
  <c r="L231" i="2" s="1"/>
  <c r="N9" i="1"/>
  <c r="N52" i="1" s="1"/>
  <c r="I252" i="2"/>
  <c r="I194" i="2"/>
  <c r="I231" i="2" s="1"/>
  <c r="I152" i="2"/>
  <c r="M252" i="2"/>
  <c r="M194" i="2"/>
  <c r="M231" i="2" s="1"/>
  <c r="M152" i="2"/>
  <c r="L178" i="2"/>
  <c r="L12" i="1"/>
  <c r="F259" i="2"/>
  <c r="F198" i="2"/>
  <c r="F235" i="2" s="1"/>
  <c r="F159" i="2"/>
  <c r="O251" i="2"/>
  <c r="O193" i="2"/>
  <c r="O230" i="2" s="1"/>
  <c r="O151" i="2"/>
  <c r="O174" i="2" s="1"/>
  <c r="N254" i="2"/>
  <c r="K254" i="2"/>
  <c r="K196" i="2"/>
  <c r="K233" i="2" s="1"/>
  <c r="K153" i="2"/>
  <c r="J247" i="2"/>
  <c r="J186" i="2"/>
  <c r="J224" i="2" s="1"/>
  <c r="J150" i="2"/>
  <c r="J167" i="2" s="1"/>
  <c r="O252" i="2"/>
  <c r="O194" i="2"/>
  <c r="O231" i="2" s="1"/>
  <c r="O152" i="2"/>
  <c r="O170" i="2"/>
  <c r="O8" i="1"/>
  <c r="H251" i="2"/>
  <c r="H193" i="2"/>
  <c r="H230" i="2" s="1"/>
  <c r="H151" i="2"/>
  <c r="H174" i="2" s="1"/>
  <c r="L191" i="2"/>
  <c r="L228" i="2" s="1"/>
  <c r="L257" i="2"/>
  <c r="L156" i="2"/>
  <c r="F247" i="2"/>
  <c r="F186" i="2"/>
  <c r="F224" i="2" s="1"/>
  <c r="F150" i="2"/>
  <c r="F167" i="2" s="1"/>
  <c r="P74" i="2"/>
  <c r="N256" i="2"/>
  <c r="N155" i="2"/>
  <c r="N171" i="2" s="1"/>
  <c r="N190" i="2"/>
  <c r="N227" i="2" s="1"/>
  <c r="E149" i="2"/>
  <c r="D119" i="2"/>
  <c r="G184" i="2"/>
  <c r="G245" i="2"/>
  <c r="F251" i="2"/>
  <c r="F151" i="2"/>
  <c r="F174" i="2" s="1"/>
  <c r="F193" i="2"/>
  <c r="F230" i="2" s="1"/>
  <c r="E152" i="2"/>
  <c r="E194" i="2"/>
  <c r="E231" i="2" s="1"/>
  <c r="P76" i="2"/>
  <c r="D117" i="2"/>
  <c r="J256" i="2"/>
  <c r="J190" i="2"/>
  <c r="J227" i="2" s="1"/>
  <c r="J155" i="2"/>
  <c r="J171" i="2" s="1"/>
  <c r="M259" i="2"/>
  <c r="M198" i="2"/>
  <c r="M235" i="2" s="1"/>
  <c r="O143" i="2"/>
  <c r="I102" i="2"/>
  <c r="I116" i="2" s="1"/>
  <c r="G254" i="2"/>
  <c r="G196" i="2"/>
  <c r="G233" i="2" s="1"/>
  <c r="G153" i="2"/>
  <c r="E256" i="2"/>
  <c r="P80" i="2"/>
  <c r="I107" i="2"/>
  <c r="I121" i="2" s="1"/>
  <c r="H155" i="2"/>
  <c r="H171" i="2" s="1"/>
  <c r="H190" i="2"/>
  <c r="H227" i="2" s="1"/>
  <c r="H256" i="2"/>
  <c r="J185" i="2"/>
  <c r="J223" i="2" s="1"/>
  <c r="L254" i="2"/>
  <c r="L196" i="2"/>
  <c r="L233" i="2" s="1"/>
  <c r="M190" i="2"/>
  <c r="M227" i="2" s="1"/>
  <c r="M155" i="2"/>
  <c r="M171" i="2" s="1"/>
  <c r="M256" i="2"/>
  <c r="J183" i="2"/>
  <c r="J143" i="2"/>
  <c r="H170" i="2"/>
  <c r="H8" i="1"/>
  <c r="P210" i="2"/>
  <c r="P211" i="2"/>
  <c r="H246" i="2"/>
  <c r="H254" i="2"/>
  <c r="H196" i="2"/>
  <c r="H233" i="2" s="1"/>
  <c r="H153" i="2"/>
  <c r="M246" i="2"/>
  <c r="M149" i="2"/>
  <c r="K105" i="2"/>
  <c r="K119" i="2" s="1"/>
  <c r="H185" i="2"/>
  <c r="H223" i="2" s="1"/>
  <c r="L190" i="2"/>
  <c r="L227" i="2" s="1"/>
  <c r="P213" i="2"/>
  <c r="P214" i="2"/>
  <c r="G256" i="2"/>
  <c r="G155" i="2"/>
  <c r="G171" i="2" s="1"/>
  <c r="G190" i="2"/>
  <c r="G227" i="2" s="1"/>
  <c r="H247" i="2"/>
  <c r="H150" i="2"/>
  <c r="H167" i="2" s="1"/>
  <c r="P79" i="2"/>
  <c r="P34" i="2"/>
  <c r="G156" i="2"/>
  <c r="G257" i="2"/>
  <c r="N259" i="2"/>
  <c r="N159" i="2"/>
  <c r="E257" i="2"/>
  <c r="E191" i="2"/>
  <c r="E228" i="2" s="1"/>
  <c r="L143" i="2"/>
  <c r="I143" i="2"/>
  <c r="M159" i="2"/>
  <c r="N198" i="2"/>
  <c r="N235" i="2" s="1"/>
  <c r="H257" i="2"/>
  <c r="H156" i="2"/>
  <c r="H191" i="2"/>
  <c r="H228" i="2" s="1"/>
  <c r="E108" i="2"/>
  <c r="E122" i="2" s="1"/>
  <c r="E113" i="2"/>
  <c r="E127" i="2" s="1"/>
  <c r="E105" i="2"/>
  <c r="E119" i="2" s="1"/>
  <c r="E111" i="2"/>
  <c r="E125" i="2" s="1"/>
  <c r="E157" i="2" s="1"/>
  <c r="E102" i="2"/>
  <c r="E116" i="2" s="1"/>
  <c r="D102" i="2"/>
  <c r="D106" i="2"/>
  <c r="G252" i="2"/>
  <c r="G152" i="2"/>
  <c r="G194" i="2"/>
  <c r="G231" i="2" s="1"/>
  <c r="F257" i="2"/>
  <c r="F156" i="2"/>
  <c r="P136" i="2"/>
  <c r="G191" i="2"/>
  <c r="G228" i="2" s="1"/>
  <c r="P197" i="2"/>
  <c r="D234" i="2"/>
  <c r="P234" i="2" s="1"/>
  <c r="G219" i="2"/>
  <c r="L248" i="2"/>
  <c r="D121" i="2"/>
  <c r="O256" i="2"/>
  <c r="O190" i="2"/>
  <c r="O227" i="2" s="1"/>
  <c r="O155" i="2"/>
  <c r="O171" i="2" s="1"/>
  <c r="N189" i="2"/>
  <c r="N255" i="2"/>
  <c r="N154" i="2"/>
  <c r="P78" i="2"/>
  <c r="F153" i="2"/>
  <c r="F196" i="2"/>
  <c r="F233" i="2" s="1"/>
  <c r="F254" i="2"/>
  <c r="D248" i="2"/>
  <c r="O11" i="1"/>
  <c r="O54" i="1" s="1"/>
  <c r="I110" i="2"/>
  <c r="I124" i="2" s="1"/>
  <c r="H128" i="2"/>
  <c r="H145" i="2" s="1"/>
  <c r="H260" i="2" s="1"/>
  <c r="H148" i="2"/>
  <c r="H245" i="2"/>
  <c r="E155" i="2"/>
  <c r="E171" i="2" s="1"/>
  <c r="K222" i="2"/>
  <c r="K106" i="2"/>
  <c r="K120" i="2" s="1"/>
  <c r="K109" i="2"/>
  <c r="K123" i="2" s="1"/>
  <c r="K103" i="2"/>
  <c r="K117" i="2" s="1"/>
  <c r="L259" i="2"/>
  <c r="L198" i="2"/>
  <c r="L235" i="2" s="1"/>
  <c r="N257" i="2"/>
  <c r="N156" i="2"/>
  <c r="D122" i="2"/>
  <c r="J153" i="2"/>
  <c r="J254" i="2"/>
  <c r="H166" i="2"/>
  <c r="N245" i="2"/>
  <c r="N148" i="2"/>
  <c r="J245" i="2"/>
  <c r="J148" i="2"/>
  <c r="J184" i="2"/>
  <c r="I104" i="2"/>
  <c r="I118" i="2" s="1"/>
  <c r="O254" i="2"/>
  <c r="O196" i="2"/>
  <c r="O233" i="2" s="1"/>
  <c r="L183" i="2"/>
  <c r="H186" i="2"/>
  <c r="H224" i="2" s="1"/>
  <c r="O249" i="2"/>
  <c r="O246" i="2"/>
  <c r="O185" i="2"/>
  <c r="O223" i="2" s="1"/>
  <c r="O149" i="2"/>
  <c r="O166" i="2" s="1"/>
  <c r="H255" i="2"/>
  <c r="H189" i="2"/>
  <c r="D127" i="2"/>
  <c r="D143" i="2"/>
  <c r="P130" i="2"/>
  <c r="P138" i="2"/>
  <c r="P139" i="2"/>
  <c r="D195" i="2"/>
  <c r="P140" i="2"/>
  <c r="N222" i="2"/>
  <c r="E192" i="2"/>
  <c r="E229" i="2" s="1"/>
  <c r="P229" i="2" s="1"/>
  <c r="J218" i="2"/>
  <c r="J219" i="2" s="1"/>
  <c r="E252" i="2"/>
  <c r="P70" i="2"/>
  <c r="D126" i="2"/>
  <c r="P72" i="2"/>
  <c r="M255" i="2"/>
  <c r="M154" i="2"/>
  <c r="I112" i="2"/>
  <c r="I126" i="2" s="1"/>
  <c r="I158" i="2" s="1"/>
  <c r="I113" i="2"/>
  <c r="I127" i="2" s="1"/>
  <c r="I108" i="2"/>
  <c r="I122" i="2" s="1"/>
  <c r="K110" i="2"/>
  <c r="K124" i="2" s="1"/>
  <c r="L150" i="2"/>
  <c r="D123" i="2"/>
  <c r="N143" i="2"/>
  <c r="P142" i="2"/>
  <c r="P258" i="2" s="1"/>
  <c r="G148" i="2"/>
  <c r="L155" i="2"/>
  <c r="L171" i="2" s="1"/>
  <c r="K218" i="2"/>
  <c r="K219" i="2" s="1"/>
  <c r="O245" i="2"/>
  <c r="O184" i="2"/>
  <c r="O222" i="2" s="1"/>
  <c r="O128" i="2"/>
  <c r="O145" i="2" s="1"/>
  <c r="O260" i="2" s="1"/>
  <c r="N247" i="2"/>
  <c r="G259" i="2"/>
  <c r="G159" i="2"/>
  <c r="G198" i="2"/>
  <c r="G235" i="2" s="1"/>
  <c r="N150" i="2"/>
  <c r="N167" i="2" s="1"/>
  <c r="L177" i="2"/>
  <c r="L11" i="1"/>
  <c r="L54" i="1" s="1"/>
  <c r="E172" i="2"/>
  <c r="E10" i="1"/>
  <c r="E53" i="1" s="1"/>
  <c r="H222" i="2"/>
  <c r="N186" i="2"/>
  <c r="N224" i="2" s="1"/>
  <c r="O255" i="2"/>
  <c r="O189" i="2"/>
  <c r="H259" i="2"/>
  <c r="H159" i="2"/>
  <c r="H198" i="2"/>
  <c r="H235" i="2" s="1"/>
  <c r="G143" i="2"/>
  <c r="G183" i="2"/>
  <c r="F258" i="2"/>
  <c r="P66" i="2"/>
  <c r="P69" i="2"/>
  <c r="O247" i="2"/>
  <c r="O186" i="2"/>
  <c r="O224" i="2" s="1"/>
  <c r="O150" i="2"/>
  <c r="O167" i="2" s="1"/>
  <c r="K108" i="2"/>
  <c r="K122" i="2" s="1"/>
  <c r="I111" i="2"/>
  <c r="I125" i="2" s="1"/>
  <c r="I157" i="2" s="1"/>
  <c r="J252" i="2"/>
  <c r="P141" i="2"/>
  <c r="D104" i="2"/>
  <c r="P71" i="2"/>
  <c r="N251" i="2"/>
  <c r="N193" i="2"/>
  <c r="N230" i="2" s="1"/>
  <c r="G108" i="2"/>
  <c r="G122" i="2" s="1"/>
  <c r="G111" i="2"/>
  <c r="G125" i="2" s="1"/>
  <c r="G157" i="2" s="1"/>
  <c r="F195" i="2"/>
  <c r="F232" i="2" s="1"/>
  <c r="J152" i="2"/>
  <c r="P204" i="2"/>
  <c r="P205" i="2"/>
  <c r="P206" i="2"/>
  <c r="P216" i="2"/>
  <c r="P217" i="2"/>
  <c r="H218" i="2"/>
  <c r="H219" i="2" s="1"/>
  <c r="G251" i="2"/>
  <c r="G151" i="2"/>
  <c r="G174" i="2" s="1"/>
  <c r="F106" i="2"/>
  <c r="F120" i="2" s="1"/>
  <c r="P77" i="2"/>
  <c r="P135" i="2"/>
  <c r="G193" i="2"/>
  <c r="G230" i="2" s="1"/>
  <c r="I218" i="2"/>
  <c r="I219" i="2" s="1"/>
  <c r="G104" i="2"/>
  <c r="G118" i="2" s="1"/>
  <c r="M110" i="2"/>
  <c r="M124" i="2" s="1"/>
  <c r="L111" i="2"/>
  <c r="L125" i="2" s="1"/>
  <c r="L157" i="2" s="1"/>
  <c r="L166" i="2" s="1"/>
  <c r="K113" i="2"/>
  <c r="K127" i="2" s="1"/>
  <c r="M112" i="2"/>
  <c r="M126" i="2" s="1"/>
  <c r="M158" i="2" s="1"/>
  <c r="E258" i="2"/>
  <c r="J253" i="2"/>
  <c r="M250" i="2"/>
  <c r="N249" i="2"/>
  <c r="O248" i="2"/>
  <c r="D258" i="2"/>
  <c r="I253" i="2"/>
  <c r="L250" i="2"/>
  <c r="M249" i="2"/>
  <c r="N248" i="2"/>
  <c r="O258" i="2"/>
  <c r="H253" i="2"/>
  <c r="K250" i="2"/>
  <c r="L249" i="2"/>
  <c r="M248" i="2"/>
  <c r="M258" i="2"/>
  <c r="F253" i="2"/>
  <c r="I250" i="2"/>
  <c r="J249" i="2"/>
  <c r="K248" i="2"/>
  <c r="L258" i="2"/>
  <c r="E253" i="2"/>
  <c r="H250" i="2"/>
  <c r="I249" i="2"/>
  <c r="J248" i="2"/>
  <c r="J258" i="2"/>
  <c r="O253" i="2"/>
  <c r="F250" i="2"/>
  <c r="G249" i="2"/>
  <c r="H248" i="2"/>
  <c r="I258" i="2"/>
  <c r="N253" i="2"/>
  <c r="E250" i="2"/>
  <c r="F249" i="2"/>
  <c r="G248" i="2"/>
  <c r="H258" i="2"/>
  <c r="M253" i="2"/>
  <c r="D250" i="2"/>
  <c r="E249" i="2"/>
  <c r="F248" i="2"/>
  <c r="G258" i="2"/>
  <c r="L253" i="2"/>
  <c r="O250" i="2"/>
  <c r="N258" i="2"/>
  <c r="I248" i="2"/>
  <c r="K258" i="2"/>
  <c r="E248" i="2"/>
  <c r="N250" i="2"/>
  <c r="J250" i="2"/>
  <c r="G250" i="2"/>
  <c r="D253" i="2"/>
  <c r="D249" i="2"/>
  <c r="E195" i="2"/>
  <c r="E232" i="2" s="1"/>
  <c r="L218" i="2"/>
  <c r="L219" i="2" s="1"/>
  <c r="G253" i="2"/>
  <c r="K112" i="2"/>
  <c r="K126" i="2" s="1"/>
  <c r="K158" i="2" s="1"/>
  <c r="F109" i="2"/>
  <c r="F123" i="2" s="1"/>
  <c r="K143" i="2"/>
  <c r="P208" i="2"/>
  <c r="P209" i="2"/>
  <c r="H249" i="2"/>
  <c r="L112" i="2"/>
  <c r="L126" i="2" s="1"/>
  <c r="L158" i="2" s="1"/>
  <c r="P187" i="2"/>
  <c r="D225" i="2"/>
  <c r="P225" i="2" s="1"/>
  <c r="P132" i="2"/>
  <c r="O218" i="2"/>
  <c r="O219" i="2" s="1"/>
  <c r="N218" i="2"/>
  <c r="N219" i="2" s="1"/>
  <c r="D218" i="2"/>
  <c r="D219" i="2" s="1"/>
  <c r="P203" i="2"/>
  <c r="J159" i="2" l="1"/>
  <c r="J259" i="2"/>
  <c r="M177" i="2"/>
  <c r="P107" i="2"/>
  <c r="E153" i="2"/>
  <c r="E254" i="2"/>
  <c r="M254" i="2"/>
  <c r="M196" i="2"/>
  <c r="M233" i="2" s="1"/>
  <c r="M240" i="2" s="1"/>
  <c r="N252" i="2"/>
  <c r="N194" i="2"/>
  <c r="N231" i="2" s="1"/>
  <c r="N240" i="2" s="1"/>
  <c r="F226" i="2"/>
  <c r="M226" i="2"/>
  <c r="H226" i="2"/>
  <c r="H239" i="2" s="1"/>
  <c r="H201" i="2"/>
  <c r="L226" i="2"/>
  <c r="L201" i="2"/>
  <c r="N226" i="2"/>
  <c r="O226" i="2"/>
  <c r="O239" i="2" s="1"/>
  <c r="O201" i="2"/>
  <c r="J226" i="2"/>
  <c r="G240" i="2"/>
  <c r="J128" i="2"/>
  <c r="J145" i="2" s="1"/>
  <c r="J260" i="2" s="1"/>
  <c r="J246" i="2"/>
  <c r="F154" i="2"/>
  <c r="J172" i="2"/>
  <c r="J191" i="2"/>
  <c r="J228" i="2" s="1"/>
  <c r="L186" i="2"/>
  <c r="L224" i="2" s="1"/>
  <c r="M245" i="2"/>
  <c r="L193" i="2"/>
  <c r="L230" i="2" s="1"/>
  <c r="L151" i="2"/>
  <c r="L174" i="2" s="1"/>
  <c r="K186" i="2"/>
  <c r="K224" i="2" s="1"/>
  <c r="J151" i="2"/>
  <c r="J174" i="2" s="1"/>
  <c r="J257" i="2"/>
  <c r="L247" i="2"/>
  <c r="N128" i="2"/>
  <c r="N145" i="2" s="1"/>
  <c r="N260" i="2" s="1"/>
  <c r="N246" i="2"/>
  <c r="J193" i="2"/>
  <c r="J230" i="2" s="1"/>
  <c r="J240" i="2" s="1"/>
  <c r="F184" i="2"/>
  <c r="F222" i="2" s="1"/>
  <c r="N149" i="2"/>
  <c r="N166" i="2" s="1"/>
  <c r="E246" i="2"/>
  <c r="F148" i="2"/>
  <c r="M148" i="2"/>
  <c r="M166" i="2"/>
  <c r="N153" i="2"/>
  <c r="N177" i="2" s="1"/>
  <c r="L185" i="2"/>
  <c r="L223" i="2" s="1"/>
  <c r="M185" i="2"/>
  <c r="M223" i="2" s="1"/>
  <c r="L246" i="2"/>
  <c r="I246" i="2"/>
  <c r="K128" i="2"/>
  <c r="K145" i="2" s="1"/>
  <c r="K260" i="2" s="1"/>
  <c r="L167" i="2"/>
  <c r="H240" i="2"/>
  <c r="L240" i="2"/>
  <c r="O240" i="2"/>
  <c r="K167" i="2"/>
  <c r="E185" i="2"/>
  <c r="E223" i="2" s="1"/>
  <c r="E251" i="2"/>
  <c r="E151" i="2"/>
  <c r="E174" i="2" s="1"/>
  <c r="E193" i="2"/>
  <c r="E230" i="2" s="1"/>
  <c r="J170" i="2"/>
  <c r="J8" i="1"/>
  <c r="G11" i="1"/>
  <c r="G54" i="1" s="1"/>
  <c r="G177" i="2"/>
  <c r="F256" i="2"/>
  <c r="F155" i="2"/>
  <c r="F171" i="2" s="1"/>
  <c r="F190" i="2"/>
  <c r="F227" i="2" s="1"/>
  <c r="K259" i="2"/>
  <c r="K159" i="2"/>
  <c r="K198" i="2"/>
  <c r="K235" i="2" s="1"/>
  <c r="H178" i="2"/>
  <c r="H12" i="1"/>
  <c r="G165" i="2"/>
  <c r="J178" i="2"/>
  <c r="J12" i="1"/>
  <c r="P108" i="2"/>
  <c r="F172" i="2"/>
  <c r="F10" i="1"/>
  <c r="F53" i="1" s="1"/>
  <c r="H177" i="2"/>
  <c r="H11" i="1"/>
  <c r="H54" i="1" s="1"/>
  <c r="E9" i="1"/>
  <c r="E52" i="1" s="1"/>
  <c r="E175" i="2"/>
  <c r="K177" i="2"/>
  <c r="K11" i="1"/>
  <c r="K54" i="1" s="1"/>
  <c r="L175" i="2"/>
  <c r="L9" i="1"/>
  <c r="L52" i="1" s="1"/>
  <c r="K247" i="2"/>
  <c r="G246" i="2"/>
  <c r="G185" i="2"/>
  <c r="G223" i="2" s="1"/>
  <c r="N239" i="2"/>
  <c r="D255" i="2"/>
  <c r="P122" i="2"/>
  <c r="D189" i="2"/>
  <c r="D154" i="2"/>
  <c r="H160" i="2"/>
  <c r="H165" i="2"/>
  <c r="F177" i="2"/>
  <c r="F11" i="1"/>
  <c r="F54" i="1" s="1"/>
  <c r="H172" i="2"/>
  <c r="H10" i="1"/>
  <c r="H53" i="1" s="1"/>
  <c r="G172" i="2"/>
  <c r="G10" i="1"/>
  <c r="G53" i="1" s="1"/>
  <c r="O51" i="1"/>
  <c r="H175" i="2"/>
  <c r="H9" i="1"/>
  <c r="H52" i="1" s="1"/>
  <c r="F12" i="1"/>
  <c r="F178" i="2"/>
  <c r="G12" i="1"/>
  <c r="G178" i="2"/>
  <c r="D158" i="2"/>
  <c r="P158" i="2" s="1"/>
  <c r="P126" i="2"/>
  <c r="J165" i="2"/>
  <c r="J160" i="2"/>
  <c r="N172" i="2"/>
  <c r="N10" i="1"/>
  <c r="N53" i="1" s="1"/>
  <c r="I148" i="2"/>
  <c r="I128" i="2"/>
  <c r="I145" i="2" s="1"/>
  <c r="I260" i="2" s="1"/>
  <c r="I245" i="2"/>
  <c r="I184" i="2"/>
  <c r="P103" i="2"/>
  <c r="K165" i="2"/>
  <c r="G166" i="2"/>
  <c r="G150" i="2"/>
  <c r="G167" i="2" s="1"/>
  <c r="G247" i="2"/>
  <c r="G186" i="2"/>
  <c r="G224" i="2" s="1"/>
  <c r="D256" i="2"/>
  <c r="P123" i="2"/>
  <c r="D190" i="2"/>
  <c r="D155" i="2"/>
  <c r="P112" i="2"/>
  <c r="D232" i="2"/>
  <c r="P232" i="2" s="1"/>
  <c r="P195" i="2"/>
  <c r="I257" i="2"/>
  <c r="I191" i="2"/>
  <c r="I228" i="2" s="1"/>
  <c r="I156" i="2"/>
  <c r="G9" i="1"/>
  <c r="G52" i="1" s="1"/>
  <c r="G175" i="2"/>
  <c r="P109" i="2"/>
  <c r="P105" i="2"/>
  <c r="P119" i="2" s="1"/>
  <c r="O175" i="2"/>
  <c r="O9" i="1"/>
  <c r="O52" i="1" s="1"/>
  <c r="M175" i="2"/>
  <c r="M9" i="1"/>
  <c r="M52" i="1" s="1"/>
  <c r="L128" i="2"/>
  <c r="L145" i="2" s="1"/>
  <c r="L260" i="2" s="1"/>
  <c r="P110" i="2"/>
  <c r="O160" i="2"/>
  <c r="J222" i="2"/>
  <c r="J199" i="2"/>
  <c r="N170" i="2"/>
  <c r="N8" i="1"/>
  <c r="G128" i="2"/>
  <c r="G145" i="2" s="1"/>
  <c r="G260" i="2" s="1"/>
  <c r="L165" i="2"/>
  <c r="L160" i="2"/>
  <c r="D257" i="2"/>
  <c r="D156" i="2"/>
  <c r="D191" i="2"/>
  <c r="P124" i="2"/>
  <c r="P111" i="2"/>
  <c r="G222" i="2"/>
  <c r="I259" i="2"/>
  <c r="I159" i="2"/>
  <c r="I198" i="2"/>
  <c r="I235" i="2" s="1"/>
  <c r="M167" i="2"/>
  <c r="D120" i="2"/>
  <c r="P106" i="2"/>
  <c r="P120" i="2" s="1"/>
  <c r="M178" i="2"/>
  <c r="M12" i="1"/>
  <c r="O172" i="2"/>
  <c r="O10" i="1"/>
  <c r="O53" i="1" s="1"/>
  <c r="D157" i="2"/>
  <c r="P157" i="2" s="1"/>
  <c r="P125" i="2"/>
  <c r="D259" i="2"/>
  <c r="D159" i="2"/>
  <c r="P127" i="2"/>
  <c r="D198" i="2"/>
  <c r="D246" i="2"/>
  <c r="D149" i="2"/>
  <c r="D185" i="2"/>
  <c r="P117" i="2"/>
  <c r="F252" i="2"/>
  <c r="F152" i="2"/>
  <c r="F160" i="2" s="1"/>
  <c r="F194" i="2"/>
  <c r="F231" i="2" s="1"/>
  <c r="F240" i="2" s="1"/>
  <c r="D254" i="2"/>
  <c r="P121" i="2"/>
  <c r="D153" i="2"/>
  <c r="D196" i="2"/>
  <c r="M257" i="2"/>
  <c r="M191" i="2"/>
  <c r="M228" i="2" s="1"/>
  <c r="M156" i="2"/>
  <c r="M160" i="2" s="1"/>
  <c r="P192" i="2"/>
  <c r="D118" i="2"/>
  <c r="P104" i="2"/>
  <c r="I175" i="2"/>
  <c r="I9" i="1"/>
  <c r="I52" i="1" s="1"/>
  <c r="L170" i="2"/>
  <c r="L8" i="1"/>
  <c r="F170" i="2"/>
  <c r="F8" i="1"/>
  <c r="O178" i="2"/>
  <c r="O12" i="1"/>
  <c r="F165" i="2"/>
  <c r="P218" i="2"/>
  <c r="P219" i="2" s="1"/>
  <c r="G255" i="2"/>
  <c r="G154" i="2"/>
  <c r="G189" i="2"/>
  <c r="K255" i="2"/>
  <c r="K154" i="2"/>
  <c r="K189" i="2"/>
  <c r="M170" i="2"/>
  <c r="M8" i="1"/>
  <c r="I247" i="2"/>
  <c r="I150" i="2"/>
  <c r="I167" i="2" s="1"/>
  <c r="I186" i="2"/>
  <c r="I224" i="2" s="1"/>
  <c r="J177" i="2"/>
  <c r="J11" i="1"/>
  <c r="J54" i="1" s="1"/>
  <c r="M128" i="2"/>
  <c r="M145" i="2" s="1"/>
  <c r="M260" i="2" s="1"/>
  <c r="E255" i="2"/>
  <c r="E189" i="2"/>
  <c r="E154" i="2"/>
  <c r="P249" i="2"/>
  <c r="H51" i="1"/>
  <c r="K257" i="2"/>
  <c r="K191" i="2"/>
  <c r="K228" i="2" s="1"/>
  <c r="K156" i="2"/>
  <c r="M186" i="2"/>
  <c r="P143" i="2"/>
  <c r="L222" i="2"/>
  <c r="N165" i="2"/>
  <c r="K256" i="2"/>
  <c r="K155" i="2"/>
  <c r="K171" i="2" s="1"/>
  <c r="K190" i="2"/>
  <c r="K227" i="2" s="1"/>
  <c r="E245" i="2"/>
  <c r="E184" i="2"/>
  <c r="E148" i="2"/>
  <c r="E128" i="2"/>
  <c r="E145" i="2" s="1"/>
  <c r="E260" i="2" s="1"/>
  <c r="P113" i="2"/>
  <c r="D251" i="2"/>
  <c r="D151" i="2"/>
  <c r="D193" i="2"/>
  <c r="L172" i="2"/>
  <c r="L10" i="1"/>
  <c r="L53" i="1" s="1"/>
  <c r="P183" i="2"/>
  <c r="I185" i="2"/>
  <c r="I223" i="2" s="1"/>
  <c r="F128" i="2"/>
  <c r="F145" i="2" s="1"/>
  <c r="F260" i="2" s="1"/>
  <c r="E198" i="2"/>
  <c r="E235" i="2" s="1"/>
  <c r="E240" i="2" s="1"/>
  <c r="E259" i="2"/>
  <c r="E159" i="2"/>
  <c r="N12" i="1"/>
  <c r="N178" i="2"/>
  <c r="M165" i="2"/>
  <c r="O199" i="2"/>
  <c r="O200" i="2" s="1"/>
  <c r="H199" i="2"/>
  <c r="H200" i="2" s="1"/>
  <c r="M247" i="2"/>
  <c r="K149" i="2"/>
  <c r="K166" i="2" s="1"/>
  <c r="K185" i="2"/>
  <c r="K246" i="2"/>
  <c r="P102" i="2"/>
  <c r="D116" i="2"/>
  <c r="P253" i="2"/>
  <c r="J9" i="1"/>
  <c r="J52" i="1" s="1"/>
  <c r="J175" i="2"/>
  <c r="P250" i="2"/>
  <c r="O236" i="2"/>
  <c r="I154" i="2"/>
  <c r="I255" i="2"/>
  <c r="I189" i="2"/>
  <c r="K252" i="2"/>
  <c r="K152" i="2"/>
  <c r="K194" i="2"/>
  <c r="K231" i="2" s="1"/>
  <c r="P248" i="2"/>
  <c r="E11" i="1"/>
  <c r="E54" i="1" s="1"/>
  <c r="E177" i="2"/>
  <c r="K251" i="2"/>
  <c r="K193" i="2"/>
  <c r="K230" i="2" s="1"/>
  <c r="K151" i="2"/>
  <c r="K174" i="2" s="1"/>
  <c r="I254" i="2"/>
  <c r="I196" i="2"/>
  <c r="I233" i="2" s="1"/>
  <c r="I153" i="2"/>
  <c r="E166" i="2"/>
  <c r="I166" i="2"/>
  <c r="H236" i="2" l="1"/>
  <c r="H237" i="2" s="1"/>
  <c r="F239" i="2"/>
  <c r="F241" i="2" s="1"/>
  <c r="N236" i="2"/>
  <c r="N201" i="2"/>
  <c r="N199" i="2"/>
  <c r="N200" i="2" s="1"/>
  <c r="J200" i="2"/>
  <c r="N160" i="2"/>
  <c r="O241" i="2"/>
  <c r="O242" i="2" s="1"/>
  <c r="F201" i="2"/>
  <c r="M201" i="2"/>
  <c r="J201" i="2"/>
  <c r="K226" i="2"/>
  <c r="K201" i="2"/>
  <c r="G226" i="2"/>
  <c r="G236" i="2" s="1"/>
  <c r="G201" i="2"/>
  <c r="E226" i="2"/>
  <c r="E201" i="2"/>
  <c r="I226" i="2"/>
  <c r="I201" i="2"/>
  <c r="L199" i="2"/>
  <c r="L200" i="2" s="1"/>
  <c r="N11" i="1"/>
  <c r="N54" i="1" s="1"/>
  <c r="H241" i="2"/>
  <c r="O13" i="1"/>
  <c r="O14" i="1" s="1"/>
  <c r="O179" i="2"/>
  <c r="O180" i="2" s="1"/>
  <c r="F236" i="2"/>
  <c r="N241" i="2"/>
  <c r="O56" i="1"/>
  <c r="P256" i="2"/>
  <c r="K240" i="2"/>
  <c r="M161" i="2"/>
  <c r="D177" i="2"/>
  <c r="P153" i="2"/>
  <c r="D11" i="1"/>
  <c r="P198" i="2"/>
  <c r="D235" i="2"/>
  <c r="P235" i="2" s="1"/>
  <c r="D228" i="2"/>
  <c r="P228" i="2" s="1"/>
  <c r="P191" i="2"/>
  <c r="J179" i="2"/>
  <c r="J180" i="2" s="1"/>
  <c r="D230" i="2"/>
  <c r="P193" i="2"/>
  <c r="N179" i="2"/>
  <c r="N180" i="2" s="1"/>
  <c r="K170" i="2"/>
  <c r="K8" i="1"/>
  <c r="L51" i="1"/>
  <c r="L56" i="1" s="1"/>
  <c r="L13" i="1"/>
  <c r="L14" i="1" s="1"/>
  <c r="D172" i="2"/>
  <c r="P156" i="2"/>
  <c r="D10" i="1"/>
  <c r="P254" i="2"/>
  <c r="P159" i="2"/>
  <c r="D12" i="1"/>
  <c r="D178" i="2"/>
  <c r="N161" i="2"/>
  <c r="D223" i="2"/>
  <c r="P185" i="2"/>
  <c r="E170" i="2"/>
  <c r="E8" i="1"/>
  <c r="F199" i="2"/>
  <c r="F200" i="2" s="1"/>
  <c r="D174" i="2"/>
  <c r="P174" i="2" s="1"/>
  <c r="P151" i="2"/>
  <c r="P257" i="2"/>
  <c r="K9" i="1"/>
  <c r="K52" i="1" s="1"/>
  <c r="K175" i="2"/>
  <c r="P259" i="2"/>
  <c r="L161" i="2"/>
  <c r="K160" i="2"/>
  <c r="G170" i="2"/>
  <c r="G179" i="2" s="1"/>
  <c r="G8" i="1"/>
  <c r="F9" i="1"/>
  <c r="F52" i="1" s="1"/>
  <c r="F175" i="2"/>
  <c r="F179" i="2" s="1"/>
  <c r="F180" i="2" s="1"/>
  <c r="I178" i="2"/>
  <c r="I12" i="1"/>
  <c r="L179" i="2"/>
  <c r="L180" i="2" s="1"/>
  <c r="I177" i="2"/>
  <c r="I11" i="1"/>
  <c r="I54" i="1" s="1"/>
  <c r="D245" i="2"/>
  <c r="P245" i="2" s="1"/>
  <c r="D184" i="2"/>
  <c r="D148" i="2"/>
  <c r="P116" i="2"/>
  <c r="D128" i="2"/>
  <c r="E178" i="2"/>
  <c r="E12" i="1"/>
  <c r="M224" i="2"/>
  <c r="M199" i="2"/>
  <c r="M200" i="2" s="1"/>
  <c r="D171" i="2"/>
  <c r="P171" i="2" s="1"/>
  <c r="P155" i="2"/>
  <c r="I199" i="2"/>
  <c r="I200" i="2" s="1"/>
  <c r="I222" i="2"/>
  <c r="H179" i="2"/>
  <c r="H180" i="2" s="1"/>
  <c r="E199" i="2"/>
  <c r="E200" i="2" s="1"/>
  <c r="E222" i="2"/>
  <c r="P251" i="2"/>
  <c r="L236" i="2"/>
  <c r="L239" i="2"/>
  <c r="L241" i="2" s="1"/>
  <c r="L242" i="2" s="1"/>
  <c r="I240" i="2"/>
  <c r="E160" i="2"/>
  <c r="E165" i="2"/>
  <c r="K172" i="2"/>
  <c r="K10" i="1"/>
  <c r="K53" i="1" s="1"/>
  <c r="D247" i="2"/>
  <c r="P247" i="2" s="1"/>
  <c r="P118" i="2"/>
  <c r="D186" i="2"/>
  <c r="D150" i="2"/>
  <c r="G199" i="2"/>
  <c r="G200" i="2" s="1"/>
  <c r="N51" i="1"/>
  <c r="N56" i="1" s="1"/>
  <c r="N13" i="1"/>
  <c r="N14" i="1" s="1"/>
  <c r="D227" i="2"/>
  <c r="P227" i="2" s="1"/>
  <c r="P190" i="2"/>
  <c r="H161" i="2"/>
  <c r="G160" i="2"/>
  <c r="J13" i="1"/>
  <c r="J14" i="1" s="1"/>
  <c r="J51" i="1"/>
  <c r="J56" i="1" s="1"/>
  <c r="D170" i="2"/>
  <c r="P154" i="2"/>
  <c r="D8" i="1"/>
  <c r="M10" i="1"/>
  <c r="M53" i="1" s="1"/>
  <c r="M172" i="2"/>
  <c r="M179" i="2" s="1"/>
  <c r="M180" i="2" s="1"/>
  <c r="P149" i="2"/>
  <c r="D166" i="2"/>
  <c r="P166" i="2" s="1"/>
  <c r="I160" i="2"/>
  <c r="I165" i="2"/>
  <c r="P189" i="2"/>
  <c r="D226" i="2"/>
  <c r="F161" i="2"/>
  <c r="I8" i="1"/>
  <c r="I170" i="2"/>
  <c r="K223" i="2"/>
  <c r="K199" i="2"/>
  <c r="K200" i="2" s="1"/>
  <c r="O237" i="2"/>
  <c r="H56" i="1"/>
  <c r="P246" i="2"/>
  <c r="J239" i="2"/>
  <c r="J241" i="2" s="1"/>
  <c r="J236" i="2"/>
  <c r="J237" i="2" s="1"/>
  <c r="H13" i="1"/>
  <c r="H14" i="1" s="1"/>
  <c r="M51" i="1"/>
  <c r="O161" i="2"/>
  <c r="P255" i="2"/>
  <c r="F51" i="1"/>
  <c r="P196" i="2"/>
  <c r="D233" i="2"/>
  <c r="P233" i="2" s="1"/>
  <c r="D252" i="2"/>
  <c r="P252" i="2" s="1"/>
  <c r="D194" i="2"/>
  <c r="D201" i="2" s="1"/>
  <c r="D152" i="2"/>
  <c r="I172" i="2"/>
  <c r="I10" i="1"/>
  <c r="I53" i="1" s="1"/>
  <c r="J161" i="2"/>
  <c r="K178" i="2"/>
  <c r="K12" i="1"/>
  <c r="N242" i="2" l="1"/>
  <c r="H242" i="2"/>
  <c r="G239" i="2"/>
  <c r="G241" i="2" s="1"/>
  <c r="G242" i="2" s="1"/>
  <c r="N237" i="2"/>
  <c r="G237" i="2"/>
  <c r="D16" i="3" a="1"/>
  <c r="D17" i="3" s="1"/>
  <c r="P226" i="2"/>
  <c r="L237" i="2"/>
  <c r="K179" i="2"/>
  <c r="K180" i="2" s="1"/>
  <c r="F13" i="1"/>
  <c r="F14" i="1" s="1"/>
  <c r="F56" i="1"/>
  <c r="P170" i="2"/>
  <c r="F242" i="2"/>
  <c r="P172" i="2"/>
  <c r="G13" i="1"/>
  <c r="G14" i="1" s="1"/>
  <c r="G51" i="1"/>
  <c r="G56" i="1" s="1"/>
  <c r="E239" i="2"/>
  <c r="E241" i="2" s="1"/>
  <c r="E236" i="2"/>
  <c r="E237" i="2" s="1"/>
  <c r="J242" i="2"/>
  <c r="P184" i="2"/>
  <c r="D199" i="2"/>
  <c r="D222" i="2"/>
  <c r="I239" i="2"/>
  <c r="I241" i="2" s="1"/>
  <c r="I236" i="2"/>
  <c r="I237" i="2" s="1"/>
  <c r="G161" i="2"/>
  <c r="G180" i="2"/>
  <c r="D175" i="2"/>
  <c r="P175" i="2" s="1"/>
  <c r="D9" i="1"/>
  <c r="D13" i="1" s="1"/>
  <c r="D14" i="1" s="1"/>
  <c r="P152" i="2"/>
  <c r="P150" i="2"/>
  <c r="D167" i="2"/>
  <c r="P167" i="2" s="1"/>
  <c r="P128" i="2"/>
  <c r="P145" i="2" s="1"/>
  <c r="D145" i="2"/>
  <c r="D260" i="2" s="1"/>
  <c r="P260" i="2" s="1"/>
  <c r="D224" i="2"/>
  <c r="P224" i="2" s="1"/>
  <c r="P186" i="2"/>
  <c r="D160" i="2"/>
  <c r="D165" i="2"/>
  <c r="P148" i="2"/>
  <c r="K161" i="2"/>
  <c r="E51" i="1"/>
  <c r="E56" i="1" s="1"/>
  <c r="E13" i="1"/>
  <c r="E14" i="1" s="1"/>
  <c r="D53" i="1"/>
  <c r="P53" i="1" s="1"/>
  <c r="P10" i="1"/>
  <c r="I179" i="2"/>
  <c r="I180" i="2"/>
  <c r="I161" i="2"/>
  <c r="F237" i="2"/>
  <c r="K236" i="2"/>
  <c r="K237" i="2" s="1"/>
  <c r="K239" i="2"/>
  <c r="K241" i="2" s="1"/>
  <c r="E179" i="2"/>
  <c r="E180" i="2" s="1"/>
  <c r="P11" i="1"/>
  <c r="D54" i="1"/>
  <c r="P54" i="1" s="1"/>
  <c r="E33" i="3" s="1"/>
  <c r="M56" i="1"/>
  <c r="E161" i="2"/>
  <c r="K51" i="1"/>
  <c r="K56" i="1" s="1"/>
  <c r="K13" i="1"/>
  <c r="K14" i="1" s="1"/>
  <c r="P223" i="2"/>
  <c r="M13" i="1"/>
  <c r="M14" i="1" s="1"/>
  <c r="I13" i="1"/>
  <c r="I14" i="1" s="1"/>
  <c r="I51" i="1"/>
  <c r="I56" i="1" s="1"/>
  <c r="P177" i="2"/>
  <c r="M239" i="2"/>
  <c r="M241" i="2" s="1"/>
  <c r="M236" i="2"/>
  <c r="M237" i="2" s="1"/>
  <c r="P178" i="2"/>
  <c r="D231" i="2"/>
  <c r="P231" i="2" s="1"/>
  <c r="P194" i="2"/>
  <c r="P201" i="2" s="1"/>
  <c r="P12" i="1"/>
  <c r="D51" i="1"/>
  <c r="P8" i="1"/>
  <c r="P230" i="2"/>
  <c r="K242" i="2" l="1"/>
  <c r="D18" i="3"/>
  <c r="D27" i="3"/>
  <c r="D20" i="3"/>
  <c r="D25" i="3"/>
  <c r="D26" i="3"/>
  <c r="D19" i="3"/>
  <c r="D21" i="3"/>
  <c r="D22" i="3"/>
  <c r="D23" i="3"/>
  <c r="D16" i="3"/>
  <c r="D24" i="3"/>
  <c r="D240" i="2"/>
  <c r="P240" i="2" s="1"/>
  <c r="D161" i="2"/>
  <c r="P160" i="2"/>
  <c r="D236" i="2"/>
  <c r="D237" i="2" s="1"/>
  <c r="P222" i="2"/>
  <c r="P236" i="2" s="1"/>
  <c r="D239" i="2"/>
  <c r="P165" i="2"/>
  <c r="P179" i="2" s="1"/>
  <c r="D179" i="2"/>
  <c r="D180" i="2" s="1"/>
  <c r="D200" i="2"/>
  <c r="P199" i="2"/>
  <c r="P200" i="2" s="1"/>
  <c r="I242" i="2"/>
  <c r="E242" i="2"/>
  <c r="P51" i="1"/>
  <c r="D52" i="1"/>
  <c r="P52" i="1" s="1"/>
  <c r="E31" i="3" s="1"/>
  <c r="P9" i="1"/>
  <c r="P13" i="1" s="1"/>
  <c r="P14" i="1" s="1"/>
  <c r="M242" i="2"/>
  <c r="D241" i="2" l="1"/>
  <c r="D242" i="2" s="1"/>
  <c r="P239" i="2"/>
  <c r="P241" i="2" s="1"/>
  <c r="P242" i="2" s="1"/>
  <c r="P237" i="2"/>
  <c r="D56" i="1"/>
  <c r="P180" i="2"/>
  <c r="P161" i="2"/>
  <c r="P56" i="1"/>
  <c r="E19" i="3" l="1"/>
  <c r="E26" i="3"/>
  <c r="E21" i="3"/>
  <c r="E23" i="3"/>
  <c r="E18" i="3"/>
  <c r="E27" i="3"/>
  <c r="E24" i="3"/>
  <c r="E20" i="3" l="1"/>
  <c r="E25" i="3"/>
  <c r="E17" i="3"/>
  <c r="E22" i="3"/>
  <c r="D28" i="3" l="1"/>
  <c r="E16" i="3"/>
  <c r="E28" i="3" s="1"/>
  <c r="F35" i="3" l="1"/>
  <c r="E45" i="3" l="1"/>
  <c r="F46" i="3" s="1"/>
  <c r="E41" i="3"/>
  <c r="E42" i="3"/>
  <c r="F43" i="3" l="1"/>
  <c r="F48" i="3" s="1"/>
  <c r="F50" i="3" s="1"/>
  <c r="F51" i="3" s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<sst xmlns="http://schemas.openxmlformats.org/spreadsheetml/2006/main" count="398" uniqueCount="148">
  <si>
    <t>Puget Sound Energy</t>
  </si>
  <si>
    <t>Gas Weather Normalization Revenue Calculation</t>
  </si>
  <si>
    <t>Non-Decoupled Rate Schedules ** For CBR and Earnings Test **</t>
  </si>
  <si>
    <t>12 Months Ended December 31, 2024</t>
  </si>
  <si>
    <t>Rate Class</t>
  </si>
  <si>
    <t>Rate Sch.</t>
  </si>
  <si>
    <t>Total</t>
  </si>
  <si>
    <t>Weather Adjustment to Volume - System Level Analysis Spread to Rate Classes (Therms)</t>
  </si>
  <si>
    <t>Interruptible with firm option - com</t>
  </si>
  <si>
    <t>Trans. interrupt with firm option - com</t>
  </si>
  <si>
    <t>85T</t>
  </si>
  <si>
    <t>Non-excl interrupt w/ firm option - com</t>
  </si>
  <si>
    <t>Trans. non-exclus inter w/ firm option - com</t>
  </si>
  <si>
    <t>87T</t>
  </si>
  <si>
    <t>Special contracts - ind</t>
  </si>
  <si>
    <t>SC</t>
  </si>
  <si>
    <t>Check</t>
  </si>
  <si>
    <t>Rates</t>
  </si>
  <si>
    <t>Base Delivery Charge</t>
  </si>
  <si>
    <t>Schedule 141D Dist. Pipe Provisional</t>
  </si>
  <si>
    <t>Schedule 141LNG Liquefied Natural Gas</t>
  </si>
  <si>
    <t>Schedule 141N Not Subject to Refund</t>
  </si>
  <si>
    <t>Schedule 141R Subject to Refund</t>
  </si>
  <si>
    <t>Total Delivery Charge</t>
  </si>
  <si>
    <t>Weather Adjustment to Margin Revenue</t>
  </si>
  <si>
    <t>Gas Weather Normalization of Volume (Therms)</t>
  </si>
  <si>
    <t>Calendarized Volume According to Unbilled Report (Therms)</t>
  </si>
  <si>
    <t>Residential lamps</t>
  </si>
  <si>
    <t>Residential</t>
  </si>
  <si>
    <t>Propane</t>
  </si>
  <si>
    <t>General service - commercial</t>
  </si>
  <si>
    <t>Large volume - commercial</t>
  </si>
  <si>
    <t>Emergency Compressed Nature Gas Service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</si>
  <si>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</si>
  <si>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</si>
  <si>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</si>
  <si>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</si>
  <si>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</si>
  <si>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</si>
  <si>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</si>
  <si>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</si>
  <si>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31T</t>
  </si>
  <si>
    <t>Trans. large volume - commercial</t>
  </si>
  <si>
    <t>41T</t>
  </si>
  <si>
    <t>86T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</si>
  <si>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</si>
  <si>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</si>
  <si>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</si>
  <si>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</si>
  <si>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Trans. exclus inter w/ firm option - ind</t>
  </si>
  <si>
    <t>88T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</si>
  <si>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</si>
  <si>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</si>
  <si>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</si>
  <si>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</si>
  <si>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</si>
  <si>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</si>
  <si>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</si>
  <si>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Standby &amp; auxiliary heating - ind</t>
  </si>
  <si>
    <t>Trans. limited interrupt w/ firm option - com</t>
  </si>
  <si>
    <t>Trans.  - industrial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</si>
  <si>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</si>
  <si>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</si>
  <si>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</si>
  <si>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</si>
  <si>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</si>
  <si>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</si>
  <si>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</si>
  <si>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</si>
  <si>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</si>
  <si>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Residential lights</t>
  </si>
  <si>
    <t>Trans. - commercial</t>
  </si>
  <si>
    <t>Trans. limited interrupt w/ firm option - Com</t>
  </si>
  <si>
    <t>Total other volume</t>
  </si>
  <si>
    <t>Total weather normalized volume</t>
  </si>
  <si>
    <t>Weather Adjustment to Volume - Rate Class Analysis (Therms)</t>
  </si>
  <si>
    <t>Total adjustment</t>
  </si>
  <si>
    <t>Percent change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</si>
  <si>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</si>
  <si>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</si>
  <si>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</si>
  <si>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</si>
  <si>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</si>
  <si>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</si>
  <si>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</si>
  <si>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</si>
  <si>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</si>
  <si>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</si>
  <si>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</si>
  <si>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</si>
  <si>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</si>
  <si>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</si>
  <si>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</si>
  <si>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Contracts</t>
  </si>
  <si>
    <t>Summary of Weather Normalized Volume by Rate Class (Therms)</t>
  </si>
  <si>
    <t>Trans. limited interrupt w/ firm option (86T)</t>
  </si>
  <si>
    <t>Trans. exclus inter w/ firm option (88T)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</si>
  <si>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</si>
  <si>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</si>
  <si>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</si>
  <si>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</si>
  <si>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</si>
  <si>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</si>
  <si>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</si>
  <si>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</si>
  <si>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</si>
  <si>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</si>
  <si>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</si>
  <si>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</si>
  <si>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>Trans. General services</t>
  </si>
  <si>
    <t>Trans. large volume</t>
  </si>
  <si>
    <t>Trans. interrupt with firm option</t>
  </si>
  <si>
    <t>Trans. limited interrupt w/ firm option</t>
  </si>
  <si>
    <t>Trans. non-exclus inter w/firm option</t>
  </si>
  <si>
    <t xml:space="preserve">Interruptible with firm option </t>
  </si>
  <si>
    <t xml:space="preserve">Limited interrupt w/ firm option </t>
  </si>
  <si>
    <t xml:space="preserve">Non-exclus interrupt/firm option </t>
  </si>
  <si>
    <t>Trans. exclus inter w/ firm option</t>
  </si>
  <si>
    <t>INCREASE (DECREASE) NOI</t>
  </si>
  <si>
    <t>INCREASE (DECREASE) FIT @</t>
  </si>
  <si>
    <t>INCREASE (DECREASE) INCOME</t>
  </si>
  <si>
    <t>INCREASE (DECREASE) TAXES OTHER</t>
  </si>
  <si>
    <t>STATE UTILITY TAX @</t>
  </si>
  <si>
    <t>INCREASE (DECREASE) EXPENSES</t>
  </si>
  <si>
    <t>ANNUAL FILING FEE @</t>
  </si>
  <si>
    <t>UNCOLLECTIBLES @</t>
  </si>
  <si>
    <t>PURCHASED GAS COSTS</t>
  </si>
  <si>
    <t>OPERATING EXPENSES</t>
  </si>
  <si>
    <t>INCREASE (DECREASE) SALES TO CUSTOMERS</t>
  </si>
  <si>
    <t>REVENUE ADJUSTMENT:</t>
  </si>
  <si>
    <t>CHANGE</t>
  </si>
  <si>
    <t>THERMS</t>
  </si>
  <si>
    <t>TEMP ADJ</t>
  </si>
  <si>
    <t>ACTUAL</t>
  </si>
  <si>
    <t>TEMPERATURE NORMALIZATION ADJUSTMENT:</t>
  </si>
  <si>
    <t>ADJUSTMENT</t>
  </si>
  <si>
    <t>NORMALIZED</t>
  </si>
  <si>
    <t>DESCRIPTION</t>
  </si>
  <si>
    <t>NO.</t>
  </si>
  <si>
    <t>LINE</t>
  </si>
  <si>
    <t>COMMISSION BASIS REPORT</t>
  </si>
  <si>
    <t>TEMPERATURE NORMALIZATION</t>
  </si>
  <si>
    <t xml:space="preserve">PUGET SOUND ENERGY-GAS </t>
  </si>
  <si>
    <t xml:space="preserve"> </t>
  </si>
  <si>
    <t>PAGE 3.01</t>
  </si>
  <si>
    <t>FOR THE TWELVE MONTHS ENDED DECEMBER 31, 2024</t>
  </si>
  <si>
    <t>Total sales &amp; transp. vol. Sch. (85,87,85T &amp; 87T) &amp; Special Contracts</t>
  </si>
  <si>
    <t>Total sales &amp; transp. vol Sch. (85,87,85T &amp; 87T) &amp; Special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</si>
</sst>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.00000_);_(&quot;$&quot;* \(#,##0.00000\);_(&quot;$&quot;* &quot;-&quot;??????_);_(@_)"/>
    <numFmt numFmtId="167" formatCode="_(&quot;$&quot;* #,##0_);_(&quot;$&quot;* \(#,##0\);_(&quot;$&quot;* &quot;-&quot;??_);_(@_)"/>
    <numFmt numFmtId="168" formatCode="0.0%"/>
    <numFmt numFmtId="169" formatCode="_(* #,##0.000000_);_(* \(#,##0.000000\);_(* &quot;-&quot;??_);_(@_)"/>
    <numFmt numFmtId="170" formatCode="0.000000"/>
    <numFmt numFmtId="171" formatCode="0.0000"/>
    <numFmt numFmtId="172" formatCode="0.00000"/>
    <numFmt numFmtId="173" formatCode="0.00000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71" fontId="1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horizontal="left" wrapText="1"/>
    </xf>
  </cellStyleXfs>
  <cellXfs count="161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3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Border="1"/>
    <xf numFmtId="0" fontId="4" fillId="0" borderId="0" xfId="0" applyFont="1" applyBorder="1" applyAlignment="1">
      <alignment horizontal="center"/>
    </xf>
    <xf numFmtId="3" fontId="1" fillId="0" borderId="0" xfId="0" applyNumberFormat="1" applyFont="1" applyFill="1" applyBorder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5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67" fontId="4" fillId="0" borderId="2" xfId="0" applyNumberFormat="1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Fill="1" applyAlignment="1">
      <alignment horizontal="right"/>
    </xf>
    <xf numFmtId="9" fontId="1" fillId="0" borderId="0" xfId="0" applyNumberFormat="1" applyFont="1" applyFill="1"/>
    <xf numFmtId="168" fontId="1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" fontId="5" fillId="0" borderId="0" xfId="0" applyNumberFormat="1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/>
    <xf numFmtId="165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3" fontId="8" fillId="0" borderId="0" xfId="0" applyNumberFormat="1" applyFont="1" applyFill="1" applyBorder="1"/>
    <xf numFmtId="14" fontId="1" fillId="0" borderId="0" xfId="0" applyNumberFormat="1" applyFont="1" applyFill="1"/>
    <xf numFmtId="0" fontId="0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0" xfId="0" applyFont="1" applyBorder="1"/>
    <xf numFmtId="9" fontId="1" fillId="0" borderId="0" xfId="0" applyNumberFormat="1" applyFont="1" applyFill="1" applyBorder="1"/>
    <xf numFmtId="169" fontId="9" fillId="0" borderId="0" xfId="0" applyNumberFormat="1" applyFont="1" applyFill="1"/>
    <xf numFmtId="170" fontId="9" fillId="0" borderId="0" xfId="0" applyNumberFormat="1" applyFont="1" applyFill="1"/>
    <xf numFmtId="171" fontId="9" fillId="0" borderId="0" xfId="0" applyNumberFormat="1" applyFont="1" applyFill="1"/>
    <xf numFmtId="169" fontId="9" fillId="0" borderId="0" xfId="0" applyNumberFormat="1" applyFont="1" applyFill="1" applyBorder="1"/>
    <xf numFmtId="172" fontId="9" fillId="0" borderId="0" xfId="0" applyNumberFormat="1" applyFont="1" applyFill="1" applyBorder="1"/>
    <xf numFmtId="170" fontId="9" fillId="0" borderId="0" xfId="0" applyNumberFormat="1" applyFont="1" applyFill="1" applyBorder="1"/>
    <xf numFmtId="3" fontId="1" fillId="0" borderId="1" xfId="0" applyNumberFormat="1" applyFont="1" applyBorder="1"/>
    <xf numFmtId="3" fontId="1" fillId="0" borderId="2" xfId="0" applyNumberFormat="1" applyFont="1" applyBorder="1"/>
    <xf numFmtId="168" fontId="1" fillId="0" borderId="0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Border="1"/>
    <xf numFmtId="0" fontId="3" fillId="0" borderId="0" xfId="0" applyFont="1" applyAlignment="1">
      <alignment horizontal="left"/>
    </xf>
    <xf numFmtId="3" fontId="1" fillId="0" borderId="0" xfId="0" applyNumberFormat="1" applyFont="1" applyFill="1" applyAlignment="1"/>
    <xf numFmtId="0" fontId="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2" fillId="0" borderId="0" xfId="0" applyFont="1" applyFill="1"/>
    <xf numFmtId="16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Border="1"/>
    <xf numFmtId="165" fontId="4" fillId="0" borderId="1" xfId="0" applyNumberFormat="1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/>
    <xf numFmtId="166" fontId="4" fillId="0" borderId="2" xfId="0" applyNumberFormat="1" applyFont="1" applyFill="1" applyBorder="1"/>
    <xf numFmtId="167" fontId="4" fillId="0" borderId="0" xfId="0" applyNumberFormat="1" applyFont="1" applyFill="1"/>
    <xf numFmtId="167" fontId="4" fillId="0" borderId="0" xfId="0" applyNumberFormat="1" applyFont="1" applyFill="1" applyBorder="1"/>
    <xf numFmtId="43" fontId="4" fillId="0" borderId="0" xfId="0" applyNumberFormat="1" applyFont="1"/>
    <xf numFmtId="0" fontId="4" fillId="0" borderId="0" xfId="0" applyFont="1" applyAlignment="1">
      <alignment horizontal="right"/>
    </xf>
    <xf numFmtId="0" fontId="13" fillId="0" borderId="0" xfId="1" applyFont="1"/>
    <xf numFmtId="0" fontId="13" fillId="0" borderId="0" xfId="1" applyFont="1" applyFill="1"/>
    <xf numFmtId="0" fontId="14" fillId="0" borderId="0" xfId="1" applyFont="1"/>
    <xf numFmtId="43" fontId="14" fillId="0" borderId="0" xfId="4" applyFont="1"/>
    <xf numFmtId="42" fontId="13" fillId="0" borderId="3" xfId="2" applyNumberFormat="1" applyFont="1" applyFill="1" applyBorder="1" applyAlignment="1"/>
    <xf numFmtId="37" fontId="13" fillId="0" borderId="0" xfId="3" applyNumberFormat="1" applyFont="1" applyFill="1" applyAlignment="1"/>
    <xf numFmtId="170" fontId="13" fillId="0" borderId="0" xfId="3" applyNumberFormat="1" applyFont="1" applyFill="1" applyAlignment="1"/>
    <xf numFmtId="170" fontId="13" fillId="0" borderId="0" xfId="3" applyNumberFormat="1" applyFont="1" applyFill="1" applyAlignment="1">
      <alignment horizontal="left"/>
    </xf>
    <xf numFmtId="0" fontId="13" fillId="0" borderId="0" xfId="3" applyNumberFormat="1" applyFont="1" applyFill="1" applyAlignment="1">
      <alignment horizontal="center"/>
    </xf>
    <xf numFmtId="41" fontId="13" fillId="0" borderId="0" xfId="3" applyNumberFormat="1" applyFont="1" applyFill="1" applyBorder="1" applyAlignment="1"/>
    <xf numFmtId="9" fontId="13" fillId="0" borderId="0" xfId="5" applyFont="1" applyFill="1"/>
    <xf numFmtId="41" fontId="13" fillId="0" borderId="0" xfId="2" applyNumberFormat="1" applyFont="1" applyFill="1" applyBorder="1" applyAlignment="1"/>
    <xf numFmtId="41" fontId="13" fillId="0" borderId="0" xfId="3" applyNumberFormat="1" applyFont="1" applyFill="1" applyAlignment="1"/>
    <xf numFmtId="41" fontId="13" fillId="0" borderId="1" xfId="2" applyNumberFormat="1" applyFont="1" applyFill="1" applyBorder="1" applyAlignment="1"/>
    <xf numFmtId="37" fontId="13" fillId="0" borderId="0" xfId="3" applyNumberFormat="1" applyFont="1" applyFill="1" applyBorder="1" applyAlignment="1"/>
    <xf numFmtId="170" fontId="13" fillId="0" borderId="0" xfId="3" quotePrefix="1" applyNumberFormat="1" applyFont="1" applyFill="1" applyAlignment="1">
      <alignment horizontal="left"/>
    </xf>
    <xf numFmtId="42" fontId="13" fillId="0" borderId="1" xfId="2" applyNumberFormat="1" applyFont="1" applyFill="1" applyBorder="1" applyAlignment="1"/>
    <xf numFmtId="173" fontId="13" fillId="0" borderId="0" xfId="5" applyNumberFormat="1" applyFont="1" applyFill="1"/>
    <xf numFmtId="173" fontId="13" fillId="0" borderId="0" xfId="5" applyNumberFormat="1" applyFont="1" applyFill="1" applyAlignment="1"/>
    <xf numFmtId="41" fontId="13" fillId="0" borderId="0" xfId="2" applyNumberFormat="1" applyFont="1" applyFill="1" applyAlignment="1"/>
    <xf numFmtId="173" fontId="13" fillId="0" borderId="0" xfId="6" applyNumberFormat="1" applyFont="1" applyFill="1">
      <alignment horizontal="left" wrapText="1"/>
    </xf>
    <xf numFmtId="41" fontId="13" fillId="0" borderId="1" xfId="3" applyNumberFormat="1" applyFont="1" applyFill="1" applyBorder="1" applyAlignment="1">
      <alignment horizontal="right"/>
    </xf>
    <xf numFmtId="42" fontId="13" fillId="0" borderId="0" xfId="2" applyNumberFormat="1" applyFont="1" applyFill="1" applyAlignment="1">
      <alignment horizontal="right"/>
    </xf>
    <xf numFmtId="42" fontId="13" fillId="0" borderId="0" xfId="2" applyNumberFormat="1" applyFont="1" applyFill="1" applyBorder="1" applyAlignment="1"/>
    <xf numFmtId="37" fontId="13" fillId="0" borderId="0" xfId="4" applyNumberFormat="1" applyFont="1" applyFill="1" applyBorder="1" applyAlignment="1"/>
    <xf numFmtId="170" fontId="15" fillId="0" borderId="0" xfId="3" applyNumberFormat="1" applyFont="1" applyFill="1" applyBorder="1" applyAlignment="1"/>
    <xf numFmtId="43" fontId="14" fillId="0" borderId="0" xfId="4" applyFont="1" applyFill="1"/>
    <xf numFmtId="42" fontId="13" fillId="0" borderId="0" xfId="3" applyNumberFormat="1" applyFont="1" applyFill="1" applyAlignment="1"/>
    <xf numFmtId="170" fontId="13" fillId="0" borderId="0" xfId="3" applyNumberFormat="1" applyFont="1" applyFill="1" applyBorder="1" applyAlignment="1"/>
    <xf numFmtId="170" fontId="16" fillId="0" borderId="0" xfId="3" applyNumberFormat="1" applyFont="1" applyFill="1" applyBorder="1" applyAlignment="1"/>
    <xf numFmtId="42" fontId="13" fillId="0" borderId="0" xfId="2" applyNumberFormat="1" applyFont="1" applyFill="1" applyBorder="1" applyAlignment="1">
      <alignment horizontal="right"/>
    </xf>
    <xf numFmtId="170" fontId="13" fillId="0" borderId="1" xfId="3" applyNumberFormat="1" applyFont="1" applyFill="1" applyBorder="1" applyAlignment="1"/>
    <xf numFmtId="37" fontId="13" fillId="0" borderId="0" xfId="3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43" fontId="18" fillId="0" borderId="0" xfId="4" applyFont="1" applyFill="1"/>
    <xf numFmtId="170" fontId="13" fillId="0" borderId="0" xfId="3" applyNumberFormat="1" applyFont="1" applyFill="1">
      <alignment horizontal="left" wrapText="1"/>
    </xf>
    <xf numFmtId="3" fontId="13" fillId="0" borderId="0" xfId="4" applyNumberFormat="1" applyFont="1" applyFill="1" applyAlignment="1"/>
    <xf numFmtId="170" fontId="16" fillId="0" borderId="0" xfId="3" applyNumberFormat="1" applyFont="1" applyFill="1" applyAlignment="1"/>
    <xf numFmtId="165" fontId="13" fillId="0" borderId="0" xfId="3" applyNumberFormat="1" applyFont="1" applyFill="1" applyAlignment="1"/>
    <xf numFmtId="165" fontId="13" fillId="0" borderId="0" xfId="4" applyNumberFormat="1" applyFont="1" applyFill="1" applyBorder="1" applyAlignment="1"/>
    <xf numFmtId="37" fontId="13" fillId="0" borderId="1" xfId="3" applyNumberFormat="1" applyFont="1" applyFill="1" applyBorder="1" applyAlignment="1">
      <alignment horizontal="right"/>
    </xf>
    <xf numFmtId="165" fontId="13" fillId="0" borderId="1" xfId="4" applyNumberFormat="1" applyFont="1" applyFill="1" applyBorder="1" applyAlignment="1"/>
    <xf numFmtId="3" fontId="13" fillId="0" borderId="1" xfId="1" applyNumberFormat="1" applyFont="1" applyFill="1" applyBorder="1"/>
    <xf numFmtId="17" fontId="13" fillId="0" borderId="0" xfId="3" applyNumberFormat="1" applyFont="1" applyFill="1" applyAlignment="1"/>
    <xf numFmtId="3" fontId="13" fillId="0" borderId="0" xfId="1" applyNumberFormat="1" applyFont="1" applyFill="1"/>
    <xf numFmtId="37" fontId="19" fillId="0" borderId="0" xfId="3" applyNumberFormat="1" applyFont="1" applyFill="1" applyBorder="1" applyAlignment="1">
      <alignment horizontal="center"/>
    </xf>
    <xf numFmtId="170" fontId="19" fillId="0" borderId="0" xfId="3" applyNumberFormat="1" applyFont="1" applyFill="1" applyBorder="1" applyAlignment="1">
      <alignment horizontal="center"/>
    </xf>
    <xf numFmtId="170" fontId="19" fillId="0" borderId="0" xfId="3" applyNumberFormat="1" applyFont="1" applyFill="1" applyAlignment="1">
      <alignment horizontal="center"/>
    </xf>
    <xf numFmtId="37" fontId="13" fillId="0" borderId="0" xfId="3" applyNumberFormat="1" applyFont="1" applyFill="1" applyBorder="1" applyAlignment="1">
      <alignment horizontal="center"/>
    </xf>
    <xf numFmtId="170" fontId="13" fillId="0" borderId="0" xfId="3" applyNumberFormat="1" applyFont="1" applyFill="1" applyBorder="1" applyAlignment="1">
      <alignment horizontal="center"/>
    </xf>
    <xf numFmtId="170" fontId="13" fillId="0" borderId="0" xfId="3" quotePrefix="1" applyNumberFormat="1" applyFont="1" applyFill="1" applyAlignment="1">
      <alignment horizontal="center"/>
    </xf>
    <xf numFmtId="170" fontId="13" fillId="0" borderId="0" xfId="3" applyNumberFormat="1" applyFont="1" applyFill="1" applyBorder="1">
      <alignment horizontal="left" wrapText="1"/>
    </xf>
    <xf numFmtId="170" fontId="19" fillId="0" borderId="0" xfId="3" applyNumberFormat="1" applyFont="1" applyFill="1" applyBorder="1">
      <alignment horizontal="left" wrapText="1"/>
    </xf>
    <xf numFmtId="170" fontId="13" fillId="0" borderId="0" xfId="3" applyNumberFormat="1" applyFont="1" applyFill="1" applyAlignment="1">
      <alignment horizontal="center"/>
    </xf>
    <xf numFmtId="0" fontId="13" fillId="0" borderId="0" xfId="1" applyFont="1" applyAlignment="1"/>
    <xf numFmtId="0" fontId="16" fillId="0" borderId="1" xfId="3" applyNumberFormat="1" applyFont="1" applyFill="1" applyBorder="1" applyAlignment="1" applyProtection="1">
      <alignment horizontal="center"/>
      <protection locked="0"/>
    </xf>
    <xf numFmtId="170" fontId="16" fillId="0" borderId="1" xfId="3" applyNumberFormat="1" applyFont="1" applyFill="1" applyBorder="1" applyAlignment="1">
      <alignment horizontal="left"/>
    </xf>
    <xf numFmtId="170" fontId="16" fillId="0" borderId="1" xfId="3" applyNumberFormat="1" applyFont="1" applyFill="1" applyBorder="1" applyAlignment="1" applyProtection="1">
      <alignment horizontal="center"/>
      <protection locked="0"/>
    </xf>
    <xf numFmtId="170" fontId="16" fillId="0" borderId="0" xfId="3" applyNumberFormat="1" applyFont="1" applyFill="1" applyAlignment="1" applyProtection="1">
      <alignment horizontal="center"/>
      <protection locked="0"/>
    </xf>
    <xf numFmtId="170" fontId="16" fillId="0" borderId="0" xfId="3" applyNumberFormat="1" applyFont="1" applyFill="1">
      <alignment horizontal="left" wrapText="1"/>
    </xf>
    <xf numFmtId="170" fontId="16" fillId="0" borderId="0" xfId="3" applyNumberFormat="1" applyFont="1" applyFill="1" applyAlignment="1" applyProtection="1">
      <alignment horizontal="left"/>
      <protection locked="0"/>
    </xf>
    <xf numFmtId="170" fontId="16" fillId="0" borderId="0" xfId="3" applyNumberFormat="1" applyFont="1" applyFill="1" applyAlignment="1">
      <alignment horizontal="centerContinuous"/>
    </xf>
    <xf numFmtId="170" fontId="16" fillId="0" borderId="0" xfId="3" applyNumberFormat="1" applyFont="1" applyFill="1" applyAlignment="1" applyProtection="1">
      <alignment horizontal="centerContinuous"/>
      <protection locked="0"/>
    </xf>
    <xf numFmtId="18" fontId="16" fillId="0" borderId="0" xfId="3" applyNumberFormat="1" applyFont="1" applyFill="1" applyAlignment="1">
      <alignment horizontal="centerContinuous"/>
    </xf>
    <xf numFmtId="15" fontId="20" fillId="0" borderId="0" xfId="3" applyNumberFormat="1" applyFont="1" applyFill="1" applyAlignment="1">
      <alignment horizontal="centerContinuous"/>
    </xf>
    <xf numFmtId="170" fontId="16" fillId="0" borderId="4" xfId="3" applyNumberFormat="1" applyFont="1" applyFill="1" applyBorder="1" applyAlignment="1">
      <alignment horizontal="right"/>
    </xf>
    <xf numFmtId="170" fontId="16" fillId="0" borderId="0" xfId="3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2" borderId="0" xfId="0" applyFont="1" applyFill="1"/>
    <xf numFmtId="3" fontId="5" fillId="2" borderId="0" xfId="0" applyNumberFormat="1" applyFont="1" applyFill="1"/>
    <xf numFmtId="3" fontId="1" fillId="2" borderId="0" xfId="0" applyNumberFormat="1" applyFont="1" applyFill="1"/>
    <xf numFmtId="0" fontId="1" fillId="3" borderId="0" xfId="0" applyFont="1" applyFill="1"/>
    <xf numFmtId="3" fontId="5" fillId="3" borderId="0" xfId="0" applyNumberFormat="1" applyFont="1" applyFill="1"/>
    <xf numFmtId="3" fontId="1" fillId="3" borderId="0" xfId="0" applyNumberFormat="1" applyFont="1" applyFill="1"/>
  </cellXfs>
  <cellStyles count="7">
    <cellStyle name="Comma 2 2" xfId="4"/>
    <cellStyle name="Currency 2 2" xfId="2"/>
    <cellStyle name="Normal" xfId="0" builtinId="0"/>
    <cellStyle name="Normal 2 2" xfId="1"/>
    <cellStyle name="Normal_2.01G Revenue &amp; Purchased Gas" xfId="6"/>
    <cellStyle name="Percent 2 2" xfId="5"/>
    <cellStyle name="Style 1 3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2 COC"/>
      <sheetName val="1.01 ROR ROE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12">
          <cell r="CC12">
            <v>2.9520000000000002E-3</v>
          </cell>
        </row>
        <row r="13">
          <cell r="CC13">
            <v>5.0000000000000001E-3</v>
          </cell>
        </row>
        <row r="14">
          <cell r="CC14">
            <v>3.8406000000000003E-2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Normal="100" workbookViewId="0">
      <selection activeCell="J18" sqref="J18"/>
    </sheetView>
  </sheetViews>
  <sheetFormatPr defaultRowHeight="15" x14ac:dyDescent="0.25"/>
  <cols>
    <col min="1" max="1" width="5.42578125" style="85" bestFit="1" customWidth="1"/>
    <col min="2" max="2" width="15.42578125" style="85" customWidth="1"/>
    <col min="3" max="3" width="25.140625" style="85" bestFit="1" customWidth="1"/>
    <col min="4" max="5" width="13.140625" style="85" bestFit="1" customWidth="1"/>
    <col min="6" max="6" width="15.42578125" style="85" customWidth="1"/>
    <col min="7" max="7" width="14.5703125" style="84" bestFit="1" customWidth="1"/>
    <col min="8" max="8" width="15.42578125" customWidth="1"/>
    <col min="9" max="9" width="25.140625" customWidth="1"/>
    <col min="10" max="12" width="15.42578125" customWidth="1"/>
    <col min="13" max="14" width="12.42578125" customWidth="1"/>
    <col min="15" max="15" width="12.5703125" bestFit="1" customWidth="1"/>
    <col min="16" max="17" width="8.7109375" style="84"/>
    <col min="18" max="18" width="11.42578125" style="84" bestFit="1" customWidth="1"/>
    <col min="19" max="254" width="8.7109375" style="84"/>
    <col min="255" max="255" width="5.42578125" style="84" bestFit="1" customWidth="1"/>
    <col min="256" max="256" width="20.5703125" style="84" customWidth="1"/>
    <col min="257" max="257" width="17" style="84" customWidth="1"/>
    <col min="258" max="260" width="15.42578125" style="84" customWidth="1"/>
    <col min="261" max="262" width="16.5703125" style="84" bestFit="1" customWidth="1"/>
    <col min="263" max="265" width="14.5703125" style="84" bestFit="1" customWidth="1"/>
    <col min="266" max="510" width="8.7109375" style="84"/>
    <col min="511" max="511" width="5.42578125" style="84" bestFit="1" customWidth="1"/>
    <col min="512" max="512" width="20.5703125" style="84" customWidth="1"/>
    <col min="513" max="513" width="17" style="84" customWidth="1"/>
    <col min="514" max="516" width="15.42578125" style="84" customWidth="1"/>
    <col min="517" max="518" width="16.5703125" style="84" bestFit="1" customWidth="1"/>
    <col min="519" max="521" width="14.5703125" style="84" bestFit="1" customWidth="1"/>
    <col min="522" max="766" width="8.7109375" style="84"/>
    <col min="767" max="767" width="5.42578125" style="84" bestFit="1" customWidth="1"/>
    <col min="768" max="768" width="20.5703125" style="84" customWidth="1"/>
    <col min="769" max="769" width="17" style="84" customWidth="1"/>
    <col min="770" max="772" width="15.42578125" style="84" customWidth="1"/>
    <col min="773" max="774" width="16.5703125" style="84" bestFit="1" customWidth="1"/>
    <col min="775" max="777" width="14.5703125" style="84" bestFit="1" customWidth="1"/>
    <col min="778" max="1022" width="8.7109375" style="84"/>
    <col min="1023" max="1023" width="5.42578125" style="84" bestFit="1" customWidth="1"/>
    <col min="1024" max="1024" width="20.5703125" style="84" customWidth="1"/>
    <col min="1025" max="1025" width="17" style="84" customWidth="1"/>
    <col min="1026" max="1028" width="15.42578125" style="84" customWidth="1"/>
    <col min="1029" max="1030" width="16.5703125" style="84" bestFit="1" customWidth="1"/>
    <col min="1031" max="1033" width="14.5703125" style="84" bestFit="1" customWidth="1"/>
    <col min="1034" max="1278" width="8.7109375" style="84"/>
    <col min="1279" max="1279" width="5.42578125" style="84" bestFit="1" customWidth="1"/>
    <col min="1280" max="1280" width="20.5703125" style="84" customWidth="1"/>
    <col min="1281" max="1281" width="17" style="84" customWidth="1"/>
    <col min="1282" max="1284" width="15.42578125" style="84" customWidth="1"/>
    <col min="1285" max="1286" width="16.5703125" style="84" bestFit="1" customWidth="1"/>
    <col min="1287" max="1289" width="14.5703125" style="84" bestFit="1" customWidth="1"/>
    <col min="1290" max="1534" width="8.7109375" style="84"/>
    <col min="1535" max="1535" width="5.42578125" style="84" bestFit="1" customWidth="1"/>
    <col min="1536" max="1536" width="20.5703125" style="84" customWidth="1"/>
    <col min="1537" max="1537" width="17" style="84" customWidth="1"/>
    <col min="1538" max="1540" width="15.42578125" style="84" customWidth="1"/>
    <col min="1541" max="1542" width="16.5703125" style="84" bestFit="1" customWidth="1"/>
    <col min="1543" max="1545" width="14.5703125" style="84" bestFit="1" customWidth="1"/>
    <col min="1546" max="1790" width="8.7109375" style="84"/>
    <col min="1791" max="1791" width="5.42578125" style="84" bestFit="1" customWidth="1"/>
    <col min="1792" max="1792" width="20.5703125" style="84" customWidth="1"/>
    <col min="1793" max="1793" width="17" style="84" customWidth="1"/>
    <col min="1794" max="1796" width="15.42578125" style="84" customWidth="1"/>
    <col min="1797" max="1798" width="16.5703125" style="84" bestFit="1" customWidth="1"/>
    <col min="1799" max="1801" width="14.5703125" style="84" bestFit="1" customWidth="1"/>
    <col min="1802" max="2046" width="8.7109375" style="84"/>
    <col min="2047" max="2047" width="5.42578125" style="84" bestFit="1" customWidth="1"/>
    <col min="2048" max="2048" width="20.5703125" style="84" customWidth="1"/>
    <col min="2049" max="2049" width="17" style="84" customWidth="1"/>
    <col min="2050" max="2052" width="15.42578125" style="84" customWidth="1"/>
    <col min="2053" max="2054" width="16.5703125" style="84" bestFit="1" customWidth="1"/>
    <col min="2055" max="2057" width="14.5703125" style="84" bestFit="1" customWidth="1"/>
    <col min="2058" max="2302" width="8.7109375" style="84"/>
    <col min="2303" max="2303" width="5.42578125" style="84" bestFit="1" customWidth="1"/>
    <col min="2304" max="2304" width="20.5703125" style="84" customWidth="1"/>
    <col min="2305" max="2305" width="17" style="84" customWidth="1"/>
    <col min="2306" max="2308" width="15.42578125" style="84" customWidth="1"/>
    <col min="2309" max="2310" width="16.5703125" style="84" bestFit="1" customWidth="1"/>
    <col min="2311" max="2313" width="14.5703125" style="84" bestFit="1" customWidth="1"/>
    <col min="2314" max="2558" width="8.7109375" style="84"/>
    <col min="2559" max="2559" width="5.42578125" style="84" bestFit="1" customWidth="1"/>
    <col min="2560" max="2560" width="20.5703125" style="84" customWidth="1"/>
    <col min="2561" max="2561" width="17" style="84" customWidth="1"/>
    <col min="2562" max="2564" width="15.42578125" style="84" customWidth="1"/>
    <col min="2565" max="2566" width="16.5703125" style="84" bestFit="1" customWidth="1"/>
    <col min="2567" max="2569" width="14.5703125" style="84" bestFit="1" customWidth="1"/>
    <col min="2570" max="2814" width="8.7109375" style="84"/>
    <col min="2815" max="2815" width="5.42578125" style="84" bestFit="1" customWidth="1"/>
    <col min="2816" max="2816" width="20.5703125" style="84" customWidth="1"/>
    <col min="2817" max="2817" width="17" style="84" customWidth="1"/>
    <col min="2818" max="2820" width="15.42578125" style="84" customWidth="1"/>
    <col min="2821" max="2822" width="16.5703125" style="84" bestFit="1" customWidth="1"/>
    <col min="2823" max="2825" width="14.5703125" style="84" bestFit="1" customWidth="1"/>
    <col min="2826" max="3070" width="8.7109375" style="84"/>
    <col min="3071" max="3071" width="5.42578125" style="84" bestFit="1" customWidth="1"/>
    <col min="3072" max="3072" width="20.5703125" style="84" customWidth="1"/>
    <col min="3073" max="3073" width="17" style="84" customWidth="1"/>
    <col min="3074" max="3076" width="15.42578125" style="84" customWidth="1"/>
    <col min="3077" max="3078" width="16.5703125" style="84" bestFit="1" customWidth="1"/>
    <col min="3079" max="3081" width="14.5703125" style="84" bestFit="1" customWidth="1"/>
    <col min="3082" max="3326" width="8.7109375" style="84"/>
    <col min="3327" max="3327" width="5.42578125" style="84" bestFit="1" customWidth="1"/>
    <col min="3328" max="3328" width="20.5703125" style="84" customWidth="1"/>
    <col min="3329" max="3329" width="17" style="84" customWidth="1"/>
    <col min="3330" max="3332" width="15.42578125" style="84" customWidth="1"/>
    <col min="3333" max="3334" width="16.5703125" style="84" bestFit="1" customWidth="1"/>
    <col min="3335" max="3337" width="14.5703125" style="84" bestFit="1" customWidth="1"/>
    <col min="3338" max="3582" width="8.7109375" style="84"/>
    <col min="3583" max="3583" width="5.42578125" style="84" bestFit="1" customWidth="1"/>
    <col min="3584" max="3584" width="20.5703125" style="84" customWidth="1"/>
    <col min="3585" max="3585" width="17" style="84" customWidth="1"/>
    <col min="3586" max="3588" width="15.42578125" style="84" customWidth="1"/>
    <col min="3589" max="3590" width="16.5703125" style="84" bestFit="1" customWidth="1"/>
    <col min="3591" max="3593" width="14.5703125" style="84" bestFit="1" customWidth="1"/>
    <col min="3594" max="3838" width="8.7109375" style="84"/>
    <col min="3839" max="3839" width="5.42578125" style="84" bestFit="1" customWidth="1"/>
    <col min="3840" max="3840" width="20.5703125" style="84" customWidth="1"/>
    <col min="3841" max="3841" width="17" style="84" customWidth="1"/>
    <col min="3842" max="3844" width="15.42578125" style="84" customWidth="1"/>
    <col min="3845" max="3846" width="16.5703125" style="84" bestFit="1" customWidth="1"/>
    <col min="3847" max="3849" width="14.5703125" style="84" bestFit="1" customWidth="1"/>
    <col min="3850" max="4094" width="8.7109375" style="84"/>
    <col min="4095" max="4095" width="5.42578125" style="84" bestFit="1" customWidth="1"/>
    <col min="4096" max="4096" width="20.5703125" style="84" customWidth="1"/>
    <col min="4097" max="4097" width="17" style="84" customWidth="1"/>
    <col min="4098" max="4100" width="15.42578125" style="84" customWidth="1"/>
    <col min="4101" max="4102" width="16.5703125" style="84" bestFit="1" customWidth="1"/>
    <col min="4103" max="4105" width="14.5703125" style="84" bestFit="1" customWidth="1"/>
    <col min="4106" max="4350" width="8.7109375" style="84"/>
    <col min="4351" max="4351" width="5.42578125" style="84" bestFit="1" customWidth="1"/>
    <col min="4352" max="4352" width="20.5703125" style="84" customWidth="1"/>
    <col min="4353" max="4353" width="17" style="84" customWidth="1"/>
    <col min="4354" max="4356" width="15.42578125" style="84" customWidth="1"/>
    <col min="4357" max="4358" width="16.5703125" style="84" bestFit="1" customWidth="1"/>
    <col min="4359" max="4361" width="14.5703125" style="84" bestFit="1" customWidth="1"/>
    <col min="4362" max="4606" width="8.7109375" style="84"/>
    <col min="4607" max="4607" width="5.42578125" style="84" bestFit="1" customWidth="1"/>
    <col min="4608" max="4608" width="20.5703125" style="84" customWidth="1"/>
    <col min="4609" max="4609" width="17" style="84" customWidth="1"/>
    <col min="4610" max="4612" width="15.42578125" style="84" customWidth="1"/>
    <col min="4613" max="4614" width="16.5703125" style="84" bestFit="1" customWidth="1"/>
    <col min="4615" max="4617" width="14.5703125" style="84" bestFit="1" customWidth="1"/>
    <col min="4618" max="4862" width="8.7109375" style="84"/>
    <col min="4863" max="4863" width="5.42578125" style="84" bestFit="1" customWidth="1"/>
    <col min="4864" max="4864" width="20.5703125" style="84" customWidth="1"/>
    <col min="4865" max="4865" width="17" style="84" customWidth="1"/>
    <col min="4866" max="4868" width="15.42578125" style="84" customWidth="1"/>
    <col min="4869" max="4870" width="16.5703125" style="84" bestFit="1" customWidth="1"/>
    <col min="4871" max="4873" width="14.5703125" style="84" bestFit="1" customWidth="1"/>
    <col min="4874" max="5118" width="8.7109375" style="84"/>
    <col min="5119" max="5119" width="5.42578125" style="84" bestFit="1" customWidth="1"/>
    <col min="5120" max="5120" width="20.5703125" style="84" customWidth="1"/>
    <col min="5121" max="5121" width="17" style="84" customWidth="1"/>
    <col min="5122" max="5124" width="15.42578125" style="84" customWidth="1"/>
    <col min="5125" max="5126" width="16.5703125" style="84" bestFit="1" customWidth="1"/>
    <col min="5127" max="5129" width="14.5703125" style="84" bestFit="1" customWidth="1"/>
    <col min="5130" max="5374" width="8.7109375" style="84"/>
    <col min="5375" max="5375" width="5.42578125" style="84" bestFit="1" customWidth="1"/>
    <col min="5376" max="5376" width="20.5703125" style="84" customWidth="1"/>
    <col min="5377" max="5377" width="17" style="84" customWidth="1"/>
    <col min="5378" max="5380" width="15.42578125" style="84" customWidth="1"/>
    <col min="5381" max="5382" width="16.5703125" style="84" bestFit="1" customWidth="1"/>
    <col min="5383" max="5385" width="14.5703125" style="84" bestFit="1" customWidth="1"/>
    <col min="5386" max="5630" width="8.7109375" style="84"/>
    <col min="5631" max="5631" width="5.42578125" style="84" bestFit="1" customWidth="1"/>
    <col min="5632" max="5632" width="20.5703125" style="84" customWidth="1"/>
    <col min="5633" max="5633" width="17" style="84" customWidth="1"/>
    <col min="5634" max="5636" width="15.42578125" style="84" customWidth="1"/>
    <col min="5637" max="5638" width="16.5703125" style="84" bestFit="1" customWidth="1"/>
    <col min="5639" max="5641" width="14.5703125" style="84" bestFit="1" customWidth="1"/>
    <col min="5642" max="5886" width="8.7109375" style="84"/>
    <col min="5887" max="5887" width="5.42578125" style="84" bestFit="1" customWidth="1"/>
    <col min="5888" max="5888" width="20.5703125" style="84" customWidth="1"/>
    <col min="5889" max="5889" width="17" style="84" customWidth="1"/>
    <col min="5890" max="5892" width="15.42578125" style="84" customWidth="1"/>
    <col min="5893" max="5894" width="16.5703125" style="84" bestFit="1" customWidth="1"/>
    <col min="5895" max="5897" width="14.5703125" style="84" bestFit="1" customWidth="1"/>
    <col min="5898" max="6142" width="8.7109375" style="84"/>
    <col min="6143" max="6143" width="5.42578125" style="84" bestFit="1" customWidth="1"/>
    <col min="6144" max="6144" width="20.5703125" style="84" customWidth="1"/>
    <col min="6145" max="6145" width="17" style="84" customWidth="1"/>
    <col min="6146" max="6148" width="15.42578125" style="84" customWidth="1"/>
    <col min="6149" max="6150" width="16.5703125" style="84" bestFit="1" customWidth="1"/>
    <col min="6151" max="6153" width="14.5703125" style="84" bestFit="1" customWidth="1"/>
    <col min="6154" max="6398" width="8.7109375" style="84"/>
    <col min="6399" max="6399" width="5.42578125" style="84" bestFit="1" customWidth="1"/>
    <col min="6400" max="6400" width="20.5703125" style="84" customWidth="1"/>
    <col min="6401" max="6401" width="17" style="84" customWidth="1"/>
    <col min="6402" max="6404" width="15.42578125" style="84" customWidth="1"/>
    <col min="6405" max="6406" width="16.5703125" style="84" bestFit="1" customWidth="1"/>
    <col min="6407" max="6409" width="14.5703125" style="84" bestFit="1" customWidth="1"/>
    <col min="6410" max="6654" width="8.7109375" style="84"/>
    <col min="6655" max="6655" width="5.42578125" style="84" bestFit="1" customWidth="1"/>
    <col min="6656" max="6656" width="20.5703125" style="84" customWidth="1"/>
    <col min="6657" max="6657" width="17" style="84" customWidth="1"/>
    <col min="6658" max="6660" width="15.42578125" style="84" customWidth="1"/>
    <col min="6661" max="6662" width="16.5703125" style="84" bestFit="1" customWidth="1"/>
    <col min="6663" max="6665" width="14.5703125" style="84" bestFit="1" customWidth="1"/>
    <col min="6666" max="6910" width="8.7109375" style="84"/>
    <col min="6911" max="6911" width="5.42578125" style="84" bestFit="1" customWidth="1"/>
    <col min="6912" max="6912" width="20.5703125" style="84" customWidth="1"/>
    <col min="6913" max="6913" width="17" style="84" customWidth="1"/>
    <col min="6914" max="6916" width="15.42578125" style="84" customWidth="1"/>
    <col min="6917" max="6918" width="16.5703125" style="84" bestFit="1" customWidth="1"/>
    <col min="6919" max="6921" width="14.5703125" style="84" bestFit="1" customWidth="1"/>
    <col min="6922" max="7166" width="8.7109375" style="84"/>
    <col min="7167" max="7167" width="5.42578125" style="84" bestFit="1" customWidth="1"/>
    <col min="7168" max="7168" width="20.5703125" style="84" customWidth="1"/>
    <col min="7169" max="7169" width="17" style="84" customWidth="1"/>
    <col min="7170" max="7172" width="15.42578125" style="84" customWidth="1"/>
    <col min="7173" max="7174" width="16.5703125" style="84" bestFit="1" customWidth="1"/>
    <col min="7175" max="7177" width="14.5703125" style="84" bestFit="1" customWidth="1"/>
    <col min="7178" max="7422" width="8.7109375" style="84"/>
    <col min="7423" max="7423" width="5.42578125" style="84" bestFit="1" customWidth="1"/>
    <col min="7424" max="7424" width="20.5703125" style="84" customWidth="1"/>
    <col min="7425" max="7425" width="17" style="84" customWidth="1"/>
    <col min="7426" max="7428" width="15.42578125" style="84" customWidth="1"/>
    <col min="7429" max="7430" width="16.5703125" style="84" bestFit="1" customWidth="1"/>
    <col min="7431" max="7433" width="14.5703125" style="84" bestFit="1" customWidth="1"/>
    <col min="7434" max="7678" width="8.7109375" style="84"/>
    <col min="7679" max="7679" width="5.42578125" style="84" bestFit="1" customWidth="1"/>
    <col min="7680" max="7680" width="20.5703125" style="84" customWidth="1"/>
    <col min="7681" max="7681" width="17" style="84" customWidth="1"/>
    <col min="7682" max="7684" width="15.42578125" style="84" customWidth="1"/>
    <col min="7685" max="7686" width="16.5703125" style="84" bestFit="1" customWidth="1"/>
    <col min="7687" max="7689" width="14.5703125" style="84" bestFit="1" customWidth="1"/>
    <col min="7690" max="7934" width="8.7109375" style="84"/>
    <col min="7935" max="7935" width="5.42578125" style="84" bestFit="1" customWidth="1"/>
    <col min="7936" max="7936" width="20.5703125" style="84" customWidth="1"/>
    <col min="7937" max="7937" width="17" style="84" customWidth="1"/>
    <col min="7938" max="7940" width="15.42578125" style="84" customWidth="1"/>
    <col min="7941" max="7942" width="16.5703125" style="84" bestFit="1" customWidth="1"/>
    <col min="7943" max="7945" width="14.5703125" style="84" bestFit="1" customWidth="1"/>
    <col min="7946" max="8190" width="8.7109375" style="84"/>
    <col min="8191" max="8191" width="5.42578125" style="84" bestFit="1" customWidth="1"/>
    <col min="8192" max="8192" width="20.5703125" style="84" customWidth="1"/>
    <col min="8193" max="8193" width="17" style="84" customWidth="1"/>
    <col min="8194" max="8196" width="15.42578125" style="84" customWidth="1"/>
    <col min="8197" max="8198" width="16.5703125" style="84" bestFit="1" customWidth="1"/>
    <col min="8199" max="8201" width="14.5703125" style="84" bestFit="1" customWidth="1"/>
    <col min="8202" max="8446" width="8.7109375" style="84"/>
    <col min="8447" max="8447" width="5.42578125" style="84" bestFit="1" customWidth="1"/>
    <col min="8448" max="8448" width="20.5703125" style="84" customWidth="1"/>
    <col min="8449" max="8449" width="17" style="84" customWidth="1"/>
    <col min="8450" max="8452" width="15.42578125" style="84" customWidth="1"/>
    <col min="8453" max="8454" width="16.5703125" style="84" bestFit="1" customWidth="1"/>
    <col min="8455" max="8457" width="14.5703125" style="84" bestFit="1" customWidth="1"/>
    <col min="8458" max="8702" width="8.7109375" style="84"/>
    <col min="8703" max="8703" width="5.42578125" style="84" bestFit="1" customWidth="1"/>
    <col min="8704" max="8704" width="20.5703125" style="84" customWidth="1"/>
    <col min="8705" max="8705" width="17" style="84" customWidth="1"/>
    <col min="8706" max="8708" width="15.42578125" style="84" customWidth="1"/>
    <col min="8709" max="8710" width="16.5703125" style="84" bestFit="1" customWidth="1"/>
    <col min="8711" max="8713" width="14.5703125" style="84" bestFit="1" customWidth="1"/>
    <col min="8714" max="8958" width="8.7109375" style="84"/>
    <col min="8959" max="8959" width="5.42578125" style="84" bestFit="1" customWidth="1"/>
    <col min="8960" max="8960" width="20.5703125" style="84" customWidth="1"/>
    <col min="8961" max="8961" width="17" style="84" customWidth="1"/>
    <col min="8962" max="8964" width="15.42578125" style="84" customWidth="1"/>
    <col min="8965" max="8966" width="16.5703125" style="84" bestFit="1" customWidth="1"/>
    <col min="8967" max="8969" width="14.5703125" style="84" bestFit="1" customWidth="1"/>
    <col min="8970" max="9214" width="8.7109375" style="84"/>
    <col min="9215" max="9215" width="5.42578125" style="84" bestFit="1" customWidth="1"/>
    <col min="9216" max="9216" width="20.5703125" style="84" customWidth="1"/>
    <col min="9217" max="9217" width="17" style="84" customWidth="1"/>
    <col min="9218" max="9220" width="15.42578125" style="84" customWidth="1"/>
    <col min="9221" max="9222" width="16.5703125" style="84" bestFit="1" customWidth="1"/>
    <col min="9223" max="9225" width="14.5703125" style="84" bestFit="1" customWidth="1"/>
    <col min="9226" max="9470" width="8.7109375" style="84"/>
    <col min="9471" max="9471" width="5.42578125" style="84" bestFit="1" customWidth="1"/>
    <col min="9472" max="9472" width="20.5703125" style="84" customWidth="1"/>
    <col min="9473" max="9473" width="17" style="84" customWidth="1"/>
    <col min="9474" max="9476" width="15.42578125" style="84" customWidth="1"/>
    <col min="9477" max="9478" width="16.5703125" style="84" bestFit="1" customWidth="1"/>
    <col min="9479" max="9481" width="14.5703125" style="84" bestFit="1" customWidth="1"/>
    <col min="9482" max="9726" width="8.7109375" style="84"/>
    <col min="9727" max="9727" width="5.42578125" style="84" bestFit="1" customWidth="1"/>
    <col min="9728" max="9728" width="20.5703125" style="84" customWidth="1"/>
    <col min="9729" max="9729" width="17" style="84" customWidth="1"/>
    <col min="9730" max="9732" width="15.42578125" style="84" customWidth="1"/>
    <col min="9733" max="9734" width="16.5703125" style="84" bestFit="1" customWidth="1"/>
    <col min="9735" max="9737" width="14.5703125" style="84" bestFit="1" customWidth="1"/>
    <col min="9738" max="9982" width="8.7109375" style="84"/>
    <col min="9983" max="9983" width="5.42578125" style="84" bestFit="1" customWidth="1"/>
    <col min="9984" max="9984" width="20.5703125" style="84" customWidth="1"/>
    <col min="9985" max="9985" width="17" style="84" customWidth="1"/>
    <col min="9986" max="9988" width="15.42578125" style="84" customWidth="1"/>
    <col min="9989" max="9990" width="16.5703125" style="84" bestFit="1" customWidth="1"/>
    <col min="9991" max="9993" width="14.5703125" style="84" bestFit="1" customWidth="1"/>
    <col min="9994" max="10238" width="8.7109375" style="84"/>
    <col min="10239" max="10239" width="5.42578125" style="84" bestFit="1" customWidth="1"/>
    <col min="10240" max="10240" width="20.5703125" style="84" customWidth="1"/>
    <col min="10241" max="10241" width="17" style="84" customWidth="1"/>
    <col min="10242" max="10244" width="15.42578125" style="84" customWidth="1"/>
    <col min="10245" max="10246" width="16.5703125" style="84" bestFit="1" customWidth="1"/>
    <col min="10247" max="10249" width="14.5703125" style="84" bestFit="1" customWidth="1"/>
    <col min="10250" max="10494" width="8.7109375" style="84"/>
    <col min="10495" max="10495" width="5.42578125" style="84" bestFit="1" customWidth="1"/>
    <col min="10496" max="10496" width="20.5703125" style="84" customWidth="1"/>
    <col min="10497" max="10497" width="17" style="84" customWidth="1"/>
    <col min="10498" max="10500" width="15.42578125" style="84" customWidth="1"/>
    <col min="10501" max="10502" width="16.5703125" style="84" bestFit="1" customWidth="1"/>
    <col min="10503" max="10505" width="14.5703125" style="84" bestFit="1" customWidth="1"/>
    <col min="10506" max="10750" width="8.7109375" style="84"/>
    <col min="10751" max="10751" width="5.42578125" style="84" bestFit="1" customWidth="1"/>
    <col min="10752" max="10752" width="20.5703125" style="84" customWidth="1"/>
    <col min="10753" max="10753" width="17" style="84" customWidth="1"/>
    <col min="10754" max="10756" width="15.42578125" style="84" customWidth="1"/>
    <col min="10757" max="10758" width="16.5703125" style="84" bestFit="1" customWidth="1"/>
    <col min="10759" max="10761" width="14.5703125" style="84" bestFit="1" customWidth="1"/>
    <col min="10762" max="11006" width="8.7109375" style="84"/>
    <col min="11007" max="11007" width="5.42578125" style="84" bestFit="1" customWidth="1"/>
    <col min="11008" max="11008" width="20.5703125" style="84" customWidth="1"/>
    <col min="11009" max="11009" width="17" style="84" customWidth="1"/>
    <col min="11010" max="11012" width="15.42578125" style="84" customWidth="1"/>
    <col min="11013" max="11014" width="16.5703125" style="84" bestFit="1" customWidth="1"/>
    <col min="11015" max="11017" width="14.5703125" style="84" bestFit="1" customWidth="1"/>
    <col min="11018" max="11262" width="8.7109375" style="84"/>
    <col min="11263" max="11263" width="5.42578125" style="84" bestFit="1" customWidth="1"/>
    <col min="11264" max="11264" width="20.5703125" style="84" customWidth="1"/>
    <col min="11265" max="11265" width="17" style="84" customWidth="1"/>
    <col min="11266" max="11268" width="15.42578125" style="84" customWidth="1"/>
    <col min="11269" max="11270" width="16.5703125" style="84" bestFit="1" customWidth="1"/>
    <col min="11271" max="11273" width="14.5703125" style="84" bestFit="1" customWidth="1"/>
    <col min="11274" max="11518" width="8.7109375" style="84"/>
    <col min="11519" max="11519" width="5.42578125" style="84" bestFit="1" customWidth="1"/>
    <col min="11520" max="11520" width="20.5703125" style="84" customWidth="1"/>
    <col min="11521" max="11521" width="17" style="84" customWidth="1"/>
    <col min="11522" max="11524" width="15.42578125" style="84" customWidth="1"/>
    <col min="11525" max="11526" width="16.5703125" style="84" bestFit="1" customWidth="1"/>
    <col min="11527" max="11529" width="14.5703125" style="84" bestFit="1" customWidth="1"/>
    <col min="11530" max="11774" width="8.7109375" style="84"/>
    <col min="11775" max="11775" width="5.42578125" style="84" bestFit="1" customWidth="1"/>
    <col min="11776" max="11776" width="20.5703125" style="84" customWidth="1"/>
    <col min="11777" max="11777" width="17" style="84" customWidth="1"/>
    <col min="11778" max="11780" width="15.42578125" style="84" customWidth="1"/>
    <col min="11781" max="11782" width="16.5703125" style="84" bestFit="1" customWidth="1"/>
    <col min="11783" max="11785" width="14.5703125" style="84" bestFit="1" customWidth="1"/>
    <col min="11786" max="12030" width="8.7109375" style="84"/>
    <col min="12031" max="12031" width="5.42578125" style="84" bestFit="1" customWidth="1"/>
    <col min="12032" max="12032" width="20.5703125" style="84" customWidth="1"/>
    <col min="12033" max="12033" width="17" style="84" customWidth="1"/>
    <col min="12034" max="12036" width="15.42578125" style="84" customWidth="1"/>
    <col min="12037" max="12038" width="16.5703125" style="84" bestFit="1" customWidth="1"/>
    <col min="12039" max="12041" width="14.5703125" style="84" bestFit="1" customWidth="1"/>
    <col min="12042" max="12286" width="8.7109375" style="84"/>
    <col min="12287" max="12287" width="5.42578125" style="84" bestFit="1" customWidth="1"/>
    <col min="12288" max="12288" width="20.5703125" style="84" customWidth="1"/>
    <col min="12289" max="12289" width="17" style="84" customWidth="1"/>
    <col min="12290" max="12292" width="15.42578125" style="84" customWidth="1"/>
    <col min="12293" max="12294" width="16.5703125" style="84" bestFit="1" customWidth="1"/>
    <col min="12295" max="12297" width="14.5703125" style="84" bestFit="1" customWidth="1"/>
    <col min="12298" max="12542" width="8.7109375" style="84"/>
    <col min="12543" max="12543" width="5.42578125" style="84" bestFit="1" customWidth="1"/>
    <col min="12544" max="12544" width="20.5703125" style="84" customWidth="1"/>
    <col min="12545" max="12545" width="17" style="84" customWidth="1"/>
    <col min="12546" max="12548" width="15.42578125" style="84" customWidth="1"/>
    <col min="12549" max="12550" width="16.5703125" style="84" bestFit="1" customWidth="1"/>
    <col min="12551" max="12553" width="14.5703125" style="84" bestFit="1" customWidth="1"/>
    <col min="12554" max="12798" width="8.7109375" style="84"/>
    <col min="12799" max="12799" width="5.42578125" style="84" bestFit="1" customWidth="1"/>
    <col min="12800" max="12800" width="20.5703125" style="84" customWidth="1"/>
    <col min="12801" max="12801" width="17" style="84" customWidth="1"/>
    <col min="12802" max="12804" width="15.42578125" style="84" customWidth="1"/>
    <col min="12805" max="12806" width="16.5703125" style="84" bestFit="1" customWidth="1"/>
    <col min="12807" max="12809" width="14.5703125" style="84" bestFit="1" customWidth="1"/>
    <col min="12810" max="13054" width="8.7109375" style="84"/>
    <col min="13055" max="13055" width="5.42578125" style="84" bestFit="1" customWidth="1"/>
    <col min="13056" max="13056" width="20.5703125" style="84" customWidth="1"/>
    <col min="13057" max="13057" width="17" style="84" customWidth="1"/>
    <col min="13058" max="13060" width="15.42578125" style="84" customWidth="1"/>
    <col min="13061" max="13062" width="16.5703125" style="84" bestFit="1" customWidth="1"/>
    <col min="13063" max="13065" width="14.5703125" style="84" bestFit="1" customWidth="1"/>
    <col min="13066" max="13310" width="8.7109375" style="84"/>
    <col min="13311" max="13311" width="5.42578125" style="84" bestFit="1" customWidth="1"/>
    <col min="13312" max="13312" width="20.5703125" style="84" customWidth="1"/>
    <col min="13313" max="13313" width="17" style="84" customWidth="1"/>
    <col min="13314" max="13316" width="15.42578125" style="84" customWidth="1"/>
    <col min="13317" max="13318" width="16.5703125" style="84" bestFit="1" customWidth="1"/>
    <col min="13319" max="13321" width="14.5703125" style="84" bestFit="1" customWidth="1"/>
    <col min="13322" max="13566" width="8.7109375" style="84"/>
    <col min="13567" max="13567" width="5.42578125" style="84" bestFit="1" customWidth="1"/>
    <col min="13568" max="13568" width="20.5703125" style="84" customWidth="1"/>
    <col min="13569" max="13569" width="17" style="84" customWidth="1"/>
    <col min="13570" max="13572" width="15.42578125" style="84" customWidth="1"/>
    <col min="13573" max="13574" width="16.5703125" style="84" bestFit="1" customWidth="1"/>
    <col min="13575" max="13577" width="14.5703125" style="84" bestFit="1" customWidth="1"/>
    <col min="13578" max="13822" width="8.7109375" style="84"/>
    <col min="13823" max="13823" width="5.42578125" style="84" bestFit="1" customWidth="1"/>
    <col min="13824" max="13824" width="20.5703125" style="84" customWidth="1"/>
    <col min="13825" max="13825" width="17" style="84" customWidth="1"/>
    <col min="13826" max="13828" width="15.42578125" style="84" customWidth="1"/>
    <col min="13829" max="13830" width="16.5703125" style="84" bestFit="1" customWidth="1"/>
    <col min="13831" max="13833" width="14.5703125" style="84" bestFit="1" customWidth="1"/>
    <col min="13834" max="14078" width="8.7109375" style="84"/>
    <col min="14079" max="14079" width="5.42578125" style="84" bestFit="1" customWidth="1"/>
    <col min="14080" max="14080" width="20.5703125" style="84" customWidth="1"/>
    <col min="14081" max="14081" width="17" style="84" customWidth="1"/>
    <col min="14082" max="14084" width="15.42578125" style="84" customWidth="1"/>
    <col min="14085" max="14086" width="16.5703125" style="84" bestFit="1" customWidth="1"/>
    <col min="14087" max="14089" width="14.5703125" style="84" bestFit="1" customWidth="1"/>
    <col min="14090" max="14334" width="8.7109375" style="84"/>
    <col min="14335" max="14335" width="5.42578125" style="84" bestFit="1" customWidth="1"/>
    <col min="14336" max="14336" width="20.5703125" style="84" customWidth="1"/>
    <col min="14337" max="14337" width="17" style="84" customWidth="1"/>
    <col min="14338" max="14340" width="15.42578125" style="84" customWidth="1"/>
    <col min="14341" max="14342" width="16.5703125" style="84" bestFit="1" customWidth="1"/>
    <col min="14343" max="14345" width="14.5703125" style="84" bestFit="1" customWidth="1"/>
    <col min="14346" max="14590" width="8.7109375" style="84"/>
    <col min="14591" max="14591" width="5.42578125" style="84" bestFit="1" customWidth="1"/>
    <col min="14592" max="14592" width="20.5703125" style="84" customWidth="1"/>
    <col min="14593" max="14593" width="17" style="84" customWidth="1"/>
    <col min="14594" max="14596" width="15.42578125" style="84" customWidth="1"/>
    <col min="14597" max="14598" width="16.5703125" style="84" bestFit="1" customWidth="1"/>
    <col min="14599" max="14601" width="14.5703125" style="84" bestFit="1" customWidth="1"/>
    <col min="14602" max="14846" width="8.7109375" style="84"/>
    <col min="14847" max="14847" width="5.42578125" style="84" bestFit="1" customWidth="1"/>
    <col min="14848" max="14848" width="20.5703125" style="84" customWidth="1"/>
    <col min="14849" max="14849" width="17" style="84" customWidth="1"/>
    <col min="14850" max="14852" width="15.42578125" style="84" customWidth="1"/>
    <col min="14853" max="14854" width="16.5703125" style="84" bestFit="1" customWidth="1"/>
    <col min="14855" max="14857" width="14.5703125" style="84" bestFit="1" customWidth="1"/>
    <col min="14858" max="15102" width="8.7109375" style="84"/>
    <col min="15103" max="15103" width="5.42578125" style="84" bestFit="1" customWidth="1"/>
    <col min="15104" max="15104" width="20.5703125" style="84" customWidth="1"/>
    <col min="15105" max="15105" width="17" style="84" customWidth="1"/>
    <col min="15106" max="15108" width="15.42578125" style="84" customWidth="1"/>
    <col min="15109" max="15110" width="16.5703125" style="84" bestFit="1" customWidth="1"/>
    <col min="15111" max="15113" width="14.5703125" style="84" bestFit="1" customWidth="1"/>
    <col min="15114" max="15358" width="8.7109375" style="84"/>
    <col min="15359" max="15359" width="5.42578125" style="84" bestFit="1" customWidth="1"/>
    <col min="15360" max="15360" width="20.5703125" style="84" customWidth="1"/>
    <col min="15361" max="15361" width="17" style="84" customWidth="1"/>
    <col min="15362" max="15364" width="15.42578125" style="84" customWidth="1"/>
    <col min="15365" max="15366" width="16.5703125" style="84" bestFit="1" customWidth="1"/>
    <col min="15367" max="15369" width="14.5703125" style="84" bestFit="1" customWidth="1"/>
    <col min="15370" max="15614" width="8.7109375" style="84"/>
    <col min="15615" max="15615" width="5.42578125" style="84" bestFit="1" customWidth="1"/>
    <col min="15616" max="15616" width="20.5703125" style="84" customWidth="1"/>
    <col min="15617" max="15617" width="17" style="84" customWidth="1"/>
    <col min="15618" max="15620" width="15.42578125" style="84" customWidth="1"/>
    <col min="15621" max="15622" width="16.5703125" style="84" bestFit="1" customWidth="1"/>
    <col min="15623" max="15625" width="14.5703125" style="84" bestFit="1" customWidth="1"/>
    <col min="15626" max="15870" width="8.7109375" style="84"/>
    <col min="15871" max="15871" width="5.42578125" style="84" bestFit="1" customWidth="1"/>
    <col min="15872" max="15872" width="20.5703125" style="84" customWidth="1"/>
    <col min="15873" max="15873" width="17" style="84" customWidth="1"/>
    <col min="15874" max="15876" width="15.42578125" style="84" customWidth="1"/>
    <col min="15877" max="15878" width="16.5703125" style="84" bestFit="1" customWidth="1"/>
    <col min="15879" max="15881" width="14.5703125" style="84" bestFit="1" customWidth="1"/>
    <col min="15882" max="16126" width="8.7109375" style="84"/>
    <col min="16127" max="16127" width="5.42578125" style="84" bestFit="1" customWidth="1"/>
    <col min="16128" max="16128" width="20.5703125" style="84" customWidth="1"/>
    <col min="16129" max="16129" width="17" style="84" customWidth="1"/>
    <col min="16130" max="16132" width="15.42578125" style="84" customWidth="1"/>
    <col min="16133" max="16134" width="16.5703125" style="84" bestFit="1" customWidth="1"/>
    <col min="16135" max="16137" width="14.5703125" style="84" bestFit="1" customWidth="1"/>
    <col min="16138" max="16384" width="8.7109375" style="84"/>
  </cols>
  <sheetData>
    <row r="1" spans="1:19" x14ac:dyDescent="0.25">
      <c r="A1" s="146"/>
      <c r="B1" s="122"/>
      <c r="C1" s="122"/>
      <c r="D1" s="122"/>
      <c r="E1" s="122"/>
      <c r="F1" s="153"/>
    </row>
    <row r="2" spans="1:19" ht="15.75" thickBot="1" x14ac:dyDescent="0.3">
      <c r="A2" s="146"/>
      <c r="B2" s="122"/>
      <c r="C2" s="122"/>
      <c r="D2" s="122"/>
      <c r="E2" s="122"/>
      <c r="F2" s="153"/>
    </row>
    <row r="3" spans="1:19" ht="16.5" thickTop="1" thickBot="1" x14ac:dyDescent="0.3">
      <c r="A3" s="146"/>
      <c r="B3" s="122"/>
      <c r="C3" s="122"/>
      <c r="D3" s="122"/>
      <c r="E3" s="122"/>
      <c r="F3" s="152" t="s">
        <v>144</v>
      </c>
    </row>
    <row r="4" spans="1:19" ht="15.75" thickTop="1" x14ac:dyDescent="0.25">
      <c r="A4" s="146" t="s">
        <v>143</v>
      </c>
      <c r="B4" s="146"/>
      <c r="C4" s="146"/>
      <c r="D4" s="146"/>
      <c r="E4" s="146"/>
      <c r="F4" s="146"/>
    </row>
    <row r="5" spans="1:19" x14ac:dyDescent="0.25">
      <c r="A5" s="149" t="s">
        <v>142</v>
      </c>
      <c r="B5" s="148"/>
      <c r="C5" s="148"/>
      <c r="D5" s="148"/>
      <c r="E5" s="148"/>
      <c r="F5" s="148"/>
    </row>
    <row r="6" spans="1:19" x14ac:dyDescent="0.25">
      <c r="A6" s="149" t="s">
        <v>141</v>
      </c>
      <c r="B6" s="149"/>
      <c r="C6" s="149"/>
      <c r="D6" s="149"/>
      <c r="E6" s="148"/>
      <c r="F6" s="151"/>
    </row>
    <row r="7" spans="1:19" x14ac:dyDescent="0.25">
      <c r="A7" s="148" t="s">
        <v>145</v>
      </c>
      <c r="B7" s="149"/>
      <c r="C7" s="149"/>
      <c r="D7" s="149"/>
      <c r="E7" s="148"/>
      <c r="F7" s="150"/>
    </row>
    <row r="8" spans="1:19" x14ac:dyDescent="0.25">
      <c r="A8" s="149" t="s">
        <v>140</v>
      </c>
      <c r="B8" s="149"/>
      <c r="C8" s="149"/>
      <c r="D8" s="149"/>
      <c r="E8" s="148"/>
      <c r="F8" s="148"/>
    </row>
    <row r="9" spans="1:19" x14ac:dyDescent="0.25">
      <c r="A9" s="146"/>
      <c r="B9" s="146"/>
      <c r="C9" s="146"/>
      <c r="D9" s="146"/>
      <c r="E9" s="146"/>
      <c r="F9" s="146"/>
    </row>
    <row r="10" spans="1:19" s="141" customFormat="1" x14ac:dyDescent="0.25">
      <c r="A10" s="145" t="s">
        <v>139</v>
      </c>
      <c r="B10" s="147"/>
      <c r="C10" s="146"/>
      <c r="D10" s="146"/>
      <c r="E10" s="145"/>
      <c r="F10" s="145"/>
      <c r="H10"/>
      <c r="I10"/>
      <c r="J10"/>
      <c r="K10"/>
      <c r="L10"/>
      <c r="M10"/>
      <c r="N10"/>
      <c r="O10"/>
    </row>
    <row r="11" spans="1:19" s="141" customFormat="1" x14ac:dyDescent="0.25">
      <c r="A11" s="144" t="s">
        <v>138</v>
      </c>
      <c r="B11" s="143" t="s">
        <v>137</v>
      </c>
      <c r="C11" s="142" t="s">
        <v>133</v>
      </c>
      <c r="D11" s="142" t="s">
        <v>136</v>
      </c>
      <c r="E11" s="142" t="s">
        <v>135</v>
      </c>
      <c r="F11" s="142"/>
      <c r="H11"/>
      <c r="I11"/>
      <c r="J11"/>
      <c r="K11"/>
      <c r="L11"/>
      <c r="M11"/>
      <c r="N11"/>
      <c r="O11"/>
    </row>
    <row r="12" spans="1:19" x14ac:dyDescent="0.25">
      <c r="A12" s="140"/>
      <c r="B12" s="139"/>
      <c r="C12" s="139"/>
      <c r="D12" s="138"/>
      <c r="E12" s="122"/>
      <c r="F12" s="122"/>
    </row>
    <row r="13" spans="1:19" x14ac:dyDescent="0.25">
      <c r="A13" s="92">
        <v>1</v>
      </c>
      <c r="B13" s="112" t="s">
        <v>134</v>
      </c>
      <c r="C13" s="91"/>
      <c r="D13" s="91"/>
      <c r="E13" s="90"/>
      <c r="F13" s="122"/>
    </row>
    <row r="14" spans="1:19" x14ac:dyDescent="0.25">
      <c r="A14" s="92">
        <f t="shared" ref="A14:A29" si="0">+A13+1</f>
        <v>2</v>
      </c>
      <c r="B14" s="90"/>
      <c r="C14" s="137" t="s">
        <v>133</v>
      </c>
      <c r="D14" s="136" t="s">
        <v>132</v>
      </c>
      <c r="E14" s="135" t="s">
        <v>131</v>
      </c>
      <c r="F14" s="122"/>
    </row>
    <row r="15" spans="1:19" x14ac:dyDescent="0.25">
      <c r="A15" s="92">
        <f t="shared" si="0"/>
        <v>3</v>
      </c>
      <c r="B15" s="90"/>
      <c r="C15" s="134" t="s">
        <v>131</v>
      </c>
      <c r="D15" s="133" t="s">
        <v>131</v>
      </c>
      <c r="E15" s="132" t="s">
        <v>130</v>
      </c>
      <c r="F15" s="122"/>
    </row>
    <row r="16" spans="1:19" x14ac:dyDescent="0.25">
      <c r="A16" s="92">
        <f t="shared" si="0"/>
        <v>4</v>
      </c>
      <c r="B16" s="130">
        <v>45292</v>
      </c>
      <c r="C16" s="131">
        <f t="array" ref="C16:C27">TRANSPOSE('Weather Adj. Volumes'!D35:O35)</f>
        <v>30178146.067135286</v>
      </c>
      <c r="D16" s="126">
        <f t="array" ref="D16:D27">TRANSPOSE('Weather Adj. Volumes'!D201:O201)</f>
        <v>17325664.528240032</v>
      </c>
      <c r="E16" s="116">
        <f t="shared" ref="E16:E27" si="1">+D16-C16</f>
        <v>-12852481.538895253</v>
      </c>
      <c r="F16" s="126"/>
      <c r="G16" s="126"/>
      <c r="P16" s="126"/>
      <c r="Q16" s="126"/>
      <c r="R16" s="126"/>
      <c r="S16" s="126"/>
    </row>
    <row r="17" spans="1:7" x14ac:dyDescent="0.25">
      <c r="A17" s="92">
        <f t="shared" si="0"/>
        <v>5</v>
      </c>
      <c r="B17" s="130">
        <v>45323</v>
      </c>
      <c r="C17" s="131">
        <v>19065076.752300374</v>
      </c>
      <c r="D17" s="126">
        <v>16092086.902839879</v>
      </c>
      <c r="E17" s="116">
        <f t="shared" si="1"/>
        <v>-2972989.8494604956</v>
      </c>
      <c r="F17" s="126"/>
      <c r="G17" s="110"/>
    </row>
    <row r="18" spans="1:7" x14ac:dyDescent="0.25">
      <c r="A18" s="92">
        <f t="shared" si="0"/>
        <v>6</v>
      </c>
      <c r="B18" s="130">
        <v>45352</v>
      </c>
      <c r="C18" s="131">
        <v>18656229.163999997</v>
      </c>
      <c r="D18" s="126">
        <v>18979874.184289251</v>
      </c>
      <c r="E18" s="116">
        <f t="shared" si="1"/>
        <v>323645.02028925344</v>
      </c>
      <c r="F18" s="126"/>
      <c r="G18" s="110"/>
    </row>
    <row r="19" spans="1:7" x14ac:dyDescent="0.25">
      <c r="A19" s="92">
        <f t="shared" si="0"/>
        <v>7</v>
      </c>
      <c r="B19" s="130">
        <v>45383</v>
      </c>
      <c r="C19" s="131">
        <v>16670512.869231615</v>
      </c>
      <c r="D19" s="126">
        <v>15697123.061468286</v>
      </c>
      <c r="E19" s="116">
        <f t="shared" si="1"/>
        <v>-973389.80776332878</v>
      </c>
      <c r="F19" s="126"/>
      <c r="G19" s="110"/>
    </row>
    <row r="20" spans="1:7" x14ac:dyDescent="0.25">
      <c r="A20" s="92">
        <f t="shared" si="0"/>
        <v>8</v>
      </c>
      <c r="B20" s="130">
        <v>45413</v>
      </c>
      <c r="C20" s="131">
        <v>17239287.147545204</v>
      </c>
      <c r="D20" s="126">
        <v>18219726.1540507</v>
      </c>
      <c r="E20" s="116">
        <f t="shared" si="1"/>
        <v>980439.0065054968</v>
      </c>
      <c r="F20" s="126"/>
      <c r="G20" s="110"/>
    </row>
    <row r="21" spans="1:7" x14ac:dyDescent="0.25">
      <c r="A21" s="92">
        <f t="shared" si="0"/>
        <v>9</v>
      </c>
      <c r="B21" s="130">
        <v>45444</v>
      </c>
      <c r="C21" s="131">
        <v>13034487.417000001</v>
      </c>
      <c r="D21" s="126">
        <v>12199089.256845834</v>
      </c>
      <c r="E21" s="116">
        <f t="shared" si="1"/>
        <v>-835398.16015416756</v>
      </c>
      <c r="F21" s="126"/>
      <c r="G21" s="110"/>
    </row>
    <row r="22" spans="1:7" x14ac:dyDescent="0.25">
      <c r="A22" s="92">
        <f t="shared" si="0"/>
        <v>10</v>
      </c>
      <c r="B22" s="130">
        <v>45474</v>
      </c>
      <c r="C22" s="131">
        <v>16002281.886419054</v>
      </c>
      <c r="D22" s="126">
        <v>16696583.186419055</v>
      </c>
      <c r="E22" s="116">
        <f t="shared" si="1"/>
        <v>694301.30000000075</v>
      </c>
      <c r="F22" s="126"/>
      <c r="G22" s="110"/>
    </row>
    <row r="23" spans="1:7" x14ac:dyDescent="0.25">
      <c r="A23" s="92">
        <f t="shared" si="0"/>
        <v>11</v>
      </c>
      <c r="B23" s="130">
        <v>45505</v>
      </c>
      <c r="C23" s="131">
        <v>12044917.556580909</v>
      </c>
      <c r="D23" s="126">
        <v>14375040.26148325</v>
      </c>
      <c r="E23" s="116">
        <f t="shared" si="1"/>
        <v>2330122.7049023416</v>
      </c>
      <c r="F23" s="126"/>
      <c r="G23" s="110"/>
    </row>
    <row r="24" spans="1:7" x14ac:dyDescent="0.25">
      <c r="A24" s="92">
        <f t="shared" si="0"/>
        <v>12</v>
      </c>
      <c r="B24" s="130">
        <v>45536</v>
      </c>
      <c r="C24" s="131">
        <v>12653988.064329915</v>
      </c>
      <c r="D24" s="126">
        <v>13218338.472415855</v>
      </c>
      <c r="E24" s="116">
        <f t="shared" si="1"/>
        <v>564350.40808594041</v>
      </c>
      <c r="F24" s="126"/>
      <c r="G24" s="110"/>
    </row>
    <row r="25" spans="1:7" x14ac:dyDescent="0.25">
      <c r="A25" s="92">
        <f t="shared" si="0"/>
        <v>13</v>
      </c>
      <c r="B25" s="130">
        <v>45566</v>
      </c>
      <c r="C25" s="131">
        <v>14387785.831166118</v>
      </c>
      <c r="D25" s="126">
        <v>14569598.828171404</v>
      </c>
      <c r="E25" s="116">
        <f t="shared" si="1"/>
        <v>181812.9970052857</v>
      </c>
      <c r="F25" s="126"/>
      <c r="G25" s="110"/>
    </row>
    <row r="26" spans="1:7" x14ac:dyDescent="0.25">
      <c r="A26" s="92">
        <f t="shared" si="0"/>
        <v>14</v>
      </c>
      <c r="B26" s="130">
        <v>45597</v>
      </c>
      <c r="C26" s="131">
        <v>28345168.729063693</v>
      </c>
      <c r="D26" s="126">
        <v>28081914.346377522</v>
      </c>
      <c r="E26" s="116">
        <f t="shared" si="1"/>
        <v>-263254.38268617168</v>
      </c>
      <c r="F26" s="126"/>
      <c r="G26" s="110"/>
    </row>
    <row r="27" spans="1:7" x14ac:dyDescent="0.25">
      <c r="A27" s="92">
        <f t="shared" si="0"/>
        <v>15</v>
      </c>
      <c r="B27" s="130">
        <v>45627</v>
      </c>
      <c r="C27" s="129">
        <v>5196990.2742128121</v>
      </c>
      <c r="D27" s="128">
        <v>7272093.736840453</v>
      </c>
      <c r="E27" s="127">
        <f t="shared" si="1"/>
        <v>2075103.4626276409</v>
      </c>
      <c r="F27" s="126"/>
      <c r="G27" s="110"/>
    </row>
    <row r="28" spans="1:7" x14ac:dyDescent="0.25">
      <c r="A28" s="92">
        <f t="shared" si="0"/>
        <v>16</v>
      </c>
      <c r="B28" s="90"/>
      <c r="C28" s="125">
        <f>ROUND(SUM(C16:C27),0)</f>
        <v>203474872</v>
      </c>
      <c r="D28" s="125">
        <f>ROUND(SUM(D16:D27),0)</f>
        <v>192727133</v>
      </c>
      <c r="E28" s="125">
        <f>ROUND(SUM(E16:E27),0)</f>
        <v>-10747739</v>
      </c>
      <c r="F28" s="122"/>
      <c r="G28" s="110"/>
    </row>
    <row r="29" spans="1:7" x14ac:dyDescent="0.25">
      <c r="A29" s="92">
        <f t="shared" si="0"/>
        <v>17</v>
      </c>
      <c r="B29" s="124" t="s">
        <v>129</v>
      </c>
      <c r="C29" s="123"/>
      <c r="D29" s="123"/>
      <c r="E29" s="90"/>
      <c r="F29" s="122"/>
      <c r="G29" s="110"/>
    </row>
    <row r="30" spans="1:7" x14ac:dyDescent="0.25">
      <c r="A30" s="92">
        <f>A29+1</f>
        <v>18</v>
      </c>
      <c r="B30" s="120" t="s">
        <v>8</v>
      </c>
      <c r="C30" s="120"/>
      <c r="D30" s="120">
        <v>85</v>
      </c>
      <c r="E30" s="116">
        <f>'Weather Adj. For CBR'!P51</f>
        <v>-23096.206606382348</v>
      </c>
      <c r="F30" s="90"/>
      <c r="G30" s="121"/>
    </row>
    <row r="31" spans="1:7" x14ac:dyDescent="0.25">
      <c r="A31" s="92">
        <f t="shared" ref="A31:A51" si="2">+A30+1</f>
        <v>19</v>
      </c>
      <c r="B31" s="120" t="s">
        <v>9</v>
      </c>
      <c r="C31" s="120"/>
      <c r="D31" s="119" t="s">
        <v>10</v>
      </c>
      <c r="E31" s="116">
        <f>'Weather Adj. For CBR'!P52</f>
        <v>-5839.5462526595802</v>
      </c>
      <c r="F31" s="90"/>
      <c r="G31" s="110"/>
    </row>
    <row r="32" spans="1:7" x14ac:dyDescent="0.25">
      <c r="A32" s="92">
        <f t="shared" si="2"/>
        <v>20</v>
      </c>
      <c r="B32" s="120" t="s">
        <v>11</v>
      </c>
      <c r="C32" s="120"/>
      <c r="D32" s="120">
        <v>87</v>
      </c>
      <c r="E32" s="116">
        <f>'Weather Adj. For CBR'!P53</f>
        <v>-7714.0828072817931</v>
      </c>
      <c r="F32" s="90"/>
      <c r="G32" s="110"/>
    </row>
    <row r="33" spans="1:7" x14ac:dyDescent="0.25">
      <c r="A33" s="92">
        <f t="shared" si="2"/>
        <v>21</v>
      </c>
      <c r="B33" s="120" t="s">
        <v>12</v>
      </c>
      <c r="C33" s="120"/>
      <c r="D33" s="119" t="s">
        <v>13</v>
      </c>
      <c r="E33" s="116">
        <f>'Weather Adj. For CBR'!P54</f>
        <v>-12790.311281336561</v>
      </c>
      <c r="F33" s="90"/>
      <c r="G33" s="110"/>
    </row>
    <row r="34" spans="1:7" x14ac:dyDescent="0.25">
      <c r="A34" s="92">
        <f t="shared" si="2"/>
        <v>22</v>
      </c>
      <c r="B34" s="118" t="s">
        <v>14</v>
      </c>
      <c r="C34" s="118"/>
      <c r="D34" s="117" t="s">
        <v>15</v>
      </c>
      <c r="E34" s="116">
        <f>'Weather Adj. For CBR'!P55</f>
        <v>-4106.9730339078014</v>
      </c>
      <c r="F34" s="115"/>
      <c r="G34" s="110"/>
    </row>
    <row r="35" spans="1:7" x14ac:dyDescent="0.25">
      <c r="A35" s="92">
        <f t="shared" si="2"/>
        <v>23</v>
      </c>
      <c r="B35" s="90" t="s">
        <v>128</v>
      </c>
      <c r="C35" s="90"/>
      <c r="E35" s="111"/>
      <c r="F35" s="114">
        <f>SUM(E30:E34)</f>
        <v>-53547.119981568081</v>
      </c>
      <c r="G35" s="110"/>
    </row>
    <row r="36" spans="1:7" x14ac:dyDescent="0.25">
      <c r="A36" s="92">
        <f t="shared" si="2"/>
        <v>24</v>
      </c>
      <c r="B36" s="109"/>
      <c r="C36" s="109"/>
      <c r="D36" s="108"/>
      <c r="E36" s="107"/>
      <c r="F36" s="90"/>
      <c r="G36" s="110"/>
    </row>
    <row r="37" spans="1:7" x14ac:dyDescent="0.25">
      <c r="A37" s="92">
        <f t="shared" si="2"/>
        <v>25</v>
      </c>
      <c r="B37" s="113" t="s">
        <v>127</v>
      </c>
      <c r="C37" s="109"/>
      <c r="D37" s="108"/>
      <c r="E37" s="107"/>
      <c r="F37" s="90"/>
      <c r="G37" s="110"/>
    </row>
    <row r="38" spans="1:7" x14ac:dyDescent="0.25">
      <c r="A38" s="92">
        <f t="shared" si="2"/>
        <v>26</v>
      </c>
      <c r="B38" s="112" t="s">
        <v>126</v>
      </c>
      <c r="C38" s="109"/>
      <c r="D38" s="108"/>
      <c r="E38" s="100">
        <v>0</v>
      </c>
      <c r="G38" s="110"/>
    </row>
    <row r="39" spans="1:7" x14ac:dyDescent="0.25">
      <c r="A39" s="92">
        <f t="shared" si="2"/>
        <v>27</v>
      </c>
      <c r="B39" s="112"/>
      <c r="C39" s="109"/>
      <c r="D39" s="108"/>
      <c r="E39" s="107"/>
      <c r="F39" s="111">
        <f>E38</f>
        <v>0</v>
      </c>
      <c r="G39" s="110"/>
    </row>
    <row r="40" spans="1:7" x14ac:dyDescent="0.25">
      <c r="A40" s="92">
        <f t="shared" si="2"/>
        <v>28</v>
      </c>
      <c r="B40" s="109"/>
      <c r="C40" s="109"/>
      <c r="D40" s="108"/>
      <c r="E40" s="107"/>
      <c r="F40" s="90"/>
      <c r="G40" s="87"/>
    </row>
    <row r="41" spans="1:7" x14ac:dyDescent="0.25">
      <c r="A41" s="92">
        <f t="shared" si="2"/>
        <v>29</v>
      </c>
      <c r="B41" s="91" t="s">
        <v>125</v>
      </c>
      <c r="C41" s="91"/>
      <c r="D41" s="101">
        <f>[1]model!$CC$12</f>
        <v>2.9520000000000002E-3</v>
      </c>
      <c r="E41" s="106">
        <f>ROUND(F35*D41,0)</f>
        <v>-158</v>
      </c>
      <c r="F41" s="96"/>
      <c r="G41" s="87"/>
    </row>
    <row r="42" spans="1:7" x14ac:dyDescent="0.25">
      <c r="A42" s="92">
        <f t="shared" si="2"/>
        <v>30</v>
      </c>
      <c r="B42" s="91" t="s">
        <v>124</v>
      </c>
      <c r="C42" s="91"/>
      <c r="D42" s="101">
        <f>[1]model!$CC$13</f>
        <v>5.0000000000000001E-3</v>
      </c>
      <c r="E42" s="105">
        <f>ROUND(F35*D42,0)</f>
        <v>-268</v>
      </c>
      <c r="F42" s="96"/>
      <c r="G42" s="87"/>
    </row>
    <row r="43" spans="1:7" x14ac:dyDescent="0.25">
      <c r="A43" s="92">
        <f t="shared" si="2"/>
        <v>31</v>
      </c>
      <c r="B43" s="99" t="s">
        <v>123</v>
      </c>
      <c r="C43" s="91"/>
      <c r="D43" s="104"/>
      <c r="E43" s="89"/>
      <c r="F43" s="103">
        <f>SUM(E41:E42)</f>
        <v>-426</v>
      </c>
      <c r="G43" s="87"/>
    </row>
    <row r="44" spans="1:7" x14ac:dyDescent="0.25">
      <c r="A44" s="92">
        <f t="shared" si="2"/>
        <v>32</v>
      </c>
      <c r="B44" s="91"/>
      <c r="C44" s="91"/>
      <c r="D44" s="102"/>
      <c r="E44" s="98"/>
      <c r="F44" s="96"/>
      <c r="G44" s="87"/>
    </row>
    <row r="45" spans="1:7" x14ac:dyDescent="0.25">
      <c r="A45" s="92">
        <f t="shared" si="2"/>
        <v>33</v>
      </c>
      <c r="B45" s="91" t="s">
        <v>122</v>
      </c>
      <c r="C45" s="91"/>
      <c r="D45" s="101">
        <f>[1]model!$CC$14</f>
        <v>3.8406000000000003E-2</v>
      </c>
      <c r="E45" s="100">
        <f>ROUND(F35*D45,0)</f>
        <v>-2057</v>
      </c>
      <c r="F45" s="96"/>
      <c r="G45" s="87"/>
    </row>
    <row r="46" spans="1:7" x14ac:dyDescent="0.25">
      <c r="A46" s="92">
        <f t="shared" si="2"/>
        <v>34</v>
      </c>
      <c r="B46" s="99" t="s">
        <v>121</v>
      </c>
      <c r="C46" s="91"/>
      <c r="D46" s="90"/>
      <c r="E46" s="98"/>
      <c r="F46" s="97">
        <f>SUM(E45:E45)</f>
        <v>-2057</v>
      </c>
      <c r="G46" s="87"/>
    </row>
    <row r="47" spans="1:7" x14ac:dyDescent="0.25">
      <c r="A47" s="92">
        <f t="shared" si="2"/>
        <v>35</v>
      </c>
      <c r="B47" s="91"/>
      <c r="C47" s="91"/>
      <c r="D47" s="90"/>
      <c r="E47" s="90"/>
      <c r="F47" s="96"/>
      <c r="G47" s="87"/>
    </row>
    <row r="48" spans="1:7" x14ac:dyDescent="0.25">
      <c r="A48" s="92">
        <f t="shared" si="2"/>
        <v>36</v>
      </c>
      <c r="B48" s="91" t="s">
        <v>120</v>
      </c>
      <c r="C48" s="91"/>
      <c r="D48" s="90"/>
      <c r="E48" s="89"/>
      <c r="F48" s="95">
        <f>F35-F39-F43-F46</f>
        <v>-51064.119981568081</v>
      </c>
      <c r="G48" s="87"/>
    </row>
    <row r="49" spans="1:7" x14ac:dyDescent="0.25">
      <c r="A49" s="92">
        <f t="shared" si="2"/>
        <v>37</v>
      </c>
      <c r="B49" s="91"/>
      <c r="C49" s="91"/>
      <c r="D49" s="90"/>
      <c r="E49" s="89"/>
      <c r="F49" s="89"/>
      <c r="G49" s="87"/>
    </row>
    <row r="50" spans="1:7" x14ac:dyDescent="0.25">
      <c r="A50" s="92">
        <f t="shared" si="2"/>
        <v>38</v>
      </c>
      <c r="B50" s="91" t="s">
        <v>119</v>
      </c>
      <c r="C50" s="91"/>
      <c r="D50" s="94">
        <v>0.21</v>
      </c>
      <c r="E50" s="89"/>
      <c r="F50" s="93">
        <f>ROUND(F48*D50,0)</f>
        <v>-10723</v>
      </c>
      <c r="G50" s="87"/>
    </row>
    <row r="51" spans="1:7" ht="15.75" thickBot="1" x14ac:dyDescent="0.3">
      <c r="A51" s="92">
        <f t="shared" si="2"/>
        <v>39</v>
      </c>
      <c r="B51" s="91" t="s">
        <v>118</v>
      </c>
      <c r="C51" s="91"/>
      <c r="D51" s="90"/>
      <c r="E51" s="89"/>
      <c r="F51" s="88">
        <f>F48-F50</f>
        <v>-40341.119981568081</v>
      </c>
      <c r="G51" s="87"/>
    </row>
    <row r="52" spans="1:7" ht="15.75" thickTop="1" x14ac:dyDescent="0.25">
      <c r="G52" s="8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="90" zoomScaleNormal="90" workbookViewId="0">
      <pane ySplit="6" topLeftCell="A28" activePane="bottomLeft" state="frozen"/>
      <selection activeCell="H59" sqref="H59"/>
      <selection pane="bottomLeft" activeCell="M27" sqref="M27"/>
    </sheetView>
  </sheetViews>
  <sheetFormatPr defaultColWidth="9.140625" defaultRowHeight="12.75" x14ac:dyDescent="0.2"/>
  <cols>
    <col min="1" max="1" width="2" style="14" customWidth="1"/>
    <col min="2" max="2" width="35.85546875" style="14" bestFit="1" customWidth="1"/>
    <col min="3" max="3" width="8.7109375" style="14" bestFit="1" customWidth="1"/>
    <col min="4" max="15" width="11.7109375" style="14" customWidth="1"/>
    <col min="16" max="16" width="12.140625" style="14" customWidth="1"/>
    <col min="17" max="16384" width="9.140625" style="14"/>
  </cols>
  <sheetData>
    <row r="1" spans="1:17" ht="15" customHeight="1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63"/>
    </row>
    <row r="2" spans="1:17" ht="15" customHeight="1" x14ac:dyDescent="0.2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63"/>
    </row>
    <row r="3" spans="1:17" ht="15" customHeight="1" x14ac:dyDescent="0.2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63"/>
    </row>
    <row r="4" spans="1:17" ht="15" customHeight="1" x14ac:dyDescent="0.2">
      <c r="A4" s="154" t="s">
        <v>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63"/>
    </row>
    <row r="5" spans="1:17" x14ac:dyDescent="0.2">
      <c r="B5" s="64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x14ac:dyDescent="0.2">
      <c r="A6" s="65"/>
      <c r="B6" s="66" t="s">
        <v>4</v>
      </c>
      <c r="C6" s="66" t="s">
        <v>5</v>
      </c>
      <c r="D6" s="67">
        <v>45292</v>
      </c>
      <c r="E6" s="67">
        <f>EDATE(D6,1)</f>
        <v>45323</v>
      </c>
      <c r="F6" s="67">
        <f t="shared" ref="F6:O6" si="0">EDATE(E6,1)</f>
        <v>45352</v>
      </c>
      <c r="G6" s="67">
        <f t="shared" si="0"/>
        <v>45383</v>
      </c>
      <c r="H6" s="67">
        <f t="shared" si="0"/>
        <v>45413</v>
      </c>
      <c r="I6" s="67">
        <f t="shared" si="0"/>
        <v>45444</v>
      </c>
      <c r="J6" s="67">
        <f t="shared" si="0"/>
        <v>45474</v>
      </c>
      <c r="K6" s="67">
        <f t="shared" si="0"/>
        <v>45505</v>
      </c>
      <c r="L6" s="67">
        <f t="shared" si="0"/>
        <v>45536</v>
      </c>
      <c r="M6" s="67">
        <f t="shared" si="0"/>
        <v>45566</v>
      </c>
      <c r="N6" s="67">
        <f t="shared" si="0"/>
        <v>45597</v>
      </c>
      <c r="O6" s="67">
        <f t="shared" si="0"/>
        <v>45627</v>
      </c>
      <c r="P6" s="68" t="s">
        <v>6</v>
      </c>
      <c r="Q6" s="19"/>
    </row>
    <row r="7" spans="1:17" x14ac:dyDescent="0.2">
      <c r="A7" s="69" t="s">
        <v>7</v>
      </c>
      <c r="B7" s="69"/>
      <c r="C7" s="12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9"/>
      <c r="Q7" s="19"/>
    </row>
    <row r="8" spans="1:17" s="71" customFormat="1" x14ac:dyDescent="0.2">
      <c r="B8" s="71" t="s">
        <v>8</v>
      </c>
      <c r="C8" s="72">
        <v>85</v>
      </c>
      <c r="D8" s="73">
        <f>'Weather Adj. Volumes'!D154</f>
        <v>-110363.75654850015</v>
      </c>
      <c r="E8" s="73">
        <f>'Weather Adj. Volumes'!E154</f>
        <v>7016.5234880002681</v>
      </c>
      <c r="F8" s="73">
        <f>'Weather Adj. Volumes'!F154</f>
        <v>-26801.416737333871</v>
      </c>
      <c r="G8" s="73">
        <f>'Weather Adj. Volumes'!G154</f>
        <v>-56161.175802332815</v>
      </c>
      <c r="H8" s="73">
        <f>'Weather Adj. Volumes'!H154</f>
        <v>-84685.313255832996</v>
      </c>
      <c r="I8" s="73">
        <f>'Weather Adj. Volumes'!I154</f>
        <v>0</v>
      </c>
      <c r="J8" s="73">
        <f>'Weather Adj. Volumes'!J154</f>
        <v>0</v>
      </c>
      <c r="K8" s="73">
        <f>'Weather Adj. Volumes'!K154</f>
        <v>0</v>
      </c>
      <c r="L8" s="73">
        <f>'Weather Adj. Volumes'!L154</f>
        <v>0</v>
      </c>
      <c r="M8" s="73">
        <f>'Weather Adj. Volumes'!M154</f>
        <v>-13148.886517000385</v>
      </c>
      <c r="N8" s="73">
        <f>'Weather Adj. Volumes'!N154</f>
        <v>-47066.272492417134</v>
      </c>
      <c r="O8" s="73">
        <f>'Weather Adj. Volumes'!O154</f>
        <v>55863.978362999391</v>
      </c>
      <c r="P8" s="73">
        <f>SUM(D8:O8)</f>
        <v>-275346.3195024177</v>
      </c>
      <c r="Q8" s="74"/>
    </row>
    <row r="9" spans="1:17" s="71" customFormat="1" x14ac:dyDescent="0.2">
      <c r="B9" s="14" t="s">
        <v>9</v>
      </c>
      <c r="C9" s="16" t="s">
        <v>10</v>
      </c>
      <c r="D9" s="73">
        <f>'Weather Adj. Volumes'!D152</f>
        <v>-35975.298539250158</v>
      </c>
      <c r="E9" s="73">
        <f>'Weather Adj. Volumes'!E152</f>
        <v>1576.1244765000883</v>
      </c>
      <c r="F9" s="73">
        <f>'Weather Adj. Volumes'!F152</f>
        <v>-8059.4741867501289</v>
      </c>
      <c r="G9" s="73">
        <f>'Weather Adj. Volumes'!G152</f>
        <v>-14316.392443499994</v>
      </c>
      <c r="H9" s="73">
        <f>'Weather Adj. Volumes'!H152</f>
        <v>-19533.555132000009</v>
      </c>
      <c r="I9" s="73">
        <f>'Weather Adj. Volumes'!I152</f>
        <v>0</v>
      </c>
      <c r="J9" s="73">
        <f>'Weather Adj. Volumes'!J152</f>
        <v>0</v>
      </c>
      <c r="K9" s="73">
        <f>'Weather Adj. Volumes'!K152</f>
        <v>0</v>
      </c>
      <c r="L9" s="73">
        <f>'Weather Adj. Volumes'!L152</f>
        <v>0</v>
      </c>
      <c r="M9" s="73">
        <f>'Weather Adj. Volumes'!M152</f>
        <v>-3687.7440833332948</v>
      </c>
      <c r="N9" s="73">
        <f>'Weather Adj. Volumes'!N152</f>
        <v>-12545.341911667027</v>
      </c>
      <c r="O9" s="73">
        <f>'Weather Adj. Volumes'!O152</f>
        <v>14554.344799333136</v>
      </c>
      <c r="P9" s="73">
        <f t="shared" ref="P9:P12" si="1">SUM(D9:O9)</f>
        <v>-77987.337020667386</v>
      </c>
      <c r="Q9" s="74"/>
    </row>
    <row r="10" spans="1:17" s="71" customFormat="1" x14ac:dyDescent="0.2">
      <c r="B10" s="71" t="s">
        <v>11</v>
      </c>
      <c r="C10" s="72">
        <v>87</v>
      </c>
      <c r="D10" s="73">
        <f>'Weather Adj. Volumes'!D156</f>
        <v>-115183.5104700001</v>
      </c>
      <c r="E10" s="73">
        <f>'Weather Adj. Volumes'!E156</f>
        <v>7965.1680300000589</v>
      </c>
      <c r="F10" s="73">
        <f>'Weather Adj. Volumes'!F156</f>
        <v>-28004.573665000498</v>
      </c>
      <c r="G10" s="73">
        <f>'Weather Adj. Volumes'!G156</f>
        <v>-61922.867713332642</v>
      </c>
      <c r="H10" s="73">
        <f>'Weather Adj. Volumes'!H156</f>
        <v>-77974.035129999742</v>
      </c>
      <c r="I10" s="73">
        <f>'Weather Adj. Volumes'!I156</f>
        <v>0</v>
      </c>
      <c r="J10" s="73">
        <f>'Weather Adj. Volumes'!J156</f>
        <v>0</v>
      </c>
      <c r="K10" s="73">
        <f>'Weather Adj. Volumes'!K156</f>
        <v>0</v>
      </c>
      <c r="L10" s="73">
        <f>'Weather Adj. Volumes'!L156</f>
        <v>0</v>
      </c>
      <c r="M10" s="73">
        <f>'Weather Adj. Volumes'!M156</f>
        <v>-12467.093300000299</v>
      </c>
      <c r="N10" s="73">
        <f>'Weather Adj. Volumes'!N156</f>
        <v>-48083.628778333776</v>
      </c>
      <c r="O10" s="73">
        <f>'Weather Adj. Volumes'!O156</f>
        <v>46083.888209999539</v>
      </c>
      <c r="P10" s="73">
        <f t="shared" si="1"/>
        <v>-289586.65281666745</v>
      </c>
      <c r="Q10" s="74"/>
    </row>
    <row r="11" spans="1:17" s="71" customFormat="1" x14ac:dyDescent="0.2">
      <c r="B11" s="14" t="s">
        <v>12</v>
      </c>
      <c r="C11" s="16" t="s">
        <v>13</v>
      </c>
      <c r="D11" s="73">
        <f>'Weather Adj. Volumes'!D153</f>
        <v>-141899.5533375002</v>
      </c>
      <c r="E11" s="73">
        <f>'Weather Adj. Volumes'!E153</f>
        <v>14136.254545000149</v>
      </c>
      <c r="F11" s="73">
        <f>'Weather Adj. Volumes'!F153</f>
        <v>-50019.765121667646</v>
      </c>
      <c r="G11" s="73">
        <f>'Weather Adj. Volumes'!G153</f>
        <v>-108841.59180416586</v>
      </c>
      <c r="H11" s="73">
        <f>'Weather Adj. Volumes'!H153</f>
        <v>-154551.52997666597</v>
      </c>
      <c r="I11" s="73">
        <f>'Weather Adj. Volumes'!I153</f>
        <v>-57831.290154167218</v>
      </c>
      <c r="J11" s="73">
        <f>'Weather Adj. Volumes'!J153</f>
        <v>0</v>
      </c>
      <c r="K11" s="73">
        <f>'Weather Adj. Volumes'!K153</f>
        <v>0</v>
      </c>
      <c r="L11" s="73">
        <f>'Weather Adj. Volumes'!L153</f>
        <v>0</v>
      </c>
      <c r="M11" s="73">
        <f>'Weather Adj. Volumes'!M153</f>
        <v>-23063.670735000633</v>
      </c>
      <c r="N11" s="73">
        <f>'Weather Adj. Volumes'!N153</f>
        <v>-84968.073566250969</v>
      </c>
      <c r="O11" s="73">
        <f>'Weather Adj. Volumes'!O153</f>
        <v>113057.73293499893</v>
      </c>
      <c r="P11" s="73">
        <f>SUM(D11:O11)</f>
        <v>-493981.48721541942</v>
      </c>
      <c r="Q11" s="74"/>
    </row>
    <row r="12" spans="1:17" s="75" customFormat="1" x14ac:dyDescent="0.2">
      <c r="B12" s="75" t="s">
        <v>14</v>
      </c>
      <c r="C12" s="12" t="s">
        <v>15</v>
      </c>
      <c r="D12" s="76">
        <f>'Weather Adj. Volumes'!D159</f>
        <v>-195425.05216499791</v>
      </c>
      <c r="E12" s="76">
        <f>'Weather Adj. Volumes'!E159</f>
        <v>14001.13802250009</v>
      </c>
      <c r="F12" s="76">
        <f>'Weather Adj. Volumes'!F159</f>
        <v>-47517.053895000834</v>
      </c>
      <c r="G12" s="76">
        <f>'Weather Adj. Volumes'!G159</f>
        <v>-102209.79431249946</v>
      </c>
      <c r="H12" s="76">
        <f>'Weather Adj. Volumes'!H159</f>
        <v>-124724.68521749927</v>
      </c>
      <c r="I12" s="76">
        <f>'Weather Adj. Volumes'!I159</f>
        <v>0</v>
      </c>
      <c r="J12" s="76">
        <f>'Weather Adj. Volumes'!J159</f>
        <v>0</v>
      </c>
      <c r="K12" s="76">
        <f>'Weather Adj. Volumes'!K159</f>
        <v>0</v>
      </c>
      <c r="L12" s="76">
        <f>'Weather Adj. Volumes'!L159</f>
        <v>0</v>
      </c>
      <c r="M12" s="76">
        <f>'Weather Adj. Volumes'!M159</f>
        <v>-24540.71925000078</v>
      </c>
      <c r="N12" s="76">
        <f>'Weather Adj. Volumes'!N159</f>
        <v>-89572.501522500999</v>
      </c>
      <c r="O12" s="76">
        <f>'Weather Adj. Volumes'!O159</f>
        <v>96835.093004998984</v>
      </c>
      <c r="P12" s="76">
        <f t="shared" si="1"/>
        <v>-473153.57533500018</v>
      </c>
      <c r="Q12" s="77"/>
    </row>
    <row r="13" spans="1:17" x14ac:dyDescent="0.2">
      <c r="B13" s="71" t="s">
        <v>6</v>
      </c>
      <c r="C13" s="72"/>
      <c r="D13" s="15">
        <f>SUM(D8:D12)</f>
        <v>-598847.17106024851</v>
      </c>
      <c r="E13" s="15">
        <f t="shared" ref="E13:P13" si="2">SUM(E8:E12)</f>
        <v>44695.208562000655</v>
      </c>
      <c r="F13" s="15">
        <f t="shared" si="2"/>
        <v>-160402.28360575298</v>
      </c>
      <c r="G13" s="15">
        <f t="shared" si="2"/>
        <v>-343451.82207583077</v>
      </c>
      <c r="H13" s="15">
        <f t="shared" si="2"/>
        <v>-461469.11871199799</v>
      </c>
      <c r="I13" s="15">
        <f t="shared" si="2"/>
        <v>-57831.290154167218</v>
      </c>
      <c r="J13" s="15">
        <f t="shared" si="2"/>
        <v>0</v>
      </c>
      <c r="K13" s="15">
        <f t="shared" si="2"/>
        <v>0</v>
      </c>
      <c r="L13" s="15">
        <f t="shared" si="2"/>
        <v>0</v>
      </c>
      <c r="M13" s="15">
        <f t="shared" si="2"/>
        <v>-76908.113885335391</v>
      </c>
      <c r="N13" s="15">
        <f t="shared" si="2"/>
        <v>-282235.8182711699</v>
      </c>
      <c r="O13" s="15">
        <f t="shared" si="2"/>
        <v>326395.03731232998</v>
      </c>
      <c r="P13" s="15">
        <f t="shared" si="2"/>
        <v>-1610055.3718901721</v>
      </c>
    </row>
    <row r="14" spans="1:17" x14ac:dyDescent="0.2">
      <c r="B14" s="71" t="s">
        <v>16</v>
      </c>
      <c r="C14" s="16"/>
      <c r="D14" s="15">
        <f>D13-SUM('Weather Adj. Volumes'!D152:D154,'Weather Adj. Volumes'!D156,'Weather Adj. Volumes'!D159)</f>
        <v>0</v>
      </c>
      <c r="E14" s="15">
        <f>E13-SUM('Weather Adj. Volumes'!E152:E154,'Weather Adj. Volumes'!E156,'Weather Adj. Volumes'!E159)</f>
        <v>0</v>
      </c>
      <c r="F14" s="15">
        <f>F13-SUM('Weather Adj. Volumes'!F152:F154,'Weather Adj. Volumes'!F156,'Weather Adj. Volumes'!F159)</f>
        <v>0</v>
      </c>
      <c r="G14" s="15">
        <f>G13-SUM('Weather Adj. Volumes'!G152:G154,'Weather Adj. Volumes'!G156,'Weather Adj. Volumes'!G159)</f>
        <v>0</v>
      </c>
      <c r="H14" s="15">
        <f>H13-SUM('Weather Adj. Volumes'!H152:H154,'Weather Adj. Volumes'!H156,'Weather Adj. Volumes'!H159)</f>
        <v>0</v>
      </c>
      <c r="I14" s="15">
        <f>I13-SUM('Weather Adj. Volumes'!I152:I154,'Weather Adj. Volumes'!I156,'Weather Adj. Volumes'!I159)</f>
        <v>0</v>
      </c>
      <c r="J14" s="15">
        <f>J13-SUM('Weather Adj. Volumes'!J152:J154,'Weather Adj. Volumes'!J156,'Weather Adj. Volumes'!J159)</f>
        <v>0</v>
      </c>
      <c r="K14" s="15">
        <f>K13-SUM('Weather Adj. Volumes'!K152:K154,'Weather Adj. Volumes'!K156,'Weather Adj. Volumes'!K159)</f>
        <v>0</v>
      </c>
      <c r="L14" s="15">
        <f>L13-SUM('Weather Adj. Volumes'!L152:L154,'Weather Adj. Volumes'!L156,'Weather Adj. Volumes'!L159)</f>
        <v>0</v>
      </c>
      <c r="M14" s="15">
        <f>M13-SUM('Weather Adj. Volumes'!M152:M154,'Weather Adj. Volumes'!M156,'Weather Adj. Volumes'!M159)</f>
        <v>0</v>
      </c>
      <c r="N14" s="15">
        <f>N13-SUM('Weather Adj. Volumes'!N152:N154,'Weather Adj. Volumes'!N156,'Weather Adj. Volumes'!N159)</f>
        <v>0</v>
      </c>
      <c r="O14" s="15">
        <f>O13-SUM('Weather Adj. Volumes'!O152:O154,'Weather Adj. Volumes'!O156,'Weather Adj. Volumes'!O159)</f>
        <v>0</v>
      </c>
      <c r="P14" s="15">
        <f>P13-SUM('Weather Adj. Volumes'!P152:P154,'Weather Adj. Volumes'!P156,'Weather Adj. Volumes'!P159)</f>
        <v>0</v>
      </c>
    </row>
    <row r="15" spans="1:17" x14ac:dyDescent="0.2">
      <c r="C15" s="16"/>
    </row>
    <row r="16" spans="1:17" x14ac:dyDescent="0.2">
      <c r="A16" s="69" t="s">
        <v>17</v>
      </c>
      <c r="C16" s="16"/>
      <c r="D16" s="17"/>
      <c r="E16" s="17"/>
      <c r="F16" s="17"/>
      <c r="H16" s="17"/>
      <c r="I16" s="17"/>
      <c r="J16" s="17"/>
      <c r="P16" s="17"/>
    </row>
    <row r="17" spans="1:17" s="71" customFormat="1" x14ac:dyDescent="0.2">
      <c r="A17" s="71" t="s">
        <v>8</v>
      </c>
      <c r="C17" s="72">
        <v>85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 s="71" customFormat="1" x14ac:dyDescent="0.2">
      <c r="A18" s="14"/>
      <c r="B18" s="71" t="s">
        <v>18</v>
      </c>
      <c r="C18" s="72"/>
      <c r="D18" s="78">
        <v>5.6770000000000001E-2</v>
      </c>
      <c r="E18" s="78">
        <v>5.6770000000000001E-2</v>
      </c>
      <c r="F18" s="78">
        <v>5.6770000000000001E-2</v>
      </c>
      <c r="G18" s="78">
        <v>5.6770000000000001E-2</v>
      </c>
      <c r="H18" s="78">
        <v>5.6770000000000001E-2</v>
      </c>
      <c r="I18" s="78">
        <v>5.6770000000000001E-2</v>
      </c>
      <c r="J18" s="78">
        <v>5.6770000000000001E-2</v>
      </c>
      <c r="K18" s="78">
        <v>5.6770000000000001E-2</v>
      </c>
      <c r="L18" s="78">
        <v>5.6770000000000001E-2</v>
      </c>
      <c r="M18" s="78">
        <v>5.6770000000000001E-2</v>
      </c>
      <c r="N18" s="78">
        <v>5.6770000000000001E-2</v>
      </c>
      <c r="O18" s="78">
        <v>5.6770000000000001E-2</v>
      </c>
      <c r="P18" s="74"/>
      <c r="Q18" s="74"/>
    </row>
    <row r="19" spans="1:17" s="71" customFormat="1" x14ac:dyDescent="0.2">
      <c r="A19" s="14"/>
      <c r="B19" s="71" t="s">
        <v>19</v>
      </c>
      <c r="C19" s="72"/>
      <c r="D19" s="78">
        <v>1.8500000000000001E-3</v>
      </c>
      <c r="E19" s="78">
        <v>1.8500000000000001E-3</v>
      </c>
      <c r="F19" s="78">
        <v>1.8500000000000001E-3</v>
      </c>
      <c r="G19" s="78">
        <v>1.8500000000000001E-3</v>
      </c>
      <c r="H19" s="78">
        <v>5.1000000000000004E-4</v>
      </c>
      <c r="I19" s="78">
        <v>5.1000000000000004E-4</v>
      </c>
      <c r="J19" s="78">
        <v>5.1000000000000004E-4</v>
      </c>
      <c r="K19" s="78">
        <v>5.1000000000000004E-4</v>
      </c>
      <c r="L19" s="78">
        <v>5.1000000000000004E-4</v>
      </c>
      <c r="M19" s="78">
        <v>5.1000000000000004E-4</v>
      </c>
      <c r="N19" s="78">
        <v>5.1000000000000004E-4</v>
      </c>
      <c r="O19" s="78">
        <v>5.1000000000000004E-4</v>
      </c>
      <c r="P19" s="74"/>
      <c r="Q19" s="74"/>
    </row>
    <row r="20" spans="1:17" s="71" customFormat="1" x14ac:dyDescent="0.2">
      <c r="A20" s="14"/>
      <c r="B20" s="71" t="s">
        <v>20</v>
      </c>
      <c r="C20" s="72"/>
      <c r="D20" s="78">
        <v>0</v>
      </c>
      <c r="E20" s="78">
        <v>0</v>
      </c>
      <c r="F20" s="78">
        <v>0</v>
      </c>
      <c r="G20" s="78">
        <v>0</v>
      </c>
      <c r="H20" s="78">
        <v>3.2539999999999999E-2</v>
      </c>
      <c r="I20" s="78">
        <v>3.2539999999999999E-2</v>
      </c>
      <c r="J20" s="78">
        <v>3.2539999999999999E-2</v>
      </c>
      <c r="K20" s="78">
        <v>3.2539999999999999E-2</v>
      </c>
      <c r="L20" s="78">
        <v>3.2539999999999999E-2</v>
      </c>
      <c r="M20" s="78">
        <v>3.2539999999999999E-2</v>
      </c>
      <c r="N20" s="78">
        <v>3.2539999999999999E-2</v>
      </c>
      <c r="O20" s="78">
        <v>3.2539999999999999E-2</v>
      </c>
      <c r="P20" s="74"/>
      <c r="Q20" s="74"/>
    </row>
    <row r="21" spans="1:17" s="71" customFormat="1" x14ac:dyDescent="0.2">
      <c r="A21" s="14"/>
      <c r="B21" s="71" t="s">
        <v>21</v>
      </c>
      <c r="C21" s="72"/>
      <c r="D21" s="78">
        <v>-1.2800000000000001E-3</v>
      </c>
      <c r="E21" s="78">
        <v>-1.2800000000000001E-3</v>
      </c>
      <c r="F21" s="78">
        <v>-1.2800000000000001E-3</v>
      </c>
      <c r="G21" s="78">
        <v>-1.2800000000000001E-3</v>
      </c>
      <c r="H21" s="78">
        <v>-5.7000000000000009E-4</v>
      </c>
      <c r="I21" s="78">
        <v>-5.7000000000000009E-4</v>
      </c>
      <c r="J21" s="78">
        <v>-5.7000000000000009E-4</v>
      </c>
      <c r="K21" s="78">
        <v>-5.7000000000000009E-4</v>
      </c>
      <c r="L21" s="78">
        <v>-5.7000000000000009E-4</v>
      </c>
      <c r="M21" s="78">
        <v>-5.7000000000000009E-4</v>
      </c>
      <c r="N21" s="78">
        <v>-5.7000000000000009E-4</v>
      </c>
      <c r="O21" s="78">
        <v>4.4900000000000001E-3</v>
      </c>
      <c r="P21" s="74"/>
      <c r="Q21" s="74"/>
    </row>
    <row r="22" spans="1:17" s="71" customFormat="1" x14ac:dyDescent="0.2">
      <c r="A22" s="14"/>
      <c r="B22" s="71" t="s">
        <v>22</v>
      </c>
      <c r="C22" s="72"/>
      <c r="D22" s="78">
        <v>1.9390000000000001E-2</v>
      </c>
      <c r="E22" s="78">
        <v>1.9390000000000001E-2</v>
      </c>
      <c r="F22" s="78">
        <v>1.9390000000000001E-2</v>
      </c>
      <c r="G22" s="78">
        <v>1.9390000000000001E-2</v>
      </c>
      <c r="H22" s="78">
        <v>1.9390000000000001E-2</v>
      </c>
      <c r="I22" s="78">
        <v>1.9390000000000001E-2</v>
      </c>
      <c r="J22" s="78">
        <v>1.9390000000000001E-2</v>
      </c>
      <c r="K22" s="78">
        <v>1.9390000000000001E-2</v>
      </c>
      <c r="L22" s="78">
        <v>1.9390000000000001E-2</v>
      </c>
      <c r="M22" s="78">
        <v>1.9390000000000001E-2</v>
      </c>
      <c r="N22" s="78">
        <v>1.9390000000000001E-2</v>
      </c>
      <c r="O22" s="78">
        <v>1.434E-2</v>
      </c>
      <c r="P22" s="74"/>
      <c r="Q22" s="74"/>
    </row>
    <row r="23" spans="1:17" s="71" customFormat="1" x14ac:dyDescent="0.2">
      <c r="B23" s="14" t="s">
        <v>23</v>
      </c>
      <c r="C23" s="72"/>
      <c r="D23" s="79">
        <f t="shared" ref="D23:O23" si="3">SUM(D18:D22)</f>
        <v>7.6729999999999993E-2</v>
      </c>
      <c r="E23" s="79">
        <f t="shared" si="3"/>
        <v>7.6729999999999993E-2</v>
      </c>
      <c r="F23" s="79">
        <f t="shared" si="3"/>
        <v>7.6729999999999993E-2</v>
      </c>
      <c r="G23" s="79">
        <f t="shared" si="3"/>
        <v>7.6729999999999993E-2</v>
      </c>
      <c r="H23" s="79">
        <f t="shared" si="3"/>
        <v>0.10864</v>
      </c>
      <c r="I23" s="79">
        <f t="shared" si="3"/>
        <v>0.10864</v>
      </c>
      <c r="J23" s="79">
        <f t="shared" si="3"/>
        <v>0.10864</v>
      </c>
      <c r="K23" s="79">
        <f t="shared" si="3"/>
        <v>0.10864</v>
      </c>
      <c r="L23" s="79">
        <f t="shared" si="3"/>
        <v>0.10864</v>
      </c>
      <c r="M23" s="79">
        <f t="shared" si="3"/>
        <v>0.10864</v>
      </c>
      <c r="N23" s="79">
        <f t="shared" si="3"/>
        <v>0.10864</v>
      </c>
      <c r="O23" s="79">
        <f t="shared" si="3"/>
        <v>0.10865</v>
      </c>
      <c r="P23" s="74"/>
      <c r="Q23" s="74"/>
    </row>
    <row r="24" spans="1:17" s="71" customFormat="1" x14ac:dyDescent="0.2">
      <c r="C24" s="72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4"/>
      <c r="Q24" s="74"/>
    </row>
    <row r="25" spans="1:17" s="71" customFormat="1" x14ac:dyDescent="0.2">
      <c r="A25" s="14" t="s">
        <v>9</v>
      </c>
      <c r="C25" s="16" t="s">
        <v>10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4"/>
      <c r="Q25" s="74"/>
    </row>
    <row r="26" spans="1:17" s="71" customFormat="1" x14ac:dyDescent="0.2">
      <c r="A26" s="14"/>
      <c r="B26" s="71" t="s">
        <v>18</v>
      </c>
      <c r="C26" s="72"/>
      <c r="D26" s="78">
        <v>5.6770000000000001E-2</v>
      </c>
      <c r="E26" s="78">
        <v>5.6770000000000001E-2</v>
      </c>
      <c r="F26" s="78">
        <v>5.6770000000000001E-2</v>
      </c>
      <c r="G26" s="78">
        <v>5.6770000000000001E-2</v>
      </c>
      <c r="H26" s="78">
        <v>5.6770000000000001E-2</v>
      </c>
      <c r="I26" s="78">
        <v>5.6770000000000001E-2</v>
      </c>
      <c r="J26" s="78">
        <v>5.6770000000000001E-2</v>
      </c>
      <c r="K26" s="78">
        <v>5.6770000000000001E-2</v>
      </c>
      <c r="L26" s="78">
        <v>5.6770000000000001E-2</v>
      </c>
      <c r="M26" s="78">
        <v>5.6770000000000001E-2</v>
      </c>
      <c r="N26" s="78">
        <v>5.6770000000000001E-2</v>
      </c>
      <c r="O26" s="78">
        <v>5.6770000000000001E-2</v>
      </c>
      <c r="P26" s="74"/>
      <c r="Q26" s="74"/>
    </row>
    <row r="27" spans="1:17" s="71" customFormat="1" x14ac:dyDescent="0.2">
      <c r="A27" s="14"/>
      <c r="B27" s="71" t="s">
        <v>19</v>
      </c>
      <c r="C27" s="72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4"/>
      <c r="Q27" s="74"/>
    </row>
    <row r="28" spans="1:17" s="71" customFormat="1" x14ac:dyDescent="0.2">
      <c r="A28" s="14"/>
      <c r="B28" s="71" t="s">
        <v>20</v>
      </c>
      <c r="C28" s="72"/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4"/>
      <c r="Q28" s="74"/>
    </row>
    <row r="29" spans="1:17" s="71" customFormat="1" x14ac:dyDescent="0.2">
      <c r="A29" s="14"/>
      <c r="B29" s="71" t="s">
        <v>21</v>
      </c>
      <c r="C29" s="72"/>
      <c r="D29" s="78">
        <v>-1.2800000000000001E-3</v>
      </c>
      <c r="E29" s="78">
        <v>-1.2800000000000001E-3</v>
      </c>
      <c r="F29" s="78">
        <v>-1.2800000000000001E-3</v>
      </c>
      <c r="G29" s="78">
        <v>-1.2800000000000001E-3</v>
      </c>
      <c r="H29" s="78">
        <v>-1.2800000000000001E-3</v>
      </c>
      <c r="I29" s="78">
        <v>-1.2800000000000001E-3</v>
      </c>
      <c r="J29" s="78">
        <v>-1.2800000000000001E-3</v>
      </c>
      <c r="K29" s="78">
        <v>-1.2800000000000001E-3</v>
      </c>
      <c r="L29" s="78">
        <v>-1.2800000000000001E-3</v>
      </c>
      <c r="M29" s="78">
        <v>-1.2800000000000001E-3</v>
      </c>
      <c r="N29" s="78">
        <v>-1.2800000000000001E-3</v>
      </c>
      <c r="O29" s="78">
        <v>3.7799999999999999E-3</v>
      </c>
      <c r="P29" s="74"/>
      <c r="Q29" s="74"/>
    </row>
    <row r="30" spans="1:17" s="71" customFormat="1" x14ac:dyDescent="0.2">
      <c r="A30" s="14"/>
      <c r="B30" s="71" t="s">
        <v>22</v>
      </c>
      <c r="C30" s="72"/>
      <c r="D30" s="78">
        <v>1.9390000000000001E-2</v>
      </c>
      <c r="E30" s="78">
        <v>1.9390000000000001E-2</v>
      </c>
      <c r="F30" s="78">
        <v>1.9390000000000001E-2</v>
      </c>
      <c r="G30" s="78">
        <v>1.9390000000000001E-2</v>
      </c>
      <c r="H30" s="78">
        <v>1.9390000000000001E-2</v>
      </c>
      <c r="I30" s="78">
        <v>1.9390000000000001E-2</v>
      </c>
      <c r="J30" s="78">
        <v>1.9390000000000001E-2</v>
      </c>
      <c r="K30" s="78">
        <v>1.9390000000000001E-2</v>
      </c>
      <c r="L30" s="78">
        <v>1.9390000000000001E-2</v>
      </c>
      <c r="M30" s="78">
        <v>1.9390000000000001E-2</v>
      </c>
      <c r="N30" s="78">
        <v>1.9390000000000001E-2</v>
      </c>
      <c r="O30" s="78">
        <v>1.434E-2</v>
      </c>
      <c r="P30" s="74"/>
      <c r="Q30" s="74"/>
    </row>
    <row r="31" spans="1:17" s="71" customFormat="1" x14ac:dyDescent="0.2">
      <c r="B31" s="14" t="s">
        <v>23</v>
      </c>
      <c r="C31" s="72"/>
      <c r="D31" s="79">
        <f t="shared" ref="D31:O31" si="4">SUM(D26:D30)</f>
        <v>7.4880000000000002E-2</v>
      </c>
      <c r="E31" s="79">
        <f t="shared" si="4"/>
        <v>7.4880000000000002E-2</v>
      </c>
      <c r="F31" s="79">
        <f t="shared" si="4"/>
        <v>7.4880000000000002E-2</v>
      </c>
      <c r="G31" s="79">
        <f t="shared" si="4"/>
        <v>7.4880000000000002E-2</v>
      </c>
      <c r="H31" s="79">
        <f t="shared" si="4"/>
        <v>7.4880000000000002E-2</v>
      </c>
      <c r="I31" s="79">
        <f t="shared" si="4"/>
        <v>7.4880000000000002E-2</v>
      </c>
      <c r="J31" s="79">
        <f t="shared" si="4"/>
        <v>7.4880000000000002E-2</v>
      </c>
      <c r="K31" s="79">
        <f t="shared" si="4"/>
        <v>7.4880000000000002E-2</v>
      </c>
      <c r="L31" s="79">
        <f t="shared" si="4"/>
        <v>7.4880000000000002E-2</v>
      </c>
      <c r="M31" s="79">
        <f t="shared" si="4"/>
        <v>7.4880000000000002E-2</v>
      </c>
      <c r="N31" s="79">
        <f t="shared" si="4"/>
        <v>7.4880000000000002E-2</v>
      </c>
      <c r="O31" s="79">
        <f t="shared" si="4"/>
        <v>7.4889999999999998E-2</v>
      </c>
      <c r="P31" s="74"/>
      <c r="Q31" s="74"/>
    </row>
    <row r="32" spans="1:17" s="71" customFormat="1" x14ac:dyDescent="0.2">
      <c r="A32" s="14"/>
      <c r="C32" s="16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4"/>
    </row>
    <row r="33" spans="1:17" s="71" customFormat="1" x14ac:dyDescent="0.2">
      <c r="A33" s="71" t="s">
        <v>11</v>
      </c>
      <c r="C33" s="72">
        <v>87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4"/>
    </row>
    <row r="34" spans="1:17" s="71" customFormat="1" x14ac:dyDescent="0.2">
      <c r="A34" s="14"/>
      <c r="B34" s="71" t="s">
        <v>18</v>
      </c>
      <c r="C34" s="72"/>
      <c r="D34" s="78">
        <v>2.4830000000000001E-2</v>
      </c>
      <c r="E34" s="78">
        <v>2.4830000000000001E-2</v>
      </c>
      <c r="F34" s="78">
        <v>2.4830000000000001E-2</v>
      </c>
      <c r="G34" s="78">
        <v>2.4830000000000001E-2</v>
      </c>
      <c r="H34" s="78">
        <v>2.4830000000000001E-2</v>
      </c>
      <c r="I34" s="78">
        <v>2.4830000000000001E-2</v>
      </c>
      <c r="J34" s="78">
        <v>2.4830000000000001E-2</v>
      </c>
      <c r="K34" s="78">
        <v>2.4830000000000001E-2</v>
      </c>
      <c r="L34" s="78">
        <v>2.4830000000000001E-2</v>
      </c>
      <c r="M34" s="78">
        <v>2.4830000000000001E-2</v>
      </c>
      <c r="N34" s="78">
        <v>2.4830000000000001E-2</v>
      </c>
      <c r="O34" s="78">
        <v>2.4830000000000001E-2</v>
      </c>
      <c r="P34" s="74"/>
    </row>
    <row r="35" spans="1:17" s="71" customFormat="1" x14ac:dyDescent="0.2">
      <c r="A35" s="14"/>
      <c r="B35" s="71" t="s">
        <v>19</v>
      </c>
      <c r="C35" s="72"/>
      <c r="D35" s="78">
        <v>1.1E-4</v>
      </c>
      <c r="E35" s="78">
        <v>1.1E-4</v>
      </c>
      <c r="F35" s="78">
        <v>1.1E-4</v>
      </c>
      <c r="G35" s="78">
        <v>1.1E-4</v>
      </c>
      <c r="H35" s="78">
        <v>3.0000000000000001E-5</v>
      </c>
      <c r="I35" s="78">
        <v>3.0000000000000001E-5</v>
      </c>
      <c r="J35" s="78">
        <v>3.0000000000000001E-5</v>
      </c>
      <c r="K35" s="78">
        <v>3.0000000000000001E-5</v>
      </c>
      <c r="L35" s="78">
        <v>3.0000000000000001E-5</v>
      </c>
      <c r="M35" s="78">
        <v>3.0000000000000001E-5</v>
      </c>
      <c r="N35" s="78">
        <v>3.0000000000000001E-5</v>
      </c>
      <c r="O35" s="78">
        <v>3.0000000000000001E-5</v>
      </c>
      <c r="P35" s="74"/>
    </row>
    <row r="36" spans="1:17" s="71" customFormat="1" x14ac:dyDescent="0.2">
      <c r="A36" s="14"/>
      <c r="B36" s="71" t="s">
        <v>20</v>
      </c>
      <c r="C36" s="72"/>
      <c r="D36" s="78">
        <v>0</v>
      </c>
      <c r="E36" s="78">
        <v>0</v>
      </c>
      <c r="F36" s="78">
        <v>0</v>
      </c>
      <c r="G36" s="78">
        <v>0</v>
      </c>
      <c r="H36" s="78">
        <v>2.7799999999999999E-3</v>
      </c>
      <c r="I36" s="78">
        <v>2.7799999999999999E-3</v>
      </c>
      <c r="J36" s="78">
        <v>2.7799999999999999E-3</v>
      </c>
      <c r="K36" s="78">
        <v>2.7799999999999999E-3</v>
      </c>
      <c r="L36" s="78">
        <v>2.7799999999999999E-3</v>
      </c>
      <c r="M36" s="78">
        <v>2.7799999999999999E-3</v>
      </c>
      <c r="N36" s="78">
        <v>2.7799999999999999E-3</v>
      </c>
      <c r="O36" s="78">
        <v>2.7799999999999999E-3</v>
      </c>
      <c r="P36" s="74"/>
    </row>
    <row r="37" spans="1:17" s="71" customFormat="1" x14ac:dyDescent="0.2">
      <c r="A37" s="14"/>
      <c r="B37" s="71" t="s">
        <v>21</v>
      </c>
      <c r="C37" s="72"/>
      <c r="D37" s="78">
        <v>-6.9999999999999994E-5</v>
      </c>
      <c r="E37" s="78">
        <v>-6.9999999999999994E-5</v>
      </c>
      <c r="F37" s="78">
        <v>-6.9999999999999994E-5</v>
      </c>
      <c r="G37" s="78">
        <v>-6.9999999999999994E-5</v>
      </c>
      <c r="H37" s="78">
        <v>-2.9999999999999991E-5</v>
      </c>
      <c r="I37" s="78">
        <v>-2.9999999999999991E-5</v>
      </c>
      <c r="J37" s="78">
        <v>-2.9999999999999991E-5</v>
      </c>
      <c r="K37" s="78">
        <v>-2.9999999999999991E-5</v>
      </c>
      <c r="L37" s="78">
        <v>-2.9999999999999991E-5</v>
      </c>
      <c r="M37" s="78">
        <v>-2.9999999999999991E-5</v>
      </c>
      <c r="N37" s="78">
        <v>-2.9999999999999991E-5</v>
      </c>
      <c r="O37" s="78">
        <v>2.6000000000000003E-4</v>
      </c>
      <c r="P37" s="74"/>
    </row>
    <row r="38" spans="1:17" s="71" customFormat="1" x14ac:dyDescent="0.2">
      <c r="A38" s="14"/>
      <c r="B38" s="71" t="s">
        <v>22</v>
      </c>
      <c r="C38" s="72"/>
      <c r="D38" s="78">
        <v>1.1299999999999999E-3</v>
      </c>
      <c r="E38" s="78">
        <v>1.1299999999999999E-3</v>
      </c>
      <c r="F38" s="78">
        <v>1.1299999999999999E-3</v>
      </c>
      <c r="G38" s="78">
        <v>1.1299999999999999E-3</v>
      </c>
      <c r="H38" s="78">
        <v>1.1299999999999999E-3</v>
      </c>
      <c r="I38" s="78">
        <v>1.1299999999999999E-3</v>
      </c>
      <c r="J38" s="78">
        <v>1.1299999999999999E-3</v>
      </c>
      <c r="K38" s="78">
        <v>1.1299999999999999E-3</v>
      </c>
      <c r="L38" s="78">
        <v>1.1299999999999999E-3</v>
      </c>
      <c r="M38" s="78">
        <v>1.1299999999999999E-3</v>
      </c>
      <c r="N38" s="78">
        <v>1.1299999999999999E-3</v>
      </c>
      <c r="O38" s="78">
        <v>8.3000000000000001E-4</v>
      </c>
      <c r="P38" s="74"/>
    </row>
    <row r="39" spans="1:17" s="71" customFormat="1" x14ac:dyDescent="0.2">
      <c r="B39" s="14" t="s">
        <v>23</v>
      </c>
      <c r="C39" s="72"/>
      <c r="D39" s="79">
        <f t="shared" ref="D39:O39" si="5">SUM(D34:D38)</f>
        <v>2.5999999999999999E-2</v>
      </c>
      <c r="E39" s="79">
        <f t="shared" si="5"/>
        <v>2.5999999999999999E-2</v>
      </c>
      <c r="F39" s="79">
        <f t="shared" si="5"/>
        <v>2.5999999999999999E-2</v>
      </c>
      <c r="G39" s="79">
        <f t="shared" si="5"/>
        <v>2.5999999999999999E-2</v>
      </c>
      <c r="H39" s="79">
        <f t="shared" si="5"/>
        <v>2.8740000000000002E-2</v>
      </c>
      <c r="I39" s="79">
        <f t="shared" si="5"/>
        <v>2.8740000000000002E-2</v>
      </c>
      <c r="J39" s="79">
        <f t="shared" si="5"/>
        <v>2.8740000000000002E-2</v>
      </c>
      <c r="K39" s="79">
        <f t="shared" si="5"/>
        <v>2.8740000000000002E-2</v>
      </c>
      <c r="L39" s="79">
        <f t="shared" si="5"/>
        <v>2.8740000000000002E-2</v>
      </c>
      <c r="M39" s="79">
        <f t="shared" si="5"/>
        <v>2.8740000000000002E-2</v>
      </c>
      <c r="N39" s="79">
        <f t="shared" si="5"/>
        <v>2.8740000000000002E-2</v>
      </c>
      <c r="O39" s="79">
        <f t="shared" si="5"/>
        <v>2.8730000000000002E-2</v>
      </c>
      <c r="P39" s="74"/>
      <c r="Q39" s="74"/>
    </row>
    <row r="40" spans="1:17" s="71" customFormat="1" x14ac:dyDescent="0.2">
      <c r="A40" s="14"/>
      <c r="C40" s="16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4"/>
      <c r="Q40" s="74"/>
    </row>
    <row r="41" spans="1:17" s="71" customFormat="1" x14ac:dyDescent="0.2">
      <c r="A41" s="14" t="s">
        <v>12</v>
      </c>
      <c r="C41" s="16" t="s">
        <v>13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4"/>
      <c r="Q41" s="74"/>
    </row>
    <row r="42" spans="1:17" s="71" customFormat="1" x14ac:dyDescent="0.2">
      <c r="A42" s="14"/>
      <c r="B42" s="71" t="s">
        <v>18</v>
      </c>
      <c r="C42" s="72"/>
      <c r="D42" s="78">
        <v>2.4830000000000001E-2</v>
      </c>
      <c r="E42" s="78">
        <v>2.4830000000000001E-2</v>
      </c>
      <c r="F42" s="78">
        <v>2.4830000000000001E-2</v>
      </c>
      <c r="G42" s="78">
        <v>2.4830000000000001E-2</v>
      </c>
      <c r="H42" s="78">
        <v>2.4830000000000001E-2</v>
      </c>
      <c r="I42" s="78">
        <v>2.4830000000000001E-2</v>
      </c>
      <c r="J42" s="78">
        <v>2.4830000000000001E-2</v>
      </c>
      <c r="K42" s="78">
        <v>2.4830000000000001E-2</v>
      </c>
      <c r="L42" s="78">
        <v>2.4830000000000001E-2</v>
      </c>
      <c r="M42" s="78">
        <v>2.4830000000000001E-2</v>
      </c>
      <c r="N42" s="78">
        <v>2.4830000000000001E-2</v>
      </c>
      <c r="O42" s="78">
        <v>2.4830000000000001E-2</v>
      </c>
      <c r="P42" s="74"/>
      <c r="Q42" s="74"/>
    </row>
    <row r="43" spans="1:17" s="71" customFormat="1" x14ac:dyDescent="0.2">
      <c r="A43" s="14"/>
      <c r="B43" s="71" t="s">
        <v>19</v>
      </c>
      <c r="C43" s="72"/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4"/>
      <c r="Q43" s="74"/>
    </row>
    <row r="44" spans="1:17" s="71" customFormat="1" x14ac:dyDescent="0.2">
      <c r="A44" s="14"/>
      <c r="B44" s="71" t="s">
        <v>20</v>
      </c>
      <c r="C44" s="72"/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4"/>
      <c r="Q44" s="74"/>
    </row>
    <row r="45" spans="1:17" s="71" customFormat="1" x14ac:dyDescent="0.2">
      <c r="A45" s="14"/>
      <c r="B45" s="71" t="s">
        <v>21</v>
      </c>
      <c r="C45" s="72"/>
      <c r="D45" s="78">
        <v>-6.9999999999999994E-5</v>
      </c>
      <c r="E45" s="78">
        <v>-6.9999999999999994E-5</v>
      </c>
      <c r="F45" s="78">
        <v>-6.9999999999999994E-5</v>
      </c>
      <c r="G45" s="78">
        <v>-6.9999999999999994E-5</v>
      </c>
      <c r="H45" s="78">
        <v>-6.9999999999999994E-5</v>
      </c>
      <c r="I45" s="78">
        <v>-6.9999999999999994E-5</v>
      </c>
      <c r="J45" s="78">
        <v>-6.9999999999999994E-5</v>
      </c>
      <c r="K45" s="78">
        <v>-6.9999999999999994E-5</v>
      </c>
      <c r="L45" s="78">
        <v>-6.9999999999999994E-5</v>
      </c>
      <c r="M45" s="78">
        <v>-6.9999999999999994E-5</v>
      </c>
      <c r="N45" s="78">
        <v>-6.9999999999999994E-5</v>
      </c>
      <c r="O45" s="78">
        <v>2.2000000000000001E-4</v>
      </c>
      <c r="P45" s="74"/>
      <c r="Q45" s="74"/>
    </row>
    <row r="46" spans="1:17" s="71" customFormat="1" x14ac:dyDescent="0.2">
      <c r="A46" s="14"/>
      <c r="B46" s="71" t="s">
        <v>22</v>
      </c>
      <c r="C46" s="72"/>
      <c r="D46" s="78">
        <v>1.1299999999999999E-3</v>
      </c>
      <c r="E46" s="78">
        <v>1.1299999999999999E-3</v>
      </c>
      <c r="F46" s="78">
        <v>1.1299999999999999E-3</v>
      </c>
      <c r="G46" s="78">
        <v>1.1299999999999999E-3</v>
      </c>
      <c r="H46" s="78">
        <v>1.1299999999999999E-3</v>
      </c>
      <c r="I46" s="78">
        <v>1.1299999999999999E-3</v>
      </c>
      <c r="J46" s="78">
        <v>1.1299999999999999E-3</v>
      </c>
      <c r="K46" s="78">
        <v>1.1299999999999999E-3</v>
      </c>
      <c r="L46" s="78">
        <v>1.1299999999999999E-3</v>
      </c>
      <c r="M46" s="78">
        <v>1.1299999999999999E-3</v>
      </c>
      <c r="N46" s="78">
        <v>1.1299999999999999E-3</v>
      </c>
      <c r="O46" s="78">
        <v>8.3000000000000001E-4</v>
      </c>
      <c r="P46" s="74"/>
      <c r="Q46" s="74"/>
    </row>
    <row r="47" spans="1:17" s="71" customFormat="1" x14ac:dyDescent="0.2">
      <c r="B47" s="14" t="s">
        <v>23</v>
      </c>
      <c r="C47" s="72"/>
      <c r="D47" s="79">
        <f t="shared" ref="D47:O47" si="6">SUM(D42:D46)</f>
        <v>2.589E-2</v>
      </c>
      <c r="E47" s="79">
        <f t="shared" si="6"/>
        <v>2.589E-2</v>
      </c>
      <c r="F47" s="79">
        <f t="shared" si="6"/>
        <v>2.589E-2</v>
      </c>
      <c r="G47" s="79">
        <f t="shared" si="6"/>
        <v>2.589E-2</v>
      </c>
      <c r="H47" s="79">
        <f t="shared" si="6"/>
        <v>2.589E-2</v>
      </c>
      <c r="I47" s="79">
        <f t="shared" si="6"/>
        <v>2.589E-2</v>
      </c>
      <c r="J47" s="79">
        <f t="shared" si="6"/>
        <v>2.589E-2</v>
      </c>
      <c r="K47" s="79">
        <f t="shared" si="6"/>
        <v>2.589E-2</v>
      </c>
      <c r="L47" s="79">
        <f t="shared" si="6"/>
        <v>2.589E-2</v>
      </c>
      <c r="M47" s="79">
        <f t="shared" si="6"/>
        <v>2.589E-2</v>
      </c>
      <c r="N47" s="79">
        <f t="shared" si="6"/>
        <v>2.589E-2</v>
      </c>
      <c r="O47" s="79">
        <f t="shared" si="6"/>
        <v>2.5880000000000004E-2</v>
      </c>
      <c r="P47" s="74"/>
      <c r="Q47" s="74"/>
    </row>
    <row r="48" spans="1:17" s="71" customFormat="1" x14ac:dyDescent="0.2">
      <c r="A48" s="14"/>
      <c r="C48" s="16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1:17" s="71" customFormat="1" x14ac:dyDescent="0.2">
      <c r="A49" s="14"/>
      <c r="C49" s="16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1:17" x14ac:dyDescent="0.2">
      <c r="A50" s="69" t="s">
        <v>24</v>
      </c>
      <c r="C50" s="16"/>
    </row>
    <row r="51" spans="1:17" s="71" customFormat="1" x14ac:dyDescent="0.2">
      <c r="B51" s="71" t="s">
        <v>8</v>
      </c>
      <c r="C51" s="72">
        <v>85</v>
      </c>
      <c r="D51" s="80">
        <f t="shared" ref="D51:O51" si="7">D8*D23</f>
        <v>-8468.2110399664161</v>
      </c>
      <c r="E51" s="80">
        <f t="shared" si="7"/>
        <v>538.37784723426057</v>
      </c>
      <c r="F51" s="80">
        <f t="shared" si="7"/>
        <v>-2056.4727062556276</v>
      </c>
      <c r="G51" s="80">
        <f t="shared" si="7"/>
        <v>-4309.2470193129966</v>
      </c>
      <c r="H51" s="80">
        <f>H8*(10/31)*G23+H8*(21/31)*H23</f>
        <v>-8328.500062438332</v>
      </c>
      <c r="I51" s="80">
        <f t="shared" si="7"/>
        <v>0</v>
      </c>
      <c r="J51" s="80">
        <f t="shared" si="7"/>
        <v>0</v>
      </c>
      <c r="K51" s="80">
        <f t="shared" si="7"/>
        <v>0</v>
      </c>
      <c r="L51" s="80">
        <f t="shared" si="7"/>
        <v>0</v>
      </c>
      <c r="M51" s="80">
        <f t="shared" si="7"/>
        <v>-1428.4950312069218</v>
      </c>
      <c r="N51" s="80">
        <f t="shared" si="7"/>
        <v>-5113.2798435761979</v>
      </c>
      <c r="O51" s="80">
        <f t="shared" si="7"/>
        <v>6069.6212491398837</v>
      </c>
      <c r="P51" s="80">
        <f t="shared" ref="P51:P55" si="8">SUM(D51:O51)</f>
        <v>-23096.206606382348</v>
      </c>
      <c r="Q51" s="74"/>
    </row>
    <row r="52" spans="1:17" s="71" customFormat="1" x14ac:dyDescent="0.2">
      <c r="B52" s="14" t="s">
        <v>9</v>
      </c>
      <c r="C52" s="16" t="s">
        <v>10</v>
      </c>
      <c r="D52" s="80">
        <f t="shared" ref="D52:O52" si="9">D9*D31</f>
        <v>-2693.8303546190518</v>
      </c>
      <c r="E52" s="80">
        <f t="shared" si="9"/>
        <v>118.02020080032662</v>
      </c>
      <c r="F52" s="80">
        <f t="shared" si="9"/>
        <v>-603.49342710384963</v>
      </c>
      <c r="G52" s="80">
        <f t="shared" si="9"/>
        <v>-1072.0114661692796</v>
      </c>
      <c r="H52" s="80">
        <f>H9*(10/31)*G31+H9*(21/31)*H31</f>
        <v>-1462.6726082841606</v>
      </c>
      <c r="I52" s="80">
        <f t="shared" si="9"/>
        <v>0</v>
      </c>
      <c r="J52" s="80">
        <f t="shared" si="9"/>
        <v>0</v>
      </c>
      <c r="K52" s="80">
        <f t="shared" si="9"/>
        <v>0</v>
      </c>
      <c r="L52" s="80">
        <f t="shared" si="9"/>
        <v>0</v>
      </c>
      <c r="M52" s="80">
        <f t="shared" si="9"/>
        <v>-276.13827695999714</v>
      </c>
      <c r="N52" s="80">
        <f t="shared" si="9"/>
        <v>-939.39520234562701</v>
      </c>
      <c r="O52" s="80">
        <f t="shared" si="9"/>
        <v>1089.9748820220584</v>
      </c>
      <c r="P52" s="80">
        <f t="shared" si="8"/>
        <v>-5839.5462526595802</v>
      </c>
      <c r="Q52" s="74"/>
    </row>
    <row r="53" spans="1:17" s="71" customFormat="1" x14ac:dyDescent="0.2">
      <c r="B53" s="71" t="s">
        <v>11</v>
      </c>
      <c r="C53" s="72">
        <v>87</v>
      </c>
      <c r="D53" s="80">
        <f>D10*D39</f>
        <v>-2994.7712722200022</v>
      </c>
      <c r="E53" s="80">
        <f t="shared" ref="E53:O53" si="10">E10*E39</f>
        <v>207.09436878000153</v>
      </c>
      <c r="F53" s="80">
        <f t="shared" si="10"/>
        <v>-728.11891529001298</v>
      </c>
      <c r="G53" s="80">
        <f t="shared" si="10"/>
        <v>-1609.9945605466487</v>
      </c>
      <c r="H53" s="80">
        <f>H10*(10/31)*G39+H10*(21/31)*H39</f>
        <v>-2172.0547837470958</v>
      </c>
      <c r="I53" s="80">
        <f t="shared" si="10"/>
        <v>0</v>
      </c>
      <c r="J53" s="80">
        <f t="shared" si="10"/>
        <v>0</v>
      </c>
      <c r="K53" s="80">
        <f t="shared" si="10"/>
        <v>0</v>
      </c>
      <c r="L53" s="80">
        <f t="shared" si="10"/>
        <v>0</v>
      </c>
      <c r="M53" s="80">
        <f t="shared" si="10"/>
        <v>-358.30426144200862</v>
      </c>
      <c r="N53" s="80">
        <f t="shared" si="10"/>
        <v>-1381.9234910893128</v>
      </c>
      <c r="O53" s="80">
        <f t="shared" si="10"/>
        <v>1323.9901082732868</v>
      </c>
      <c r="P53" s="80">
        <f t="shared" si="8"/>
        <v>-7714.0828072817931</v>
      </c>
      <c r="Q53" s="74"/>
    </row>
    <row r="54" spans="1:17" s="71" customFormat="1" x14ac:dyDescent="0.2">
      <c r="B54" s="14" t="s">
        <v>12</v>
      </c>
      <c r="C54" s="16" t="s">
        <v>13</v>
      </c>
      <c r="D54" s="80">
        <f t="shared" ref="D54:O54" si="11">D11*D47</f>
        <v>-3673.7794359078803</v>
      </c>
      <c r="E54" s="80">
        <f t="shared" si="11"/>
        <v>365.98763017005388</v>
      </c>
      <c r="F54" s="80">
        <f t="shared" si="11"/>
        <v>-1295.0117189999753</v>
      </c>
      <c r="G54" s="80">
        <f t="shared" si="11"/>
        <v>-2817.9088118098539</v>
      </c>
      <c r="H54" s="80">
        <f>H11*(10/31)*G47+H11*(21/31)*H47</f>
        <v>-4001.3391110958819</v>
      </c>
      <c r="I54" s="80">
        <f t="shared" si="11"/>
        <v>-1497.2521020913894</v>
      </c>
      <c r="J54" s="80">
        <f t="shared" si="11"/>
        <v>0</v>
      </c>
      <c r="K54" s="80">
        <f t="shared" si="11"/>
        <v>0</v>
      </c>
      <c r="L54" s="80">
        <f t="shared" si="11"/>
        <v>0</v>
      </c>
      <c r="M54" s="80">
        <f t="shared" si="11"/>
        <v>-597.11843532916635</v>
      </c>
      <c r="N54" s="80">
        <f t="shared" si="11"/>
        <v>-2199.8234246302377</v>
      </c>
      <c r="O54" s="80">
        <f t="shared" si="11"/>
        <v>2925.9341283577728</v>
      </c>
      <c r="P54" s="80">
        <f t="shared" si="8"/>
        <v>-12790.311281336561</v>
      </c>
      <c r="Q54" s="74"/>
    </row>
    <row r="55" spans="1:17" s="75" customFormat="1" x14ac:dyDescent="0.2">
      <c r="B55" s="75" t="s">
        <v>14</v>
      </c>
      <c r="C55" s="19" t="s">
        <v>15</v>
      </c>
      <c r="D55" s="81">
        <v>-1696.2894527921819</v>
      </c>
      <c r="E55" s="81">
        <v>121.52987803530078</v>
      </c>
      <c r="F55" s="81">
        <v>-412.44802780860726</v>
      </c>
      <c r="G55" s="81">
        <v>-887.18101463249536</v>
      </c>
      <c r="H55" s="81">
        <v>-1082.6102676878936</v>
      </c>
      <c r="I55" s="81">
        <v>0</v>
      </c>
      <c r="J55" s="81">
        <v>0</v>
      </c>
      <c r="K55" s="81">
        <v>0</v>
      </c>
      <c r="L55" s="81">
        <v>0</v>
      </c>
      <c r="M55" s="81">
        <v>-213.01344309000677</v>
      </c>
      <c r="N55" s="81">
        <v>-777.4893132153087</v>
      </c>
      <c r="O55" s="81">
        <v>840.52860728339124</v>
      </c>
      <c r="P55" s="81">
        <f t="shared" si="8"/>
        <v>-4106.9730339078014</v>
      </c>
      <c r="Q55" s="77"/>
    </row>
    <row r="56" spans="1:17" x14ac:dyDescent="0.2">
      <c r="B56" s="14" t="s">
        <v>6</v>
      </c>
      <c r="D56" s="20">
        <f t="shared" ref="D56:P56" si="12">SUM(D51:D55)</f>
        <v>-19526.88155550553</v>
      </c>
      <c r="E56" s="20">
        <f t="shared" si="12"/>
        <v>1351.0099250199435</v>
      </c>
      <c r="F56" s="20">
        <f t="shared" si="12"/>
        <v>-5095.5447954580732</v>
      </c>
      <c r="G56" s="20">
        <f t="shared" si="12"/>
        <v>-10696.342872471274</v>
      </c>
      <c r="H56" s="20">
        <f t="shared" si="12"/>
        <v>-17047.176833253361</v>
      </c>
      <c r="I56" s="20">
        <f t="shared" si="12"/>
        <v>-1497.2521020913894</v>
      </c>
      <c r="J56" s="20">
        <f t="shared" si="12"/>
        <v>0</v>
      </c>
      <c r="K56" s="20">
        <f t="shared" si="12"/>
        <v>0</v>
      </c>
      <c r="L56" s="20">
        <f t="shared" si="12"/>
        <v>0</v>
      </c>
      <c r="M56" s="20">
        <f t="shared" si="12"/>
        <v>-2873.0694480281009</v>
      </c>
      <c r="N56" s="20">
        <f t="shared" si="12"/>
        <v>-10411.911274856684</v>
      </c>
      <c r="O56" s="20">
        <f t="shared" si="12"/>
        <v>12250.048975076394</v>
      </c>
      <c r="P56" s="20">
        <f t="shared" si="12"/>
        <v>-53547.119981568081</v>
      </c>
    </row>
    <row r="57" spans="1:17" x14ac:dyDescent="0.2">
      <c r="B57" s="14" t="s">
        <v>16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</row>
    <row r="64" spans="1:17" x14ac:dyDescent="0.2">
      <c r="B64" s="71"/>
      <c r="C64" s="83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4" orientation="landscape" r:id="rId1"/>
  <headerFooter>
    <oddFooter>&amp;C    Page &amp;P of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306"/>
  <sheetViews>
    <sheetView zoomScale="90" zoomScaleNormal="90" workbookViewId="0">
      <pane ySplit="6" topLeftCell="A7" activePane="bottomLeft" state="frozen"/>
      <selection activeCell="H59" sqref="H59"/>
      <selection pane="bottomLeft" activeCell="G266" sqref="G266"/>
    </sheetView>
  </sheetViews>
  <sheetFormatPr defaultColWidth="9.140625" defaultRowHeight="12.75" x14ac:dyDescent="0.2"/>
  <cols>
    <col min="1" max="1" width="2.28515625" style="2" customWidth="1"/>
    <col min="2" max="2" width="41.5703125" style="2" customWidth="1"/>
    <col min="3" max="3" width="9.85546875" style="2" bestFit="1" customWidth="1"/>
    <col min="4" max="9" width="12.85546875" style="2" bestFit="1" customWidth="1"/>
    <col min="10" max="12" width="11" style="2" bestFit="1" customWidth="1"/>
    <col min="13" max="15" width="12.85546875" style="2" bestFit="1" customWidth="1"/>
    <col min="16" max="16" width="13.5703125" style="2" bestFit="1" customWidth="1"/>
    <col min="17" max="17" width="12.7109375" style="2" customWidth="1"/>
    <col min="18" max="18" width="12.42578125" style="2" bestFit="1" customWidth="1"/>
    <col min="19" max="19" width="9.140625" style="2"/>
    <col min="20" max="20" width="13.42578125" style="2" bestFit="1" customWidth="1"/>
    <col min="21" max="16384" width="9.140625" style="2"/>
  </cols>
  <sheetData>
    <row r="1" spans="2:19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9" x14ac:dyDescent="0.2">
      <c r="B2" s="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9" x14ac:dyDescent="0.2">
      <c r="B3" s="1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9" x14ac:dyDescent="0.2"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9" x14ac:dyDescent="0.2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9" ht="12.75" customHeight="1" x14ac:dyDescent="0.2">
      <c r="B6" s="4" t="s">
        <v>4</v>
      </c>
      <c r="C6" s="4" t="s">
        <v>5</v>
      </c>
      <c r="D6" s="5">
        <v>45292</v>
      </c>
      <c r="E6" s="5">
        <f>EDATE(D6,1)</f>
        <v>45323</v>
      </c>
      <c r="F6" s="5">
        <f t="shared" ref="F6:O6" si="0">EDATE(E6,1)</f>
        <v>45352</v>
      </c>
      <c r="G6" s="5">
        <f t="shared" si="0"/>
        <v>45383</v>
      </c>
      <c r="H6" s="5">
        <f t="shared" si="0"/>
        <v>45413</v>
      </c>
      <c r="I6" s="5">
        <f t="shared" si="0"/>
        <v>45444</v>
      </c>
      <c r="J6" s="5">
        <f t="shared" si="0"/>
        <v>45474</v>
      </c>
      <c r="K6" s="5">
        <f t="shared" si="0"/>
        <v>45505</v>
      </c>
      <c r="L6" s="5">
        <f t="shared" si="0"/>
        <v>45536</v>
      </c>
      <c r="M6" s="5">
        <f t="shared" si="0"/>
        <v>45566</v>
      </c>
      <c r="N6" s="5">
        <f t="shared" si="0"/>
        <v>45597</v>
      </c>
      <c r="O6" s="5">
        <f t="shared" si="0"/>
        <v>45627</v>
      </c>
      <c r="P6" s="6" t="s">
        <v>6</v>
      </c>
      <c r="Q6" s="7"/>
    </row>
    <row r="7" spans="2:19" ht="12.75" customHeight="1" x14ac:dyDescent="0.2">
      <c r="B7" s="22" t="s">
        <v>26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2:19" s="9" customFormat="1" ht="12.75" customHeight="1" x14ac:dyDescent="0.2">
      <c r="B8" s="9" t="s">
        <v>27</v>
      </c>
      <c r="C8" s="25">
        <v>16</v>
      </c>
      <c r="D8" s="18">
        <v>513</v>
      </c>
      <c r="E8" s="18">
        <v>513</v>
      </c>
      <c r="F8" s="18">
        <v>513</v>
      </c>
      <c r="G8" s="18">
        <v>513</v>
      </c>
      <c r="H8" s="18">
        <v>513</v>
      </c>
      <c r="I8" s="18">
        <v>513</v>
      </c>
      <c r="J8" s="18">
        <v>513</v>
      </c>
      <c r="K8" s="18">
        <v>513</v>
      </c>
      <c r="L8" s="18">
        <v>513</v>
      </c>
      <c r="M8" s="18">
        <v>513</v>
      </c>
      <c r="N8" s="18">
        <v>513</v>
      </c>
      <c r="O8" s="18">
        <v>513</v>
      </c>
      <c r="P8" s="10">
        <f>SUM(D8:O8)</f>
        <v>6156</v>
      </c>
      <c r="Q8" s="10"/>
      <c r="S8" s="10"/>
    </row>
    <row r="9" spans="2:19" s="9" customFormat="1" ht="12.75" customHeight="1" x14ac:dyDescent="0.2">
      <c r="B9" s="9" t="s">
        <v>28</v>
      </c>
      <c r="C9" s="9">
        <v>23</v>
      </c>
      <c r="D9" s="18">
        <v>95630408.852479085</v>
      </c>
      <c r="E9" s="18">
        <v>74576610.241640478</v>
      </c>
      <c r="F9" s="18">
        <v>77715214.362000003</v>
      </c>
      <c r="G9" s="18">
        <v>49321840.979012318</v>
      </c>
      <c r="H9" s="18">
        <v>33711817.278244749</v>
      </c>
      <c r="I9" s="18">
        <v>28313485.307</v>
      </c>
      <c r="J9" s="18">
        <v>12731446.128610991</v>
      </c>
      <c r="K9" s="18">
        <v>13627113.760545392</v>
      </c>
      <c r="L9" s="18">
        <v>17242273.942993231</v>
      </c>
      <c r="M9" s="18">
        <v>39228742.052231908</v>
      </c>
      <c r="N9" s="18">
        <v>67072691.581177354</v>
      </c>
      <c r="O9" s="18">
        <v>81275186.608506143</v>
      </c>
      <c r="P9" s="10">
        <f t="shared" ref="P9:P34" si="1">SUM(D9:O9)</f>
        <v>590446831.09444153</v>
      </c>
      <c r="Q9" s="10"/>
      <c r="R9" s="26"/>
    </row>
    <row r="10" spans="2:19" s="9" customFormat="1" ht="12.75" customHeight="1" x14ac:dyDescent="0.2">
      <c r="B10" s="9" t="s">
        <v>29</v>
      </c>
      <c r="C10" s="9">
        <v>53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0">
        <f t="shared" si="1"/>
        <v>0</v>
      </c>
      <c r="Q10" s="10"/>
      <c r="R10" s="26"/>
    </row>
    <row r="11" spans="2:19" s="9" customFormat="1" ht="12.75" customHeight="1" x14ac:dyDescent="0.2">
      <c r="B11" s="9" t="s">
        <v>30</v>
      </c>
      <c r="C11" s="9">
        <v>31</v>
      </c>
      <c r="D11" s="18">
        <v>34344078.137674592</v>
      </c>
      <c r="E11" s="18">
        <v>25997425.762565494</v>
      </c>
      <c r="F11" s="18">
        <v>27472911.401999999</v>
      </c>
      <c r="G11" s="18">
        <v>20382914.676619537</v>
      </c>
      <c r="H11" s="18">
        <v>13570605.229060041</v>
      </c>
      <c r="I11" s="18">
        <v>12819704.955</v>
      </c>
      <c r="J11" s="18">
        <v>7871226.9460247438</v>
      </c>
      <c r="K11" s="18">
        <v>6546388.4079331625</v>
      </c>
      <c r="L11" s="18">
        <v>10528770.951160043</v>
      </c>
      <c r="M11" s="18">
        <v>13809509.275292113</v>
      </c>
      <c r="N11" s="18">
        <v>23288666.408449214</v>
      </c>
      <c r="O11" s="18">
        <v>29266036.423829813</v>
      </c>
      <c r="P11" s="10">
        <f t="shared" si="1"/>
        <v>225898238.57560879</v>
      </c>
      <c r="Q11" s="10"/>
    </row>
    <row r="12" spans="2:19" s="9" customFormat="1" ht="12.75" customHeight="1" x14ac:dyDescent="0.2">
      <c r="B12" s="9" t="s">
        <v>31</v>
      </c>
      <c r="C12" s="9">
        <v>41</v>
      </c>
      <c r="D12" s="18">
        <v>8366055.9984013569</v>
      </c>
      <c r="E12" s="18">
        <v>6679070.4327595308</v>
      </c>
      <c r="F12" s="18">
        <v>6889310.0209999997</v>
      </c>
      <c r="G12" s="18">
        <v>5310460.3199451119</v>
      </c>
      <c r="H12" s="18">
        <v>4457344.4635927323</v>
      </c>
      <c r="I12" s="18">
        <v>4174083.7820000001</v>
      </c>
      <c r="J12" s="18">
        <v>3517550.4782219958</v>
      </c>
      <c r="K12" s="18">
        <v>2571239.646790619</v>
      </c>
      <c r="L12" s="18">
        <v>2069503.2413894385</v>
      </c>
      <c r="M12" s="18">
        <v>4619443.5270797554</v>
      </c>
      <c r="N12" s="18">
        <v>6176402.4814573061</v>
      </c>
      <c r="O12" s="18">
        <v>9153508.2052786164</v>
      </c>
      <c r="P12" s="10">
        <f t="shared" si="1"/>
        <v>63983972.597916454</v>
      </c>
      <c r="Q12" s="10"/>
      <c r="R12" s="27"/>
    </row>
    <row r="13" spans="2:19" s="9" customFormat="1" ht="12.6" customHeight="1" x14ac:dyDescent="0.2">
      <c r="B13" s="9" t="s">
        <v>32</v>
      </c>
      <c r="C13" s="9">
        <v>50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0">
        <f t="shared" si="1"/>
        <v>0</v>
      </c>
      <c r="Q13" s="10"/>
    </row>
    <row r="14" spans="2:19" s="9" customFormat="1" ht="12.75" customHeight="1" x14ac:dyDescent="0.2">
      <c r="B14" s="155" t="s">
        <v>8</v>
      </c>
      <c r="C14" s="155">
        <v>85</v>
      </c>
      <c r="D14" s="156">
        <v>2102845.5160504831</v>
      </c>
      <c r="E14" s="156">
        <v>1494894.3371251782</v>
      </c>
      <c r="F14" s="156">
        <v>1812221.365</v>
      </c>
      <c r="G14" s="156">
        <v>1497579.1515916162</v>
      </c>
      <c r="H14" s="156">
        <v>908056.03881719988</v>
      </c>
      <c r="I14" s="156">
        <v>1065891.8</v>
      </c>
      <c r="J14" s="156">
        <v>1453328.4652736522</v>
      </c>
      <c r="K14" s="156">
        <v>-192702.2996446903</v>
      </c>
      <c r="L14" s="156">
        <v>899719.48677871586</v>
      </c>
      <c r="M14" s="156">
        <v>1067868.9078549191</v>
      </c>
      <c r="N14" s="156">
        <v>1495829.2032388933</v>
      </c>
      <c r="O14" s="156">
        <v>2155501.9140240122</v>
      </c>
      <c r="P14" s="157">
        <f t="shared" si="1"/>
        <v>15761033.88610998</v>
      </c>
      <c r="Q14" s="10"/>
    </row>
    <row r="15" spans="2:19" s="9" customFormat="1" ht="12.75" customHeight="1" x14ac:dyDescent="0.2">
      <c r="B15" s="9" t="s">
        <v>33</v>
      </c>
      <c r="C15" s="9">
        <v>86</v>
      </c>
      <c r="D15" s="18">
        <v>766246.32226402347</v>
      </c>
      <c r="E15" s="18">
        <v>526634.14383677905</v>
      </c>
      <c r="F15" s="18">
        <v>495496.87600000005</v>
      </c>
      <c r="G15" s="18">
        <v>495025.886310175</v>
      </c>
      <c r="H15" s="18">
        <v>351718.47516171669</v>
      </c>
      <c r="I15" s="18">
        <v>356514.57500000001</v>
      </c>
      <c r="J15" s="18">
        <v>131818.46096651306</v>
      </c>
      <c r="K15" s="18">
        <v>125235.41345518306</v>
      </c>
      <c r="L15" s="18">
        <v>166088.23272614385</v>
      </c>
      <c r="M15" s="18">
        <v>321036.57208761899</v>
      </c>
      <c r="N15" s="18">
        <v>440678.52580035798</v>
      </c>
      <c r="O15" s="18">
        <v>537286.17554997385</v>
      </c>
      <c r="P15" s="10">
        <f t="shared" si="1"/>
        <v>4713779.6591584859</v>
      </c>
      <c r="Q15" s="10"/>
    </row>
    <row r="16" spans="2:19" s="9" customFormat="1" ht="12.6" customHeight="1" x14ac:dyDescent="0.2">
      <c r="B16" s="158" t="s">
        <v>34</v>
      </c>
      <c r="C16" s="158">
        <v>87</v>
      </c>
      <c r="D16" s="159">
        <v>2666875.7314999998</v>
      </c>
      <c r="E16" s="159">
        <v>1640665.7145000002</v>
      </c>
      <c r="F16" s="159">
        <v>1951991.9809999999</v>
      </c>
      <c r="G16" s="159">
        <v>2591704.7745000003</v>
      </c>
      <c r="H16" s="159">
        <v>1553970.0925</v>
      </c>
      <c r="I16" s="159">
        <v>1417971.4280000001</v>
      </c>
      <c r="J16" s="159">
        <v>1246783.8936881979</v>
      </c>
      <c r="K16" s="159">
        <v>759342.77149999992</v>
      </c>
      <c r="L16" s="159">
        <v>863948.82400000002</v>
      </c>
      <c r="M16" s="159">
        <v>1376340.7509999999</v>
      </c>
      <c r="N16" s="159">
        <v>3854383.5045000003</v>
      </c>
      <c r="O16" s="159">
        <v>-908844.03749999998</v>
      </c>
      <c r="P16" s="160">
        <f t="shared" si="1"/>
        <v>19015135.429188196</v>
      </c>
      <c r="Q16" s="10"/>
    </row>
    <row r="17" spans="2:17" s="9" customFormat="1" ht="12.75" customHeight="1" x14ac:dyDescent="0.2">
      <c r="B17" s="9" t="s">
        <v>35</v>
      </c>
      <c r="C17" s="9">
        <v>31</v>
      </c>
      <c r="D17" s="18">
        <v>2064702.0006551226</v>
      </c>
      <c r="E17" s="18">
        <v>1561696.8210192132</v>
      </c>
      <c r="F17" s="18">
        <v>1724256.774</v>
      </c>
      <c r="G17" s="18">
        <v>1033723.2712247507</v>
      </c>
      <c r="H17" s="18">
        <v>682467.17836847831</v>
      </c>
      <c r="I17" s="18">
        <v>490971.01799999998</v>
      </c>
      <c r="J17" s="18">
        <v>566999.9903169194</v>
      </c>
      <c r="K17" s="18">
        <v>194435.09273726301</v>
      </c>
      <c r="L17" s="18">
        <v>225370.50686035812</v>
      </c>
      <c r="M17" s="18">
        <v>1032537.3178566224</v>
      </c>
      <c r="N17" s="18">
        <v>968814.81905183336</v>
      </c>
      <c r="O17" s="18">
        <v>1807575.4648943804</v>
      </c>
      <c r="P17" s="10">
        <f t="shared" si="1"/>
        <v>12353550.254984941</v>
      </c>
      <c r="Q17" s="10"/>
    </row>
    <row r="18" spans="2:17" s="9" customFormat="1" ht="12.75" customHeight="1" x14ac:dyDescent="0.2">
      <c r="B18" s="9" t="s">
        <v>36</v>
      </c>
      <c r="C18" s="9">
        <v>41</v>
      </c>
      <c r="D18" s="18">
        <v>1055739.2268545181</v>
      </c>
      <c r="E18" s="18">
        <v>588046.93427118799</v>
      </c>
      <c r="F18" s="18">
        <v>811306.99399999995</v>
      </c>
      <c r="G18" s="18">
        <v>865608.27524301363</v>
      </c>
      <c r="H18" s="18">
        <v>645145.49314423651</v>
      </c>
      <c r="I18" s="18">
        <v>887617.38500000001</v>
      </c>
      <c r="J18" s="18">
        <v>542952.71995495702</v>
      </c>
      <c r="K18" s="18">
        <v>663021.66106710536</v>
      </c>
      <c r="L18" s="18">
        <v>524535.21073058178</v>
      </c>
      <c r="M18" s="18">
        <v>758947.48141301074</v>
      </c>
      <c r="N18" s="18">
        <v>824342.20382535504</v>
      </c>
      <c r="O18" s="18">
        <v>761127.051895582</v>
      </c>
      <c r="P18" s="10">
        <f t="shared" si="1"/>
        <v>8928390.6373995468</v>
      </c>
      <c r="Q18" s="10"/>
    </row>
    <row r="19" spans="2:17" s="9" customFormat="1" ht="12.6" customHeight="1" x14ac:dyDescent="0.2">
      <c r="B19" s="158" t="s">
        <v>37</v>
      </c>
      <c r="C19" s="158">
        <v>85</v>
      </c>
      <c r="D19" s="159">
        <v>317341.02958480007</v>
      </c>
      <c r="E19" s="159">
        <v>339138.28067519999</v>
      </c>
      <c r="F19" s="159">
        <v>67931.04800000001</v>
      </c>
      <c r="G19" s="159">
        <v>360318.18313999998</v>
      </c>
      <c r="H19" s="159">
        <v>269177.456228</v>
      </c>
      <c r="I19" s="159">
        <v>151783.109</v>
      </c>
      <c r="J19" s="159">
        <v>244098.59745720503</v>
      </c>
      <c r="K19" s="159">
        <v>161181.38472560002</v>
      </c>
      <c r="L19" s="159">
        <v>151547.74355119999</v>
      </c>
      <c r="M19" s="159">
        <v>46139.372311199993</v>
      </c>
      <c r="N19" s="159">
        <v>199745.2913248</v>
      </c>
      <c r="O19" s="159">
        <v>244409.81768879999</v>
      </c>
      <c r="P19" s="160">
        <f t="shared" si="1"/>
        <v>2552811.3136868048</v>
      </c>
      <c r="Q19" s="10"/>
    </row>
    <row r="20" spans="2:17" s="9" customFormat="1" ht="12.75" customHeight="1" x14ac:dyDescent="0.2">
      <c r="B20" s="9" t="s">
        <v>38</v>
      </c>
      <c r="C20" s="9">
        <v>86</v>
      </c>
      <c r="D20" s="18">
        <v>31891.863999999998</v>
      </c>
      <c r="E20" s="18">
        <v>29224.457999999999</v>
      </c>
      <c r="F20" s="18">
        <v>33300.31</v>
      </c>
      <c r="G20" s="18">
        <v>30145.234</v>
      </c>
      <c r="H20" s="18">
        <v>29393.226000000002</v>
      </c>
      <c r="I20" s="18">
        <v>21991.264000000003</v>
      </c>
      <c r="J20" s="18">
        <v>16974.55</v>
      </c>
      <c r="K20" s="18">
        <v>17738.057000000001</v>
      </c>
      <c r="L20" s="18">
        <v>18900.829999999998</v>
      </c>
      <c r="M20" s="18">
        <v>22808.813999999998</v>
      </c>
      <c r="N20" s="18">
        <v>27780.243000000002</v>
      </c>
      <c r="O20" s="18">
        <v>36720.885000000002</v>
      </c>
      <c r="P20" s="10">
        <f t="shared" si="1"/>
        <v>316869.73499999999</v>
      </c>
      <c r="Q20" s="10"/>
    </row>
    <row r="21" spans="2:17" s="9" customFormat="1" ht="12.6" customHeight="1" x14ac:dyDescent="0.2">
      <c r="B21" s="158" t="s">
        <v>39</v>
      </c>
      <c r="C21" s="158">
        <v>87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60">
        <f t="shared" si="1"/>
        <v>0</v>
      </c>
      <c r="Q21" s="10"/>
    </row>
    <row r="22" spans="2:17" s="9" customFormat="1" ht="12.75" customHeight="1" x14ac:dyDescent="0.2">
      <c r="B22" s="2" t="s">
        <v>40</v>
      </c>
      <c r="C22" s="25" t="s">
        <v>41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0">
        <f t="shared" si="1"/>
        <v>0</v>
      </c>
      <c r="Q22" s="10"/>
    </row>
    <row r="23" spans="2:17" s="9" customFormat="1" ht="12.75" customHeight="1" x14ac:dyDescent="0.2">
      <c r="B23" s="2" t="s">
        <v>42</v>
      </c>
      <c r="C23" s="21" t="s">
        <v>43</v>
      </c>
      <c r="D23" s="18">
        <v>1518178.0600000003</v>
      </c>
      <c r="E23" s="18">
        <v>1430378.7700000003</v>
      </c>
      <c r="F23" s="18">
        <v>1287540.3500000001</v>
      </c>
      <c r="G23" s="18">
        <v>1128732.1599999999</v>
      </c>
      <c r="H23" s="18">
        <v>1282999.7400000002</v>
      </c>
      <c r="I23" s="18">
        <v>1212293.51</v>
      </c>
      <c r="J23" s="18">
        <v>1068082.3900000001</v>
      </c>
      <c r="K23" s="18">
        <v>1093802.7999999998</v>
      </c>
      <c r="L23" s="18">
        <v>1152744.9000000001</v>
      </c>
      <c r="M23" s="18">
        <v>1252905.07</v>
      </c>
      <c r="N23" s="18">
        <v>2250265.8099999996</v>
      </c>
      <c r="O23" s="18">
        <v>429436.98000000021</v>
      </c>
      <c r="P23" s="10">
        <f t="shared" si="1"/>
        <v>15107360.540000003</v>
      </c>
      <c r="Q23" s="10"/>
    </row>
    <row r="24" spans="2:17" s="9" customFormat="1" ht="12.6" customHeight="1" x14ac:dyDescent="0.2">
      <c r="B24" s="158" t="s">
        <v>9</v>
      </c>
      <c r="C24" s="158" t="s">
        <v>10</v>
      </c>
      <c r="D24" s="159">
        <v>1265427.3299999998</v>
      </c>
      <c r="E24" s="159">
        <v>1523420.4900000002</v>
      </c>
      <c r="F24" s="159">
        <v>1080754.6800000002</v>
      </c>
      <c r="G24" s="159">
        <v>1019591.1699999999</v>
      </c>
      <c r="H24" s="159">
        <v>1112149.6499999999</v>
      </c>
      <c r="I24" s="159">
        <v>1111426.1400000001</v>
      </c>
      <c r="J24" s="159">
        <v>960653.29</v>
      </c>
      <c r="K24" s="159">
        <v>969233.39</v>
      </c>
      <c r="L24" s="159">
        <v>995464.3</v>
      </c>
      <c r="M24" s="159">
        <v>1114062.44</v>
      </c>
      <c r="N24" s="159">
        <v>1687826.01</v>
      </c>
      <c r="O24" s="159">
        <v>530404.54999999993</v>
      </c>
      <c r="P24" s="160">
        <f t="shared" si="1"/>
        <v>13370413.440000001</v>
      </c>
      <c r="Q24" s="10"/>
    </row>
    <row r="25" spans="2:17" s="9" customFormat="1" ht="12.75" customHeight="1" x14ac:dyDescent="0.2">
      <c r="B25" s="9" t="s">
        <v>9</v>
      </c>
      <c r="C25" s="25" t="s">
        <v>44</v>
      </c>
      <c r="D25" s="18">
        <v>0</v>
      </c>
      <c r="E25" s="18">
        <v>0</v>
      </c>
      <c r="F25" s="18">
        <v>1679.11</v>
      </c>
      <c r="G25" s="18">
        <v>892.91</v>
      </c>
      <c r="H25" s="18">
        <v>22285.119999999999</v>
      </c>
      <c r="I25" s="18">
        <v>23909.68</v>
      </c>
      <c r="J25" s="18">
        <v>21315.88</v>
      </c>
      <c r="K25" s="18">
        <v>43419.02</v>
      </c>
      <c r="L25" s="18">
        <v>22467.63</v>
      </c>
      <c r="M25" s="18">
        <v>59215</v>
      </c>
      <c r="N25" s="18">
        <v>33985.54</v>
      </c>
      <c r="O25" s="18">
        <v>0</v>
      </c>
      <c r="P25" s="10">
        <f t="shared" si="1"/>
        <v>229169.89</v>
      </c>
      <c r="Q25" s="10"/>
    </row>
    <row r="26" spans="2:17" s="9" customFormat="1" ht="12.6" customHeight="1" x14ac:dyDescent="0.2">
      <c r="B26" s="158" t="s">
        <v>12</v>
      </c>
      <c r="C26" s="158" t="s">
        <v>13</v>
      </c>
      <c r="D26" s="159">
        <v>1973664.4600000007</v>
      </c>
      <c r="E26" s="159">
        <v>1860890.7999999996</v>
      </c>
      <c r="F26" s="159">
        <v>2348771.48</v>
      </c>
      <c r="G26" s="159">
        <v>2271607.1600000006</v>
      </c>
      <c r="H26" s="159">
        <v>1708900.94</v>
      </c>
      <c r="I26" s="159">
        <v>1717778.35</v>
      </c>
      <c r="J26" s="159">
        <v>1451816.6900000004</v>
      </c>
      <c r="K26" s="159">
        <v>1357617.19</v>
      </c>
      <c r="L26" s="159">
        <v>1410916.72</v>
      </c>
      <c r="M26" s="159">
        <v>1719846.4000000004</v>
      </c>
      <c r="N26" s="159">
        <v>3665620.26</v>
      </c>
      <c r="O26" s="159">
        <v>614277.57000000018</v>
      </c>
      <c r="P26" s="160">
        <f t="shared" si="1"/>
        <v>22101708.019999996</v>
      </c>
      <c r="Q26" s="10"/>
    </row>
    <row r="27" spans="2:17" s="9" customFormat="1" ht="12.75" customHeight="1" x14ac:dyDescent="0.2">
      <c r="B27" s="2" t="s">
        <v>45</v>
      </c>
      <c r="C27" s="21" t="s">
        <v>43</v>
      </c>
      <c r="D27" s="18">
        <v>456229.5799999999</v>
      </c>
      <c r="E27" s="18">
        <v>574201.57000000007</v>
      </c>
      <c r="F27" s="18">
        <v>457781.82</v>
      </c>
      <c r="G27" s="18">
        <v>490493.37000000017</v>
      </c>
      <c r="H27" s="18">
        <v>507023.06999999995</v>
      </c>
      <c r="I27" s="18">
        <v>520622.9</v>
      </c>
      <c r="J27" s="18">
        <v>500021.59</v>
      </c>
      <c r="K27" s="18">
        <v>488688.39</v>
      </c>
      <c r="L27" s="18">
        <v>475597.68999999989</v>
      </c>
      <c r="M27" s="18">
        <v>513429.67000000016</v>
      </c>
      <c r="N27" s="18">
        <v>661819.17000000016</v>
      </c>
      <c r="O27" s="18">
        <v>199824.25999999995</v>
      </c>
      <c r="P27" s="10">
        <f t="shared" si="1"/>
        <v>5845733.0799999991</v>
      </c>
      <c r="Q27" s="10"/>
    </row>
    <row r="28" spans="2:17" s="9" customFormat="1" ht="12.6" customHeight="1" x14ac:dyDescent="0.2">
      <c r="B28" s="158" t="s">
        <v>46</v>
      </c>
      <c r="C28" s="158" t="s">
        <v>10</v>
      </c>
      <c r="D28" s="159">
        <v>3205610.6700000009</v>
      </c>
      <c r="E28" s="159">
        <v>3455444.0999999992</v>
      </c>
      <c r="F28" s="159">
        <v>3299563.7800000003</v>
      </c>
      <c r="G28" s="159">
        <v>4432550.21</v>
      </c>
      <c r="H28" s="159">
        <v>3412646.8199999994</v>
      </c>
      <c r="I28" s="159">
        <v>3469686.74</v>
      </c>
      <c r="J28" s="159">
        <v>3130322.35</v>
      </c>
      <c r="K28" s="159">
        <v>3320952.25</v>
      </c>
      <c r="L28" s="159">
        <v>3229294.42</v>
      </c>
      <c r="M28" s="159">
        <v>4030108.49</v>
      </c>
      <c r="N28" s="159">
        <v>6063609.8399999999</v>
      </c>
      <c r="O28" s="159">
        <v>729322.77999999991</v>
      </c>
      <c r="P28" s="160">
        <f t="shared" si="1"/>
        <v>41779112.450000003</v>
      </c>
      <c r="Q28" s="10"/>
    </row>
    <row r="29" spans="2:17" s="9" customFormat="1" ht="12.75" customHeight="1" x14ac:dyDescent="0.2">
      <c r="B29" s="9" t="s">
        <v>47</v>
      </c>
      <c r="C29" s="21" t="s">
        <v>44</v>
      </c>
      <c r="D29" s="18">
        <v>37957.479999999996</v>
      </c>
      <c r="E29" s="18">
        <v>35781.79</v>
      </c>
      <c r="F29" s="18">
        <v>29058.39</v>
      </c>
      <c r="G29" s="18">
        <v>51528.110000000015</v>
      </c>
      <c r="H29" s="18">
        <v>40721.049999999996</v>
      </c>
      <c r="I29" s="18">
        <v>46879.7</v>
      </c>
      <c r="J29" s="18">
        <v>27628.409999999996</v>
      </c>
      <c r="K29" s="18">
        <v>29956.680000000008</v>
      </c>
      <c r="L29" s="18">
        <v>33698.369999999988</v>
      </c>
      <c r="M29" s="18">
        <v>42370.939999999995</v>
      </c>
      <c r="N29" s="18">
        <v>58079.060000000012</v>
      </c>
      <c r="O29" s="18">
        <v>-3779.7800000000025</v>
      </c>
      <c r="P29" s="10">
        <f t="shared" si="1"/>
        <v>429880.19999999995</v>
      </c>
      <c r="Q29" s="10"/>
    </row>
    <row r="30" spans="2:17" s="9" customFormat="1" ht="12.6" customHeight="1" x14ac:dyDescent="0.2">
      <c r="B30" s="158" t="s">
        <v>48</v>
      </c>
      <c r="C30" s="158" t="s">
        <v>13</v>
      </c>
      <c r="D30" s="159">
        <v>3910384.9099999997</v>
      </c>
      <c r="E30" s="159">
        <v>5242549.1100000003</v>
      </c>
      <c r="F30" s="159">
        <v>4068827.4699999997</v>
      </c>
      <c r="G30" s="159">
        <v>1641872.439999999</v>
      </c>
      <c r="H30" s="159">
        <v>5957867.5900000008</v>
      </c>
      <c r="I30" s="159">
        <v>3322382.9799999995</v>
      </c>
      <c r="J30" s="159">
        <v>4290684.8999999994</v>
      </c>
      <c r="K30" s="159">
        <v>3993023.8</v>
      </c>
      <c r="L30" s="159">
        <v>3649259.1900000004</v>
      </c>
      <c r="M30" s="159">
        <v>3263441.18</v>
      </c>
      <c r="N30" s="159">
        <v>6752671.6399999997</v>
      </c>
      <c r="O30" s="159">
        <v>203512.16999999981</v>
      </c>
      <c r="P30" s="160">
        <f t="shared" si="1"/>
        <v>46296477.380000003</v>
      </c>
      <c r="Q30" s="10"/>
    </row>
    <row r="31" spans="2:17" s="9" customFormat="1" ht="12.75" customHeight="1" x14ac:dyDescent="0.2">
      <c r="B31" s="2" t="s">
        <v>49</v>
      </c>
      <c r="C31" s="21" t="s">
        <v>50</v>
      </c>
      <c r="D31" s="18">
        <v>2286937</v>
      </c>
      <c r="E31" s="18">
        <v>504390</v>
      </c>
      <c r="F31" s="18">
        <v>4462697.6100000003</v>
      </c>
      <c r="G31" s="18">
        <v>2123142</v>
      </c>
      <c r="H31" s="18">
        <v>3633702</v>
      </c>
      <c r="I31" s="18">
        <v>0</v>
      </c>
      <c r="J31" s="18">
        <v>3918895</v>
      </c>
      <c r="K31" s="18">
        <v>4006391.77490234</v>
      </c>
      <c r="L31" s="18">
        <v>2018187.7880859401</v>
      </c>
      <c r="M31" s="18">
        <v>2004158.6816406201</v>
      </c>
      <c r="N31" s="18">
        <v>4554891.9140625</v>
      </c>
      <c r="O31" s="18">
        <v>3473949.0283203102</v>
      </c>
      <c r="P31" s="10">
        <f t="shared" si="1"/>
        <v>32987342.797011711</v>
      </c>
      <c r="Q31" s="10"/>
    </row>
    <row r="32" spans="2:17" s="9" customFormat="1" ht="12.6" customHeight="1" x14ac:dyDescent="0.2">
      <c r="B32" s="158" t="s">
        <v>14</v>
      </c>
      <c r="C32" s="158" t="s">
        <v>15</v>
      </c>
      <c r="D32" s="159">
        <v>14735996.420000002</v>
      </c>
      <c r="E32" s="159">
        <v>3508073.9199999995</v>
      </c>
      <c r="F32" s="159">
        <v>4026167.36</v>
      </c>
      <c r="G32" s="159">
        <v>2855289.7800000003</v>
      </c>
      <c r="H32" s="159">
        <v>2316518.5600000005</v>
      </c>
      <c r="I32" s="159">
        <v>777566.87</v>
      </c>
      <c r="J32" s="159">
        <v>3224593.7</v>
      </c>
      <c r="K32" s="159">
        <v>1676269.07</v>
      </c>
      <c r="L32" s="159">
        <v>1453837.38</v>
      </c>
      <c r="M32" s="159">
        <v>1769978.29</v>
      </c>
      <c r="N32" s="159">
        <v>4625482.9799999995</v>
      </c>
      <c r="O32" s="159">
        <v>1628405.5100000002</v>
      </c>
      <c r="P32" s="160">
        <f t="shared" si="1"/>
        <v>42598179.839999996</v>
      </c>
      <c r="Q32" s="10"/>
    </row>
    <row r="33" spans="2:40" s="9" customFormat="1" ht="12.75" customHeight="1" x14ac:dyDescent="0.2">
      <c r="B33" s="9" t="s">
        <v>51</v>
      </c>
      <c r="D33" s="31">
        <f t="shared" ref="D33:O33" si="2">SUM(D8:D32)</f>
        <v>176737083.58946395</v>
      </c>
      <c r="E33" s="31">
        <f t="shared" si="2"/>
        <v>131569050.67639305</v>
      </c>
      <c r="F33" s="31">
        <f t="shared" si="2"/>
        <v>140037296.18300003</v>
      </c>
      <c r="G33" s="31">
        <f t="shared" si="2"/>
        <v>97905533.061586499</v>
      </c>
      <c r="H33" s="31">
        <f t="shared" si="2"/>
        <v>76175022.471117154</v>
      </c>
      <c r="I33" s="31">
        <f t="shared" si="2"/>
        <v>61903074.492999993</v>
      </c>
      <c r="J33" s="31">
        <f t="shared" si="2"/>
        <v>46917707.430515178</v>
      </c>
      <c r="K33" s="31">
        <f t="shared" si="2"/>
        <v>41452861.26101198</v>
      </c>
      <c r="L33" s="31">
        <f t="shared" si="2"/>
        <v>47132640.358275644</v>
      </c>
      <c r="M33" s="31">
        <f t="shared" si="2"/>
        <v>78053403.232767791</v>
      </c>
      <c r="N33" s="31">
        <f t="shared" si="2"/>
        <v>134704099.48588765</v>
      </c>
      <c r="O33" s="31">
        <f t="shared" si="2"/>
        <v>132134374.57748765</v>
      </c>
      <c r="P33" s="10">
        <f t="shared" si="1"/>
        <v>1164722146.8205066</v>
      </c>
      <c r="Q33" s="13"/>
      <c r="R33" s="10"/>
    </row>
    <row r="34" spans="2:40" s="9" customFormat="1" ht="12.6" customHeight="1" x14ac:dyDescent="0.2">
      <c r="B34" s="9" t="s">
        <v>52</v>
      </c>
      <c r="D34" s="13">
        <f t="shared" ref="D34:O34" si="3">SUM(D22:D32)</f>
        <v>29390385.910000004</v>
      </c>
      <c r="E34" s="13">
        <f t="shared" si="3"/>
        <v>18135130.549999997</v>
      </c>
      <c r="F34" s="13">
        <f t="shared" si="3"/>
        <v>21062842.050000001</v>
      </c>
      <c r="G34" s="13">
        <f t="shared" si="3"/>
        <v>16015699.309999999</v>
      </c>
      <c r="H34" s="13">
        <f t="shared" si="3"/>
        <v>19994814.539999999</v>
      </c>
      <c r="I34" s="13">
        <f t="shared" si="3"/>
        <v>12202546.869999999</v>
      </c>
      <c r="J34" s="13">
        <f t="shared" si="3"/>
        <v>18594014.199999999</v>
      </c>
      <c r="K34" s="13">
        <f t="shared" si="3"/>
        <v>16979354.36490234</v>
      </c>
      <c r="L34" s="13">
        <f t="shared" si="3"/>
        <v>14441468.388085939</v>
      </c>
      <c r="M34" s="13">
        <f t="shared" si="3"/>
        <v>15769516.161640618</v>
      </c>
      <c r="N34" s="13">
        <f t="shared" si="3"/>
        <v>30354252.224062499</v>
      </c>
      <c r="O34" s="13">
        <f t="shared" si="3"/>
        <v>7805353.0683203097</v>
      </c>
      <c r="P34" s="10">
        <f t="shared" si="1"/>
        <v>220745377.63701171</v>
      </c>
      <c r="Q34" s="10"/>
    </row>
    <row r="35" spans="2:40" s="9" customFormat="1" ht="12.6" customHeight="1" x14ac:dyDescent="0.2">
      <c r="B35" s="158" t="s">
        <v>146</v>
      </c>
      <c r="C35" s="158"/>
      <c r="D35" s="159">
        <f>D14+D16+D19+D21+D24+D26+D28+D30+D32</f>
        <v>30178146.067135286</v>
      </c>
      <c r="E35" s="159">
        <f>E14+E16+E19+E21+E24+E26+E28+E30+E32</f>
        <v>19065076.752300374</v>
      </c>
      <c r="F35" s="159">
        <f t="shared" ref="F35:P35" si="4">F14+F16+F19+F21+F24+F26+F28+F30+F32</f>
        <v>18656229.163999997</v>
      </c>
      <c r="G35" s="159">
        <f t="shared" si="4"/>
        <v>16670512.869231615</v>
      </c>
      <c r="H35" s="159">
        <f t="shared" si="4"/>
        <v>17239287.147545204</v>
      </c>
      <c r="I35" s="159">
        <f t="shared" si="4"/>
        <v>13034487.417000001</v>
      </c>
      <c r="J35" s="159">
        <f t="shared" si="4"/>
        <v>16002281.886419054</v>
      </c>
      <c r="K35" s="159">
        <f t="shared" si="4"/>
        <v>12044917.556580909</v>
      </c>
      <c r="L35" s="159">
        <f t="shared" si="4"/>
        <v>12653988.064329915</v>
      </c>
      <c r="M35" s="159">
        <f t="shared" si="4"/>
        <v>14387785.831166118</v>
      </c>
      <c r="N35" s="159">
        <f t="shared" si="4"/>
        <v>28345168.729063693</v>
      </c>
      <c r="O35" s="159">
        <f t="shared" si="4"/>
        <v>5196990.2742128121</v>
      </c>
      <c r="P35" s="160">
        <f t="shared" si="4"/>
        <v>203474871.75898498</v>
      </c>
      <c r="Q35" s="10"/>
    </row>
    <row r="36" spans="2:40" ht="12.75" customHeight="1" x14ac:dyDescent="0.2">
      <c r="B36" s="22" t="s">
        <v>53</v>
      </c>
      <c r="C36" s="2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2:40" ht="12.75" customHeight="1" x14ac:dyDescent="0.2">
      <c r="B37" s="9" t="s">
        <v>27</v>
      </c>
      <c r="C37" s="25">
        <v>16</v>
      </c>
      <c r="D37" s="18">
        <v>4</v>
      </c>
      <c r="E37" s="18">
        <v>3</v>
      </c>
      <c r="F37" s="18">
        <v>3</v>
      </c>
      <c r="G37" s="18">
        <v>3</v>
      </c>
      <c r="H37" s="18">
        <v>3</v>
      </c>
      <c r="I37" s="18">
        <v>4</v>
      </c>
      <c r="J37" s="18">
        <v>3</v>
      </c>
      <c r="K37" s="18">
        <v>3</v>
      </c>
      <c r="L37" s="18">
        <v>3</v>
      </c>
      <c r="M37" s="18">
        <v>4</v>
      </c>
      <c r="N37" s="18">
        <v>4</v>
      </c>
      <c r="O37" s="18">
        <v>4</v>
      </c>
      <c r="P37" s="10">
        <f t="shared" ref="P37:P65" si="5">SUM(D37:O37)</f>
        <v>41</v>
      </c>
      <c r="Q37" s="33"/>
      <c r="R37" s="25"/>
      <c r="S37" s="33"/>
      <c r="T37" s="33"/>
      <c r="U37" s="34"/>
      <c r="V37" s="34"/>
      <c r="W37" s="33"/>
      <c r="X37" s="33"/>
      <c r="Y37" s="33"/>
      <c r="Z37" s="33"/>
      <c r="AA37" s="33"/>
      <c r="AB37" s="34"/>
      <c r="AC37" s="33"/>
      <c r="AD37" s="33"/>
      <c r="AE37" s="35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2:40" s="9" customFormat="1" ht="12.75" customHeight="1" x14ac:dyDescent="0.2">
      <c r="B38" s="9" t="s">
        <v>28</v>
      </c>
      <c r="C38" s="9">
        <v>23</v>
      </c>
      <c r="D38" s="18">
        <v>818293</v>
      </c>
      <c r="E38" s="18">
        <v>818704</v>
      </c>
      <c r="F38" s="18">
        <v>818981</v>
      </c>
      <c r="G38" s="18">
        <v>819030</v>
      </c>
      <c r="H38" s="18">
        <v>819131</v>
      </c>
      <c r="I38" s="18">
        <v>819296</v>
      </c>
      <c r="J38" s="18">
        <v>819201</v>
      </c>
      <c r="K38" s="18">
        <v>819337</v>
      </c>
      <c r="L38" s="18">
        <v>819412</v>
      </c>
      <c r="M38" s="18">
        <v>819984</v>
      </c>
      <c r="N38" s="18">
        <v>820601</v>
      </c>
      <c r="O38" s="18">
        <v>820948</v>
      </c>
      <c r="P38" s="10">
        <f t="shared" si="5"/>
        <v>9832918</v>
      </c>
      <c r="Q38" s="33"/>
    </row>
    <row r="39" spans="2:40" s="9" customFormat="1" ht="12.75" customHeight="1" x14ac:dyDescent="0.2">
      <c r="B39" s="9" t="s">
        <v>29</v>
      </c>
      <c r="C39" s="9">
        <v>53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0">
        <f t="shared" si="5"/>
        <v>0</v>
      </c>
      <c r="Q39" s="33"/>
    </row>
    <row r="40" spans="2:40" s="9" customFormat="1" ht="12.75" customHeight="1" x14ac:dyDescent="0.2">
      <c r="B40" s="9" t="s">
        <v>54</v>
      </c>
      <c r="C40" s="9">
        <v>61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0">
        <f t="shared" si="5"/>
        <v>0</v>
      </c>
      <c r="Q40" s="33"/>
    </row>
    <row r="41" spans="2:40" s="9" customFormat="1" ht="12.75" customHeight="1" x14ac:dyDescent="0.2">
      <c r="B41" s="9" t="s">
        <v>55</v>
      </c>
      <c r="C41" s="9">
        <v>31</v>
      </c>
      <c r="D41" s="18">
        <v>55819</v>
      </c>
      <c r="E41" s="18">
        <v>55871</v>
      </c>
      <c r="F41" s="18">
        <v>55877</v>
      </c>
      <c r="G41" s="18">
        <v>55869</v>
      </c>
      <c r="H41" s="18">
        <v>55893</v>
      </c>
      <c r="I41" s="18">
        <v>55857</v>
      </c>
      <c r="J41" s="18">
        <v>55839</v>
      </c>
      <c r="K41" s="18">
        <v>55852</v>
      </c>
      <c r="L41" s="18">
        <v>55838</v>
      </c>
      <c r="M41" s="18">
        <v>55799</v>
      </c>
      <c r="N41" s="18">
        <v>55867</v>
      </c>
      <c r="O41" s="18">
        <v>55909</v>
      </c>
      <c r="P41" s="10">
        <f t="shared" si="5"/>
        <v>670290</v>
      </c>
      <c r="Q41" s="33"/>
    </row>
    <row r="42" spans="2:40" s="9" customFormat="1" ht="12.75" customHeight="1" x14ac:dyDescent="0.2">
      <c r="B42" s="9" t="s">
        <v>56</v>
      </c>
      <c r="C42" s="9">
        <v>41</v>
      </c>
      <c r="D42" s="18">
        <v>1247</v>
      </c>
      <c r="E42" s="18">
        <v>1248</v>
      </c>
      <c r="F42" s="18">
        <v>1247</v>
      </c>
      <c r="G42" s="18">
        <v>1244</v>
      </c>
      <c r="H42" s="18">
        <v>1225</v>
      </c>
      <c r="I42" s="18">
        <v>1224</v>
      </c>
      <c r="J42" s="18">
        <v>1228</v>
      </c>
      <c r="K42" s="18">
        <v>1228</v>
      </c>
      <c r="L42" s="18">
        <v>1240</v>
      </c>
      <c r="M42" s="18">
        <v>1260</v>
      </c>
      <c r="N42" s="18">
        <v>1272</v>
      </c>
      <c r="O42" s="18">
        <v>1271</v>
      </c>
      <c r="P42" s="10">
        <f t="shared" si="5"/>
        <v>14934</v>
      </c>
      <c r="Q42" s="33"/>
    </row>
    <row r="43" spans="2:40" s="9" customFormat="1" ht="12.75" customHeight="1" x14ac:dyDescent="0.2">
      <c r="B43" s="9" t="s">
        <v>32</v>
      </c>
      <c r="C43" s="9">
        <v>50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0">
        <f t="shared" si="5"/>
        <v>0</v>
      </c>
      <c r="Q43" s="33"/>
    </row>
    <row r="44" spans="2:40" s="9" customFormat="1" ht="12.75" customHeight="1" x14ac:dyDescent="0.2">
      <c r="B44" s="9" t="s">
        <v>57</v>
      </c>
      <c r="C44" s="9">
        <v>61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0">
        <f t="shared" si="5"/>
        <v>0</v>
      </c>
      <c r="Q44" s="33"/>
    </row>
    <row r="45" spans="2:40" s="9" customFormat="1" ht="12.75" customHeight="1" x14ac:dyDescent="0.2">
      <c r="B45" s="9" t="s">
        <v>8</v>
      </c>
      <c r="C45" s="9">
        <v>85</v>
      </c>
      <c r="D45" s="18">
        <v>26</v>
      </c>
      <c r="E45" s="18">
        <v>26</v>
      </c>
      <c r="F45" s="18">
        <v>26</v>
      </c>
      <c r="G45" s="18">
        <v>26</v>
      </c>
      <c r="H45" s="18">
        <v>26</v>
      </c>
      <c r="I45" s="18">
        <v>26</v>
      </c>
      <c r="J45" s="18">
        <v>26</v>
      </c>
      <c r="K45" s="18">
        <v>26</v>
      </c>
      <c r="L45" s="18">
        <v>26</v>
      </c>
      <c r="M45" s="18">
        <v>26</v>
      </c>
      <c r="N45" s="18">
        <v>26</v>
      </c>
      <c r="O45" s="18">
        <v>27</v>
      </c>
      <c r="P45" s="10">
        <f t="shared" si="5"/>
        <v>313</v>
      </c>
      <c r="Q45" s="33"/>
    </row>
    <row r="46" spans="2:40" s="9" customFormat="1" ht="12.75" customHeight="1" x14ac:dyDescent="0.2">
      <c r="B46" s="9" t="s">
        <v>33</v>
      </c>
      <c r="C46" s="9">
        <v>86</v>
      </c>
      <c r="D46" s="18">
        <v>95</v>
      </c>
      <c r="E46" s="18">
        <v>95</v>
      </c>
      <c r="F46" s="18">
        <v>95</v>
      </c>
      <c r="G46" s="18">
        <v>95</v>
      </c>
      <c r="H46" s="18">
        <v>95</v>
      </c>
      <c r="I46" s="18">
        <v>95</v>
      </c>
      <c r="J46" s="18">
        <v>95</v>
      </c>
      <c r="K46" s="18">
        <v>94</v>
      </c>
      <c r="L46" s="18">
        <v>94</v>
      </c>
      <c r="M46" s="18">
        <v>83</v>
      </c>
      <c r="N46" s="18">
        <v>82</v>
      </c>
      <c r="O46" s="18">
        <v>81</v>
      </c>
      <c r="P46" s="10">
        <f t="shared" si="5"/>
        <v>1099</v>
      </c>
      <c r="Q46" s="33"/>
    </row>
    <row r="47" spans="2:40" s="9" customFormat="1" ht="12.75" customHeight="1" x14ac:dyDescent="0.2">
      <c r="B47" s="9" t="s">
        <v>11</v>
      </c>
      <c r="C47" s="9">
        <v>87</v>
      </c>
      <c r="D47" s="18">
        <v>4</v>
      </c>
      <c r="E47" s="18">
        <v>4</v>
      </c>
      <c r="F47" s="18">
        <v>4</v>
      </c>
      <c r="G47" s="18">
        <v>4</v>
      </c>
      <c r="H47" s="18">
        <v>4</v>
      </c>
      <c r="I47" s="18">
        <v>4</v>
      </c>
      <c r="J47" s="18">
        <v>4</v>
      </c>
      <c r="K47" s="18">
        <v>4</v>
      </c>
      <c r="L47" s="18">
        <v>4</v>
      </c>
      <c r="M47" s="18">
        <v>4</v>
      </c>
      <c r="N47" s="18">
        <v>4</v>
      </c>
      <c r="O47" s="18">
        <v>3</v>
      </c>
      <c r="P47" s="10">
        <f t="shared" si="5"/>
        <v>47</v>
      </c>
      <c r="Q47" s="33"/>
    </row>
    <row r="48" spans="2:40" s="9" customFormat="1" ht="12.75" customHeight="1" x14ac:dyDescent="0.2">
      <c r="B48" s="9" t="s">
        <v>35</v>
      </c>
      <c r="C48" s="9">
        <v>31</v>
      </c>
      <c r="D48" s="18">
        <v>2189</v>
      </c>
      <c r="E48" s="18">
        <v>2188</v>
      </c>
      <c r="F48" s="18">
        <v>2188</v>
      </c>
      <c r="G48" s="18">
        <v>2170</v>
      </c>
      <c r="H48" s="18">
        <v>2167</v>
      </c>
      <c r="I48" s="18">
        <v>2169</v>
      </c>
      <c r="J48" s="18">
        <v>2171</v>
      </c>
      <c r="K48" s="18">
        <v>2171</v>
      </c>
      <c r="L48" s="18">
        <v>2171</v>
      </c>
      <c r="M48" s="18">
        <v>2175</v>
      </c>
      <c r="N48" s="18">
        <v>2180</v>
      </c>
      <c r="O48" s="18">
        <v>2187</v>
      </c>
      <c r="P48" s="10">
        <f t="shared" si="5"/>
        <v>26126</v>
      </c>
      <c r="Q48" s="33"/>
    </row>
    <row r="49" spans="2:20" s="9" customFormat="1" ht="12.75" customHeight="1" x14ac:dyDescent="0.25">
      <c r="B49" s="9" t="s">
        <v>36</v>
      </c>
      <c r="C49" s="9">
        <v>41</v>
      </c>
      <c r="D49" s="18">
        <v>68</v>
      </c>
      <c r="E49" s="18">
        <v>68</v>
      </c>
      <c r="F49" s="18">
        <v>69</v>
      </c>
      <c r="G49" s="18">
        <v>70</v>
      </c>
      <c r="H49" s="18">
        <v>68</v>
      </c>
      <c r="I49" s="18">
        <v>66</v>
      </c>
      <c r="J49" s="18">
        <v>66</v>
      </c>
      <c r="K49" s="18">
        <v>66</v>
      </c>
      <c r="L49" s="18">
        <v>66</v>
      </c>
      <c r="M49" s="18">
        <v>67</v>
      </c>
      <c r="N49" s="18">
        <v>69</v>
      </c>
      <c r="O49" s="18">
        <v>68</v>
      </c>
      <c r="P49" s="10">
        <f t="shared" si="5"/>
        <v>811</v>
      </c>
      <c r="Q49" s="33"/>
      <c r="S49" s="10"/>
      <c r="T49" s="36"/>
    </row>
    <row r="50" spans="2:20" s="9" customFormat="1" ht="12.75" customHeight="1" x14ac:dyDescent="0.2">
      <c r="B50" s="9" t="s">
        <v>58</v>
      </c>
      <c r="C50" s="9">
        <v>61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0">
        <f t="shared" si="5"/>
        <v>0</v>
      </c>
      <c r="Q50" s="33"/>
      <c r="S50" s="10"/>
    </row>
    <row r="51" spans="2:20" s="9" customFormat="1" ht="12.75" customHeight="1" x14ac:dyDescent="0.2">
      <c r="B51" s="9" t="s">
        <v>37</v>
      </c>
      <c r="C51" s="9">
        <v>85</v>
      </c>
      <c r="D51" s="18">
        <v>5</v>
      </c>
      <c r="E51" s="18">
        <v>4</v>
      </c>
      <c r="F51" s="18">
        <v>4</v>
      </c>
      <c r="G51" s="18">
        <v>4</v>
      </c>
      <c r="H51" s="18">
        <v>4</v>
      </c>
      <c r="I51" s="18">
        <v>4</v>
      </c>
      <c r="J51" s="18">
        <v>4</v>
      </c>
      <c r="K51" s="18">
        <v>4</v>
      </c>
      <c r="L51" s="18">
        <v>4</v>
      </c>
      <c r="M51" s="18">
        <v>4</v>
      </c>
      <c r="N51" s="18">
        <v>4</v>
      </c>
      <c r="O51" s="18">
        <v>4</v>
      </c>
      <c r="P51" s="10">
        <f t="shared" si="5"/>
        <v>49</v>
      </c>
      <c r="Q51" s="33"/>
    </row>
    <row r="52" spans="2:20" s="9" customFormat="1" ht="12.75" customHeight="1" x14ac:dyDescent="0.2">
      <c r="B52" s="9" t="s">
        <v>38</v>
      </c>
      <c r="C52" s="9">
        <v>86</v>
      </c>
      <c r="D52" s="18">
        <v>6</v>
      </c>
      <c r="E52" s="18">
        <v>6</v>
      </c>
      <c r="F52" s="18">
        <v>6</v>
      </c>
      <c r="G52" s="18">
        <v>6</v>
      </c>
      <c r="H52" s="18">
        <v>6</v>
      </c>
      <c r="I52" s="18">
        <v>6</v>
      </c>
      <c r="J52" s="18">
        <v>6</v>
      </c>
      <c r="K52" s="18">
        <v>6</v>
      </c>
      <c r="L52" s="18">
        <v>6</v>
      </c>
      <c r="M52" s="18">
        <v>6</v>
      </c>
      <c r="N52" s="18">
        <v>5</v>
      </c>
      <c r="O52" s="18">
        <v>5</v>
      </c>
      <c r="P52" s="10">
        <f t="shared" si="5"/>
        <v>70</v>
      </c>
      <c r="Q52" s="33"/>
    </row>
    <row r="53" spans="2:20" s="9" customFormat="1" ht="12.75" customHeight="1" x14ac:dyDescent="0.2">
      <c r="B53" s="9" t="s">
        <v>39</v>
      </c>
      <c r="C53" s="9">
        <v>87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0">
        <f t="shared" si="5"/>
        <v>0</v>
      </c>
      <c r="Q53" s="33"/>
    </row>
    <row r="54" spans="2:20" s="9" customFormat="1" ht="12.75" customHeight="1" x14ac:dyDescent="0.2">
      <c r="B54" s="2" t="s">
        <v>40</v>
      </c>
      <c r="C54" s="25" t="s">
        <v>41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0">
        <f t="shared" si="5"/>
        <v>0</v>
      </c>
      <c r="Q54" s="33"/>
      <c r="R54" s="25"/>
    </row>
    <row r="55" spans="2:20" s="9" customFormat="1" ht="12.75" customHeight="1" x14ac:dyDescent="0.2">
      <c r="B55" s="2" t="s">
        <v>42</v>
      </c>
      <c r="C55" s="21" t="s">
        <v>43</v>
      </c>
      <c r="D55" s="18">
        <v>75</v>
      </c>
      <c r="E55" s="18">
        <v>75</v>
      </c>
      <c r="F55" s="18">
        <v>77</v>
      </c>
      <c r="G55" s="18">
        <v>77</v>
      </c>
      <c r="H55" s="18">
        <v>77</v>
      </c>
      <c r="I55" s="18">
        <v>79</v>
      </c>
      <c r="J55" s="18">
        <v>79</v>
      </c>
      <c r="K55" s="18">
        <v>79</v>
      </c>
      <c r="L55" s="18">
        <v>79</v>
      </c>
      <c r="M55" s="18">
        <v>79</v>
      </c>
      <c r="N55" s="18">
        <v>75</v>
      </c>
      <c r="O55" s="18">
        <v>75</v>
      </c>
      <c r="P55" s="10">
        <f t="shared" si="5"/>
        <v>926</v>
      </c>
      <c r="Q55" s="33"/>
      <c r="R55" s="21"/>
    </row>
    <row r="56" spans="2:20" s="9" customFormat="1" ht="12.75" customHeight="1" x14ac:dyDescent="0.2">
      <c r="B56" s="2" t="s">
        <v>9</v>
      </c>
      <c r="C56" s="21" t="s">
        <v>10</v>
      </c>
      <c r="D56" s="18">
        <v>23</v>
      </c>
      <c r="E56" s="18">
        <v>21</v>
      </c>
      <c r="F56" s="18">
        <v>21</v>
      </c>
      <c r="G56" s="18">
        <v>21</v>
      </c>
      <c r="H56" s="18">
        <v>21</v>
      </c>
      <c r="I56" s="18">
        <v>21</v>
      </c>
      <c r="J56" s="18">
        <v>20</v>
      </c>
      <c r="K56" s="18">
        <v>20</v>
      </c>
      <c r="L56" s="18">
        <v>20</v>
      </c>
      <c r="M56" s="18">
        <v>20</v>
      </c>
      <c r="N56" s="18">
        <v>20</v>
      </c>
      <c r="O56" s="18">
        <v>19</v>
      </c>
      <c r="P56" s="10">
        <f t="shared" si="5"/>
        <v>247</v>
      </c>
      <c r="Q56" s="33"/>
      <c r="R56" s="21"/>
    </row>
    <row r="57" spans="2:20" s="9" customFormat="1" ht="12.75" customHeight="1" x14ac:dyDescent="0.2">
      <c r="B57" s="9" t="s">
        <v>59</v>
      </c>
      <c r="C57" s="21" t="s">
        <v>44</v>
      </c>
      <c r="D57" s="18">
        <v>1</v>
      </c>
      <c r="E57" s="18">
        <v>1</v>
      </c>
      <c r="F57" s="18">
        <v>1</v>
      </c>
      <c r="G57" s="18">
        <v>1</v>
      </c>
      <c r="H57" s="18">
        <v>1</v>
      </c>
      <c r="I57" s="18">
        <v>1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  <c r="P57" s="10">
        <f t="shared" si="5"/>
        <v>12</v>
      </c>
      <c r="Q57" s="33"/>
      <c r="R57" s="21"/>
    </row>
    <row r="58" spans="2:20" s="9" customFormat="1" ht="12.75" customHeight="1" x14ac:dyDescent="0.2">
      <c r="B58" s="2" t="s">
        <v>12</v>
      </c>
      <c r="C58" s="21" t="s">
        <v>13</v>
      </c>
      <c r="D58" s="18">
        <v>5</v>
      </c>
      <c r="E58" s="18">
        <v>7</v>
      </c>
      <c r="F58" s="18">
        <v>7</v>
      </c>
      <c r="G58" s="18">
        <v>7</v>
      </c>
      <c r="H58" s="18">
        <v>7</v>
      </c>
      <c r="I58" s="18">
        <v>7</v>
      </c>
      <c r="J58" s="18">
        <v>7</v>
      </c>
      <c r="K58" s="18">
        <v>7</v>
      </c>
      <c r="L58" s="18">
        <v>7</v>
      </c>
      <c r="M58" s="18">
        <v>7</v>
      </c>
      <c r="N58" s="18">
        <v>7</v>
      </c>
      <c r="O58" s="18">
        <v>7</v>
      </c>
      <c r="P58" s="10">
        <f t="shared" si="5"/>
        <v>82</v>
      </c>
      <c r="Q58" s="33"/>
      <c r="R58" s="21"/>
    </row>
    <row r="59" spans="2:20" s="9" customFormat="1" ht="12.75" customHeight="1" x14ac:dyDescent="0.2">
      <c r="B59" s="2" t="s">
        <v>60</v>
      </c>
      <c r="C59" s="25" t="s">
        <v>41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O59" s="18">
        <v>1</v>
      </c>
      <c r="P59" s="10">
        <f t="shared" si="5"/>
        <v>12</v>
      </c>
      <c r="Q59" s="33"/>
      <c r="R59" s="25"/>
    </row>
    <row r="60" spans="2:20" s="9" customFormat="1" ht="12.75" customHeight="1" x14ac:dyDescent="0.2">
      <c r="B60" s="2" t="s">
        <v>45</v>
      </c>
      <c r="C60" s="21" t="s">
        <v>43</v>
      </c>
      <c r="D60" s="18">
        <v>17</v>
      </c>
      <c r="E60" s="18">
        <v>16</v>
      </c>
      <c r="F60" s="18">
        <v>17</v>
      </c>
      <c r="G60" s="18">
        <v>17</v>
      </c>
      <c r="H60" s="18">
        <v>17</v>
      </c>
      <c r="I60" s="18">
        <v>17</v>
      </c>
      <c r="J60" s="18">
        <v>17</v>
      </c>
      <c r="K60" s="18">
        <v>17</v>
      </c>
      <c r="L60" s="18">
        <v>17</v>
      </c>
      <c r="M60" s="18">
        <v>17</v>
      </c>
      <c r="N60" s="18">
        <v>16</v>
      </c>
      <c r="O60" s="18">
        <v>16</v>
      </c>
      <c r="P60" s="10">
        <f t="shared" si="5"/>
        <v>201</v>
      </c>
      <c r="Q60" s="33"/>
      <c r="R60" s="21"/>
      <c r="T60" s="37"/>
    </row>
    <row r="61" spans="2:20" s="9" customFormat="1" ht="12.75" customHeight="1" x14ac:dyDescent="0.2">
      <c r="B61" s="2" t="s">
        <v>46</v>
      </c>
      <c r="C61" s="21" t="s">
        <v>10</v>
      </c>
      <c r="D61" s="18">
        <v>57</v>
      </c>
      <c r="E61" s="18">
        <v>58</v>
      </c>
      <c r="F61" s="18">
        <v>56</v>
      </c>
      <c r="G61" s="18">
        <v>56</v>
      </c>
      <c r="H61" s="18">
        <v>56</v>
      </c>
      <c r="I61" s="18">
        <v>56</v>
      </c>
      <c r="J61" s="18">
        <v>55</v>
      </c>
      <c r="K61" s="18">
        <v>55</v>
      </c>
      <c r="L61" s="18">
        <v>55</v>
      </c>
      <c r="M61" s="18">
        <v>55</v>
      </c>
      <c r="N61" s="18">
        <v>55</v>
      </c>
      <c r="O61" s="18">
        <v>55</v>
      </c>
      <c r="P61" s="10">
        <f t="shared" si="5"/>
        <v>669</v>
      </c>
      <c r="Q61" s="33"/>
      <c r="R61" s="21"/>
      <c r="T61" s="37"/>
    </row>
    <row r="62" spans="2:20" s="9" customFormat="1" ht="12.75" customHeight="1" x14ac:dyDescent="0.2">
      <c r="B62" s="9" t="s">
        <v>47</v>
      </c>
      <c r="C62" s="21" t="s">
        <v>44</v>
      </c>
      <c r="D62" s="18">
        <v>4</v>
      </c>
      <c r="E62" s="18">
        <v>4</v>
      </c>
      <c r="F62" s="18">
        <v>4</v>
      </c>
      <c r="G62" s="18">
        <v>4</v>
      </c>
      <c r="H62" s="18">
        <v>4</v>
      </c>
      <c r="I62" s="18">
        <v>4</v>
      </c>
      <c r="J62" s="18">
        <v>4</v>
      </c>
      <c r="K62" s="18">
        <v>4</v>
      </c>
      <c r="L62" s="18">
        <v>4</v>
      </c>
      <c r="M62" s="18">
        <v>4</v>
      </c>
      <c r="N62" s="18">
        <v>4</v>
      </c>
      <c r="O62" s="18">
        <v>4</v>
      </c>
      <c r="P62" s="10">
        <f t="shared" si="5"/>
        <v>48</v>
      </c>
      <c r="Q62" s="33"/>
      <c r="R62" s="21"/>
    </row>
    <row r="63" spans="2:20" s="9" customFormat="1" ht="12.75" customHeight="1" x14ac:dyDescent="0.2">
      <c r="B63" s="2" t="s">
        <v>48</v>
      </c>
      <c r="C63" s="21" t="s">
        <v>13</v>
      </c>
      <c r="D63" s="18">
        <v>7</v>
      </c>
      <c r="E63" s="18">
        <v>7</v>
      </c>
      <c r="F63" s="18">
        <v>7</v>
      </c>
      <c r="G63" s="18">
        <v>7</v>
      </c>
      <c r="H63" s="18">
        <v>7</v>
      </c>
      <c r="I63" s="18">
        <v>7</v>
      </c>
      <c r="J63" s="18">
        <v>7</v>
      </c>
      <c r="K63" s="18">
        <v>7</v>
      </c>
      <c r="L63" s="18">
        <v>7</v>
      </c>
      <c r="M63" s="18">
        <v>7</v>
      </c>
      <c r="N63" s="18">
        <v>7</v>
      </c>
      <c r="O63" s="18">
        <v>7</v>
      </c>
      <c r="P63" s="10">
        <f t="shared" si="5"/>
        <v>84</v>
      </c>
      <c r="Q63" s="33"/>
      <c r="R63" s="21"/>
    </row>
    <row r="64" spans="2:20" s="9" customFormat="1" ht="12.75" customHeight="1" x14ac:dyDescent="0.2">
      <c r="B64" s="2" t="s">
        <v>49</v>
      </c>
      <c r="C64" s="21" t="s">
        <v>50</v>
      </c>
      <c r="D64" s="18">
        <v>1</v>
      </c>
      <c r="E64" s="18">
        <v>1</v>
      </c>
      <c r="F64" s="18">
        <v>1</v>
      </c>
      <c r="G64" s="18">
        <v>1</v>
      </c>
      <c r="H64" s="18">
        <v>1</v>
      </c>
      <c r="I64" s="18">
        <v>1</v>
      </c>
      <c r="J64" s="18">
        <v>1</v>
      </c>
      <c r="K64" s="18">
        <v>1</v>
      </c>
      <c r="L64" s="18">
        <v>1</v>
      </c>
      <c r="M64" s="18">
        <v>1</v>
      </c>
      <c r="N64" s="18">
        <v>1</v>
      </c>
      <c r="O64" s="18">
        <v>1</v>
      </c>
      <c r="P64" s="10">
        <f t="shared" si="5"/>
        <v>12</v>
      </c>
      <c r="Q64" s="33"/>
      <c r="R64" s="21"/>
    </row>
    <row r="65" spans="2:18" s="11" customFormat="1" ht="12.75" customHeight="1" x14ac:dyDescent="0.25">
      <c r="B65" s="11" t="s">
        <v>14</v>
      </c>
      <c r="C65" s="28" t="s">
        <v>15</v>
      </c>
      <c r="D65" s="29">
        <v>9</v>
      </c>
      <c r="E65" s="29">
        <v>9</v>
      </c>
      <c r="F65" s="29">
        <v>9</v>
      </c>
      <c r="G65" s="29">
        <v>9</v>
      </c>
      <c r="H65" s="29">
        <v>9</v>
      </c>
      <c r="I65" s="29">
        <v>9</v>
      </c>
      <c r="J65" s="29">
        <v>9</v>
      </c>
      <c r="K65" s="29">
        <v>9</v>
      </c>
      <c r="L65" s="29">
        <v>9</v>
      </c>
      <c r="M65" s="29">
        <v>9</v>
      </c>
      <c r="N65" s="29">
        <v>9</v>
      </c>
      <c r="O65" s="29">
        <v>9</v>
      </c>
      <c r="P65" s="30">
        <f t="shared" si="5"/>
        <v>108</v>
      </c>
      <c r="Q65" s="33"/>
      <c r="R65" s="28"/>
    </row>
    <row r="66" spans="2:18" s="9" customFormat="1" ht="12.75" customHeight="1" x14ac:dyDescent="0.2">
      <c r="B66" s="9" t="s">
        <v>6</v>
      </c>
      <c r="D66" s="31">
        <f>SUM(D37:D65)</f>
        <v>877956</v>
      </c>
      <c r="E66" s="31">
        <f t="shared" ref="E66:O66" si="6">SUM(E37:E65)</f>
        <v>878417</v>
      </c>
      <c r="F66" s="31">
        <f t="shared" si="6"/>
        <v>878701</v>
      </c>
      <c r="G66" s="31">
        <f t="shared" si="6"/>
        <v>878722</v>
      </c>
      <c r="H66" s="31">
        <f t="shared" si="6"/>
        <v>878823</v>
      </c>
      <c r="I66" s="31">
        <f t="shared" si="6"/>
        <v>878954</v>
      </c>
      <c r="J66" s="31">
        <f t="shared" si="6"/>
        <v>878844</v>
      </c>
      <c r="K66" s="31">
        <f t="shared" si="6"/>
        <v>878992</v>
      </c>
      <c r="L66" s="31">
        <f t="shared" si="6"/>
        <v>879065</v>
      </c>
      <c r="M66" s="31">
        <f t="shared" si="6"/>
        <v>879613</v>
      </c>
      <c r="N66" s="31">
        <f t="shared" si="6"/>
        <v>880310</v>
      </c>
      <c r="O66" s="31">
        <f t="shared" si="6"/>
        <v>880702</v>
      </c>
      <c r="P66" s="10">
        <f>SUM(D66:O66)</f>
        <v>10549099</v>
      </c>
      <c r="Q66" s="13"/>
    </row>
    <row r="67" spans="2:18" s="9" customFormat="1" ht="12.75" customHeight="1" x14ac:dyDescent="0.2">
      <c r="C67" s="25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8" ht="12.75" customHeight="1" x14ac:dyDescent="0.2">
      <c r="B68" s="22" t="s">
        <v>61</v>
      </c>
      <c r="C68" s="2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2:18" ht="12.75" customHeight="1" x14ac:dyDescent="0.2">
      <c r="B69" s="2" t="s">
        <v>28</v>
      </c>
      <c r="C69" s="21">
        <v>23</v>
      </c>
      <c r="D69" s="32">
        <f t="shared" ref="D69:O69" si="7">IFERROR(D9/D38,0)</f>
        <v>116.86573006548888</v>
      </c>
      <c r="E69" s="32">
        <f t="shared" si="7"/>
        <v>91.091053960455156</v>
      </c>
      <c r="F69" s="32">
        <f t="shared" si="7"/>
        <v>94.892573041377034</v>
      </c>
      <c r="G69" s="32">
        <f t="shared" si="7"/>
        <v>60.21982220310894</v>
      </c>
      <c r="H69" s="32">
        <f t="shared" si="7"/>
        <v>41.155587174999788</v>
      </c>
      <c r="I69" s="32">
        <f t="shared" si="7"/>
        <v>34.558310191920867</v>
      </c>
      <c r="J69" s="32">
        <f t="shared" si="7"/>
        <v>15.541297103654648</v>
      </c>
      <c r="K69" s="32">
        <f t="shared" si="7"/>
        <v>16.631878897871562</v>
      </c>
      <c r="L69" s="32">
        <f t="shared" si="7"/>
        <v>21.042252179603462</v>
      </c>
      <c r="M69" s="32">
        <f t="shared" si="7"/>
        <v>47.840862812240125</v>
      </c>
      <c r="N69" s="32">
        <f t="shared" si="7"/>
        <v>81.736058792491548</v>
      </c>
      <c r="O69" s="32">
        <f t="shared" si="7"/>
        <v>99.001625691890524</v>
      </c>
      <c r="P69" s="32">
        <f>SUM(D69:O69)</f>
        <v>720.57705211510256</v>
      </c>
      <c r="Q69" s="32"/>
    </row>
    <row r="70" spans="2:18" ht="12.75" customHeight="1" x14ac:dyDescent="0.2">
      <c r="B70" s="9" t="s">
        <v>30</v>
      </c>
      <c r="C70" s="9">
        <v>31</v>
      </c>
      <c r="D70" s="32">
        <f t="shared" ref="D70:O70" si="8">IFERROR(D11/D41,0)</f>
        <v>615.27576878257571</v>
      </c>
      <c r="E70" s="32">
        <f t="shared" si="8"/>
        <v>465.31162432327136</v>
      </c>
      <c r="F70" s="32">
        <f t="shared" si="8"/>
        <v>491.66761640746637</v>
      </c>
      <c r="G70" s="32">
        <f t="shared" si="8"/>
        <v>364.83407035421322</v>
      </c>
      <c r="H70" s="32">
        <f t="shared" si="8"/>
        <v>242.79615030612135</v>
      </c>
      <c r="I70" s="32">
        <f t="shared" si="8"/>
        <v>229.50937134110316</v>
      </c>
      <c r="J70" s="32">
        <f t="shared" si="8"/>
        <v>140.96289235166719</v>
      </c>
      <c r="K70" s="32">
        <f t="shared" si="8"/>
        <v>117.20956112463587</v>
      </c>
      <c r="L70" s="32">
        <f t="shared" si="8"/>
        <v>188.55924193488383</v>
      </c>
      <c r="M70" s="32">
        <f t="shared" si="8"/>
        <v>247.48668032208667</v>
      </c>
      <c r="N70" s="32">
        <f t="shared" si="8"/>
        <v>416.85908333093266</v>
      </c>
      <c r="O70" s="32">
        <f t="shared" si="8"/>
        <v>523.45841320413194</v>
      </c>
      <c r="P70" s="32">
        <f t="shared" ref="P70:P80" si="9">SUM(D70:O70)</f>
        <v>4043.9304737830889</v>
      </c>
      <c r="Q70" s="32"/>
    </row>
    <row r="71" spans="2:18" s="9" customFormat="1" ht="12.75" customHeight="1" x14ac:dyDescent="0.2">
      <c r="B71" s="9" t="s">
        <v>31</v>
      </c>
      <c r="C71" s="9">
        <v>41</v>
      </c>
      <c r="D71" s="10">
        <f t="shared" ref="D71:O71" si="10">IFERROR(D12/D42,0)</f>
        <v>6708.9462697685303</v>
      </c>
      <c r="E71" s="10">
        <f t="shared" si="10"/>
        <v>5351.8192570188548</v>
      </c>
      <c r="F71" s="10">
        <f t="shared" si="10"/>
        <v>5524.7073143544503</v>
      </c>
      <c r="G71" s="10">
        <f t="shared" si="10"/>
        <v>4268.8587780909256</v>
      </c>
      <c r="H71" s="10">
        <f t="shared" si="10"/>
        <v>3638.6485417083527</v>
      </c>
      <c r="I71" s="10">
        <f t="shared" si="10"/>
        <v>3410.1991683006536</v>
      </c>
      <c r="J71" s="10">
        <f t="shared" si="10"/>
        <v>2864.4547868257296</v>
      </c>
      <c r="K71" s="10">
        <f t="shared" si="10"/>
        <v>2093.8433605786799</v>
      </c>
      <c r="L71" s="10">
        <f t="shared" si="10"/>
        <v>1668.9542269269666</v>
      </c>
      <c r="M71" s="10">
        <f t="shared" si="10"/>
        <v>3666.2250214918695</v>
      </c>
      <c r="N71" s="10">
        <f t="shared" si="10"/>
        <v>4855.6623281897064</v>
      </c>
      <c r="O71" s="10">
        <f t="shared" si="10"/>
        <v>7201.8160545071723</v>
      </c>
      <c r="P71" s="32">
        <f t="shared" si="9"/>
        <v>51254.135107761889</v>
      </c>
      <c r="Q71" s="32"/>
    </row>
    <row r="72" spans="2:18" s="9" customFormat="1" ht="12.75" customHeight="1" x14ac:dyDescent="0.2">
      <c r="B72" s="9" t="s">
        <v>36</v>
      </c>
      <c r="C72" s="9">
        <v>41</v>
      </c>
      <c r="D72" s="10">
        <f t="shared" ref="D72:O72" si="11">IFERROR(D18/D49,0)</f>
        <v>15525.576865507619</v>
      </c>
      <c r="E72" s="10">
        <f t="shared" si="11"/>
        <v>8647.749033399823</v>
      </c>
      <c r="F72" s="10">
        <f t="shared" si="11"/>
        <v>11758.072376811593</v>
      </c>
      <c r="G72" s="10">
        <f t="shared" si="11"/>
        <v>12365.832503471624</v>
      </c>
      <c r="H72" s="10">
        <f t="shared" si="11"/>
        <v>9487.4337227093602</v>
      </c>
      <c r="I72" s="10">
        <f t="shared" si="11"/>
        <v>13448.748257575759</v>
      </c>
      <c r="J72" s="10">
        <f t="shared" si="11"/>
        <v>8226.5563629538938</v>
      </c>
      <c r="K72" s="10">
        <f t="shared" si="11"/>
        <v>10045.78274344099</v>
      </c>
      <c r="L72" s="10">
        <f t="shared" si="11"/>
        <v>7947.5031928876024</v>
      </c>
      <c r="M72" s="10">
        <f t="shared" si="11"/>
        <v>11327.574349447921</v>
      </c>
      <c r="N72" s="10">
        <f t="shared" si="11"/>
        <v>11946.98846123703</v>
      </c>
      <c r="O72" s="10">
        <f t="shared" si="11"/>
        <v>11193.044880817382</v>
      </c>
      <c r="P72" s="32">
        <f t="shared" si="9"/>
        <v>131920.8627502606</v>
      </c>
      <c r="Q72" s="32"/>
    </row>
    <row r="73" spans="2:18" ht="12.75" customHeight="1" x14ac:dyDescent="0.2">
      <c r="B73" s="2" t="s">
        <v>42</v>
      </c>
      <c r="C73" s="21" t="s">
        <v>43</v>
      </c>
      <c r="D73" s="32">
        <f t="shared" ref="D73:O73" si="12">IFERROR(D23/D55,0)</f>
        <v>20242.374133333338</v>
      </c>
      <c r="E73" s="32">
        <f t="shared" si="12"/>
        <v>19071.716933333337</v>
      </c>
      <c r="F73" s="32">
        <f t="shared" si="12"/>
        <v>16721.303246753247</v>
      </c>
      <c r="G73" s="32">
        <f t="shared" si="12"/>
        <v>14658.859220779219</v>
      </c>
      <c r="H73" s="32">
        <f t="shared" si="12"/>
        <v>16662.334285714289</v>
      </c>
      <c r="I73" s="32">
        <f t="shared" si="12"/>
        <v>15345.487468354431</v>
      </c>
      <c r="J73" s="32">
        <f t="shared" si="12"/>
        <v>13520.030253164559</v>
      </c>
      <c r="K73" s="32">
        <f t="shared" si="12"/>
        <v>13845.605063291137</v>
      </c>
      <c r="L73" s="32">
        <f t="shared" si="12"/>
        <v>14591.70759493671</v>
      </c>
      <c r="M73" s="32">
        <f t="shared" si="12"/>
        <v>15859.557848101267</v>
      </c>
      <c r="N73" s="32">
        <f t="shared" si="12"/>
        <v>30003.544133333329</v>
      </c>
      <c r="O73" s="32">
        <f t="shared" si="12"/>
        <v>5725.8264000000026</v>
      </c>
      <c r="P73" s="32">
        <f t="shared" si="9"/>
        <v>196248.34658109487</v>
      </c>
      <c r="Q73" s="32"/>
    </row>
    <row r="74" spans="2:18" ht="12.75" customHeight="1" x14ac:dyDescent="0.2">
      <c r="B74" s="2" t="s">
        <v>9</v>
      </c>
      <c r="C74" s="21" t="s">
        <v>10</v>
      </c>
      <c r="D74" s="32">
        <f t="shared" ref="D74:O74" si="13">IFERROR(D24/D56,0)</f>
        <v>55018.579565217384</v>
      </c>
      <c r="E74" s="32">
        <f t="shared" si="13"/>
        <v>72543.832857142872</v>
      </c>
      <c r="F74" s="32">
        <f t="shared" si="13"/>
        <v>51464.508571428581</v>
      </c>
      <c r="G74" s="32">
        <f t="shared" si="13"/>
        <v>48551.96047619047</v>
      </c>
      <c r="H74" s="32">
        <f t="shared" si="13"/>
        <v>52959.507142857139</v>
      </c>
      <c r="I74" s="32">
        <f t="shared" si="13"/>
        <v>52925.054285714294</v>
      </c>
      <c r="J74" s="32">
        <f t="shared" si="13"/>
        <v>48032.664499999999</v>
      </c>
      <c r="K74" s="32">
        <f t="shared" si="13"/>
        <v>48461.669500000004</v>
      </c>
      <c r="L74" s="32">
        <f t="shared" si="13"/>
        <v>49773.215000000004</v>
      </c>
      <c r="M74" s="32">
        <f t="shared" si="13"/>
        <v>55703.121999999996</v>
      </c>
      <c r="N74" s="32">
        <f t="shared" si="13"/>
        <v>84391.300499999998</v>
      </c>
      <c r="O74" s="32">
        <f t="shared" si="13"/>
        <v>27916.028947368417</v>
      </c>
      <c r="P74" s="32">
        <f t="shared" si="9"/>
        <v>647741.44334591914</v>
      </c>
      <c r="Q74" s="32"/>
    </row>
    <row r="75" spans="2:18" ht="12.75" customHeight="1" x14ac:dyDescent="0.2">
      <c r="B75" s="2" t="s">
        <v>12</v>
      </c>
      <c r="C75" s="21" t="s">
        <v>13</v>
      </c>
      <c r="D75" s="32">
        <f t="shared" ref="D75:O75" si="14">IFERROR(D26/D58,0)</f>
        <v>394732.89200000011</v>
      </c>
      <c r="E75" s="32">
        <f t="shared" si="14"/>
        <v>265841.54285714281</v>
      </c>
      <c r="F75" s="32">
        <f t="shared" si="14"/>
        <v>335538.78285714285</v>
      </c>
      <c r="G75" s="32">
        <f t="shared" si="14"/>
        <v>324515.30857142864</v>
      </c>
      <c r="H75" s="32">
        <f t="shared" si="14"/>
        <v>244128.70571428569</v>
      </c>
      <c r="I75" s="32">
        <f t="shared" si="14"/>
        <v>245396.90714285715</v>
      </c>
      <c r="J75" s="32">
        <f t="shared" si="14"/>
        <v>207402.38428571433</v>
      </c>
      <c r="K75" s="32">
        <f t="shared" si="14"/>
        <v>193945.31285714285</v>
      </c>
      <c r="L75" s="32">
        <f t="shared" si="14"/>
        <v>201559.53142857141</v>
      </c>
      <c r="M75" s="32">
        <f t="shared" si="14"/>
        <v>245692.34285714291</v>
      </c>
      <c r="N75" s="32">
        <f t="shared" si="14"/>
        <v>523660.03714285709</v>
      </c>
      <c r="O75" s="32">
        <f t="shared" si="14"/>
        <v>87753.938571428604</v>
      </c>
      <c r="P75" s="32">
        <f t="shared" si="9"/>
        <v>3270167.6862857137</v>
      </c>
      <c r="Q75" s="32"/>
    </row>
    <row r="76" spans="2:18" ht="12.75" customHeight="1" x14ac:dyDescent="0.2">
      <c r="B76" s="2" t="s">
        <v>8</v>
      </c>
      <c r="C76" s="2">
        <v>85</v>
      </c>
      <c r="D76" s="32">
        <f t="shared" ref="D76:O76" si="15">IFERROR(D14/D45,0)</f>
        <v>80878.673694249344</v>
      </c>
      <c r="E76" s="32">
        <f t="shared" si="15"/>
        <v>57495.936043276088</v>
      </c>
      <c r="F76" s="32">
        <f t="shared" si="15"/>
        <v>69700.821730769225</v>
      </c>
      <c r="G76" s="32">
        <f t="shared" si="15"/>
        <v>57599.198138139087</v>
      </c>
      <c r="H76" s="32">
        <f t="shared" si="15"/>
        <v>34925.232262199992</v>
      </c>
      <c r="I76" s="32">
        <f t="shared" si="15"/>
        <v>40995.838461538464</v>
      </c>
      <c r="J76" s="32">
        <f t="shared" si="15"/>
        <v>55897.24866437124</v>
      </c>
      <c r="K76" s="32">
        <f t="shared" si="15"/>
        <v>-7411.6269094111649</v>
      </c>
      <c r="L76" s="32">
        <f t="shared" si="15"/>
        <v>34604.595645335226</v>
      </c>
      <c r="M76" s="32">
        <f t="shared" si="15"/>
        <v>41071.881071343043</v>
      </c>
      <c r="N76" s="32">
        <f t="shared" si="15"/>
        <v>57531.892432265129</v>
      </c>
      <c r="O76" s="32">
        <f t="shared" si="15"/>
        <v>79833.40422311156</v>
      </c>
      <c r="P76" s="32">
        <f t="shared" si="9"/>
        <v>603123.09545718727</v>
      </c>
      <c r="Q76" s="32"/>
    </row>
    <row r="77" spans="2:18" ht="12.75" customHeight="1" x14ac:dyDescent="0.2">
      <c r="B77" s="2" t="s">
        <v>33</v>
      </c>
      <c r="C77" s="2">
        <v>86</v>
      </c>
      <c r="D77" s="32">
        <f t="shared" ref="D77:O77" si="16">IFERROR(D15/D46,0)</f>
        <v>8065.7507606739309</v>
      </c>
      <c r="E77" s="32">
        <f t="shared" si="16"/>
        <v>5543.5173035450425</v>
      </c>
      <c r="F77" s="32">
        <f t="shared" si="16"/>
        <v>5215.7565894736845</v>
      </c>
      <c r="G77" s="32">
        <f t="shared" si="16"/>
        <v>5210.7988032650001</v>
      </c>
      <c r="H77" s="32">
        <f t="shared" si="16"/>
        <v>3702.2997385443864</v>
      </c>
      <c r="I77" s="32">
        <f t="shared" si="16"/>
        <v>3752.7850000000003</v>
      </c>
      <c r="J77" s="32">
        <f t="shared" si="16"/>
        <v>1387.5627470159268</v>
      </c>
      <c r="K77" s="32">
        <f t="shared" si="16"/>
        <v>1332.2916325019476</v>
      </c>
      <c r="L77" s="32">
        <f t="shared" si="16"/>
        <v>1766.8960928313174</v>
      </c>
      <c r="M77" s="32">
        <f t="shared" si="16"/>
        <v>3867.9105070797468</v>
      </c>
      <c r="N77" s="32">
        <f t="shared" si="16"/>
        <v>5374.1283634189995</v>
      </c>
      <c r="O77" s="32">
        <f t="shared" si="16"/>
        <v>6633.1626611107886</v>
      </c>
      <c r="P77" s="32">
        <f t="shared" si="9"/>
        <v>51852.86019946076</v>
      </c>
      <c r="Q77" s="32"/>
    </row>
    <row r="78" spans="2:18" ht="12.75" customHeight="1" x14ac:dyDescent="0.2">
      <c r="B78" s="9" t="s">
        <v>11</v>
      </c>
      <c r="C78" s="9">
        <v>87</v>
      </c>
      <c r="D78" s="32">
        <f t="shared" ref="D78:O78" si="17">IFERROR(D16/D47,0)</f>
        <v>666718.93287499994</v>
      </c>
      <c r="E78" s="32">
        <f t="shared" si="17"/>
        <v>410166.42862500006</v>
      </c>
      <c r="F78" s="32">
        <f t="shared" si="17"/>
        <v>487997.99524999998</v>
      </c>
      <c r="G78" s="32">
        <f t="shared" si="17"/>
        <v>647926.19362500007</v>
      </c>
      <c r="H78" s="32">
        <f t="shared" si="17"/>
        <v>388492.52312500001</v>
      </c>
      <c r="I78" s="32">
        <f t="shared" si="17"/>
        <v>354492.85700000002</v>
      </c>
      <c r="J78" s="32">
        <f t="shared" si="17"/>
        <v>311695.97342204949</v>
      </c>
      <c r="K78" s="32">
        <f t="shared" si="17"/>
        <v>189835.69287499998</v>
      </c>
      <c r="L78" s="32">
        <f t="shared" si="17"/>
        <v>215987.20600000001</v>
      </c>
      <c r="M78" s="32">
        <f t="shared" si="17"/>
        <v>344085.18774999998</v>
      </c>
      <c r="N78" s="32">
        <f t="shared" si="17"/>
        <v>963595.87612500007</v>
      </c>
      <c r="O78" s="32">
        <f t="shared" si="17"/>
        <v>-302948.01250000001</v>
      </c>
      <c r="P78" s="32">
        <f t="shared" si="9"/>
        <v>4678046.8541720491</v>
      </c>
      <c r="Q78" s="32"/>
    </row>
    <row r="79" spans="2:18" ht="12.75" customHeight="1" x14ac:dyDescent="0.2">
      <c r="B79" s="2" t="s">
        <v>35</v>
      </c>
      <c r="C79" s="2">
        <v>31</v>
      </c>
      <c r="D79" s="32">
        <f t="shared" ref="D79:O79" si="18">IFERROR(D17/D48,0)</f>
        <v>943.2169943604946</v>
      </c>
      <c r="E79" s="32">
        <f t="shared" si="18"/>
        <v>713.75540265960387</v>
      </c>
      <c r="F79" s="32">
        <f t="shared" si="18"/>
        <v>788.05154204753194</v>
      </c>
      <c r="G79" s="32">
        <f t="shared" si="18"/>
        <v>476.37017107131368</v>
      </c>
      <c r="H79" s="32">
        <f t="shared" si="18"/>
        <v>314.93639980086681</v>
      </c>
      <c r="I79" s="32">
        <f t="shared" si="18"/>
        <v>226.35823789764868</v>
      </c>
      <c r="J79" s="32">
        <f t="shared" si="18"/>
        <v>261.16996329660037</v>
      </c>
      <c r="K79" s="32">
        <f t="shared" si="18"/>
        <v>89.560153264515435</v>
      </c>
      <c r="L79" s="32">
        <f t="shared" si="18"/>
        <v>103.80953793659978</v>
      </c>
      <c r="M79" s="32">
        <f t="shared" si="18"/>
        <v>474.7298013133896</v>
      </c>
      <c r="N79" s="32">
        <f t="shared" si="18"/>
        <v>444.41046745496942</v>
      </c>
      <c r="O79" s="32">
        <f t="shared" si="18"/>
        <v>826.5091288954643</v>
      </c>
      <c r="P79" s="32">
        <f t="shared" si="9"/>
        <v>5662.8777999989979</v>
      </c>
      <c r="Q79" s="32"/>
    </row>
    <row r="80" spans="2:18" s="40" customFormat="1" ht="12.75" customHeight="1" x14ac:dyDescent="0.25">
      <c r="B80" s="11" t="s">
        <v>14</v>
      </c>
      <c r="C80" s="38" t="s">
        <v>15</v>
      </c>
      <c r="D80" s="39">
        <f t="shared" ref="D80:I80" si="19">IFERROR(D32/D65,0)</f>
        <v>1637332.9355555559</v>
      </c>
      <c r="E80" s="39">
        <f t="shared" si="19"/>
        <v>389785.99111111107</v>
      </c>
      <c r="F80" s="39">
        <f t="shared" si="19"/>
        <v>447351.92888888885</v>
      </c>
      <c r="G80" s="39">
        <f t="shared" si="19"/>
        <v>317254.42000000004</v>
      </c>
      <c r="H80" s="39">
        <f t="shared" si="19"/>
        <v>257390.95111111118</v>
      </c>
      <c r="I80" s="39">
        <f t="shared" si="19"/>
        <v>86396.318888888884</v>
      </c>
      <c r="J80" s="39">
        <f>IFERROR(J32/J65,0)</f>
        <v>358288.18888888892</v>
      </c>
      <c r="K80" s="39">
        <f t="shared" ref="K80:O80" si="20">IFERROR(K32/K65,0)</f>
        <v>186252.11888888889</v>
      </c>
      <c r="L80" s="39">
        <f t="shared" si="20"/>
        <v>161537.48666666666</v>
      </c>
      <c r="M80" s="39">
        <f t="shared" si="20"/>
        <v>196664.25444444444</v>
      </c>
      <c r="N80" s="39">
        <f t="shared" si="20"/>
        <v>513942.55333333329</v>
      </c>
      <c r="O80" s="39">
        <f t="shared" si="20"/>
        <v>180933.94555555558</v>
      </c>
      <c r="P80" s="32">
        <f t="shared" si="9"/>
        <v>4733131.0933333337</v>
      </c>
      <c r="Q80" s="39"/>
    </row>
    <row r="81" spans="2:23" ht="12.75" customHeight="1" x14ac:dyDescent="0.2">
      <c r="C81" s="2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2:23" ht="12.75" customHeight="1" x14ac:dyDescent="0.2">
      <c r="B82" s="22" t="s">
        <v>62</v>
      </c>
      <c r="C82" s="21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32"/>
      <c r="Q82" s="32"/>
    </row>
    <row r="83" spans="2:23" s="9" customFormat="1" ht="12.75" customHeight="1" x14ac:dyDescent="0.2">
      <c r="B83" s="9" t="s">
        <v>63</v>
      </c>
      <c r="C83" s="25"/>
      <c r="D83" s="18">
        <v>729.125</v>
      </c>
      <c r="E83" s="18">
        <v>607.125</v>
      </c>
      <c r="F83" s="18">
        <v>577.47916666666697</v>
      </c>
      <c r="G83" s="18">
        <v>457.95833333333297</v>
      </c>
      <c r="H83" s="18">
        <v>318.45833333333297</v>
      </c>
      <c r="I83" s="18">
        <v>158.541666666667</v>
      </c>
      <c r="J83" s="18">
        <v>16.125</v>
      </c>
      <c r="K83" s="18">
        <v>44.875</v>
      </c>
      <c r="L83" s="18">
        <v>131.625</v>
      </c>
      <c r="M83" s="18">
        <v>357.41666666666703</v>
      </c>
      <c r="N83" s="18">
        <v>577.35416666666697</v>
      </c>
      <c r="O83" s="18">
        <v>660.41666666666697</v>
      </c>
      <c r="P83" s="10">
        <f>SUM(D83:O83)</f>
        <v>4636.5000000000009</v>
      </c>
      <c r="Q83" s="10"/>
    </row>
    <row r="84" spans="2:23" s="9" customFormat="1" ht="12.75" customHeight="1" x14ac:dyDescent="0.2">
      <c r="B84" s="9" t="s">
        <v>64</v>
      </c>
      <c r="C84" s="25"/>
      <c r="D84" s="18">
        <v>661.4</v>
      </c>
      <c r="E84" s="18">
        <v>612.1</v>
      </c>
      <c r="F84" s="18">
        <v>560.1</v>
      </c>
      <c r="G84" s="18">
        <v>413.2</v>
      </c>
      <c r="H84" s="18">
        <v>244.7</v>
      </c>
      <c r="I84" s="18">
        <v>110.9</v>
      </c>
      <c r="J84" s="18">
        <v>29</v>
      </c>
      <c r="K84" s="18">
        <v>22.4</v>
      </c>
      <c r="L84" s="18">
        <v>110.8</v>
      </c>
      <c r="M84" s="18">
        <v>347.1</v>
      </c>
      <c r="N84" s="18">
        <v>543.1</v>
      </c>
      <c r="O84" s="18">
        <v>697.3</v>
      </c>
      <c r="P84" s="10">
        <f>SUM(D84:O84)</f>
        <v>4352.0999999999995</v>
      </c>
      <c r="Q84" s="10"/>
    </row>
    <row r="85" spans="2:23" s="9" customFormat="1" ht="12.75" customHeight="1" x14ac:dyDescent="0.2">
      <c r="B85" s="9" t="s">
        <v>65</v>
      </c>
      <c r="C85" s="25"/>
      <c r="D85" s="31">
        <f t="shared" ref="D85:P85" si="21">D83-D84</f>
        <v>67.725000000000023</v>
      </c>
      <c r="E85" s="31">
        <f t="shared" si="21"/>
        <v>-4.9750000000000227</v>
      </c>
      <c r="F85" s="31">
        <f t="shared" si="21"/>
        <v>17.379166666666947</v>
      </c>
      <c r="G85" s="31">
        <f t="shared" si="21"/>
        <v>44.758333333332985</v>
      </c>
      <c r="H85" s="31">
        <f t="shared" si="21"/>
        <v>73.758333333332985</v>
      </c>
      <c r="I85" s="31">
        <f t="shared" si="21"/>
        <v>47.641666666666993</v>
      </c>
      <c r="J85" s="31">
        <f t="shared" si="21"/>
        <v>-12.875</v>
      </c>
      <c r="K85" s="31">
        <f t="shared" si="21"/>
        <v>22.475000000000001</v>
      </c>
      <c r="L85" s="31">
        <f t="shared" si="21"/>
        <v>20.825000000000003</v>
      </c>
      <c r="M85" s="31">
        <f t="shared" si="21"/>
        <v>10.316666666667004</v>
      </c>
      <c r="N85" s="31">
        <f t="shared" si="21"/>
        <v>34.254166666666947</v>
      </c>
      <c r="O85" s="31">
        <f t="shared" si="21"/>
        <v>-36.883333333332985</v>
      </c>
      <c r="P85" s="31">
        <f t="shared" si="21"/>
        <v>284.40000000000146</v>
      </c>
      <c r="Q85" s="41"/>
    </row>
    <row r="86" spans="2:23" ht="12.75" customHeight="1" x14ac:dyDescent="0.2">
      <c r="C86" s="2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2:23" ht="12.75" customHeight="1" x14ac:dyDescent="0.2">
      <c r="B87" s="22" t="s">
        <v>66</v>
      </c>
      <c r="C87" s="2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2:23" s="9" customFormat="1" ht="12.75" customHeight="1" x14ac:dyDescent="0.2">
      <c r="B88" s="2" t="s">
        <v>28</v>
      </c>
      <c r="C88" s="25">
        <v>23</v>
      </c>
      <c r="D88" s="42">
        <v>0.14610600000000001</v>
      </c>
      <c r="E88" s="42">
        <v>0.13005900000000001</v>
      </c>
      <c r="F88" s="42">
        <v>0.12708900000000001</v>
      </c>
      <c r="G88" s="42">
        <v>9.8351999999999995E-2</v>
      </c>
      <c r="H88" s="42">
        <v>7.3646000000000003E-2</v>
      </c>
      <c r="I88" s="42">
        <v>4.6559000000000003E-2</v>
      </c>
      <c r="J88" s="42">
        <v>0</v>
      </c>
      <c r="K88" s="42">
        <v>0</v>
      </c>
      <c r="L88" s="42">
        <v>7.2701000000000002E-2</v>
      </c>
      <c r="M88" s="42">
        <v>0.104546</v>
      </c>
      <c r="N88" s="42">
        <v>0.12842700000000001</v>
      </c>
      <c r="O88" s="42">
        <v>0.133077</v>
      </c>
      <c r="P88" s="10"/>
      <c r="Q88" s="10"/>
      <c r="R88" s="43"/>
      <c r="S88" s="43"/>
      <c r="T88" s="43"/>
      <c r="U88" s="43"/>
      <c r="V88" s="43"/>
      <c r="W88" s="43"/>
    </row>
    <row r="89" spans="2:23" s="9" customFormat="1" ht="12.75" customHeight="1" x14ac:dyDescent="0.2">
      <c r="B89" s="9" t="s">
        <v>30</v>
      </c>
      <c r="C89" s="9">
        <v>31</v>
      </c>
      <c r="D89" s="42">
        <v>0.60108399999999995</v>
      </c>
      <c r="E89" s="42">
        <v>0.52999600000000002</v>
      </c>
      <c r="F89" s="42">
        <v>0.51928300000000005</v>
      </c>
      <c r="G89" s="42">
        <v>0.37405500000000003</v>
      </c>
      <c r="H89" s="42">
        <v>0.233959</v>
      </c>
      <c r="I89" s="42">
        <v>0</v>
      </c>
      <c r="J89" s="42">
        <v>0</v>
      </c>
      <c r="K89" s="42">
        <v>0</v>
      </c>
      <c r="L89" s="42">
        <v>0</v>
      </c>
      <c r="M89" s="42">
        <v>0.34386699999999998</v>
      </c>
      <c r="N89" s="42">
        <v>0.48571399999999998</v>
      </c>
      <c r="O89" s="42">
        <v>0.54058300000000004</v>
      </c>
      <c r="P89" s="10"/>
      <c r="Q89" s="10"/>
      <c r="R89" s="43"/>
      <c r="S89" s="43"/>
      <c r="T89" s="43"/>
      <c r="U89" s="43"/>
      <c r="V89" s="43"/>
      <c r="W89" s="43"/>
    </row>
    <row r="90" spans="2:23" s="9" customFormat="1" ht="12.75" customHeight="1" x14ac:dyDescent="0.2">
      <c r="B90" s="9" t="s">
        <v>31</v>
      </c>
      <c r="C90" s="9">
        <v>41</v>
      </c>
      <c r="D90" s="42">
        <v>5.6750790000000002</v>
      </c>
      <c r="E90" s="42">
        <v>5.1515389999999996</v>
      </c>
      <c r="F90" s="42">
        <v>5.3184370000000003</v>
      </c>
      <c r="G90" s="42">
        <v>4.4039900000000003</v>
      </c>
      <c r="H90" s="42">
        <v>3.7625700000000002</v>
      </c>
      <c r="I90" s="42">
        <v>2.3358829999999999</v>
      </c>
      <c r="J90" s="42">
        <v>0</v>
      </c>
      <c r="K90" s="42">
        <v>0</v>
      </c>
      <c r="L90" s="42">
        <v>0</v>
      </c>
      <c r="M90" s="42">
        <v>3.820138</v>
      </c>
      <c r="N90" s="42">
        <v>4.813618</v>
      </c>
      <c r="O90" s="42">
        <v>5.1364400000000003</v>
      </c>
      <c r="P90" s="10"/>
      <c r="Q90" s="10"/>
      <c r="R90" s="43"/>
      <c r="S90" s="43"/>
      <c r="T90" s="43"/>
      <c r="U90" s="43"/>
      <c r="V90" s="43"/>
      <c r="W90" s="43"/>
    </row>
    <row r="91" spans="2:23" s="9" customFormat="1" ht="12.75" customHeight="1" x14ac:dyDescent="0.2">
      <c r="B91" s="2" t="s">
        <v>42</v>
      </c>
      <c r="C91" s="21" t="s">
        <v>43</v>
      </c>
      <c r="D91" s="42">
        <v>7.2375309999999997</v>
      </c>
      <c r="E91" s="42">
        <v>5.6013630000000001</v>
      </c>
      <c r="F91" s="42">
        <v>7.7509449999999998</v>
      </c>
      <c r="G91" s="42">
        <v>5.2120470000000001</v>
      </c>
      <c r="H91" s="42">
        <v>3.5580120000000002</v>
      </c>
      <c r="I91" s="42">
        <v>0</v>
      </c>
      <c r="J91" s="42">
        <v>0</v>
      </c>
      <c r="K91" s="42">
        <v>0</v>
      </c>
      <c r="L91" s="42">
        <v>0</v>
      </c>
      <c r="M91" s="42">
        <v>6.3689660000000003</v>
      </c>
      <c r="N91" s="42">
        <v>6.3884100000000004</v>
      </c>
      <c r="O91" s="42">
        <v>6.453335</v>
      </c>
      <c r="P91" s="10"/>
      <c r="Q91" s="10"/>
      <c r="R91" s="43"/>
      <c r="S91" s="43"/>
      <c r="T91" s="43"/>
      <c r="U91" s="43"/>
      <c r="V91" s="43"/>
      <c r="W91" s="43"/>
    </row>
    <row r="92" spans="2:23" s="9" customFormat="1" ht="12.75" customHeight="1" x14ac:dyDescent="0.2">
      <c r="B92" s="2" t="s">
        <v>9</v>
      </c>
      <c r="C92" s="21" t="s">
        <v>10</v>
      </c>
      <c r="D92" s="42">
        <v>23.095510000000001</v>
      </c>
      <c r="E92" s="42">
        <v>15.08614</v>
      </c>
      <c r="F92" s="42">
        <v>22.083020000000001</v>
      </c>
      <c r="G92" s="42">
        <v>15.23142</v>
      </c>
      <c r="H92" s="42">
        <v>12.611039999999999</v>
      </c>
      <c r="I92" s="42">
        <v>0</v>
      </c>
      <c r="J92" s="42">
        <v>0</v>
      </c>
      <c r="K92" s="42">
        <v>0</v>
      </c>
      <c r="L92" s="42">
        <v>0</v>
      </c>
      <c r="M92" s="42">
        <v>17.87275</v>
      </c>
      <c r="N92" s="42">
        <v>18.312139999999999</v>
      </c>
      <c r="O92" s="42">
        <v>20.76868</v>
      </c>
      <c r="P92" s="10"/>
      <c r="Q92" s="10"/>
      <c r="R92" s="43"/>
      <c r="S92" s="43"/>
      <c r="T92" s="43"/>
      <c r="U92" s="43"/>
      <c r="V92" s="43"/>
      <c r="W92" s="43"/>
    </row>
    <row r="93" spans="2:23" s="9" customFormat="1" ht="12.75" customHeight="1" x14ac:dyDescent="0.2">
      <c r="B93" s="2" t="s">
        <v>12</v>
      </c>
      <c r="C93" s="21" t="s">
        <v>13</v>
      </c>
      <c r="D93" s="42">
        <v>419.04629999999997</v>
      </c>
      <c r="E93" s="42">
        <v>405.92259999999999</v>
      </c>
      <c r="F93" s="42">
        <v>411.16359999999997</v>
      </c>
      <c r="G93" s="42">
        <v>347.39449999999999</v>
      </c>
      <c r="H93" s="42">
        <v>299.33960000000002</v>
      </c>
      <c r="I93" s="42">
        <v>173.41149999999999</v>
      </c>
      <c r="J93" s="42">
        <v>0</v>
      </c>
      <c r="K93" s="42">
        <v>0</v>
      </c>
      <c r="L93" s="42">
        <v>0</v>
      </c>
      <c r="M93" s="42">
        <v>319.36770000000001</v>
      </c>
      <c r="N93" s="42">
        <v>354.35969999999998</v>
      </c>
      <c r="O93" s="42">
        <v>437.89710000000002</v>
      </c>
      <c r="P93" s="10"/>
      <c r="Q93" s="10"/>
      <c r="R93" s="43"/>
      <c r="S93" s="43"/>
      <c r="T93" s="43"/>
      <c r="U93" s="43"/>
      <c r="V93" s="43"/>
      <c r="W93" s="43"/>
    </row>
    <row r="94" spans="2:23" s="9" customFormat="1" ht="12.75" customHeight="1" x14ac:dyDescent="0.2">
      <c r="B94" s="9" t="s">
        <v>8</v>
      </c>
      <c r="C94" s="9">
        <v>85</v>
      </c>
      <c r="D94" s="42">
        <v>62.676409999999997</v>
      </c>
      <c r="E94" s="42">
        <v>54.244480000000003</v>
      </c>
      <c r="F94" s="42">
        <v>59.313760000000002</v>
      </c>
      <c r="G94" s="42">
        <v>48.260179999999998</v>
      </c>
      <c r="H94" s="42">
        <v>44.15945</v>
      </c>
      <c r="I94" s="42">
        <v>0</v>
      </c>
      <c r="J94" s="42">
        <v>0</v>
      </c>
      <c r="K94" s="42">
        <v>0</v>
      </c>
      <c r="L94" s="42">
        <v>0</v>
      </c>
      <c r="M94" s="42">
        <v>49.020330000000001</v>
      </c>
      <c r="N94" s="42">
        <v>52.847329999999999</v>
      </c>
      <c r="O94" s="42">
        <v>56.096780000000003</v>
      </c>
      <c r="P94" s="10"/>
      <c r="Q94" s="10"/>
      <c r="R94" s="43"/>
      <c r="S94" s="43"/>
      <c r="T94" s="43"/>
      <c r="U94" s="43"/>
      <c r="V94" s="43"/>
      <c r="W94" s="43"/>
    </row>
    <row r="95" spans="2:23" s="9" customFormat="1" ht="12.75" customHeight="1" x14ac:dyDescent="0.2">
      <c r="B95" s="9" t="s">
        <v>33</v>
      </c>
      <c r="C95" s="9">
        <v>86</v>
      </c>
      <c r="D95" s="42">
        <v>7.829237</v>
      </c>
      <c r="E95" s="42">
        <v>6.9332260000000003</v>
      </c>
      <c r="F95" s="42">
        <v>7.4236259999999996</v>
      </c>
      <c r="G95" s="42">
        <v>6.2983909999999996</v>
      </c>
      <c r="H95" s="42">
        <v>4.9086119999999998</v>
      </c>
      <c r="I95" s="42">
        <v>0</v>
      </c>
      <c r="J95" s="42">
        <v>0</v>
      </c>
      <c r="K95" s="42">
        <v>0</v>
      </c>
      <c r="L95" s="42">
        <v>0</v>
      </c>
      <c r="M95" s="42">
        <v>5.7562360000000004</v>
      </c>
      <c r="N95" s="42">
        <v>6.7379499999999997</v>
      </c>
      <c r="O95" s="42">
        <v>7.0350539999999997</v>
      </c>
      <c r="P95" s="10"/>
      <c r="Q95" s="10"/>
      <c r="R95" s="43"/>
      <c r="S95" s="43"/>
      <c r="T95" s="43"/>
      <c r="U95" s="43"/>
      <c r="V95" s="43"/>
      <c r="W95" s="43"/>
    </row>
    <row r="96" spans="2:23" s="9" customFormat="1" ht="12.75" customHeight="1" x14ac:dyDescent="0.2">
      <c r="B96" s="9" t="s">
        <v>11</v>
      </c>
      <c r="C96" s="9">
        <v>87</v>
      </c>
      <c r="D96" s="42">
        <v>425.18830000000003</v>
      </c>
      <c r="E96" s="42">
        <v>400.25970000000001</v>
      </c>
      <c r="F96" s="42">
        <v>402.84690000000001</v>
      </c>
      <c r="G96" s="42">
        <v>345.8734</v>
      </c>
      <c r="H96" s="42">
        <v>264.28890000000001</v>
      </c>
      <c r="I96" s="42">
        <v>0</v>
      </c>
      <c r="J96" s="42">
        <v>0</v>
      </c>
      <c r="K96" s="42">
        <v>0</v>
      </c>
      <c r="L96" s="42">
        <v>0</v>
      </c>
      <c r="M96" s="42">
        <v>302.1105</v>
      </c>
      <c r="N96" s="42">
        <v>350.93270000000001</v>
      </c>
      <c r="O96" s="42">
        <v>416.48340000000002</v>
      </c>
      <c r="P96" s="10"/>
      <c r="Q96" s="10"/>
      <c r="R96" s="44"/>
      <c r="S96" s="44"/>
      <c r="T96" s="43"/>
      <c r="U96" s="43"/>
      <c r="V96" s="43"/>
      <c r="W96" s="43"/>
    </row>
    <row r="97" spans="2:23" s="9" customFormat="1" ht="12.75" customHeight="1" x14ac:dyDescent="0.2">
      <c r="B97" s="9" t="s">
        <v>35</v>
      </c>
      <c r="C97" s="9">
        <v>31</v>
      </c>
      <c r="D97" s="42">
        <v>1.105515</v>
      </c>
      <c r="E97" s="42">
        <v>0.99494400000000005</v>
      </c>
      <c r="F97" s="42">
        <v>0.99145099999999997</v>
      </c>
      <c r="G97" s="42">
        <v>0.74944</v>
      </c>
      <c r="H97" s="42">
        <v>0.51061199999999995</v>
      </c>
      <c r="I97" s="42">
        <v>0.24365899999999999</v>
      </c>
      <c r="J97" s="42">
        <v>0</v>
      </c>
      <c r="K97" s="42">
        <v>0</v>
      </c>
      <c r="L97" s="42">
        <v>0.48316900000000002</v>
      </c>
      <c r="M97" s="42">
        <v>0.69913999999999998</v>
      </c>
      <c r="N97" s="42">
        <v>0.91513699999999998</v>
      </c>
      <c r="O97" s="42">
        <v>0.985093</v>
      </c>
      <c r="P97" s="10"/>
      <c r="Q97" s="10"/>
      <c r="R97" s="43"/>
      <c r="S97" s="43"/>
      <c r="T97" s="43"/>
      <c r="U97" s="43"/>
      <c r="V97" s="43"/>
      <c r="W97" s="43"/>
    </row>
    <row r="98" spans="2:23" s="9" customFormat="1" ht="12.75" customHeight="1" x14ac:dyDescent="0.2">
      <c r="B98" s="9" t="s">
        <v>36</v>
      </c>
      <c r="C98" s="9">
        <v>41</v>
      </c>
      <c r="D98" s="42">
        <v>6.0500249999999998</v>
      </c>
      <c r="E98" s="42">
        <v>5.4988530000000004</v>
      </c>
      <c r="F98" s="42">
        <v>6.201003</v>
      </c>
      <c r="G98" s="42">
        <v>4.2220719999999998</v>
      </c>
      <c r="H98" s="42">
        <v>4.0925649999999996</v>
      </c>
      <c r="I98" s="42">
        <v>0</v>
      </c>
      <c r="J98" s="42">
        <v>0</v>
      </c>
      <c r="K98" s="42">
        <v>0</v>
      </c>
      <c r="L98" s="42">
        <v>0</v>
      </c>
      <c r="M98" s="42">
        <v>5.0669690000000003</v>
      </c>
      <c r="N98" s="42">
        <v>5.5150699999999997</v>
      </c>
      <c r="O98" s="42">
        <v>5.3053990000000004</v>
      </c>
      <c r="P98" s="10"/>
      <c r="Q98" s="10"/>
      <c r="R98" s="43"/>
      <c r="S98" s="43"/>
      <c r="T98" s="43"/>
      <c r="U98" s="43"/>
      <c r="V98" s="43"/>
      <c r="W98" s="43"/>
    </row>
    <row r="99" spans="2:23" s="11" customFormat="1" ht="12.75" customHeight="1" x14ac:dyDescent="0.25">
      <c r="B99" s="38"/>
      <c r="C99" s="28" t="s">
        <v>15</v>
      </c>
      <c r="D99" s="45">
        <v>320.61860000000001</v>
      </c>
      <c r="E99" s="42">
        <v>312.69990000000001</v>
      </c>
      <c r="F99" s="45">
        <v>303.79320000000001</v>
      </c>
      <c r="G99" s="42">
        <v>253.73249999999999</v>
      </c>
      <c r="H99" s="42">
        <v>187.8879</v>
      </c>
      <c r="I99" s="42">
        <v>0</v>
      </c>
      <c r="J99" s="42">
        <v>0</v>
      </c>
      <c r="K99" s="42">
        <v>0</v>
      </c>
      <c r="L99" s="42">
        <v>0</v>
      </c>
      <c r="M99" s="45">
        <v>264.30500000000001</v>
      </c>
      <c r="N99" s="45">
        <v>290.54860000000002</v>
      </c>
      <c r="O99" s="45">
        <v>291.71589999999998</v>
      </c>
      <c r="P99" s="13"/>
      <c r="Q99" s="13"/>
      <c r="R99" s="46"/>
      <c r="S99" s="46"/>
      <c r="T99" s="47"/>
      <c r="U99" s="47"/>
      <c r="V99" s="47"/>
      <c r="W99" s="47"/>
    </row>
    <row r="100" spans="2:23" ht="12.75" customHeight="1" x14ac:dyDescent="0.2">
      <c r="C100" s="2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2:23" ht="12.75" customHeight="1" x14ac:dyDescent="0.2">
      <c r="B101" s="22" t="s">
        <v>67</v>
      </c>
      <c r="C101" s="2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2:23" ht="12.75" customHeight="1" x14ac:dyDescent="0.2">
      <c r="B102" s="2" t="s">
        <v>28</v>
      </c>
      <c r="C102" s="21">
        <v>23</v>
      </c>
      <c r="D102" s="32">
        <f>IF(D69=0,0,D69+D88*(-D$85))</f>
        <v>106.97070121548887</v>
      </c>
      <c r="E102" s="32">
        <f t="shared" ref="E102:O104" si="22">IF(E69=0,0,E69+E88*(-E$85))</f>
        <v>91.738097485455157</v>
      </c>
      <c r="F102" s="32">
        <f t="shared" si="22"/>
        <v>92.683872128876999</v>
      </c>
      <c r="G102" s="32">
        <f t="shared" si="22"/>
        <v>55.817750603108976</v>
      </c>
      <c r="H102" s="32">
        <f t="shared" si="22"/>
        <v>35.723580958333145</v>
      </c>
      <c r="I102" s="32">
        <f t="shared" si="22"/>
        <v>32.340161833587516</v>
      </c>
      <c r="J102" s="32">
        <f t="shared" si="22"/>
        <v>15.541297103654648</v>
      </c>
      <c r="K102" s="32">
        <f t="shared" si="22"/>
        <v>16.631878897871562</v>
      </c>
      <c r="L102" s="32">
        <f t="shared" si="22"/>
        <v>19.528253854603463</v>
      </c>
      <c r="M102" s="32">
        <f t="shared" si="22"/>
        <v>46.762296578906756</v>
      </c>
      <c r="N102" s="32">
        <f t="shared" si="22"/>
        <v>77.336898929991506</v>
      </c>
      <c r="O102" s="32">
        <f t="shared" si="22"/>
        <v>103.90994904189048</v>
      </c>
      <c r="P102" s="32">
        <f>SUM(D102:O102)</f>
        <v>694.98473863176923</v>
      </c>
      <c r="Q102" s="32"/>
    </row>
    <row r="103" spans="2:23" ht="12.75" customHeight="1" x14ac:dyDescent="0.2">
      <c r="B103" s="9" t="s">
        <v>30</v>
      </c>
      <c r="C103" s="21">
        <v>31</v>
      </c>
      <c r="D103" s="32">
        <f>IF(D70=0,0,D70+D89*(-D$85))</f>
        <v>574.56735488257573</v>
      </c>
      <c r="E103" s="32">
        <f t="shared" si="22"/>
        <v>467.94835442327138</v>
      </c>
      <c r="F103" s="32">
        <f t="shared" si="22"/>
        <v>482.64291060329958</v>
      </c>
      <c r="G103" s="32">
        <f t="shared" si="22"/>
        <v>348.09199197921333</v>
      </c>
      <c r="H103" s="32">
        <f t="shared" si="22"/>
        <v>225.53972439778809</v>
      </c>
      <c r="I103" s="32">
        <f t="shared" si="22"/>
        <v>229.50937134110316</v>
      </c>
      <c r="J103" s="32">
        <f t="shared" si="22"/>
        <v>140.96289235166719</v>
      </c>
      <c r="K103" s="32">
        <f t="shared" si="22"/>
        <v>117.20956112463587</v>
      </c>
      <c r="L103" s="32">
        <f t="shared" si="22"/>
        <v>188.55924193488383</v>
      </c>
      <c r="M103" s="32">
        <f t="shared" si="22"/>
        <v>243.93911910541988</v>
      </c>
      <c r="N103" s="32">
        <f t="shared" si="22"/>
        <v>400.2213550225992</v>
      </c>
      <c r="O103" s="32">
        <f t="shared" si="22"/>
        <v>543.39691618746508</v>
      </c>
      <c r="P103" s="32">
        <f t="shared" ref="P103:P113" si="23">SUM(D103:O103)</f>
        <v>3962.5887933539225</v>
      </c>
      <c r="Q103" s="32"/>
    </row>
    <row r="104" spans="2:23" ht="12.75" customHeight="1" x14ac:dyDescent="0.2">
      <c r="B104" s="9" t="s">
        <v>31</v>
      </c>
      <c r="C104" s="9">
        <v>41</v>
      </c>
      <c r="D104" s="32">
        <f>IF(D71=0,0,D71+D90*(-D$85))</f>
        <v>6324.6015444935301</v>
      </c>
      <c r="E104" s="32">
        <f t="shared" si="22"/>
        <v>5377.4481635438551</v>
      </c>
      <c r="F104" s="32">
        <f t="shared" si="22"/>
        <v>5432.2773113252824</v>
      </c>
      <c r="G104" s="32">
        <f t="shared" si="22"/>
        <v>4071.7435256742606</v>
      </c>
      <c r="H104" s="32">
        <f t="shared" si="22"/>
        <v>3361.127649458354</v>
      </c>
      <c r="I104" s="32">
        <f t="shared" si="22"/>
        <v>3298.9138090423194</v>
      </c>
      <c r="J104" s="32">
        <f t="shared" si="22"/>
        <v>2864.4547868257296</v>
      </c>
      <c r="K104" s="32">
        <f t="shared" si="22"/>
        <v>2093.8433605786799</v>
      </c>
      <c r="L104" s="32">
        <f t="shared" si="22"/>
        <v>1668.9542269269666</v>
      </c>
      <c r="M104" s="32">
        <f t="shared" si="22"/>
        <v>3626.8139311252016</v>
      </c>
      <c r="N104" s="32">
        <f t="shared" si="22"/>
        <v>4690.7758549480386</v>
      </c>
      <c r="O104" s="32">
        <f t="shared" si="22"/>
        <v>7391.2650831738374</v>
      </c>
      <c r="P104" s="32">
        <f t="shared" si="23"/>
        <v>50202.219247116045</v>
      </c>
      <c r="Q104" s="32"/>
    </row>
    <row r="105" spans="2:23" ht="12.75" customHeight="1" x14ac:dyDescent="0.2">
      <c r="B105" s="2" t="s">
        <v>42</v>
      </c>
      <c r="C105" s="21" t="s">
        <v>43</v>
      </c>
      <c r="D105" s="32">
        <f t="shared" ref="D105:O111" si="24">IF(D73=0,0,D73+D91*(-D$85))</f>
        <v>19752.212346358338</v>
      </c>
      <c r="E105" s="32">
        <f t="shared" si="24"/>
        <v>19099.583714258337</v>
      </c>
      <c r="F105" s="32">
        <f t="shared" si="24"/>
        <v>16586.598281774077</v>
      </c>
      <c r="G105" s="32">
        <f t="shared" si="24"/>
        <v>14425.57668380422</v>
      </c>
      <c r="H105" s="32">
        <f t="shared" si="24"/>
        <v>16399.90125061429</v>
      </c>
      <c r="I105" s="32">
        <f t="shared" si="24"/>
        <v>15345.487468354431</v>
      </c>
      <c r="J105" s="32">
        <f t="shared" si="24"/>
        <v>13520.030253164559</v>
      </c>
      <c r="K105" s="32">
        <f t="shared" si="24"/>
        <v>13845.605063291137</v>
      </c>
      <c r="L105" s="32">
        <f t="shared" si="24"/>
        <v>14591.70759493671</v>
      </c>
      <c r="M105" s="32">
        <f t="shared" si="24"/>
        <v>15793.851348867931</v>
      </c>
      <c r="N105" s="32">
        <f t="shared" si="24"/>
        <v>29784.714472458327</v>
      </c>
      <c r="O105" s="32">
        <f t="shared" si="24"/>
        <v>5963.8469059166673</v>
      </c>
      <c r="P105" s="32">
        <f t="shared" si="23"/>
        <v>195109.11538379901</v>
      </c>
      <c r="Q105" s="32"/>
    </row>
    <row r="106" spans="2:23" ht="12.75" customHeight="1" x14ac:dyDescent="0.2">
      <c r="B106" s="2" t="s">
        <v>9</v>
      </c>
      <c r="C106" s="21" t="s">
        <v>10</v>
      </c>
      <c r="D106" s="32">
        <f t="shared" si="24"/>
        <v>53454.43615046738</v>
      </c>
      <c r="E106" s="32">
        <f t="shared" si="24"/>
        <v>72618.886403642871</v>
      </c>
      <c r="F106" s="32">
        <f t="shared" si="24"/>
        <v>51080.724086345239</v>
      </c>
      <c r="G106" s="32">
        <f t="shared" si="24"/>
        <v>47870.227502690475</v>
      </c>
      <c r="H106" s="32">
        <f t="shared" si="24"/>
        <v>52029.33785085714</v>
      </c>
      <c r="I106" s="32">
        <f t="shared" si="24"/>
        <v>52925.054285714294</v>
      </c>
      <c r="J106" s="32">
        <f t="shared" si="24"/>
        <v>48032.664499999999</v>
      </c>
      <c r="K106" s="32">
        <f t="shared" si="24"/>
        <v>48461.669500000004</v>
      </c>
      <c r="L106" s="32">
        <f t="shared" si="24"/>
        <v>49773.215000000004</v>
      </c>
      <c r="M106" s="32">
        <f t="shared" si="24"/>
        <v>55518.734795833327</v>
      </c>
      <c r="N106" s="32">
        <f t="shared" si="24"/>
        <v>83764.033404416652</v>
      </c>
      <c r="O106" s="32">
        <f t="shared" si="24"/>
        <v>28682.047094701742</v>
      </c>
      <c r="P106" s="32">
        <f t="shared" si="23"/>
        <v>644211.03057466925</v>
      </c>
      <c r="Q106" s="32"/>
    </row>
    <row r="107" spans="2:23" ht="12.75" customHeight="1" x14ac:dyDescent="0.2">
      <c r="B107" s="2" t="s">
        <v>12</v>
      </c>
      <c r="C107" s="21" t="s">
        <v>13</v>
      </c>
      <c r="D107" s="32">
        <f t="shared" si="24"/>
        <v>366352.98133250012</v>
      </c>
      <c r="E107" s="32">
        <f t="shared" si="24"/>
        <v>267861.0077921428</v>
      </c>
      <c r="F107" s="32">
        <f t="shared" si="24"/>
        <v>328393.10212547606</v>
      </c>
      <c r="G107" s="32">
        <f t="shared" si="24"/>
        <v>308966.50974226207</v>
      </c>
      <c r="H107" s="32">
        <f t="shared" si="24"/>
        <v>222049.91571761912</v>
      </c>
      <c r="I107" s="32">
        <f t="shared" si="24"/>
        <v>237135.29426369042</v>
      </c>
      <c r="J107" s="32">
        <f t="shared" si="24"/>
        <v>207402.38428571433</v>
      </c>
      <c r="K107" s="32">
        <f t="shared" si="24"/>
        <v>193945.31285714285</v>
      </c>
      <c r="L107" s="32">
        <f t="shared" si="24"/>
        <v>201559.53142857141</v>
      </c>
      <c r="M107" s="32">
        <f t="shared" si="24"/>
        <v>242397.53275214281</v>
      </c>
      <c r="N107" s="32">
        <f t="shared" si="24"/>
        <v>511521.74091910699</v>
      </c>
      <c r="O107" s="32">
        <f t="shared" si="24"/>
        <v>103905.04327642845</v>
      </c>
      <c r="P107" s="32">
        <f t="shared" si="23"/>
        <v>3191490.3564927969</v>
      </c>
      <c r="Q107" s="32"/>
    </row>
    <row r="108" spans="2:23" ht="12.75" customHeight="1" x14ac:dyDescent="0.2">
      <c r="B108" s="2" t="s">
        <v>8</v>
      </c>
      <c r="C108" s="2">
        <v>85</v>
      </c>
      <c r="D108" s="32">
        <f t="shared" si="24"/>
        <v>76633.913826999342</v>
      </c>
      <c r="E108" s="32">
        <f t="shared" si="24"/>
        <v>57765.802331276092</v>
      </c>
      <c r="F108" s="32">
        <f t="shared" si="24"/>
        <v>68669.998010102543</v>
      </c>
      <c r="G108" s="32">
        <f t="shared" si="24"/>
        <v>55439.152914972437</v>
      </c>
      <c r="H108" s="32">
        <f t="shared" si="24"/>
        <v>31668.10482928334</v>
      </c>
      <c r="I108" s="32">
        <f t="shared" si="24"/>
        <v>40995.838461538464</v>
      </c>
      <c r="J108" s="32">
        <f t="shared" si="24"/>
        <v>55897.24866437124</v>
      </c>
      <c r="K108" s="32">
        <f t="shared" si="24"/>
        <v>-7411.6269094111649</v>
      </c>
      <c r="L108" s="32">
        <f t="shared" si="24"/>
        <v>34604.595645335226</v>
      </c>
      <c r="M108" s="32">
        <f t="shared" si="24"/>
        <v>40566.154666843024</v>
      </c>
      <c r="N108" s="32">
        <f t="shared" si="24"/>
        <v>55721.65118255678</v>
      </c>
      <c r="O108" s="32">
        <f t="shared" si="24"/>
        <v>81902.440458778205</v>
      </c>
      <c r="P108" s="32">
        <f t="shared" si="23"/>
        <v>592453.27408264554</v>
      </c>
      <c r="Q108" s="32"/>
    </row>
    <row r="109" spans="2:23" ht="12.75" customHeight="1" x14ac:dyDescent="0.2">
      <c r="B109" s="2" t="s">
        <v>33</v>
      </c>
      <c r="C109" s="2">
        <v>86</v>
      </c>
      <c r="D109" s="32">
        <f t="shared" si="24"/>
        <v>7535.5156848489305</v>
      </c>
      <c r="E109" s="32">
        <f t="shared" si="24"/>
        <v>5578.010102895043</v>
      </c>
      <c r="F109" s="32">
        <f t="shared" si="24"/>
        <v>5086.7401559486825</v>
      </c>
      <c r="G109" s="32">
        <f t="shared" si="24"/>
        <v>4928.8933194233359</v>
      </c>
      <c r="H109" s="32">
        <f t="shared" si="24"/>
        <v>3340.2486984443881</v>
      </c>
      <c r="I109" s="32">
        <f t="shared" si="24"/>
        <v>3752.7850000000003</v>
      </c>
      <c r="J109" s="32">
        <f t="shared" si="24"/>
        <v>1387.5627470159268</v>
      </c>
      <c r="K109" s="32">
        <f t="shared" si="24"/>
        <v>1332.2916325019476</v>
      </c>
      <c r="L109" s="32">
        <f t="shared" si="24"/>
        <v>1766.8960928313174</v>
      </c>
      <c r="M109" s="32">
        <f t="shared" si="24"/>
        <v>3808.5253390130783</v>
      </c>
      <c r="N109" s="32">
        <f t="shared" si="24"/>
        <v>5143.3255011273313</v>
      </c>
      <c r="O109" s="32">
        <f t="shared" si="24"/>
        <v>6892.638902810786</v>
      </c>
      <c r="P109" s="32">
        <f t="shared" si="23"/>
        <v>50553.433176860774</v>
      </c>
      <c r="Q109" s="32"/>
    </row>
    <row r="110" spans="2:23" ht="12.75" customHeight="1" x14ac:dyDescent="0.2">
      <c r="B110" s="9" t="s">
        <v>11</v>
      </c>
      <c r="C110" s="9">
        <v>87</v>
      </c>
      <c r="D110" s="32">
        <f t="shared" si="24"/>
        <v>637923.05525749992</v>
      </c>
      <c r="E110" s="32">
        <f t="shared" si="24"/>
        <v>412157.72063250007</v>
      </c>
      <c r="F110" s="32">
        <f t="shared" si="24"/>
        <v>480996.85183374985</v>
      </c>
      <c r="G110" s="32">
        <f t="shared" si="24"/>
        <v>632445.47669666691</v>
      </c>
      <c r="H110" s="32">
        <f t="shared" si="24"/>
        <v>368999.01434250007</v>
      </c>
      <c r="I110" s="32">
        <f t="shared" si="24"/>
        <v>354492.85700000002</v>
      </c>
      <c r="J110" s="32">
        <f t="shared" si="24"/>
        <v>311695.97342204949</v>
      </c>
      <c r="K110" s="32">
        <f t="shared" si="24"/>
        <v>189835.69287499998</v>
      </c>
      <c r="L110" s="32">
        <f t="shared" si="24"/>
        <v>215987.20600000001</v>
      </c>
      <c r="M110" s="32">
        <f t="shared" si="24"/>
        <v>340968.41442499991</v>
      </c>
      <c r="N110" s="32">
        <f t="shared" si="24"/>
        <v>951574.96893041662</v>
      </c>
      <c r="O110" s="32">
        <f t="shared" si="24"/>
        <v>-287586.71643000015</v>
      </c>
      <c r="P110" s="32">
        <f t="shared" si="23"/>
        <v>4609490.5149853826</v>
      </c>
      <c r="Q110" s="32"/>
    </row>
    <row r="111" spans="2:23" ht="12.75" customHeight="1" x14ac:dyDescent="0.2">
      <c r="B111" s="2" t="s">
        <v>35</v>
      </c>
      <c r="C111" s="2">
        <v>31</v>
      </c>
      <c r="D111" s="32">
        <f t="shared" si="24"/>
        <v>868.34599098549461</v>
      </c>
      <c r="E111" s="32">
        <f t="shared" si="24"/>
        <v>718.70524905960394</v>
      </c>
      <c r="F111" s="32">
        <f t="shared" si="24"/>
        <v>770.82094987669836</v>
      </c>
      <c r="G111" s="32">
        <f t="shared" si="24"/>
        <v>442.82648573798059</v>
      </c>
      <c r="H111" s="32">
        <f t="shared" si="24"/>
        <v>277.27450970086699</v>
      </c>
      <c r="I111" s="32">
        <f t="shared" si="24"/>
        <v>214.74991703931528</v>
      </c>
      <c r="J111" s="32">
        <f t="shared" si="24"/>
        <v>261.16996329660037</v>
      </c>
      <c r="K111" s="32">
        <f t="shared" si="24"/>
        <v>89.560153264515435</v>
      </c>
      <c r="L111" s="32">
        <f t="shared" si="24"/>
        <v>93.747543511599787</v>
      </c>
      <c r="M111" s="32">
        <f t="shared" si="24"/>
        <v>467.51700698005601</v>
      </c>
      <c r="N111" s="32">
        <f t="shared" si="24"/>
        <v>413.06321213413582</v>
      </c>
      <c r="O111" s="32">
        <f t="shared" si="24"/>
        <v>862.84264237879734</v>
      </c>
      <c r="P111" s="32">
        <f t="shared" si="23"/>
        <v>5480.6236239656646</v>
      </c>
      <c r="Q111" s="32"/>
    </row>
    <row r="112" spans="2:23" ht="12.75" customHeight="1" x14ac:dyDescent="0.2">
      <c r="B112" s="9" t="s">
        <v>36</v>
      </c>
      <c r="C112" s="9">
        <v>41</v>
      </c>
      <c r="D112" s="32">
        <f>IF(D72=0,0,D72+D98*(-D$85))</f>
        <v>15115.83892238262</v>
      </c>
      <c r="E112" s="32">
        <f t="shared" ref="E112:O112" si="25">IF(E72=0,0,E72+E98*(-E$85))</f>
        <v>8675.1058270748235</v>
      </c>
      <c r="F112" s="32">
        <f t="shared" si="25"/>
        <v>11650.304112174092</v>
      </c>
      <c r="G112" s="32">
        <f t="shared" si="25"/>
        <v>12176.859597538292</v>
      </c>
      <c r="H112" s="32">
        <f t="shared" si="25"/>
        <v>9185.5729492510291</v>
      </c>
      <c r="I112" s="32">
        <f t="shared" si="25"/>
        <v>13448.748257575759</v>
      </c>
      <c r="J112" s="32">
        <f t="shared" si="25"/>
        <v>8226.5563629538938</v>
      </c>
      <c r="K112" s="32">
        <f t="shared" si="25"/>
        <v>10045.78274344099</v>
      </c>
      <c r="L112" s="32">
        <f t="shared" si="25"/>
        <v>7947.5031928876024</v>
      </c>
      <c r="M112" s="32">
        <f t="shared" si="25"/>
        <v>11275.300119264586</v>
      </c>
      <c r="N112" s="32">
        <f t="shared" si="25"/>
        <v>11758.074334278695</v>
      </c>
      <c r="O112" s="32">
        <f t="shared" si="25"/>
        <v>11388.725680600714</v>
      </c>
      <c r="P112" s="32">
        <f t="shared" si="23"/>
        <v>130894.37209942308</v>
      </c>
      <c r="Q112" s="32"/>
    </row>
    <row r="113" spans="2:17" s="40" customFormat="1" ht="12.75" customHeight="1" x14ac:dyDescent="0.25">
      <c r="B113" s="11" t="s">
        <v>14</v>
      </c>
      <c r="C113" s="38" t="s">
        <v>15</v>
      </c>
      <c r="D113" s="39">
        <f>IF(D80=0,0,D80+D99*(-D$85))</f>
        <v>1615619.0408705559</v>
      </c>
      <c r="E113" s="39">
        <f t="shared" ref="E113:O113" si="26">IF(E80=0,0,E80+E99*(-E$85))</f>
        <v>391341.67311361106</v>
      </c>
      <c r="F113" s="39">
        <f t="shared" si="26"/>
        <v>442072.25623388879</v>
      </c>
      <c r="G113" s="39">
        <f t="shared" si="26"/>
        <v>305897.7761875001</v>
      </c>
      <c r="H113" s="39">
        <f t="shared" si="26"/>
        <v>243532.65275361124</v>
      </c>
      <c r="I113" s="39">
        <f t="shared" si="26"/>
        <v>86396.318888888884</v>
      </c>
      <c r="J113" s="39">
        <f t="shared" si="26"/>
        <v>358288.18888888892</v>
      </c>
      <c r="K113" s="39">
        <f t="shared" si="26"/>
        <v>186252.11888888889</v>
      </c>
      <c r="L113" s="39">
        <f t="shared" si="26"/>
        <v>161537.48666666666</v>
      </c>
      <c r="M113" s="39">
        <f t="shared" si="26"/>
        <v>193937.50786111102</v>
      </c>
      <c r="N113" s="39">
        <f t="shared" si="26"/>
        <v>503990.05316416651</v>
      </c>
      <c r="O113" s="39">
        <f t="shared" si="26"/>
        <v>191693.4003338888</v>
      </c>
      <c r="P113" s="32">
        <f t="shared" si="23"/>
        <v>4680558.4738516668</v>
      </c>
      <c r="Q113" s="39"/>
    </row>
    <row r="114" spans="2:17" ht="12.75" customHeight="1" x14ac:dyDescent="0.2">
      <c r="C114" s="2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2:17" ht="12.75" customHeight="1" x14ac:dyDescent="0.2">
      <c r="B115" s="22" t="s">
        <v>68</v>
      </c>
      <c r="C115" s="2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2:17" ht="12.75" customHeight="1" x14ac:dyDescent="0.2">
      <c r="B116" s="2" t="s">
        <v>28</v>
      </c>
      <c r="C116" s="21">
        <v>23</v>
      </c>
      <c r="D116" s="32">
        <f>D102*D38</f>
        <v>87533376.009726033</v>
      </c>
      <c r="E116" s="32">
        <f t="shared" ref="E116:O116" si="27">E102*E38</f>
        <v>75106347.363732085</v>
      </c>
      <c r="F116" s="32">
        <f t="shared" si="27"/>
        <v>75906330.27997981</v>
      </c>
      <c r="G116" s="32">
        <f t="shared" si="27"/>
        <v>45716412.276464343</v>
      </c>
      <c r="H116" s="32">
        <f t="shared" si="27"/>
        <v>29262292.593980387</v>
      </c>
      <c r="I116" s="32">
        <f t="shared" si="27"/>
        <v>26496165.229610916</v>
      </c>
      <c r="J116" s="32">
        <f t="shared" si="27"/>
        <v>12731446.128610991</v>
      </c>
      <c r="K116" s="32">
        <f t="shared" si="27"/>
        <v>13627113.760545392</v>
      </c>
      <c r="L116" s="32">
        <f t="shared" si="27"/>
        <v>16001685.547508333</v>
      </c>
      <c r="M116" s="32">
        <f t="shared" si="27"/>
        <v>38344334.99795828</v>
      </c>
      <c r="N116" s="32">
        <f t="shared" si="27"/>
        <v>63462736.59884996</v>
      </c>
      <c r="O116" s="32">
        <f t="shared" si="27"/>
        <v>85304664.846041903</v>
      </c>
      <c r="P116" s="32">
        <f>SUM(D116:O116)</f>
        <v>569492905.63300836</v>
      </c>
      <c r="Q116" s="32"/>
    </row>
    <row r="117" spans="2:17" ht="12.75" customHeight="1" x14ac:dyDescent="0.2">
      <c r="B117" s="9" t="s">
        <v>30</v>
      </c>
      <c r="C117" s="21">
        <v>31</v>
      </c>
      <c r="D117" s="32">
        <f t="shared" ref="D117:O118" si="28">D103*D41</f>
        <v>32071775.182190493</v>
      </c>
      <c r="E117" s="32">
        <f t="shared" si="28"/>
        <v>26144742.509982597</v>
      </c>
      <c r="F117" s="32">
        <f t="shared" si="28"/>
        <v>26968637.91578057</v>
      </c>
      <c r="G117" s="32">
        <f t="shared" si="28"/>
        <v>19447551.499886669</v>
      </c>
      <c r="H117" s="32">
        <f t="shared" si="28"/>
        <v>12606091.815765569</v>
      </c>
      <c r="I117" s="32">
        <f t="shared" si="28"/>
        <v>12819704.955</v>
      </c>
      <c r="J117" s="32">
        <f t="shared" si="28"/>
        <v>7871226.9460247448</v>
      </c>
      <c r="K117" s="32">
        <f t="shared" si="28"/>
        <v>6546388.4079331625</v>
      </c>
      <c r="L117" s="32">
        <f t="shared" si="28"/>
        <v>10528770.951160043</v>
      </c>
      <c r="M117" s="32">
        <f t="shared" si="28"/>
        <v>13611558.906963324</v>
      </c>
      <c r="N117" s="32">
        <f t="shared" si="28"/>
        <v>22359166.441047549</v>
      </c>
      <c r="O117" s="32">
        <f t="shared" si="28"/>
        <v>30380778.187124986</v>
      </c>
      <c r="P117" s="32">
        <f t="shared" ref="P117:P128" si="29">SUM(D117:O117)</f>
        <v>221356393.71885973</v>
      </c>
      <c r="Q117" s="32"/>
    </row>
    <row r="118" spans="2:17" ht="12.75" customHeight="1" x14ac:dyDescent="0.2">
      <c r="B118" s="9" t="s">
        <v>31</v>
      </c>
      <c r="C118" s="9">
        <v>41</v>
      </c>
      <c r="D118" s="32">
        <f t="shared" si="28"/>
        <v>7886778.1259834319</v>
      </c>
      <c r="E118" s="32">
        <f t="shared" si="28"/>
        <v>6711055.3081027316</v>
      </c>
      <c r="F118" s="32">
        <f t="shared" si="28"/>
        <v>6774049.8072226271</v>
      </c>
      <c r="G118" s="32">
        <f t="shared" si="28"/>
        <v>5065248.94593878</v>
      </c>
      <c r="H118" s="32">
        <f t="shared" si="28"/>
        <v>4117381.3705864837</v>
      </c>
      <c r="I118" s="32">
        <f t="shared" si="28"/>
        <v>4037870.5022677989</v>
      </c>
      <c r="J118" s="32">
        <f t="shared" si="28"/>
        <v>3517550.4782219958</v>
      </c>
      <c r="K118" s="32">
        <f t="shared" si="28"/>
        <v>2571239.646790619</v>
      </c>
      <c r="L118" s="32">
        <f t="shared" si="28"/>
        <v>2069503.2413894385</v>
      </c>
      <c r="M118" s="32">
        <f t="shared" si="28"/>
        <v>4569785.5532177538</v>
      </c>
      <c r="N118" s="32">
        <f t="shared" si="28"/>
        <v>5966666.8874939047</v>
      </c>
      <c r="O118" s="32">
        <f t="shared" si="28"/>
        <v>9394297.9207139481</v>
      </c>
      <c r="P118" s="32">
        <f t="shared" si="29"/>
        <v>62681427.787929505</v>
      </c>
      <c r="Q118" s="32"/>
    </row>
    <row r="119" spans="2:17" ht="12.75" customHeight="1" x14ac:dyDescent="0.2">
      <c r="B119" s="2" t="s">
        <v>42</v>
      </c>
      <c r="C119" s="21" t="s">
        <v>43</v>
      </c>
      <c r="D119" s="32">
        <f t="shared" ref="D119:O120" si="30">D105*D55</f>
        <v>1481415.9259768752</v>
      </c>
      <c r="E119" s="32">
        <f t="shared" si="30"/>
        <v>1432468.7785693752</v>
      </c>
      <c r="F119" s="32">
        <f t="shared" si="30"/>
        <v>1277168.0676966039</v>
      </c>
      <c r="G119" s="32">
        <f t="shared" si="30"/>
        <v>1110769.404652925</v>
      </c>
      <c r="H119" s="32">
        <f t="shared" si="30"/>
        <v>1262792.3962973002</v>
      </c>
      <c r="I119" s="32">
        <f t="shared" si="30"/>
        <v>1212293.51</v>
      </c>
      <c r="J119" s="32">
        <f t="shared" si="30"/>
        <v>1068082.3900000001</v>
      </c>
      <c r="K119" s="32">
        <f t="shared" si="30"/>
        <v>1093802.7999999998</v>
      </c>
      <c r="L119" s="32">
        <f t="shared" si="30"/>
        <v>1152744.9000000001</v>
      </c>
      <c r="M119" s="32">
        <f t="shared" si="30"/>
        <v>1247714.2565605666</v>
      </c>
      <c r="N119" s="32">
        <f t="shared" si="30"/>
        <v>2233853.5854343744</v>
      </c>
      <c r="O119" s="32">
        <f t="shared" si="30"/>
        <v>447288.51794375002</v>
      </c>
      <c r="P119" s="32">
        <f>P105*P60</f>
        <v>39216932.192143604</v>
      </c>
      <c r="Q119" s="32"/>
    </row>
    <row r="120" spans="2:17" ht="12.75" customHeight="1" x14ac:dyDescent="0.2">
      <c r="B120" s="2" t="s">
        <v>9</v>
      </c>
      <c r="C120" s="21" t="s">
        <v>10</v>
      </c>
      <c r="D120" s="32">
        <f t="shared" si="30"/>
        <v>1229452.0314607497</v>
      </c>
      <c r="E120" s="32">
        <f t="shared" si="30"/>
        <v>1524996.6144765003</v>
      </c>
      <c r="F120" s="32">
        <f t="shared" si="30"/>
        <v>1072695.20581325</v>
      </c>
      <c r="G120" s="32">
        <f t="shared" si="30"/>
        <v>1005274.7775564999</v>
      </c>
      <c r="H120" s="32">
        <f t="shared" si="30"/>
        <v>1092616.0948679999</v>
      </c>
      <c r="I120" s="32">
        <f t="shared" si="30"/>
        <v>1111426.1400000001</v>
      </c>
      <c r="J120" s="32">
        <f t="shared" si="30"/>
        <v>960653.29</v>
      </c>
      <c r="K120" s="32">
        <f t="shared" si="30"/>
        <v>969233.39000000013</v>
      </c>
      <c r="L120" s="32">
        <f t="shared" si="30"/>
        <v>995464.3</v>
      </c>
      <c r="M120" s="32">
        <f t="shared" si="30"/>
        <v>1110374.6959166666</v>
      </c>
      <c r="N120" s="32">
        <f t="shared" si="30"/>
        <v>1675280.668088333</v>
      </c>
      <c r="O120" s="32">
        <f t="shared" si="30"/>
        <v>544958.89479933307</v>
      </c>
      <c r="P120" s="32">
        <f>P106*P61</f>
        <v>430977179.45445371</v>
      </c>
      <c r="Q120" s="32"/>
    </row>
    <row r="121" spans="2:17" ht="12.75" customHeight="1" x14ac:dyDescent="0.2">
      <c r="B121" s="2" t="s">
        <v>12</v>
      </c>
      <c r="C121" s="21" t="s">
        <v>13</v>
      </c>
      <c r="D121" s="32">
        <f>D107*D58</f>
        <v>1831764.9066625005</v>
      </c>
      <c r="E121" s="32">
        <f t="shared" ref="E121:O121" si="31">E107*E58</f>
        <v>1875027.0545449997</v>
      </c>
      <c r="F121" s="32">
        <f t="shared" si="31"/>
        <v>2298751.7148783323</v>
      </c>
      <c r="G121" s="32">
        <f t="shared" si="31"/>
        <v>2162765.5681958348</v>
      </c>
      <c r="H121" s="32">
        <f t="shared" si="31"/>
        <v>1554349.410023334</v>
      </c>
      <c r="I121" s="32">
        <f t="shared" si="31"/>
        <v>1659947.0598458329</v>
      </c>
      <c r="J121" s="32">
        <f t="shared" si="31"/>
        <v>1451816.6900000004</v>
      </c>
      <c r="K121" s="32">
        <f t="shared" si="31"/>
        <v>1357617.19</v>
      </c>
      <c r="L121" s="32">
        <f t="shared" si="31"/>
        <v>1410916.72</v>
      </c>
      <c r="M121" s="32">
        <f t="shared" si="31"/>
        <v>1696782.7292649997</v>
      </c>
      <c r="N121" s="32">
        <f t="shared" si="31"/>
        <v>3580652.1864337488</v>
      </c>
      <c r="O121" s="32">
        <f t="shared" si="31"/>
        <v>727335.30293499911</v>
      </c>
      <c r="P121" s="32">
        <f t="shared" si="29"/>
        <v>21607726.532784585</v>
      </c>
      <c r="Q121" s="32"/>
    </row>
    <row r="122" spans="2:17" ht="12.75" customHeight="1" x14ac:dyDescent="0.2">
      <c r="B122" s="2" t="s">
        <v>8</v>
      </c>
      <c r="C122" s="2">
        <v>85</v>
      </c>
      <c r="D122" s="32">
        <f t="shared" ref="D122:O126" si="32">D108*D45</f>
        <v>1992481.7595019829</v>
      </c>
      <c r="E122" s="32">
        <f t="shared" si="32"/>
        <v>1501910.8606131785</v>
      </c>
      <c r="F122" s="32">
        <f t="shared" si="32"/>
        <v>1785419.9482626661</v>
      </c>
      <c r="G122" s="32">
        <f t="shared" si="32"/>
        <v>1441417.9757892834</v>
      </c>
      <c r="H122" s="32">
        <f t="shared" si="32"/>
        <v>823370.72556136688</v>
      </c>
      <c r="I122" s="32">
        <f t="shared" si="32"/>
        <v>1065891.8</v>
      </c>
      <c r="J122" s="32">
        <f t="shared" si="32"/>
        <v>1453328.4652736522</v>
      </c>
      <c r="K122" s="32">
        <f t="shared" si="32"/>
        <v>-192702.2996446903</v>
      </c>
      <c r="L122" s="32">
        <f t="shared" si="32"/>
        <v>899719.48677871586</v>
      </c>
      <c r="M122" s="32">
        <f t="shared" si="32"/>
        <v>1054720.0213379187</v>
      </c>
      <c r="N122" s="32">
        <f t="shared" si="32"/>
        <v>1448762.9307464762</v>
      </c>
      <c r="O122" s="32">
        <f t="shared" si="32"/>
        <v>2211365.8923870116</v>
      </c>
      <c r="P122" s="32">
        <f t="shared" si="29"/>
        <v>15485687.566607563</v>
      </c>
      <c r="Q122" s="32"/>
    </row>
    <row r="123" spans="2:17" ht="12.75" customHeight="1" x14ac:dyDescent="0.2">
      <c r="B123" s="2" t="s">
        <v>33</v>
      </c>
      <c r="C123" s="2">
        <v>86</v>
      </c>
      <c r="D123" s="32">
        <f t="shared" si="32"/>
        <v>715873.99006064842</v>
      </c>
      <c r="E123" s="32">
        <f t="shared" si="32"/>
        <v>529910.9597750291</v>
      </c>
      <c r="F123" s="32">
        <f t="shared" si="32"/>
        <v>483240.31481512485</v>
      </c>
      <c r="G123" s="32">
        <f t="shared" si="32"/>
        <v>468244.86534521694</v>
      </c>
      <c r="H123" s="32">
        <f t="shared" si="32"/>
        <v>317323.62635221687</v>
      </c>
      <c r="I123" s="32">
        <f t="shared" si="32"/>
        <v>356514.57500000001</v>
      </c>
      <c r="J123" s="32">
        <f t="shared" si="32"/>
        <v>131818.46096651306</v>
      </c>
      <c r="K123" s="32">
        <f t="shared" si="32"/>
        <v>125235.41345518306</v>
      </c>
      <c r="L123" s="32">
        <f t="shared" si="32"/>
        <v>166088.23272614385</v>
      </c>
      <c r="M123" s="32">
        <f t="shared" si="32"/>
        <v>316107.60313808551</v>
      </c>
      <c r="N123" s="32">
        <f t="shared" si="32"/>
        <v>421752.69109244115</v>
      </c>
      <c r="O123" s="32">
        <f t="shared" si="32"/>
        <v>558303.75112767366</v>
      </c>
      <c r="P123" s="32">
        <f t="shared" si="29"/>
        <v>4590414.4838542771</v>
      </c>
      <c r="Q123" s="32"/>
    </row>
    <row r="124" spans="2:17" ht="12.75" customHeight="1" x14ac:dyDescent="0.2">
      <c r="B124" s="9" t="s">
        <v>11</v>
      </c>
      <c r="C124" s="9">
        <v>87</v>
      </c>
      <c r="D124" s="32">
        <f t="shared" si="32"/>
        <v>2551692.2210299997</v>
      </c>
      <c r="E124" s="32">
        <f t="shared" si="32"/>
        <v>1648630.8825300003</v>
      </c>
      <c r="F124" s="32">
        <f t="shared" si="32"/>
        <v>1923987.4073349994</v>
      </c>
      <c r="G124" s="32">
        <f t="shared" si="32"/>
        <v>2529781.9067866676</v>
      </c>
      <c r="H124" s="32">
        <f t="shared" si="32"/>
        <v>1475996.0573700003</v>
      </c>
      <c r="I124" s="32">
        <f t="shared" si="32"/>
        <v>1417971.4280000001</v>
      </c>
      <c r="J124" s="32">
        <f t="shared" si="32"/>
        <v>1246783.8936881979</v>
      </c>
      <c r="K124" s="32">
        <f t="shared" si="32"/>
        <v>759342.77149999992</v>
      </c>
      <c r="L124" s="32">
        <f t="shared" si="32"/>
        <v>863948.82400000002</v>
      </c>
      <c r="M124" s="32">
        <f t="shared" si="32"/>
        <v>1363873.6576999996</v>
      </c>
      <c r="N124" s="32">
        <f t="shared" si="32"/>
        <v>3806299.8757216665</v>
      </c>
      <c r="O124" s="32">
        <f t="shared" si="32"/>
        <v>-862760.14929000044</v>
      </c>
      <c r="P124" s="32">
        <f t="shared" si="29"/>
        <v>18725548.776371531</v>
      </c>
      <c r="Q124" s="32"/>
    </row>
    <row r="125" spans="2:17" ht="12.75" customHeight="1" x14ac:dyDescent="0.2">
      <c r="B125" s="2" t="s">
        <v>35</v>
      </c>
      <c r="C125" s="2">
        <v>31</v>
      </c>
      <c r="D125" s="32">
        <f t="shared" si="32"/>
        <v>1900809.3742672477</v>
      </c>
      <c r="E125" s="32">
        <f t="shared" si="32"/>
        <v>1572527.0849424135</v>
      </c>
      <c r="F125" s="32">
        <f t="shared" si="32"/>
        <v>1686556.2383302159</v>
      </c>
      <c r="G125" s="32">
        <f t="shared" si="32"/>
        <v>960933.4740514179</v>
      </c>
      <c r="H125" s="32">
        <f t="shared" si="32"/>
        <v>600853.86252177879</v>
      </c>
      <c r="I125" s="32">
        <f t="shared" si="32"/>
        <v>465792.57005827484</v>
      </c>
      <c r="J125" s="32">
        <f t="shared" si="32"/>
        <v>566999.9903169194</v>
      </c>
      <c r="K125" s="32">
        <f t="shared" si="32"/>
        <v>194435.09273726301</v>
      </c>
      <c r="L125" s="32">
        <f t="shared" si="32"/>
        <v>203525.91696368315</v>
      </c>
      <c r="M125" s="32">
        <f t="shared" si="32"/>
        <v>1016849.4901816219</v>
      </c>
      <c r="N125" s="32">
        <f t="shared" si="32"/>
        <v>900477.80245241604</v>
      </c>
      <c r="O125" s="32">
        <f t="shared" si="32"/>
        <v>1887036.8588824298</v>
      </c>
      <c r="P125" s="32">
        <f t="shared" si="29"/>
        <v>11956797.755705681</v>
      </c>
      <c r="Q125" s="32"/>
    </row>
    <row r="126" spans="2:17" ht="12.75" customHeight="1" x14ac:dyDescent="0.2">
      <c r="B126" s="9" t="s">
        <v>36</v>
      </c>
      <c r="C126" s="9">
        <v>41</v>
      </c>
      <c r="D126" s="32">
        <f t="shared" si="32"/>
        <v>1027877.0467220182</v>
      </c>
      <c r="E126" s="32">
        <f t="shared" si="32"/>
        <v>589907.19624108798</v>
      </c>
      <c r="F126" s="32">
        <f t="shared" si="32"/>
        <v>803870.98374001228</v>
      </c>
      <c r="G126" s="32">
        <f t="shared" si="32"/>
        <v>852380.17182768043</v>
      </c>
      <c r="H126" s="32">
        <f t="shared" si="32"/>
        <v>624618.96054907003</v>
      </c>
      <c r="I126" s="32">
        <f t="shared" si="32"/>
        <v>887617.38500000001</v>
      </c>
      <c r="J126" s="32">
        <f t="shared" si="32"/>
        <v>542952.71995495702</v>
      </c>
      <c r="K126" s="32">
        <f t="shared" si="32"/>
        <v>663021.66106710536</v>
      </c>
      <c r="L126" s="32">
        <f t="shared" si="32"/>
        <v>524535.21073058178</v>
      </c>
      <c r="M126" s="32">
        <f t="shared" si="32"/>
        <v>755445.10799072729</v>
      </c>
      <c r="N126" s="32">
        <f t="shared" si="32"/>
        <v>811307.12906523002</v>
      </c>
      <c r="O126" s="32">
        <f t="shared" si="32"/>
        <v>774433.34628084849</v>
      </c>
      <c r="P126" s="32">
        <f t="shared" si="29"/>
        <v>8857966.9191693198</v>
      </c>
      <c r="Q126" s="32"/>
    </row>
    <row r="127" spans="2:17" s="40" customFormat="1" ht="12.75" customHeight="1" x14ac:dyDescent="0.25">
      <c r="B127" s="11" t="s">
        <v>14</v>
      </c>
      <c r="C127" s="38" t="s">
        <v>15</v>
      </c>
      <c r="D127" s="39">
        <f>D113*D65</f>
        <v>14540571.367835004</v>
      </c>
      <c r="E127" s="39">
        <f t="shared" ref="E127:O127" si="33">E113*E65</f>
        <v>3522075.0580224996</v>
      </c>
      <c r="F127" s="39">
        <f t="shared" si="33"/>
        <v>3978650.306104999</v>
      </c>
      <c r="G127" s="39">
        <f t="shared" si="33"/>
        <v>2753079.9856875008</v>
      </c>
      <c r="H127" s="39">
        <f t="shared" si="33"/>
        <v>2191793.8747825013</v>
      </c>
      <c r="I127" s="39">
        <f t="shared" si="33"/>
        <v>777566.87</v>
      </c>
      <c r="J127" s="39">
        <f t="shared" si="33"/>
        <v>3224593.7</v>
      </c>
      <c r="K127" s="39">
        <f t="shared" si="33"/>
        <v>1676269.07</v>
      </c>
      <c r="L127" s="39">
        <f t="shared" si="33"/>
        <v>1453837.38</v>
      </c>
      <c r="M127" s="39">
        <f t="shared" si="33"/>
        <v>1745437.5707499993</v>
      </c>
      <c r="N127" s="39">
        <f t="shared" si="33"/>
        <v>4535910.4784774985</v>
      </c>
      <c r="O127" s="39">
        <f t="shared" si="33"/>
        <v>1725240.6030049992</v>
      </c>
      <c r="P127" s="48">
        <f t="shared" si="29"/>
        <v>42125026.264665008</v>
      </c>
      <c r="Q127" s="39"/>
    </row>
    <row r="128" spans="2:17" ht="12.75" customHeight="1" x14ac:dyDescent="0.2">
      <c r="B128" s="2" t="s">
        <v>69</v>
      </c>
      <c r="C128" s="21"/>
      <c r="D128" s="49">
        <f t="shared" ref="D128:O128" si="34">SUM(D116:D127)</f>
        <v>154763867.94141698</v>
      </c>
      <c r="E128" s="49">
        <f t="shared" si="34"/>
        <v>122159599.6715325</v>
      </c>
      <c r="F128" s="49">
        <f t="shared" si="34"/>
        <v>124959358.1899592</v>
      </c>
      <c r="G128" s="49">
        <f t="shared" si="34"/>
        <v>83513860.852182776</v>
      </c>
      <c r="H128" s="49">
        <f t="shared" si="34"/>
        <v>55929480.788657993</v>
      </c>
      <c r="I128" s="49">
        <f t="shared" si="34"/>
        <v>52308762.024782822</v>
      </c>
      <c r="J128" s="49">
        <f t="shared" si="34"/>
        <v>34767253.153057978</v>
      </c>
      <c r="K128" s="49">
        <f t="shared" si="34"/>
        <v>29390996.904384039</v>
      </c>
      <c r="L128" s="49">
        <f t="shared" si="34"/>
        <v>36270740.711256944</v>
      </c>
      <c r="M128" s="49">
        <f t="shared" si="34"/>
        <v>66832984.590979949</v>
      </c>
      <c r="N128" s="49">
        <f t="shared" si="34"/>
        <v>111202867.2749036</v>
      </c>
      <c r="O128" s="49">
        <f t="shared" si="34"/>
        <v>133092943.97195189</v>
      </c>
      <c r="P128" s="32">
        <f t="shared" si="29"/>
        <v>1005192716.0750664</v>
      </c>
      <c r="Q128" s="39"/>
    </row>
    <row r="129" spans="2:17" ht="12.75" customHeight="1" x14ac:dyDescent="0.2">
      <c r="C129" s="2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2:17" s="9" customFormat="1" ht="12.75" customHeight="1" x14ac:dyDescent="0.2">
      <c r="B130" s="9" t="s">
        <v>70</v>
      </c>
      <c r="C130" s="9">
        <v>16</v>
      </c>
      <c r="D130" s="10">
        <f t="shared" ref="D130:O130" si="35">D8</f>
        <v>513</v>
      </c>
      <c r="E130" s="10">
        <f t="shared" si="35"/>
        <v>513</v>
      </c>
      <c r="F130" s="10">
        <f t="shared" si="35"/>
        <v>513</v>
      </c>
      <c r="G130" s="10">
        <f t="shared" si="35"/>
        <v>513</v>
      </c>
      <c r="H130" s="10">
        <f t="shared" si="35"/>
        <v>513</v>
      </c>
      <c r="I130" s="10">
        <f t="shared" si="35"/>
        <v>513</v>
      </c>
      <c r="J130" s="10">
        <f t="shared" si="35"/>
        <v>513</v>
      </c>
      <c r="K130" s="10">
        <f t="shared" si="35"/>
        <v>513</v>
      </c>
      <c r="L130" s="10">
        <f t="shared" si="35"/>
        <v>513</v>
      </c>
      <c r="M130" s="10">
        <f t="shared" si="35"/>
        <v>513</v>
      </c>
      <c r="N130" s="10">
        <f t="shared" si="35"/>
        <v>513</v>
      </c>
      <c r="O130" s="10">
        <f t="shared" si="35"/>
        <v>513</v>
      </c>
      <c r="P130" s="10">
        <f t="shared" ref="P130:P142" si="36">SUM(D130:O130)</f>
        <v>6156</v>
      </c>
      <c r="Q130" s="10"/>
    </row>
    <row r="131" spans="2:17" s="9" customFormat="1" ht="12.75" customHeight="1" x14ac:dyDescent="0.2">
      <c r="B131" s="9" t="str">
        <f t="shared" ref="B131:O131" si="37">B10</f>
        <v>Propane</v>
      </c>
      <c r="C131" s="25">
        <f t="shared" si="37"/>
        <v>53</v>
      </c>
      <c r="D131" s="10">
        <f t="shared" si="37"/>
        <v>0</v>
      </c>
      <c r="E131" s="10">
        <f t="shared" si="37"/>
        <v>0</v>
      </c>
      <c r="F131" s="10">
        <f t="shared" si="37"/>
        <v>0</v>
      </c>
      <c r="G131" s="10">
        <f t="shared" si="37"/>
        <v>0</v>
      </c>
      <c r="H131" s="10">
        <f t="shared" si="37"/>
        <v>0</v>
      </c>
      <c r="I131" s="10">
        <f t="shared" si="37"/>
        <v>0</v>
      </c>
      <c r="J131" s="10">
        <f t="shared" si="37"/>
        <v>0</v>
      </c>
      <c r="K131" s="10">
        <f t="shared" si="37"/>
        <v>0</v>
      </c>
      <c r="L131" s="10">
        <f t="shared" si="37"/>
        <v>0</v>
      </c>
      <c r="M131" s="10">
        <f t="shared" si="37"/>
        <v>0</v>
      </c>
      <c r="N131" s="10">
        <f t="shared" si="37"/>
        <v>0</v>
      </c>
      <c r="O131" s="10">
        <f t="shared" si="37"/>
        <v>0</v>
      </c>
      <c r="P131" s="10">
        <f t="shared" si="36"/>
        <v>0</v>
      </c>
      <c r="Q131" s="10"/>
    </row>
    <row r="132" spans="2:17" s="9" customFormat="1" ht="12.75" customHeight="1" x14ac:dyDescent="0.2">
      <c r="B132" s="9" t="s">
        <v>32</v>
      </c>
      <c r="C132" s="9">
        <v>50</v>
      </c>
      <c r="D132" s="10">
        <f t="shared" ref="D132:O132" si="38">D13</f>
        <v>0</v>
      </c>
      <c r="E132" s="10">
        <f t="shared" si="38"/>
        <v>0</v>
      </c>
      <c r="F132" s="10">
        <f t="shared" si="38"/>
        <v>0</v>
      </c>
      <c r="G132" s="10">
        <f t="shared" si="38"/>
        <v>0</v>
      </c>
      <c r="H132" s="10">
        <f t="shared" si="38"/>
        <v>0</v>
      </c>
      <c r="I132" s="10">
        <f t="shared" si="38"/>
        <v>0</v>
      </c>
      <c r="J132" s="10">
        <f t="shared" si="38"/>
        <v>0</v>
      </c>
      <c r="K132" s="10">
        <f t="shared" si="38"/>
        <v>0</v>
      </c>
      <c r="L132" s="10">
        <f t="shared" si="38"/>
        <v>0</v>
      </c>
      <c r="M132" s="10">
        <f t="shared" si="38"/>
        <v>0</v>
      </c>
      <c r="N132" s="10">
        <f t="shared" si="38"/>
        <v>0</v>
      </c>
      <c r="O132" s="10">
        <f t="shared" si="38"/>
        <v>0</v>
      </c>
      <c r="P132" s="10">
        <f t="shared" si="36"/>
        <v>0</v>
      </c>
      <c r="Q132" s="10"/>
    </row>
    <row r="133" spans="2:17" s="9" customFormat="1" ht="12.75" customHeight="1" x14ac:dyDescent="0.2">
      <c r="B133" s="2" t="s">
        <v>71</v>
      </c>
      <c r="C133" s="21" t="s">
        <v>41</v>
      </c>
      <c r="D133" s="10">
        <f t="shared" ref="D133:O133" si="39">D22</f>
        <v>0</v>
      </c>
      <c r="E133" s="10">
        <f t="shared" si="39"/>
        <v>0</v>
      </c>
      <c r="F133" s="10">
        <f t="shared" si="39"/>
        <v>0</v>
      </c>
      <c r="G133" s="10">
        <f t="shared" si="39"/>
        <v>0</v>
      </c>
      <c r="H133" s="10">
        <f t="shared" si="39"/>
        <v>0</v>
      </c>
      <c r="I133" s="10">
        <f t="shared" si="39"/>
        <v>0</v>
      </c>
      <c r="J133" s="10">
        <f t="shared" si="39"/>
        <v>0</v>
      </c>
      <c r="K133" s="10">
        <f t="shared" si="39"/>
        <v>0</v>
      </c>
      <c r="L133" s="10">
        <f t="shared" si="39"/>
        <v>0</v>
      </c>
      <c r="M133" s="10">
        <f t="shared" si="39"/>
        <v>0</v>
      </c>
      <c r="N133" s="10">
        <f t="shared" si="39"/>
        <v>0</v>
      </c>
      <c r="O133" s="10">
        <f t="shared" si="39"/>
        <v>0</v>
      </c>
      <c r="P133" s="10">
        <f t="shared" si="36"/>
        <v>0</v>
      </c>
      <c r="Q133" s="10"/>
    </row>
    <row r="134" spans="2:17" s="9" customFormat="1" ht="12.75" customHeight="1" x14ac:dyDescent="0.2">
      <c r="B134" s="9" t="s">
        <v>72</v>
      </c>
      <c r="C134" s="21" t="s">
        <v>44</v>
      </c>
      <c r="D134" s="10">
        <f t="shared" ref="D134:O134" si="40">D25</f>
        <v>0</v>
      </c>
      <c r="E134" s="10">
        <f t="shared" si="40"/>
        <v>0</v>
      </c>
      <c r="F134" s="10">
        <f t="shared" si="40"/>
        <v>1679.11</v>
      </c>
      <c r="G134" s="10">
        <f t="shared" si="40"/>
        <v>892.91</v>
      </c>
      <c r="H134" s="10">
        <f t="shared" si="40"/>
        <v>22285.119999999999</v>
      </c>
      <c r="I134" s="10">
        <f t="shared" si="40"/>
        <v>23909.68</v>
      </c>
      <c r="J134" s="10">
        <f t="shared" si="40"/>
        <v>21315.88</v>
      </c>
      <c r="K134" s="10">
        <f t="shared" si="40"/>
        <v>43419.02</v>
      </c>
      <c r="L134" s="10">
        <f t="shared" si="40"/>
        <v>22467.63</v>
      </c>
      <c r="M134" s="10">
        <f t="shared" si="40"/>
        <v>59215</v>
      </c>
      <c r="N134" s="10">
        <f t="shared" si="40"/>
        <v>33985.54</v>
      </c>
      <c r="O134" s="10">
        <f t="shared" si="40"/>
        <v>0</v>
      </c>
      <c r="P134" s="10">
        <f t="shared" si="36"/>
        <v>229169.89</v>
      </c>
      <c r="Q134" s="10"/>
    </row>
    <row r="135" spans="2:17" s="9" customFormat="1" ht="12.75" customHeight="1" x14ac:dyDescent="0.2">
      <c r="B135" s="9" t="str">
        <f t="shared" ref="B135:O135" si="41">B19</f>
        <v>Interruptible with firm option - ind</v>
      </c>
      <c r="C135" s="25">
        <f t="shared" si="41"/>
        <v>85</v>
      </c>
      <c r="D135" s="10">
        <f t="shared" si="41"/>
        <v>317341.02958480007</v>
      </c>
      <c r="E135" s="10">
        <f t="shared" si="41"/>
        <v>339138.28067519999</v>
      </c>
      <c r="F135" s="10">
        <f t="shared" si="41"/>
        <v>67931.04800000001</v>
      </c>
      <c r="G135" s="10">
        <f t="shared" si="41"/>
        <v>360318.18313999998</v>
      </c>
      <c r="H135" s="10">
        <f t="shared" si="41"/>
        <v>269177.456228</v>
      </c>
      <c r="I135" s="10">
        <f t="shared" si="41"/>
        <v>151783.109</v>
      </c>
      <c r="J135" s="10">
        <f t="shared" si="41"/>
        <v>244098.59745720503</v>
      </c>
      <c r="K135" s="10">
        <f t="shared" si="41"/>
        <v>161181.38472560002</v>
      </c>
      <c r="L135" s="10">
        <f t="shared" si="41"/>
        <v>151547.74355119999</v>
      </c>
      <c r="M135" s="10">
        <f t="shared" si="41"/>
        <v>46139.372311199993</v>
      </c>
      <c r="N135" s="10">
        <f t="shared" si="41"/>
        <v>199745.2913248</v>
      </c>
      <c r="O135" s="10">
        <f t="shared" si="41"/>
        <v>244409.81768879999</v>
      </c>
      <c r="P135" s="10">
        <f t="shared" si="36"/>
        <v>2552811.3136868048</v>
      </c>
      <c r="Q135" s="10"/>
    </row>
    <row r="136" spans="2:17" s="9" customFormat="1" ht="12.75" customHeight="1" x14ac:dyDescent="0.2">
      <c r="B136" s="9" t="str">
        <f t="shared" ref="B136:O136" si="42">B20</f>
        <v>Limited interrupt w/ firm option - ind</v>
      </c>
      <c r="C136" s="25">
        <f t="shared" si="42"/>
        <v>86</v>
      </c>
      <c r="D136" s="10">
        <f t="shared" si="42"/>
        <v>31891.863999999998</v>
      </c>
      <c r="E136" s="10">
        <f t="shared" si="42"/>
        <v>29224.457999999999</v>
      </c>
      <c r="F136" s="10">
        <f t="shared" si="42"/>
        <v>33300.31</v>
      </c>
      <c r="G136" s="10">
        <f t="shared" si="42"/>
        <v>30145.234</v>
      </c>
      <c r="H136" s="10">
        <f t="shared" si="42"/>
        <v>29393.226000000002</v>
      </c>
      <c r="I136" s="10">
        <f t="shared" si="42"/>
        <v>21991.264000000003</v>
      </c>
      <c r="J136" s="10">
        <f t="shared" si="42"/>
        <v>16974.55</v>
      </c>
      <c r="K136" s="10">
        <f t="shared" si="42"/>
        <v>17738.057000000001</v>
      </c>
      <c r="L136" s="10">
        <f t="shared" si="42"/>
        <v>18900.829999999998</v>
      </c>
      <c r="M136" s="10">
        <f t="shared" si="42"/>
        <v>22808.813999999998</v>
      </c>
      <c r="N136" s="10">
        <f t="shared" si="42"/>
        <v>27780.243000000002</v>
      </c>
      <c r="O136" s="10">
        <f t="shared" si="42"/>
        <v>36720.885000000002</v>
      </c>
      <c r="P136" s="10">
        <f t="shared" si="36"/>
        <v>316869.73499999999</v>
      </c>
      <c r="Q136" s="10"/>
    </row>
    <row r="137" spans="2:17" s="9" customFormat="1" ht="12.75" customHeight="1" x14ac:dyDescent="0.2">
      <c r="B137" s="9" t="str">
        <f t="shared" ref="B137:O137" si="43">B21</f>
        <v>Non-excl interrupt w/ firm option - ind</v>
      </c>
      <c r="C137" s="25">
        <f t="shared" si="43"/>
        <v>87</v>
      </c>
      <c r="D137" s="10">
        <f t="shared" si="43"/>
        <v>0</v>
      </c>
      <c r="E137" s="10">
        <f t="shared" si="43"/>
        <v>0</v>
      </c>
      <c r="F137" s="10">
        <f t="shared" si="43"/>
        <v>0</v>
      </c>
      <c r="G137" s="10">
        <f t="shared" si="43"/>
        <v>0</v>
      </c>
      <c r="H137" s="10">
        <f t="shared" si="43"/>
        <v>0</v>
      </c>
      <c r="I137" s="10">
        <f t="shared" si="43"/>
        <v>0</v>
      </c>
      <c r="J137" s="10">
        <f t="shared" si="43"/>
        <v>0</v>
      </c>
      <c r="K137" s="10">
        <f t="shared" si="43"/>
        <v>0</v>
      </c>
      <c r="L137" s="10">
        <f t="shared" si="43"/>
        <v>0</v>
      </c>
      <c r="M137" s="10">
        <f t="shared" si="43"/>
        <v>0</v>
      </c>
      <c r="N137" s="10">
        <f t="shared" si="43"/>
        <v>0</v>
      </c>
      <c r="O137" s="10">
        <f t="shared" si="43"/>
        <v>0</v>
      </c>
      <c r="P137" s="10">
        <f t="shared" si="36"/>
        <v>0</v>
      </c>
      <c r="Q137" s="10"/>
    </row>
    <row r="138" spans="2:17" s="9" customFormat="1" ht="12.75" customHeight="1" x14ac:dyDescent="0.2">
      <c r="B138" s="2" t="s">
        <v>45</v>
      </c>
      <c r="C138" s="21" t="s">
        <v>43</v>
      </c>
      <c r="D138" s="10">
        <f t="shared" ref="D138:O138" si="44">D27</f>
        <v>456229.5799999999</v>
      </c>
      <c r="E138" s="10">
        <f t="shared" si="44"/>
        <v>574201.57000000007</v>
      </c>
      <c r="F138" s="10">
        <f t="shared" si="44"/>
        <v>457781.82</v>
      </c>
      <c r="G138" s="10">
        <f t="shared" si="44"/>
        <v>490493.37000000017</v>
      </c>
      <c r="H138" s="10">
        <f t="shared" si="44"/>
        <v>507023.06999999995</v>
      </c>
      <c r="I138" s="10">
        <f t="shared" si="44"/>
        <v>520622.9</v>
      </c>
      <c r="J138" s="10">
        <f t="shared" si="44"/>
        <v>500021.59</v>
      </c>
      <c r="K138" s="10">
        <f t="shared" si="44"/>
        <v>488688.39</v>
      </c>
      <c r="L138" s="10">
        <f t="shared" si="44"/>
        <v>475597.68999999989</v>
      </c>
      <c r="M138" s="10">
        <f t="shared" si="44"/>
        <v>513429.67000000016</v>
      </c>
      <c r="N138" s="10">
        <f t="shared" si="44"/>
        <v>661819.17000000016</v>
      </c>
      <c r="O138" s="10">
        <f t="shared" si="44"/>
        <v>199824.25999999995</v>
      </c>
      <c r="P138" s="10">
        <f t="shared" si="36"/>
        <v>5845733.0799999991</v>
      </c>
      <c r="Q138" s="10"/>
    </row>
    <row r="139" spans="2:17" s="9" customFormat="1" ht="12.75" customHeight="1" x14ac:dyDescent="0.2">
      <c r="B139" s="2" t="s">
        <v>46</v>
      </c>
      <c r="C139" s="21" t="s">
        <v>10</v>
      </c>
      <c r="D139" s="10">
        <f t="shared" ref="D139:O139" si="45">D28</f>
        <v>3205610.6700000009</v>
      </c>
      <c r="E139" s="10">
        <f t="shared" si="45"/>
        <v>3455444.0999999992</v>
      </c>
      <c r="F139" s="10">
        <f t="shared" si="45"/>
        <v>3299563.7800000003</v>
      </c>
      <c r="G139" s="10">
        <f t="shared" si="45"/>
        <v>4432550.21</v>
      </c>
      <c r="H139" s="10">
        <f t="shared" si="45"/>
        <v>3412646.8199999994</v>
      </c>
      <c r="I139" s="10">
        <f t="shared" si="45"/>
        <v>3469686.74</v>
      </c>
      <c r="J139" s="10">
        <f t="shared" si="45"/>
        <v>3130322.35</v>
      </c>
      <c r="K139" s="10">
        <f t="shared" si="45"/>
        <v>3320952.25</v>
      </c>
      <c r="L139" s="10">
        <f t="shared" si="45"/>
        <v>3229294.42</v>
      </c>
      <c r="M139" s="10">
        <f t="shared" si="45"/>
        <v>4030108.49</v>
      </c>
      <c r="N139" s="10">
        <f t="shared" si="45"/>
        <v>6063609.8399999999</v>
      </c>
      <c r="O139" s="10">
        <f t="shared" si="45"/>
        <v>729322.77999999991</v>
      </c>
      <c r="P139" s="10">
        <f t="shared" si="36"/>
        <v>41779112.450000003</v>
      </c>
      <c r="Q139" s="10"/>
    </row>
    <row r="140" spans="2:17" s="9" customFormat="1" ht="12.75" customHeight="1" x14ac:dyDescent="0.2">
      <c r="B140" s="9" t="s">
        <v>47</v>
      </c>
      <c r="C140" s="21" t="s">
        <v>44</v>
      </c>
      <c r="D140" s="10">
        <f t="shared" ref="D140:O140" si="46">D29</f>
        <v>37957.479999999996</v>
      </c>
      <c r="E140" s="10">
        <f t="shared" si="46"/>
        <v>35781.79</v>
      </c>
      <c r="F140" s="10">
        <f t="shared" si="46"/>
        <v>29058.39</v>
      </c>
      <c r="G140" s="10">
        <f t="shared" si="46"/>
        <v>51528.110000000015</v>
      </c>
      <c r="H140" s="10">
        <f t="shared" si="46"/>
        <v>40721.049999999996</v>
      </c>
      <c r="I140" s="10">
        <f t="shared" si="46"/>
        <v>46879.7</v>
      </c>
      <c r="J140" s="10">
        <f t="shared" si="46"/>
        <v>27628.409999999996</v>
      </c>
      <c r="K140" s="10">
        <f t="shared" si="46"/>
        <v>29956.680000000008</v>
      </c>
      <c r="L140" s="10">
        <f t="shared" si="46"/>
        <v>33698.369999999988</v>
      </c>
      <c r="M140" s="10">
        <f t="shared" si="46"/>
        <v>42370.939999999995</v>
      </c>
      <c r="N140" s="10">
        <f t="shared" si="46"/>
        <v>58079.060000000012</v>
      </c>
      <c r="O140" s="10">
        <f t="shared" si="46"/>
        <v>-3779.7800000000025</v>
      </c>
      <c r="P140" s="10">
        <f t="shared" si="36"/>
        <v>429880.19999999995</v>
      </c>
      <c r="Q140" s="10"/>
    </row>
    <row r="141" spans="2:17" s="9" customFormat="1" ht="12.75" customHeight="1" x14ac:dyDescent="0.2">
      <c r="B141" s="2" t="s">
        <v>48</v>
      </c>
      <c r="C141" s="21" t="s">
        <v>13</v>
      </c>
      <c r="D141" s="10">
        <f t="shared" ref="D141:O141" si="47">D30</f>
        <v>3910384.9099999997</v>
      </c>
      <c r="E141" s="10">
        <f t="shared" si="47"/>
        <v>5242549.1100000003</v>
      </c>
      <c r="F141" s="10">
        <f t="shared" si="47"/>
        <v>4068827.4699999997</v>
      </c>
      <c r="G141" s="10">
        <f t="shared" si="47"/>
        <v>1641872.439999999</v>
      </c>
      <c r="H141" s="10">
        <f t="shared" si="47"/>
        <v>5957867.5900000008</v>
      </c>
      <c r="I141" s="10">
        <f t="shared" si="47"/>
        <v>3322382.9799999995</v>
      </c>
      <c r="J141" s="10">
        <f t="shared" si="47"/>
        <v>4290684.8999999994</v>
      </c>
      <c r="K141" s="10">
        <f t="shared" si="47"/>
        <v>3993023.8</v>
      </c>
      <c r="L141" s="10">
        <f t="shared" si="47"/>
        <v>3649259.1900000004</v>
      </c>
      <c r="M141" s="10">
        <f t="shared" si="47"/>
        <v>3263441.18</v>
      </c>
      <c r="N141" s="10">
        <f t="shared" si="47"/>
        <v>6752671.6399999997</v>
      </c>
      <c r="O141" s="10">
        <f t="shared" si="47"/>
        <v>203512.16999999981</v>
      </c>
      <c r="P141" s="10">
        <f t="shared" si="36"/>
        <v>46296477.380000003</v>
      </c>
      <c r="Q141" s="10"/>
    </row>
    <row r="142" spans="2:17" s="9" customFormat="1" ht="12.75" customHeight="1" x14ac:dyDescent="0.2">
      <c r="B142" s="2" t="s">
        <v>49</v>
      </c>
      <c r="C142" s="21" t="s">
        <v>50</v>
      </c>
      <c r="D142" s="10">
        <f t="shared" ref="D142:O142" si="48">D31</f>
        <v>2286937</v>
      </c>
      <c r="E142" s="10">
        <f t="shared" si="48"/>
        <v>504390</v>
      </c>
      <c r="F142" s="10">
        <f t="shared" si="48"/>
        <v>4462697.6100000003</v>
      </c>
      <c r="G142" s="10">
        <f t="shared" si="48"/>
        <v>2123142</v>
      </c>
      <c r="H142" s="10">
        <f t="shared" si="48"/>
        <v>3633702</v>
      </c>
      <c r="I142" s="10">
        <f t="shared" si="48"/>
        <v>0</v>
      </c>
      <c r="J142" s="10">
        <f t="shared" si="48"/>
        <v>3918895</v>
      </c>
      <c r="K142" s="10">
        <f t="shared" si="48"/>
        <v>4006391.77490234</v>
      </c>
      <c r="L142" s="10">
        <f t="shared" si="48"/>
        <v>2018187.7880859401</v>
      </c>
      <c r="M142" s="10">
        <f t="shared" si="48"/>
        <v>2004158.6816406201</v>
      </c>
      <c r="N142" s="10">
        <f t="shared" si="48"/>
        <v>4554891.9140625</v>
      </c>
      <c r="O142" s="10">
        <f t="shared" si="48"/>
        <v>3473949.0283203102</v>
      </c>
      <c r="P142" s="10">
        <f t="shared" si="36"/>
        <v>32987342.797011711</v>
      </c>
      <c r="Q142" s="10"/>
    </row>
    <row r="143" spans="2:17" s="9" customFormat="1" ht="12.75" customHeight="1" x14ac:dyDescent="0.2">
      <c r="B143" s="9" t="s">
        <v>73</v>
      </c>
      <c r="C143" s="25"/>
      <c r="D143" s="31">
        <f>SUM(D130:D142)</f>
        <v>10246865.5335848</v>
      </c>
      <c r="E143" s="31">
        <f t="shared" ref="E143:P143" si="49">SUM(E130:E142)</f>
        <v>10181242.3086752</v>
      </c>
      <c r="F143" s="31">
        <f t="shared" si="49"/>
        <v>12421352.538000001</v>
      </c>
      <c r="G143" s="31">
        <f t="shared" si="49"/>
        <v>9131455.4571399987</v>
      </c>
      <c r="H143" s="31">
        <f t="shared" si="49"/>
        <v>13873329.332228001</v>
      </c>
      <c r="I143" s="31">
        <f t="shared" si="49"/>
        <v>7557769.3729999997</v>
      </c>
      <c r="J143" s="31">
        <f t="shared" si="49"/>
        <v>12150454.277457204</v>
      </c>
      <c r="K143" s="31">
        <f t="shared" si="49"/>
        <v>12061864.356627939</v>
      </c>
      <c r="L143" s="31">
        <f t="shared" si="49"/>
        <v>9599466.6616371404</v>
      </c>
      <c r="M143" s="31">
        <f t="shared" si="49"/>
        <v>9982185.1479518209</v>
      </c>
      <c r="N143" s="31">
        <f t="shared" si="49"/>
        <v>18353095.698387299</v>
      </c>
      <c r="O143" s="31">
        <f t="shared" si="49"/>
        <v>4884472.1610091096</v>
      </c>
      <c r="P143" s="31">
        <f t="shared" si="49"/>
        <v>130443552.84569851</v>
      </c>
      <c r="Q143" s="13"/>
    </row>
    <row r="144" spans="2:17" s="9" customFormat="1" ht="12.75" customHeight="1" x14ac:dyDescent="0.2">
      <c r="C144" s="25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2:18" s="9" customFormat="1" ht="12.75" customHeight="1" x14ac:dyDescent="0.2">
      <c r="B145" s="9" t="s">
        <v>74</v>
      </c>
      <c r="C145" s="25"/>
      <c r="D145" s="31">
        <f>D128+D143</f>
        <v>165010733.47500178</v>
      </c>
      <c r="E145" s="31">
        <f t="shared" ref="E145:P145" si="50">E128+E143</f>
        <v>132340841.9802077</v>
      </c>
      <c r="F145" s="31">
        <f t="shared" si="50"/>
        <v>137380710.72795919</v>
      </c>
      <c r="G145" s="31">
        <f t="shared" si="50"/>
        <v>92645316.309322774</v>
      </c>
      <c r="H145" s="31">
        <f t="shared" si="50"/>
        <v>69802810.120885998</v>
      </c>
      <c r="I145" s="31">
        <f t="shared" si="50"/>
        <v>59866531.397782817</v>
      </c>
      <c r="J145" s="31">
        <f t="shared" si="50"/>
        <v>46917707.430515185</v>
      </c>
      <c r="K145" s="31">
        <f t="shared" si="50"/>
        <v>41452861.26101198</v>
      </c>
      <c r="L145" s="31">
        <f t="shared" si="50"/>
        <v>45870207.372894086</v>
      </c>
      <c r="M145" s="31">
        <f t="shared" si="50"/>
        <v>76815169.738931775</v>
      </c>
      <c r="N145" s="31">
        <f t="shared" si="50"/>
        <v>129555962.97329089</v>
      </c>
      <c r="O145" s="31">
        <f t="shared" si="50"/>
        <v>137977416.132961</v>
      </c>
      <c r="P145" s="31">
        <f t="shared" si="50"/>
        <v>1135636268.9207649</v>
      </c>
      <c r="Q145" s="13"/>
      <c r="R145" s="10"/>
    </row>
    <row r="146" spans="2:18" ht="12.75" customHeight="1" x14ac:dyDescent="0.2">
      <c r="C146" s="21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2:18" s="9" customFormat="1" ht="12.75" customHeight="1" x14ac:dyDescent="0.2">
      <c r="B147" s="8" t="s">
        <v>75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8" s="9" customFormat="1" ht="12.75" customHeight="1" x14ac:dyDescent="0.2">
      <c r="B148" s="2" t="s">
        <v>28</v>
      </c>
      <c r="C148" s="25">
        <v>23</v>
      </c>
      <c r="D148" s="10">
        <f t="shared" ref="D148:O148" si="51">D116-D9</f>
        <v>-8097032.8427530527</v>
      </c>
      <c r="E148" s="10">
        <f t="shared" si="51"/>
        <v>529737.12209160626</v>
      </c>
      <c r="F148" s="10">
        <f t="shared" si="51"/>
        <v>-1808884.0820201933</v>
      </c>
      <c r="G148" s="10">
        <f t="shared" si="51"/>
        <v>-3605428.7025479749</v>
      </c>
      <c r="H148" s="10">
        <f t="shared" si="51"/>
        <v>-4449524.6842643619</v>
      </c>
      <c r="I148" s="10">
        <f t="shared" si="51"/>
        <v>-1817320.0773890838</v>
      </c>
      <c r="J148" s="10">
        <f t="shared" si="51"/>
        <v>0</v>
      </c>
      <c r="K148" s="10">
        <f t="shared" si="51"/>
        <v>0</v>
      </c>
      <c r="L148" s="10">
        <f t="shared" si="51"/>
        <v>-1240588.3954848982</v>
      </c>
      <c r="M148" s="10">
        <f t="shared" si="51"/>
        <v>-884407.0542736277</v>
      </c>
      <c r="N148" s="10">
        <f t="shared" si="51"/>
        <v>-3609954.9823273942</v>
      </c>
      <c r="O148" s="10">
        <f t="shared" si="51"/>
        <v>4029478.2375357598</v>
      </c>
      <c r="P148" s="10">
        <f>SUM(D148:O148)</f>
        <v>-20953925.461433221</v>
      </c>
      <c r="Q148" s="10"/>
    </row>
    <row r="149" spans="2:18" s="9" customFormat="1" ht="12.75" customHeight="1" x14ac:dyDescent="0.2">
      <c r="B149" s="9" t="s">
        <v>30</v>
      </c>
      <c r="C149" s="21">
        <v>31</v>
      </c>
      <c r="D149" s="10">
        <f t="shared" ref="D149:O149" si="52">D117-D11</f>
        <v>-2272302.9554840997</v>
      </c>
      <c r="E149" s="10">
        <f t="shared" si="52"/>
        <v>147316.7474171035</v>
      </c>
      <c r="F149" s="10">
        <f t="shared" si="52"/>
        <v>-504273.48621942848</v>
      </c>
      <c r="G149" s="10">
        <f t="shared" si="52"/>
        <v>-935363.17673286796</v>
      </c>
      <c r="H149" s="10">
        <f t="shared" si="52"/>
        <v>-964513.4132944718</v>
      </c>
      <c r="I149" s="10">
        <f t="shared" si="52"/>
        <v>0</v>
      </c>
      <c r="J149" s="10">
        <f t="shared" si="52"/>
        <v>0</v>
      </c>
      <c r="K149" s="10">
        <f t="shared" si="52"/>
        <v>0</v>
      </c>
      <c r="L149" s="10">
        <f t="shared" si="52"/>
        <v>0</v>
      </c>
      <c r="M149" s="10">
        <f t="shared" si="52"/>
        <v>-197950.36832878925</v>
      </c>
      <c r="N149" s="10">
        <f t="shared" si="52"/>
        <v>-929499.9674016647</v>
      </c>
      <c r="O149" s="10">
        <f t="shared" si="52"/>
        <v>1114741.7632951736</v>
      </c>
      <c r="P149" s="10">
        <f t="shared" ref="P149:P160" si="53">SUM(D149:O149)</f>
        <v>-4541844.8567490447</v>
      </c>
      <c r="Q149" s="10"/>
    </row>
    <row r="150" spans="2:18" s="9" customFormat="1" ht="12.75" customHeight="1" x14ac:dyDescent="0.2">
      <c r="B150" s="9" t="s">
        <v>31</v>
      </c>
      <c r="C150" s="9">
        <v>41</v>
      </c>
      <c r="D150" s="10">
        <f t="shared" ref="D150:O150" si="54">D118-D12</f>
        <v>-479277.87241792493</v>
      </c>
      <c r="E150" s="10">
        <f t="shared" si="54"/>
        <v>31984.875343200751</v>
      </c>
      <c r="F150" s="10">
        <f t="shared" si="54"/>
        <v>-115260.21377737261</v>
      </c>
      <c r="G150" s="10">
        <f t="shared" si="54"/>
        <v>-245211.3740063319</v>
      </c>
      <c r="H150" s="10">
        <f t="shared" si="54"/>
        <v>-339963.09300624859</v>
      </c>
      <c r="I150" s="10">
        <f t="shared" si="54"/>
        <v>-136213.27973220125</v>
      </c>
      <c r="J150" s="10">
        <f t="shared" si="54"/>
        <v>0</v>
      </c>
      <c r="K150" s="10">
        <f t="shared" si="54"/>
        <v>0</v>
      </c>
      <c r="L150" s="10">
        <f t="shared" si="54"/>
        <v>0</v>
      </c>
      <c r="M150" s="10">
        <f t="shared" si="54"/>
        <v>-49657.973862001672</v>
      </c>
      <c r="N150" s="10">
        <f t="shared" si="54"/>
        <v>-209735.59396340139</v>
      </c>
      <c r="O150" s="10">
        <f t="shared" si="54"/>
        <v>240789.71543533169</v>
      </c>
      <c r="P150" s="10">
        <f t="shared" si="53"/>
        <v>-1302544.8099869499</v>
      </c>
      <c r="Q150" s="10"/>
    </row>
    <row r="151" spans="2:18" s="9" customFormat="1" ht="12.75" customHeight="1" x14ac:dyDescent="0.2">
      <c r="B151" s="2" t="s">
        <v>42</v>
      </c>
      <c r="C151" s="21" t="s">
        <v>43</v>
      </c>
      <c r="D151" s="10">
        <f t="shared" ref="D151:O151" si="55">D119-D23</f>
        <v>-36762.134023125051</v>
      </c>
      <c r="E151" s="10">
        <f t="shared" si="55"/>
        <v>2090.0085693749133</v>
      </c>
      <c r="F151" s="10">
        <f t="shared" si="55"/>
        <v>-10372.282303396147</v>
      </c>
      <c r="G151" s="10">
        <f t="shared" si="55"/>
        <v>-17962.755347074941</v>
      </c>
      <c r="H151" s="10">
        <f t="shared" si="55"/>
        <v>-20207.343702699989</v>
      </c>
      <c r="I151" s="10">
        <f t="shared" si="55"/>
        <v>0</v>
      </c>
      <c r="J151" s="10">
        <f t="shared" si="55"/>
        <v>0</v>
      </c>
      <c r="K151" s="10">
        <f t="shared" si="55"/>
        <v>0</v>
      </c>
      <c r="L151" s="10">
        <f t="shared" si="55"/>
        <v>0</v>
      </c>
      <c r="M151" s="10">
        <f t="shared" si="55"/>
        <v>-5190.8134394334629</v>
      </c>
      <c r="N151" s="10">
        <f t="shared" si="55"/>
        <v>-16412.224565625191</v>
      </c>
      <c r="O151" s="10">
        <f t="shared" si="55"/>
        <v>17851.537943749805</v>
      </c>
      <c r="P151" s="10">
        <f t="shared" si="53"/>
        <v>-86966.006868230063</v>
      </c>
      <c r="Q151" s="10"/>
    </row>
    <row r="152" spans="2:18" s="9" customFormat="1" ht="12.75" customHeight="1" x14ac:dyDescent="0.2">
      <c r="B152" s="2" t="s">
        <v>9</v>
      </c>
      <c r="C152" s="21" t="s">
        <v>10</v>
      </c>
      <c r="D152" s="10">
        <f t="shared" ref="D152:O152" si="56">D120-D24</f>
        <v>-35975.298539250158</v>
      </c>
      <c r="E152" s="10">
        <f t="shared" si="56"/>
        <v>1576.1244765000883</v>
      </c>
      <c r="F152" s="10">
        <f t="shared" si="56"/>
        <v>-8059.4741867501289</v>
      </c>
      <c r="G152" s="10">
        <f t="shared" si="56"/>
        <v>-14316.392443499994</v>
      </c>
      <c r="H152" s="10">
        <f t="shared" si="56"/>
        <v>-19533.555132000009</v>
      </c>
      <c r="I152" s="10">
        <f t="shared" si="56"/>
        <v>0</v>
      </c>
      <c r="J152" s="10">
        <f t="shared" si="56"/>
        <v>0</v>
      </c>
      <c r="K152" s="10">
        <f t="shared" si="56"/>
        <v>0</v>
      </c>
      <c r="L152" s="10">
        <f t="shared" si="56"/>
        <v>0</v>
      </c>
      <c r="M152" s="10">
        <f t="shared" si="56"/>
        <v>-3687.7440833332948</v>
      </c>
      <c r="N152" s="10">
        <f t="shared" si="56"/>
        <v>-12545.341911667027</v>
      </c>
      <c r="O152" s="10">
        <f t="shared" si="56"/>
        <v>14554.344799333136</v>
      </c>
      <c r="P152" s="10">
        <f t="shared" si="53"/>
        <v>-77987.337020667386</v>
      </c>
      <c r="Q152" s="10"/>
    </row>
    <row r="153" spans="2:18" s="9" customFormat="1" ht="12.75" customHeight="1" x14ac:dyDescent="0.2">
      <c r="B153" s="2" t="s">
        <v>12</v>
      </c>
      <c r="C153" s="21" t="s">
        <v>13</v>
      </c>
      <c r="D153" s="10">
        <f t="shared" ref="D153:O153" si="57">D121-D26</f>
        <v>-141899.5533375002</v>
      </c>
      <c r="E153" s="10">
        <f t="shared" si="57"/>
        <v>14136.254545000149</v>
      </c>
      <c r="F153" s="10">
        <f t="shared" si="57"/>
        <v>-50019.765121667646</v>
      </c>
      <c r="G153" s="10">
        <f t="shared" si="57"/>
        <v>-108841.59180416586</v>
      </c>
      <c r="H153" s="10">
        <f t="shared" si="57"/>
        <v>-154551.52997666597</v>
      </c>
      <c r="I153" s="10">
        <f t="shared" si="57"/>
        <v>-57831.290154167218</v>
      </c>
      <c r="J153" s="10">
        <f t="shared" si="57"/>
        <v>0</v>
      </c>
      <c r="K153" s="10">
        <f t="shared" si="57"/>
        <v>0</v>
      </c>
      <c r="L153" s="10">
        <f t="shared" si="57"/>
        <v>0</v>
      </c>
      <c r="M153" s="10">
        <f t="shared" si="57"/>
        <v>-23063.670735000633</v>
      </c>
      <c r="N153" s="10">
        <f t="shared" si="57"/>
        <v>-84968.073566250969</v>
      </c>
      <c r="O153" s="10">
        <f t="shared" si="57"/>
        <v>113057.73293499893</v>
      </c>
      <c r="P153" s="10">
        <f t="shared" si="53"/>
        <v>-493981.48721541942</v>
      </c>
      <c r="Q153" s="10"/>
    </row>
    <row r="154" spans="2:18" s="9" customFormat="1" ht="12.75" customHeight="1" x14ac:dyDescent="0.2">
      <c r="B154" s="9" t="s">
        <v>8</v>
      </c>
      <c r="C154" s="9">
        <v>85</v>
      </c>
      <c r="D154" s="10">
        <f t="shared" ref="D154:O154" si="58">D122-D14</f>
        <v>-110363.75654850015</v>
      </c>
      <c r="E154" s="10">
        <f t="shared" si="58"/>
        <v>7016.5234880002681</v>
      </c>
      <c r="F154" s="10">
        <f t="shared" si="58"/>
        <v>-26801.416737333871</v>
      </c>
      <c r="G154" s="10">
        <f t="shared" si="58"/>
        <v>-56161.175802332815</v>
      </c>
      <c r="H154" s="10">
        <f t="shared" si="58"/>
        <v>-84685.313255832996</v>
      </c>
      <c r="I154" s="10">
        <f t="shared" si="58"/>
        <v>0</v>
      </c>
      <c r="J154" s="10">
        <f t="shared" si="58"/>
        <v>0</v>
      </c>
      <c r="K154" s="10">
        <f t="shared" si="58"/>
        <v>0</v>
      </c>
      <c r="L154" s="10">
        <f t="shared" si="58"/>
        <v>0</v>
      </c>
      <c r="M154" s="10">
        <f t="shared" si="58"/>
        <v>-13148.886517000385</v>
      </c>
      <c r="N154" s="10">
        <f t="shared" si="58"/>
        <v>-47066.272492417134</v>
      </c>
      <c r="O154" s="10">
        <f t="shared" si="58"/>
        <v>55863.978362999391</v>
      </c>
      <c r="P154" s="10">
        <f t="shared" si="53"/>
        <v>-275346.3195024177</v>
      </c>
      <c r="Q154" s="10"/>
    </row>
    <row r="155" spans="2:18" s="9" customFormat="1" ht="12.75" customHeight="1" x14ac:dyDescent="0.2">
      <c r="B155" s="9" t="s">
        <v>33</v>
      </c>
      <c r="C155" s="9">
        <v>86</v>
      </c>
      <c r="D155" s="10">
        <f t="shared" ref="D155:O155" si="59">D123-D15</f>
        <v>-50372.332203375059</v>
      </c>
      <c r="E155" s="10">
        <f t="shared" si="59"/>
        <v>3276.8159382500453</v>
      </c>
      <c r="F155" s="10">
        <f t="shared" si="59"/>
        <v>-12256.561184875201</v>
      </c>
      <c r="G155" s="10">
        <f t="shared" si="59"/>
        <v>-26781.020964958065</v>
      </c>
      <c r="H155" s="10">
        <f t="shared" si="59"/>
        <v>-34394.848809499817</v>
      </c>
      <c r="I155" s="10">
        <f t="shared" si="59"/>
        <v>0</v>
      </c>
      <c r="J155" s="10">
        <f t="shared" si="59"/>
        <v>0</v>
      </c>
      <c r="K155" s="10">
        <f t="shared" si="59"/>
        <v>0</v>
      </c>
      <c r="L155" s="10">
        <f t="shared" si="59"/>
        <v>0</v>
      </c>
      <c r="M155" s="10">
        <f t="shared" si="59"/>
        <v>-4928.9689495334751</v>
      </c>
      <c r="N155" s="10">
        <f t="shared" si="59"/>
        <v>-18925.834707916831</v>
      </c>
      <c r="O155" s="10">
        <f t="shared" si="59"/>
        <v>21017.575577699812</v>
      </c>
      <c r="P155" s="10">
        <f t="shared" si="53"/>
        <v>-123365.17530420859</v>
      </c>
      <c r="Q155" s="10"/>
    </row>
    <row r="156" spans="2:18" s="9" customFormat="1" ht="12.75" customHeight="1" x14ac:dyDescent="0.2">
      <c r="B156" s="9" t="s">
        <v>11</v>
      </c>
      <c r="C156" s="9">
        <v>87</v>
      </c>
      <c r="D156" s="10">
        <f t="shared" ref="D156:O156" si="60">D124-D16</f>
        <v>-115183.5104700001</v>
      </c>
      <c r="E156" s="10">
        <f t="shared" si="60"/>
        <v>7965.1680300000589</v>
      </c>
      <c r="F156" s="10">
        <f t="shared" si="60"/>
        <v>-28004.573665000498</v>
      </c>
      <c r="G156" s="10">
        <f t="shared" si="60"/>
        <v>-61922.867713332642</v>
      </c>
      <c r="H156" s="10">
        <f t="shared" si="60"/>
        <v>-77974.035129999742</v>
      </c>
      <c r="I156" s="10">
        <f t="shared" si="60"/>
        <v>0</v>
      </c>
      <c r="J156" s="10">
        <f t="shared" si="60"/>
        <v>0</v>
      </c>
      <c r="K156" s="10">
        <f t="shared" si="60"/>
        <v>0</v>
      </c>
      <c r="L156" s="10">
        <f t="shared" si="60"/>
        <v>0</v>
      </c>
      <c r="M156" s="10">
        <f t="shared" si="60"/>
        <v>-12467.093300000299</v>
      </c>
      <c r="N156" s="10">
        <f t="shared" si="60"/>
        <v>-48083.628778333776</v>
      </c>
      <c r="O156" s="10">
        <f t="shared" si="60"/>
        <v>46083.888209999539</v>
      </c>
      <c r="P156" s="10">
        <f t="shared" si="53"/>
        <v>-289586.65281666745</v>
      </c>
      <c r="Q156" s="10"/>
    </row>
    <row r="157" spans="2:18" s="9" customFormat="1" ht="12.75" customHeight="1" x14ac:dyDescent="0.2">
      <c r="B157" s="9" t="s">
        <v>35</v>
      </c>
      <c r="C157" s="9">
        <v>31</v>
      </c>
      <c r="D157" s="10">
        <f t="shared" ref="D157:O157" si="61">D125-D17</f>
        <v>-163892.62638787483</v>
      </c>
      <c r="E157" s="10">
        <f t="shared" si="61"/>
        <v>10830.263923200313</v>
      </c>
      <c r="F157" s="10">
        <f t="shared" si="61"/>
        <v>-37700.535669784062</v>
      </c>
      <c r="G157" s="10">
        <f t="shared" si="61"/>
        <v>-72789.797173332772</v>
      </c>
      <c r="H157" s="10">
        <f t="shared" si="61"/>
        <v>-81613.315846699523</v>
      </c>
      <c r="I157" s="10">
        <f t="shared" si="61"/>
        <v>-25178.447941725142</v>
      </c>
      <c r="J157" s="10">
        <f t="shared" si="61"/>
        <v>0</v>
      </c>
      <c r="K157" s="10">
        <f t="shared" si="61"/>
        <v>0</v>
      </c>
      <c r="L157" s="10">
        <f t="shared" si="61"/>
        <v>-21844.589896674966</v>
      </c>
      <c r="M157" s="10">
        <f t="shared" si="61"/>
        <v>-15687.827675000532</v>
      </c>
      <c r="N157" s="10">
        <f t="shared" si="61"/>
        <v>-68337.016599417315</v>
      </c>
      <c r="O157" s="10">
        <f t="shared" si="61"/>
        <v>79461.393988049356</v>
      </c>
      <c r="P157" s="10">
        <f t="shared" si="53"/>
        <v>-396752.49927925947</v>
      </c>
      <c r="Q157" s="10"/>
    </row>
    <row r="158" spans="2:18" s="9" customFormat="1" ht="12.75" customHeight="1" x14ac:dyDescent="0.2">
      <c r="B158" s="9" t="s">
        <v>36</v>
      </c>
      <c r="C158" s="9">
        <v>41</v>
      </c>
      <c r="D158" s="10">
        <f t="shared" ref="D158:O158" si="62">D126-D18</f>
        <v>-27862.180132499896</v>
      </c>
      <c r="E158" s="10">
        <f t="shared" si="62"/>
        <v>1860.2619698999915</v>
      </c>
      <c r="F158" s="10">
        <f t="shared" si="62"/>
        <v>-7436.01025998767</v>
      </c>
      <c r="G158" s="10">
        <f t="shared" si="62"/>
        <v>-13228.1034153332</v>
      </c>
      <c r="H158" s="10">
        <f t="shared" si="62"/>
        <v>-20526.532595166471</v>
      </c>
      <c r="I158" s="10">
        <f t="shared" si="62"/>
        <v>0</v>
      </c>
      <c r="J158" s="10">
        <f t="shared" si="62"/>
        <v>0</v>
      </c>
      <c r="K158" s="10">
        <f t="shared" si="62"/>
        <v>0</v>
      </c>
      <c r="L158" s="10">
        <f t="shared" si="62"/>
        <v>0</v>
      </c>
      <c r="M158" s="10">
        <f t="shared" si="62"/>
        <v>-3502.3734222834464</v>
      </c>
      <c r="N158" s="10">
        <f t="shared" si="62"/>
        <v>-13035.074760125019</v>
      </c>
      <c r="O158" s="10">
        <f t="shared" si="62"/>
        <v>13306.29438526649</v>
      </c>
      <c r="P158" s="10">
        <f t="shared" si="53"/>
        <v>-70423.71823022922</v>
      </c>
      <c r="Q158" s="10"/>
    </row>
    <row r="159" spans="2:18" s="11" customFormat="1" ht="12.75" customHeight="1" x14ac:dyDescent="0.25">
      <c r="B159" s="11" t="s">
        <v>14</v>
      </c>
      <c r="C159" s="38" t="s">
        <v>15</v>
      </c>
      <c r="D159" s="13">
        <f>D127-D32</f>
        <v>-195425.05216499791</v>
      </c>
      <c r="E159" s="13">
        <f t="shared" ref="E159:O159" si="63">E127-E32</f>
        <v>14001.13802250009</v>
      </c>
      <c r="F159" s="13">
        <f t="shared" si="63"/>
        <v>-47517.053895000834</v>
      </c>
      <c r="G159" s="13">
        <f t="shared" si="63"/>
        <v>-102209.79431249946</v>
      </c>
      <c r="H159" s="13">
        <f t="shared" si="63"/>
        <v>-124724.68521749927</v>
      </c>
      <c r="I159" s="13">
        <f t="shared" si="63"/>
        <v>0</v>
      </c>
      <c r="J159" s="13">
        <f t="shared" si="63"/>
        <v>0</v>
      </c>
      <c r="K159" s="13">
        <f t="shared" si="63"/>
        <v>0</v>
      </c>
      <c r="L159" s="13">
        <f t="shared" si="63"/>
        <v>0</v>
      </c>
      <c r="M159" s="13">
        <f t="shared" si="63"/>
        <v>-24540.71925000078</v>
      </c>
      <c r="N159" s="13">
        <f t="shared" si="63"/>
        <v>-89572.501522500999</v>
      </c>
      <c r="O159" s="13">
        <f t="shared" si="63"/>
        <v>96835.093004998984</v>
      </c>
      <c r="P159" s="30">
        <f t="shared" si="53"/>
        <v>-473153.57533500018</v>
      </c>
      <c r="Q159" s="13"/>
    </row>
    <row r="160" spans="2:18" s="9" customFormat="1" ht="12.75" customHeight="1" x14ac:dyDescent="0.2">
      <c r="B160" s="9" t="s">
        <v>76</v>
      </c>
      <c r="C160" s="25"/>
      <c r="D160" s="31">
        <f t="shared" ref="D160:O160" si="64">SUM(D148:D159)</f>
        <v>-11726350.114462201</v>
      </c>
      <c r="E160" s="31">
        <f t="shared" si="64"/>
        <v>771791.30381463643</v>
      </c>
      <c r="F160" s="31">
        <f t="shared" si="64"/>
        <v>-2656585.4550407906</v>
      </c>
      <c r="G160" s="31">
        <f t="shared" si="64"/>
        <v>-5260216.7522637025</v>
      </c>
      <c r="H160" s="31">
        <f t="shared" si="64"/>
        <v>-6372212.3502311464</v>
      </c>
      <c r="I160" s="31">
        <f t="shared" si="64"/>
        <v>-2036543.0952171774</v>
      </c>
      <c r="J160" s="31">
        <f t="shared" si="64"/>
        <v>0</v>
      </c>
      <c r="K160" s="31">
        <f t="shared" si="64"/>
        <v>0</v>
      </c>
      <c r="L160" s="31">
        <f t="shared" si="64"/>
        <v>-1262432.9853815732</v>
      </c>
      <c r="M160" s="31">
        <f t="shared" si="64"/>
        <v>-1238233.493836005</v>
      </c>
      <c r="N160" s="31">
        <f t="shared" si="64"/>
        <v>-5148136.5125967152</v>
      </c>
      <c r="O160" s="31">
        <f t="shared" si="64"/>
        <v>5843041.5554733602</v>
      </c>
      <c r="P160" s="10">
        <f t="shared" si="53"/>
        <v>-29085877.899741311</v>
      </c>
      <c r="Q160" s="13"/>
    </row>
    <row r="161" spans="2:17" s="9" customFormat="1" ht="12.75" customHeight="1" x14ac:dyDescent="0.2">
      <c r="B161" s="9" t="s">
        <v>77</v>
      </c>
      <c r="C161" s="25"/>
      <c r="D161" s="41">
        <f t="shared" ref="D161:I161" si="65">IFERROR(D160/D33,0)</f>
        <v>-6.6349120831375188E-2</v>
      </c>
      <c r="E161" s="41">
        <f t="shared" si="65"/>
        <v>5.8660551235026588E-3</v>
      </c>
      <c r="F161" s="41">
        <f t="shared" si="65"/>
        <v>-1.8970556612069818E-2</v>
      </c>
      <c r="G161" s="41">
        <f t="shared" si="65"/>
        <v>-5.3727471653260042E-2</v>
      </c>
      <c r="H161" s="41">
        <f t="shared" si="65"/>
        <v>-8.3652254289091441E-2</v>
      </c>
      <c r="I161" s="41">
        <f t="shared" si="65"/>
        <v>-3.289890061029957E-2</v>
      </c>
      <c r="J161" s="41">
        <f>IFERROR(J160/J33,0)</f>
        <v>0</v>
      </c>
      <c r="K161" s="41">
        <f t="shared" ref="K161:P161" si="66">IFERROR(K160/K33,0)</f>
        <v>0</v>
      </c>
      <c r="L161" s="41">
        <f t="shared" si="66"/>
        <v>-2.6784686276543655E-2</v>
      </c>
      <c r="M161" s="41">
        <f t="shared" si="66"/>
        <v>-1.5863927036511065E-2</v>
      </c>
      <c r="N161" s="41">
        <f t="shared" si="66"/>
        <v>-3.8218113125325207E-2</v>
      </c>
      <c r="O161" s="41">
        <f t="shared" si="66"/>
        <v>4.4220450387395763E-2</v>
      </c>
      <c r="P161" s="41">
        <f t="shared" si="66"/>
        <v>-2.4972374723998176E-2</v>
      </c>
      <c r="Q161" s="50"/>
    </row>
    <row r="162" spans="2:17" s="9" customFormat="1" ht="12.75" customHeight="1" x14ac:dyDescent="0.2">
      <c r="C162" s="25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ht="12.75" customHeight="1" x14ac:dyDescent="0.2">
      <c r="B163" s="8" t="s">
        <v>78</v>
      </c>
      <c r="C163" s="21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2:17" ht="12.75" customHeight="1" x14ac:dyDescent="0.2">
      <c r="B164" s="51" t="s">
        <v>79</v>
      </c>
      <c r="C164" s="21"/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2">
        <f t="shared" ref="P164:P178" si="67">SUM(D164:O164)</f>
        <v>0</v>
      </c>
      <c r="Q164" s="32"/>
    </row>
    <row r="165" spans="2:17" ht="12.75" customHeight="1" x14ac:dyDescent="0.2">
      <c r="B165" s="51" t="s">
        <v>80</v>
      </c>
      <c r="C165" s="21"/>
      <c r="D165" s="39">
        <f>D148</f>
        <v>-8097032.8427530527</v>
      </c>
      <c r="E165" s="39">
        <f t="shared" ref="E165:O165" si="68">E148</f>
        <v>529737.12209160626</v>
      </c>
      <c r="F165" s="39">
        <f t="shared" si="68"/>
        <v>-1808884.0820201933</v>
      </c>
      <c r="G165" s="39">
        <f t="shared" si="68"/>
        <v>-3605428.7025479749</v>
      </c>
      <c r="H165" s="39">
        <f t="shared" si="68"/>
        <v>-4449524.6842643619</v>
      </c>
      <c r="I165" s="39">
        <f t="shared" si="68"/>
        <v>-1817320.0773890838</v>
      </c>
      <c r="J165" s="39">
        <f t="shared" si="68"/>
        <v>0</v>
      </c>
      <c r="K165" s="39">
        <f t="shared" si="68"/>
        <v>0</v>
      </c>
      <c r="L165" s="39">
        <f t="shared" si="68"/>
        <v>-1240588.3954848982</v>
      </c>
      <c r="M165" s="39">
        <f t="shared" si="68"/>
        <v>-884407.0542736277</v>
      </c>
      <c r="N165" s="39">
        <f t="shared" si="68"/>
        <v>-3609954.9823273942</v>
      </c>
      <c r="O165" s="39">
        <f t="shared" si="68"/>
        <v>4029478.2375357598</v>
      </c>
      <c r="P165" s="32">
        <f t="shared" si="67"/>
        <v>-20953925.461433221</v>
      </c>
      <c r="Q165" s="32"/>
    </row>
    <row r="166" spans="2:17" ht="12.75" customHeight="1" x14ac:dyDescent="0.2">
      <c r="B166" s="52" t="s">
        <v>81</v>
      </c>
      <c r="C166" s="21"/>
      <c r="D166" s="39">
        <f>D149+D157</f>
        <v>-2436195.5818719743</v>
      </c>
      <c r="E166" s="39">
        <f t="shared" ref="E166:O167" si="69">E149+E157</f>
        <v>158147.01134030381</v>
      </c>
      <c r="F166" s="39">
        <f t="shared" si="69"/>
        <v>-541974.02188921254</v>
      </c>
      <c r="G166" s="39">
        <f t="shared" si="69"/>
        <v>-1008152.9739062007</v>
      </c>
      <c r="H166" s="39">
        <f t="shared" si="69"/>
        <v>-1046126.7291411713</v>
      </c>
      <c r="I166" s="39">
        <f t="shared" si="69"/>
        <v>-25178.447941725142</v>
      </c>
      <c r="J166" s="39">
        <f t="shared" si="69"/>
        <v>0</v>
      </c>
      <c r="K166" s="39">
        <f t="shared" si="69"/>
        <v>0</v>
      </c>
      <c r="L166" s="39">
        <f t="shared" si="69"/>
        <v>-21844.589896674966</v>
      </c>
      <c r="M166" s="39">
        <f t="shared" si="69"/>
        <v>-213638.19600378978</v>
      </c>
      <c r="N166" s="39">
        <f t="shared" si="69"/>
        <v>-997836.98400108202</v>
      </c>
      <c r="O166" s="39">
        <f t="shared" si="69"/>
        <v>1194203.157283223</v>
      </c>
      <c r="P166" s="32">
        <f t="shared" si="67"/>
        <v>-4938597.3560283044</v>
      </c>
      <c r="Q166" s="32"/>
    </row>
    <row r="167" spans="2:17" ht="12.75" customHeight="1" x14ac:dyDescent="0.2">
      <c r="B167" s="51" t="s">
        <v>82</v>
      </c>
      <c r="C167" s="21"/>
      <c r="D167" s="39">
        <f>D150+D158</f>
        <v>-507140.05255042482</v>
      </c>
      <c r="E167" s="39">
        <f t="shared" si="69"/>
        <v>33845.137313100742</v>
      </c>
      <c r="F167" s="39">
        <f t="shared" si="69"/>
        <v>-122696.22403736028</v>
      </c>
      <c r="G167" s="39">
        <f t="shared" si="69"/>
        <v>-258439.4774216651</v>
      </c>
      <c r="H167" s="39">
        <f t="shared" si="69"/>
        <v>-360489.62560141506</v>
      </c>
      <c r="I167" s="39">
        <f t="shared" si="69"/>
        <v>-136213.27973220125</v>
      </c>
      <c r="J167" s="39">
        <f t="shared" si="69"/>
        <v>0</v>
      </c>
      <c r="K167" s="39">
        <f t="shared" si="69"/>
        <v>0</v>
      </c>
      <c r="L167" s="39">
        <f t="shared" si="69"/>
        <v>0</v>
      </c>
      <c r="M167" s="39">
        <f t="shared" si="69"/>
        <v>-53160.347284285119</v>
      </c>
      <c r="N167" s="39">
        <f t="shared" si="69"/>
        <v>-222770.66872352641</v>
      </c>
      <c r="O167" s="39">
        <f t="shared" si="69"/>
        <v>254096.00982059818</v>
      </c>
      <c r="P167" s="32">
        <f t="shared" si="67"/>
        <v>-1372968.528217179</v>
      </c>
      <c r="Q167" s="32"/>
    </row>
    <row r="168" spans="2:17" ht="12.75" customHeight="1" x14ac:dyDescent="0.2">
      <c r="B168" s="51" t="s">
        <v>83</v>
      </c>
      <c r="C168" s="21"/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2">
        <f t="shared" si="67"/>
        <v>0</v>
      </c>
      <c r="Q168" s="32"/>
    </row>
    <row r="169" spans="2:17" ht="12.75" customHeight="1" x14ac:dyDescent="0.2">
      <c r="B169" s="51" t="s">
        <v>84</v>
      </c>
      <c r="C169" s="21"/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2">
        <f t="shared" si="67"/>
        <v>0</v>
      </c>
      <c r="Q169" s="32"/>
    </row>
    <row r="170" spans="2:17" ht="12.75" customHeight="1" x14ac:dyDescent="0.2">
      <c r="B170" s="51" t="s">
        <v>85</v>
      </c>
      <c r="C170" s="21"/>
      <c r="D170" s="39">
        <f>D154</f>
        <v>-110363.75654850015</v>
      </c>
      <c r="E170" s="39">
        <f t="shared" ref="E170:O172" si="70">E154</f>
        <v>7016.5234880002681</v>
      </c>
      <c r="F170" s="39">
        <f t="shared" si="70"/>
        <v>-26801.416737333871</v>
      </c>
      <c r="G170" s="39">
        <f t="shared" si="70"/>
        <v>-56161.175802332815</v>
      </c>
      <c r="H170" s="39">
        <f t="shared" si="70"/>
        <v>-84685.313255832996</v>
      </c>
      <c r="I170" s="39">
        <f t="shared" si="70"/>
        <v>0</v>
      </c>
      <c r="J170" s="39">
        <f t="shared" si="70"/>
        <v>0</v>
      </c>
      <c r="K170" s="39">
        <f t="shared" si="70"/>
        <v>0</v>
      </c>
      <c r="L170" s="39">
        <f t="shared" si="70"/>
        <v>0</v>
      </c>
      <c r="M170" s="39">
        <f t="shared" si="70"/>
        <v>-13148.886517000385</v>
      </c>
      <c r="N170" s="39">
        <f t="shared" si="70"/>
        <v>-47066.272492417134</v>
      </c>
      <c r="O170" s="39">
        <f t="shared" si="70"/>
        <v>55863.978362999391</v>
      </c>
      <c r="P170" s="32">
        <f t="shared" si="67"/>
        <v>-275346.3195024177</v>
      </c>
      <c r="Q170" s="32"/>
    </row>
    <row r="171" spans="2:17" ht="12.75" customHeight="1" x14ac:dyDescent="0.2">
      <c r="B171" s="51" t="s">
        <v>86</v>
      </c>
      <c r="C171" s="21"/>
      <c r="D171" s="39">
        <f>D155</f>
        <v>-50372.332203375059</v>
      </c>
      <c r="E171" s="39">
        <f t="shared" si="70"/>
        <v>3276.8159382500453</v>
      </c>
      <c r="F171" s="39">
        <f t="shared" si="70"/>
        <v>-12256.561184875201</v>
      </c>
      <c r="G171" s="39">
        <f t="shared" si="70"/>
        <v>-26781.020964958065</v>
      </c>
      <c r="H171" s="39">
        <f t="shared" si="70"/>
        <v>-34394.848809499817</v>
      </c>
      <c r="I171" s="39">
        <f t="shared" si="70"/>
        <v>0</v>
      </c>
      <c r="J171" s="39">
        <f t="shared" si="70"/>
        <v>0</v>
      </c>
      <c r="K171" s="39">
        <f t="shared" si="70"/>
        <v>0</v>
      </c>
      <c r="L171" s="39">
        <f t="shared" si="70"/>
        <v>0</v>
      </c>
      <c r="M171" s="39">
        <f t="shared" si="70"/>
        <v>-4928.9689495334751</v>
      </c>
      <c r="N171" s="39">
        <f t="shared" si="70"/>
        <v>-18925.834707916831</v>
      </c>
      <c r="O171" s="39">
        <f t="shared" si="70"/>
        <v>21017.575577699812</v>
      </c>
      <c r="P171" s="32">
        <f t="shared" si="67"/>
        <v>-123365.17530420859</v>
      </c>
      <c r="Q171" s="32"/>
    </row>
    <row r="172" spans="2:17" ht="12.75" customHeight="1" x14ac:dyDescent="0.2">
      <c r="B172" s="51" t="s">
        <v>87</v>
      </c>
      <c r="C172" s="21"/>
      <c r="D172" s="39">
        <f>D156</f>
        <v>-115183.5104700001</v>
      </c>
      <c r="E172" s="39">
        <f t="shared" si="70"/>
        <v>7965.1680300000589</v>
      </c>
      <c r="F172" s="39">
        <f t="shared" si="70"/>
        <v>-28004.573665000498</v>
      </c>
      <c r="G172" s="39">
        <f t="shared" si="70"/>
        <v>-61922.867713332642</v>
      </c>
      <c r="H172" s="39">
        <f t="shared" si="70"/>
        <v>-77974.035129999742</v>
      </c>
      <c r="I172" s="39">
        <f t="shared" si="70"/>
        <v>0</v>
      </c>
      <c r="J172" s="39">
        <f t="shared" si="70"/>
        <v>0</v>
      </c>
      <c r="K172" s="39">
        <f t="shared" si="70"/>
        <v>0</v>
      </c>
      <c r="L172" s="39">
        <f t="shared" si="70"/>
        <v>0</v>
      </c>
      <c r="M172" s="39">
        <f t="shared" si="70"/>
        <v>-12467.093300000299</v>
      </c>
      <c r="N172" s="39">
        <f t="shared" si="70"/>
        <v>-48083.628778333776</v>
      </c>
      <c r="O172" s="39">
        <f t="shared" si="70"/>
        <v>46083.888209999539</v>
      </c>
      <c r="P172" s="32">
        <f t="shared" si="67"/>
        <v>-289586.65281666745</v>
      </c>
      <c r="Q172" s="32"/>
    </row>
    <row r="173" spans="2:17" ht="12.75" customHeight="1" x14ac:dyDescent="0.2">
      <c r="B173" s="2" t="s">
        <v>88</v>
      </c>
      <c r="C173" s="21"/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2">
        <f t="shared" si="67"/>
        <v>0</v>
      </c>
      <c r="Q173" s="32"/>
    </row>
    <row r="174" spans="2:17" ht="12.75" customHeight="1" x14ac:dyDescent="0.2">
      <c r="B174" s="2" t="s">
        <v>89</v>
      </c>
      <c r="C174" s="21"/>
      <c r="D174" s="39">
        <f>D151</f>
        <v>-36762.134023125051</v>
      </c>
      <c r="E174" s="39">
        <f t="shared" ref="E174:O175" si="71">E151</f>
        <v>2090.0085693749133</v>
      </c>
      <c r="F174" s="39">
        <f t="shared" si="71"/>
        <v>-10372.282303396147</v>
      </c>
      <c r="G174" s="39">
        <f t="shared" si="71"/>
        <v>-17962.755347074941</v>
      </c>
      <c r="H174" s="39">
        <f t="shared" si="71"/>
        <v>-20207.343702699989</v>
      </c>
      <c r="I174" s="39">
        <f t="shared" si="71"/>
        <v>0</v>
      </c>
      <c r="J174" s="39">
        <f t="shared" si="71"/>
        <v>0</v>
      </c>
      <c r="K174" s="39">
        <f t="shared" si="71"/>
        <v>0</v>
      </c>
      <c r="L174" s="39">
        <f t="shared" si="71"/>
        <v>0</v>
      </c>
      <c r="M174" s="39">
        <f t="shared" si="71"/>
        <v>-5190.8134394334629</v>
      </c>
      <c r="N174" s="39">
        <f t="shared" si="71"/>
        <v>-16412.224565625191</v>
      </c>
      <c r="O174" s="39">
        <f t="shared" si="71"/>
        <v>17851.537943749805</v>
      </c>
      <c r="P174" s="32">
        <f t="shared" si="67"/>
        <v>-86966.006868230063</v>
      </c>
      <c r="Q174" s="32"/>
    </row>
    <row r="175" spans="2:17" ht="12.75" customHeight="1" x14ac:dyDescent="0.2">
      <c r="B175" s="2" t="s">
        <v>90</v>
      </c>
      <c r="C175" s="21"/>
      <c r="D175" s="39">
        <f>D152</f>
        <v>-35975.298539250158</v>
      </c>
      <c r="E175" s="39">
        <f t="shared" si="71"/>
        <v>1576.1244765000883</v>
      </c>
      <c r="F175" s="39">
        <f t="shared" si="71"/>
        <v>-8059.4741867501289</v>
      </c>
      <c r="G175" s="39">
        <f t="shared" si="71"/>
        <v>-14316.392443499994</v>
      </c>
      <c r="H175" s="39">
        <f t="shared" si="71"/>
        <v>-19533.555132000009</v>
      </c>
      <c r="I175" s="39">
        <f t="shared" si="71"/>
        <v>0</v>
      </c>
      <c r="J175" s="39">
        <f t="shared" si="71"/>
        <v>0</v>
      </c>
      <c r="K175" s="39">
        <f t="shared" si="71"/>
        <v>0</v>
      </c>
      <c r="L175" s="39">
        <f t="shared" si="71"/>
        <v>0</v>
      </c>
      <c r="M175" s="39">
        <f t="shared" si="71"/>
        <v>-3687.7440833332948</v>
      </c>
      <c r="N175" s="39">
        <f t="shared" si="71"/>
        <v>-12545.341911667027</v>
      </c>
      <c r="O175" s="39">
        <f t="shared" si="71"/>
        <v>14554.344799333136</v>
      </c>
      <c r="P175" s="32">
        <f t="shared" si="67"/>
        <v>-77987.337020667386</v>
      </c>
      <c r="Q175" s="32"/>
    </row>
    <row r="176" spans="2:17" ht="12.75" customHeight="1" x14ac:dyDescent="0.2">
      <c r="B176" s="9" t="s">
        <v>91</v>
      </c>
      <c r="C176" s="21"/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2">
        <f t="shared" si="67"/>
        <v>0</v>
      </c>
      <c r="Q176" s="32"/>
    </row>
    <row r="177" spans="2:17" ht="12.75" customHeight="1" x14ac:dyDescent="0.2">
      <c r="B177" s="2" t="s">
        <v>92</v>
      </c>
      <c r="C177" s="21"/>
      <c r="D177" s="39">
        <f>D153</f>
        <v>-141899.5533375002</v>
      </c>
      <c r="E177" s="39">
        <f t="shared" ref="E177:O177" si="72">E153</f>
        <v>14136.254545000149</v>
      </c>
      <c r="F177" s="39">
        <f t="shared" si="72"/>
        <v>-50019.765121667646</v>
      </c>
      <c r="G177" s="39">
        <f t="shared" si="72"/>
        <v>-108841.59180416586</v>
      </c>
      <c r="H177" s="39">
        <f t="shared" si="72"/>
        <v>-154551.52997666597</v>
      </c>
      <c r="I177" s="39">
        <f t="shared" si="72"/>
        <v>-57831.290154167218</v>
      </c>
      <c r="J177" s="39">
        <f t="shared" si="72"/>
        <v>0</v>
      </c>
      <c r="K177" s="39">
        <f t="shared" si="72"/>
        <v>0</v>
      </c>
      <c r="L177" s="39">
        <f t="shared" si="72"/>
        <v>0</v>
      </c>
      <c r="M177" s="39">
        <f t="shared" si="72"/>
        <v>-23063.670735000633</v>
      </c>
      <c r="N177" s="39">
        <f t="shared" si="72"/>
        <v>-84968.073566250969</v>
      </c>
      <c r="O177" s="39">
        <f t="shared" si="72"/>
        <v>113057.73293499893</v>
      </c>
      <c r="P177" s="32">
        <f t="shared" si="67"/>
        <v>-493981.48721541942</v>
      </c>
      <c r="Q177" s="32"/>
    </row>
    <row r="178" spans="2:17" s="40" customFormat="1" ht="12.75" customHeight="1" x14ac:dyDescent="0.2">
      <c r="B178" s="53" t="s">
        <v>93</v>
      </c>
      <c r="C178" s="54"/>
      <c r="D178" s="39">
        <f>D159</f>
        <v>-195425.05216499791</v>
      </c>
      <c r="E178" s="39">
        <f t="shared" ref="E178:O178" si="73">E159</f>
        <v>14001.13802250009</v>
      </c>
      <c r="F178" s="39">
        <f t="shared" si="73"/>
        <v>-47517.053895000834</v>
      </c>
      <c r="G178" s="39">
        <f t="shared" si="73"/>
        <v>-102209.79431249946</v>
      </c>
      <c r="H178" s="39">
        <f t="shared" si="73"/>
        <v>-124724.68521749927</v>
      </c>
      <c r="I178" s="39">
        <f t="shared" si="73"/>
        <v>0</v>
      </c>
      <c r="J178" s="39">
        <f t="shared" si="73"/>
        <v>0</v>
      </c>
      <c r="K178" s="39">
        <f t="shared" si="73"/>
        <v>0</v>
      </c>
      <c r="L178" s="39">
        <f t="shared" si="73"/>
        <v>0</v>
      </c>
      <c r="M178" s="39">
        <f t="shared" si="73"/>
        <v>-24540.71925000078</v>
      </c>
      <c r="N178" s="39">
        <f t="shared" si="73"/>
        <v>-89572.501522500999</v>
      </c>
      <c r="O178" s="39">
        <f t="shared" si="73"/>
        <v>96835.093004998984</v>
      </c>
      <c r="P178" s="39">
        <f t="shared" si="67"/>
        <v>-473153.57533500018</v>
      </c>
      <c r="Q178" s="39"/>
    </row>
    <row r="179" spans="2:17" ht="12.75" customHeight="1" x14ac:dyDescent="0.2">
      <c r="B179" s="51" t="s">
        <v>76</v>
      </c>
      <c r="C179" s="21"/>
      <c r="D179" s="49">
        <f t="shared" ref="D179:P179" si="74">SUM(D164:D178)</f>
        <v>-11726350.114462197</v>
      </c>
      <c r="E179" s="49">
        <f t="shared" si="74"/>
        <v>771791.30381463643</v>
      </c>
      <c r="F179" s="49">
        <f t="shared" si="74"/>
        <v>-2656585.4550407906</v>
      </c>
      <c r="G179" s="49">
        <f t="shared" si="74"/>
        <v>-5260216.7522637043</v>
      </c>
      <c r="H179" s="49">
        <f t="shared" si="74"/>
        <v>-6372212.3502311464</v>
      </c>
      <c r="I179" s="49">
        <f t="shared" si="74"/>
        <v>-2036543.0952171774</v>
      </c>
      <c r="J179" s="49">
        <f t="shared" si="74"/>
        <v>0</v>
      </c>
      <c r="K179" s="49">
        <f t="shared" si="74"/>
        <v>0</v>
      </c>
      <c r="L179" s="49">
        <f t="shared" si="74"/>
        <v>-1262432.9853815732</v>
      </c>
      <c r="M179" s="49">
        <f t="shared" si="74"/>
        <v>-1238233.493836005</v>
      </c>
      <c r="N179" s="49">
        <f t="shared" si="74"/>
        <v>-5148136.5125967143</v>
      </c>
      <c r="O179" s="49">
        <f t="shared" si="74"/>
        <v>5843041.5554733612</v>
      </c>
      <c r="P179" s="49">
        <f t="shared" si="74"/>
        <v>-29085877.899741311</v>
      </c>
      <c r="Q179" s="39"/>
    </row>
    <row r="180" spans="2:17" ht="12.75" customHeight="1" x14ac:dyDescent="0.2">
      <c r="B180" s="55" t="s">
        <v>16</v>
      </c>
      <c r="C180" s="56"/>
      <c r="D180" s="57">
        <f>D160-D179</f>
        <v>0</v>
      </c>
      <c r="E180" s="57">
        <f t="shared" ref="E180:P180" si="75">E160-E179</f>
        <v>0</v>
      </c>
      <c r="F180" s="57">
        <f t="shared" si="75"/>
        <v>0</v>
      </c>
      <c r="G180" s="57">
        <f t="shared" si="75"/>
        <v>0</v>
      </c>
      <c r="H180" s="57">
        <f t="shared" si="75"/>
        <v>0</v>
      </c>
      <c r="I180" s="57">
        <f t="shared" si="75"/>
        <v>0</v>
      </c>
      <c r="J180" s="57">
        <f t="shared" si="75"/>
        <v>0</v>
      </c>
      <c r="K180" s="57">
        <f t="shared" si="75"/>
        <v>0</v>
      </c>
      <c r="L180" s="57">
        <f t="shared" si="75"/>
        <v>0</v>
      </c>
      <c r="M180" s="57">
        <f t="shared" si="75"/>
        <v>0</v>
      </c>
      <c r="N180" s="57">
        <f t="shared" si="75"/>
        <v>0</v>
      </c>
      <c r="O180" s="57">
        <f t="shared" si="75"/>
        <v>0</v>
      </c>
      <c r="P180" s="57">
        <f t="shared" si="75"/>
        <v>0</v>
      </c>
      <c r="Q180" s="39"/>
    </row>
    <row r="181" spans="2:17" ht="12.75" customHeight="1" x14ac:dyDescent="0.2">
      <c r="C181" s="21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2:17" ht="12.75" customHeight="1" x14ac:dyDescent="0.2">
      <c r="B182" s="8" t="s">
        <v>94</v>
      </c>
      <c r="C182" s="21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2:17" ht="12.75" customHeight="1" x14ac:dyDescent="0.2">
      <c r="B183" s="51" t="s">
        <v>79</v>
      </c>
      <c r="C183" s="21"/>
      <c r="D183" s="39">
        <f t="shared" ref="D183:O183" si="76">D130</f>
        <v>513</v>
      </c>
      <c r="E183" s="39">
        <f t="shared" si="76"/>
        <v>513</v>
      </c>
      <c r="F183" s="39">
        <f t="shared" si="76"/>
        <v>513</v>
      </c>
      <c r="G183" s="39">
        <f t="shared" si="76"/>
        <v>513</v>
      </c>
      <c r="H183" s="39">
        <f t="shared" si="76"/>
        <v>513</v>
      </c>
      <c r="I183" s="39">
        <f t="shared" si="76"/>
        <v>513</v>
      </c>
      <c r="J183" s="39">
        <f t="shared" si="76"/>
        <v>513</v>
      </c>
      <c r="K183" s="39">
        <f t="shared" si="76"/>
        <v>513</v>
      </c>
      <c r="L183" s="39">
        <f t="shared" si="76"/>
        <v>513</v>
      </c>
      <c r="M183" s="39">
        <f t="shared" si="76"/>
        <v>513</v>
      </c>
      <c r="N183" s="39">
        <f t="shared" si="76"/>
        <v>513</v>
      </c>
      <c r="O183" s="39">
        <f t="shared" si="76"/>
        <v>513</v>
      </c>
      <c r="P183" s="32">
        <f t="shared" ref="P183:P198" si="77">SUM(D183:O183)</f>
        <v>6156</v>
      </c>
      <c r="Q183" s="32"/>
    </row>
    <row r="184" spans="2:17" ht="12.75" customHeight="1" x14ac:dyDescent="0.2">
      <c r="B184" s="51" t="s">
        <v>80</v>
      </c>
      <c r="C184" s="21"/>
      <c r="D184" s="39">
        <f>D116+D131</f>
        <v>87533376.009726033</v>
      </c>
      <c r="E184" s="39">
        <f t="shared" ref="E184:O184" si="78">E116+E131</f>
        <v>75106347.363732085</v>
      </c>
      <c r="F184" s="39">
        <f t="shared" si="78"/>
        <v>75906330.27997981</v>
      </c>
      <c r="G184" s="39">
        <f t="shared" si="78"/>
        <v>45716412.276464343</v>
      </c>
      <c r="H184" s="39">
        <f t="shared" si="78"/>
        <v>29262292.593980387</v>
      </c>
      <c r="I184" s="39">
        <f t="shared" si="78"/>
        <v>26496165.229610916</v>
      </c>
      <c r="J184" s="39">
        <f t="shared" si="78"/>
        <v>12731446.128610991</v>
      </c>
      <c r="K184" s="39">
        <f t="shared" si="78"/>
        <v>13627113.760545392</v>
      </c>
      <c r="L184" s="39">
        <f t="shared" si="78"/>
        <v>16001685.547508333</v>
      </c>
      <c r="M184" s="39">
        <f t="shared" si="78"/>
        <v>38344334.99795828</v>
      </c>
      <c r="N184" s="39">
        <f t="shared" si="78"/>
        <v>63462736.59884996</v>
      </c>
      <c r="O184" s="39">
        <f t="shared" si="78"/>
        <v>85304664.846041903</v>
      </c>
      <c r="P184" s="32">
        <f t="shared" si="77"/>
        <v>569492905.63300836</v>
      </c>
      <c r="Q184" s="32"/>
    </row>
    <row r="185" spans="2:17" ht="12.75" customHeight="1" x14ac:dyDescent="0.2">
      <c r="B185" s="52" t="s">
        <v>81</v>
      </c>
      <c r="C185" s="21"/>
      <c r="D185" s="39">
        <f t="shared" ref="D185:O186" si="79">D117+D125</f>
        <v>33972584.556457743</v>
      </c>
      <c r="E185" s="39">
        <f t="shared" si="79"/>
        <v>27717269.594925009</v>
      </c>
      <c r="F185" s="39">
        <f t="shared" si="79"/>
        <v>28655194.154110786</v>
      </c>
      <c r="G185" s="39">
        <f t="shared" si="79"/>
        <v>20408484.973938089</v>
      </c>
      <c r="H185" s="39">
        <f t="shared" si="79"/>
        <v>13206945.678287348</v>
      </c>
      <c r="I185" s="39">
        <f t="shared" si="79"/>
        <v>13285497.525058275</v>
      </c>
      <c r="J185" s="39">
        <f t="shared" si="79"/>
        <v>8438226.9363416638</v>
      </c>
      <c r="K185" s="39">
        <f t="shared" si="79"/>
        <v>6740823.5006704256</v>
      </c>
      <c r="L185" s="39">
        <f t="shared" si="79"/>
        <v>10732296.868123727</v>
      </c>
      <c r="M185" s="39">
        <f t="shared" si="79"/>
        <v>14628408.397144945</v>
      </c>
      <c r="N185" s="39">
        <f t="shared" si="79"/>
        <v>23259644.243499964</v>
      </c>
      <c r="O185" s="39">
        <f t="shared" si="79"/>
        <v>32267815.046007417</v>
      </c>
      <c r="P185" s="32">
        <f t="shared" si="77"/>
        <v>233313191.47456542</v>
      </c>
      <c r="Q185" s="32"/>
    </row>
    <row r="186" spans="2:17" ht="12.75" customHeight="1" x14ac:dyDescent="0.2">
      <c r="B186" s="51" t="s">
        <v>82</v>
      </c>
      <c r="C186" s="21"/>
      <c r="D186" s="39">
        <f t="shared" si="79"/>
        <v>8914655.1727054492</v>
      </c>
      <c r="E186" s="39">
        <f t="shared" si="79"/>
        <v>7300962.5043438198</v>
      </c>
      <c r="F186" s="39">
        <f t="shared" si="79"/>
        <v>7577920.7909626393</v>
      </c>
      <c r="G186" s="39">
        <f t="shared" si="79"/>
        <v>5917629.1177664604</v>
      </c>
      <c r="H186" s="39">
        <f t="shared" si="79"/>
        <v>4742000.3311355542</v>
      </c>
      <c r="I186" s="39">
        <f t="shared" si="79"/>
        <v>4925487.8872677991</v>
      </c>
      <c r="J186" s="39">
        <f t="shared" si="79"/>
        <v>4060503.198176953</v>
      </c>
      <c r="K186" s="39">
        <f t="shared" si="79"/>
        <v>3234261.3078577244</v>
      </c>
      <c r="L186" s="39">
        <f t="shared" si="79"/>
        <v>2594038.4521200201</v>
      </c>
      <c r="M186" s="39">
        <f t="shared" si="79"/>
        <v>5325230.6612084806</v>
      </c>
      <c r="N186" s="39">
        <f t="shared" si="79"/>
        <v>6777974.0165591352</v>
      </c>
      <c r="O186" s="39">
        <f t="shared" si="79"/>
        <v>10168731.266994797</v>
      </c>
      <c r="P186" s="32">
        <f t="shared" si="77"/>
        <v>71539394.707098842</v>
      </c>
      <c r="Q186" s="32"/>
    </row>
    <row r="187" spans="2:17" ht="12.75" customHeight="1" x14ac:dyDescent="0.2">
      <c r="B187" s="51" t="s">
        <v>83</v>
      </c>
      <c r="C187" s="21"/>
      <c r="D187" s="39">
        <f t="shared" ref="D187:O187" si="80">D132</f>
        <v>0</v>
      </c>
      <c r="E187" s="39">
        <f t="shared" si="80"/>
        <v>0</v>
      </c>
      <c r="F187" s="39">
        <f t="shared" si="80"/>
        <v>0</v>
      </c>
      <c r="G187" s="39">
        <f t="shared" si="80"/>
        <v>0</v>
      </c>
      <c r="H187" s="39">
        <f t="shared" si="80"/>
        <v>0</v>
      </c>
      <c r="I187" s="39">
        <f t="shared" si="80"/>
        <v>0</v>
      </c>
      <c r="J187" s="39">
        <f t="shared" si="80"/>
        <v>0</v>
      </c>
      <c r="K187" s="39">
        <f t="shared" si="80"/>
        <v>0</v>
      </c>
      <c r="L187" s="39">
        <f t="shared" si="80"/>
        <v>0</v>
      </c>
      <c r="M187" s="39">
        <f t="shared" si="80"/>
        <v>0</v>
      </c>
      <c r="N187" s="39">
        <f t="shared" si="80"/>
        <v>0</v>
      </c>
      <c r="O187" s="39">
        <f t="shared" si="80"/>
        <v>0</v>
      </c>
      <c r="P187" s="32">
        <f t="shared" si="77"/>
        <v>0</v>
      </c>
      <c r="Q187" s="32"/>
    </row>
    <row r="188" spans="2:17" ht="12.75" customHeight="1" x14ac:dyDescent="0.2">
      <c r="B188" s="51" t="s">
        <v>84</v>
      </c>
      <c r="C188" s="21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2">
        <f t="shared" si="77"/>
        <v>0</v>
      </c>
      <c r="Q188" s="32"/>
    </row>
    <row r="189" spans="2:17" s="9" customFormat="1" ht="12.6" customHeight="1" x14ac:dyDescent="0.2">
      <c r="B189" s="158" t="s">
        <v>85</v>
      </c>
      <c r="C189" s="158"/>
      <c r="D189" s="159">
        <f t="shared" ref="D189:O191" si="81">D122+D135</f>
        <v>2309822.7890867828</v>
      </c>
      <c r="E189" s="159">
        <f t="shared" si="81"/>
        <v>1841049.1412883785</v>
      </c>
      <c r="F189" s="159">
        <f t="shared" si="81"/>
        <v>1853350.9962626661</v>
      </c>
      <c r="G189" s="159">
        <f t="shared" si="81"/>
        <v>1801736.1589292833</v>
      </c>
      <c r="H189" s="159">
        <f t="shared" si="81"/>
        <v>1092548.181789367</v>
      </c>
      <c r="I189" s="159">
        <f t="shared" si="81"/>
        <v>1217674.909</v>
      </c>
      <c r="J189" s="159">
        <f t="shared" si="81"/>
        <v>1697427.0627308572</v>
      </c>
      <c r="K189" s="159">
        <f t="shared" si="81"/>
        <v>-31520.914919090283</v>
      </c>
      <c r="L189" s="159">
        <f t="shared" si="81"/>
        <v>1051267.2303299159</v>
      </c>
      <c r="M189" s="159">
        <f t="shared" si="81"/>
        <v>1100859.3936491187</v>
      </c>
      <c r="N189" s="159">
        <f t="shared" si="81"/>
        <v>1648508.222071276</v>
      </c>
      <c r="O189" s="159">
        <f t="shared" si="81"/>
        <v>2455775.7100758115</v>
      </c>
      <c r="P189" s="160">
        <f t="shared" si="77"/>
        <v>18038498.880294368</v>
      </c>
      <c r="Q189" s="10"/>
    </row>
    <row r="190" spans="2:17" ht="12.75" customHeight="1" x14ac:dyDescent="0.2">
      <c r="B190" s="51" t="s">
        <v>86</v>
      </c>
      <c r="C190" s="21"/>
      <c r="D190" s="39">
        <f t="shared" si="81"/>
        <v>747765.85406064836</v>
      </c>
      <c r="E190" s="39">
        <f t="shared" si="81"/>
        <v>559135.41777502908</v>
      </c>
      <c r="F190" s="39">
        <f t="shared" si="81"/>
        <v>516540.62481512484</v>
      </c>
      <c r="G190" s="39">
        <f t="shared" si="81"/>
        <v>498390.09934521694</v>
      </c>
      <c r="H190" s="39">
        <f t="shared" si="81"/>
        <v>346716.8523522169</v>
      </c>
      <c r="I190" s="39">
        <f t="shared" si="81"/>
        <v>378505.83900000004</v>
      </c>
      <c r="J190" s="39">
        <f t="shared" si="81"/>
        <v>148793.01096651304</v>
      </c>
      <c r="K190" s="39">
        <f t="shared" si="81"/>
        <v>142973.47045518307</v>
      </c>
      <c r="L190" s="39">
        <f t="shared" si="81"/>
        <v>184989.06272614383</v>
      </c>
      <c r="M190" s="39">
        <f t="shared" si="81"/>
        <v>338916.41713808553</v>
      </c>
      <c r="N190" s="39">
        <f t="shared" si="81"/>
        <v>449532.93409244117</v>
      </c>
      <c r="O190" s="39">
        <f t="shared" si="81"/>
        <v>595024.63612767367</v>
      </c>
      <c r="P190" s="32">
        <f t="shared" si="77"/>
        <v>4907284.2188542765</v>
      </c>
      <c r="Q190" s="32"/>
    </row>
    <row r="191" spans="2:17" s="9" customFormat="1" ht="12.6" customHeight="1" x14ac:dyDescent="0.2">
      <c r="B191" s="158" t="s">
        <v>87</v>
      </c>
      <c r="C191" s="158"/>
      <c r="D191" s="159">
        <f t="shared" si="81"/>
        <v>2551692.2210299997</v>
      </c>
      <c r="E191" s="159">
        <f t="shared" si="81"/>
        <v>1648630.8825300003</v>
      </c>
      <c r="F191" s="159">
        <f t="shared" si="81"/>
        <v>1923987.4073349994</v>
      </c>
      <c r="G191" s="159">
        <f t="shared" si="81"/>
        <v>2529781.9067866676</v>
      </c>
      <c r="H191" s="159">
        <f t="shared" si="81"/>
        <v>1475996.0573700003</v>
      </c>
      <c r="I191" s="159">
        <f t="shared" si="81"/>
        <v>1417971.4280000001</v>
      </c>
      <c r="J191" s="159">
        <f t="shared" si="81"/>
        <v>1246783.8936881979</v>
      </c>
      <c r="K191" s="159">
        <f t="shared" si="81"/>
        <v>759342.77149999992</v>
      </c>
      <c r="L191" s="159">
        <f t="shared" si="81"/>
        <v>863948.82400000002</v>
      </c>
      <c r="M191" s="159">
        <f t="shared" si="81"/>
        <v>1363873.6576999996</v>
      </c>
      <c r="N191" s="159">
        <f t="shared" si="81"/>
        <v>3806299.8757216665</v>
      </c>
      <c r="O191" s="159">
        <f t="shared" si="81"/>
        <v>-862760.14929000044</v>
      </c>
      <c r="P191" s="160">
        <f t="shared" si="77"/>
        <v>18725548.776371531</v>
      </c>
      <c r="Q191" s="10"/>
    </row>
    <row r="192" spans="2:17" ht="12.75" customHeight="1" x14ac:dyDescent="0.2">
      <c r="B192" s="2" t="s">
        <v>88</v>
      </c>
      <c r="C192" s="21"/>
      <c r="D192" s="39">
        <f t="shared" ref="D192:O192" si="82">D133</f>
        <v>0</v>
      </c>
      <c r="E192" s="39">
        <f t="shared" si="82"/>
        <v>0</v>
      </c>
      <c r="F192" s="39">
        <f t="shared" si="82"/>
        <v>0</v>
      </c>
      <c r="G192" s="39">
        <f t="shared" si="82"/>
        <v>0</v>
      </c>
      <c r="H192" s="39">
        <f t="shared" si="82"/>
        <v>0</v>
      </c>
      <c r="I192" s="39">
        <f t="shared" si="82"/>
        <v>0</v>
      </c>
      <c r="J192" s="39">
        <f t="shared" si="82"/>
        <v>0</v>
      </c>
      <c r="K192" s="39">
        <f t="shared" si="82"/>
        <v>0</v>
      </c>
      <c r="L192" s="39">
        <f t="shared" si="82"/>
        <v>0</v>
      </c>
      <c r="M192" s="39">
        <f t="shared" si="82"/>
        <v>0</v>
      </c>
      <c r="N192" s="39">
        <f t="shared" si="82"/>
        <v>0</v>
      </c>
      <c r="O192" s="39">
        <f t="shared" si="82"/>
        <v>0</v>
      </c>
      <c r="P192" s="32">
        <f t="shared" si="77"/>
        <v>0</v>
      </c>
      <c r="Q192" s="32"/>
    </row>
    <row r="193" spans="2:17" ht="12.75" customHeight="1" x14ac:dyDescent="0.2">
      <c r="B193" s="2" t="s">
        <v>89</v>
      </c>
      <c r="C193" s="21"/>
      <c r="D193" s="39">
        <f t="shared" ref="D193:O194" si="83">D119+D138</f>
        <v>1937645.5059768751</v>
      </c>
      <c r="E193" s="39">
        <f t="shared" si="83"/>
        <v>2006670.3485693752</v>
      </c>
      <c r="F193" s="39">
        <f t="shared" si="83"/>
        <v>1734949.887696604</v>
      </c>
      <c r="G193" s="39">
        <f t="shared" si="83"/>
        <v>1601262.7746529251</v>
      </c>
      <c r="H193" s="39">
        <f t="shared" si="83"/>
        <v>1769815.4662973001</v>
      </c>
      <c r="I193" s="39">
        <f t="shared" si="83"/>
        <v>1732916.4100000001</v>
      </c>
      <c r="J193" s="39">
        <f t="shared" si="83"/>
        <v>1568103.9800000002</v>
      </c>
      <c r="K193" s="39">
        <f t="shared" si="83"/>
        <v>1582491.19</v>
      </c>
      <c r="L193" s="39">
        <f t="shared" si="83"/>
        <v>1628342.59</v>
      </c>
      <c r="M193" s="39">
        <f t="shared" si="83"/>
        <v>1761143.9265605668</v>
      </c>
      <c r="N193" s="39">
        <f t="shared" si="83"/>
        <v>2895672.7554343743</v>
      </c>
      <c r="O193" s="39">
        <f t="shared" si="83"/>
        <v>647112.77794374991</v>
      </c>
      <c r="P193" s="32">
        <f t="shared" si="77"/>
        <v>20866127.613131769</v>
      </c>
      <c r="Q193" s="32"/>
    </row>
    <row r="194" spans="2:17" s="9" customFormat="1" ht="12.6" customHeight="1" x14ac:dyDescent="0.2">
      <c r="B194" s="158" t="s">
        <v>90</v>
      </c>
      <c r="C194" s="158"/>
      <c r="D194" s="159">
        <f t="shared" si="83"/>
        <v>4435062.7014607508</v>
      </c>
      <c r="E194" s="159">
        <f t="shared" si="83"/>
        <v>4980440.7144764997</v>
      </c>
      <c r="F194" s="159">
        <f t="shared" si="83"/>
        <v>4372258.9858132508</v>
      </c>
      <c r="G194" s="159">
        <f t="shared" si="83"/>
        <v>5437824.9875565004</v>
      </c>
      <c r="H194" s="159">
        <f t="shared" si="83"/>
        <v>4505262.914867999</v>
      </c>
      <c r="I194" s="159">
        <f t="shared" si="83"/>
        <v>4581112.8800000008</v>
      </c>
      <c r="J194" s="159">
        <f t="shared" si="83"/>
        <v>4090975.64</v>
      </c>
      <c r="K194" s="159">
        <f t="shared" si="83"/>
        <v>4290185.6400000006</v>
      </c>
      <c r="L194" s="159">
        <f t="shared" si="83"/>
        <v>4224758.72</v>
      </c>
      <c r="M194" s="159">
        <f t="shared" si="83"/>
        <v>5140483.1859166669</v>
      </c>
      <c r="N194" s="159">
        <f t="shared" si="83"/>
        <v>7738890.5080883326</v>
      </c>
      <c r="O194" s="159">
        <f t="shared" si="83"/>
        <v>1274281.6747993329</v>
      </c>
      <c r="P194" s="160">
        <f t="shared" si="77"/>
        <v>55071538.552979335</v>
      </c>
      <c r="Q194" s="10"/>
    </row>
    <row r="195" spans="2:17" ht="12.75" customHeight="1" x14ac:dyDescent="0.2">
      <c r="B195" s="9" t="s">
        <v>95</v>
      </c>
      <c r="C195" s="21"/>
      <c r="D195" s="39">
        <f t="shared" ref="D195:O195" si="84">D140+D134</f>
        <v>37957.479999999996</v>
      </c>
      <c r="E195" s="39">
        <f t="shared" si="84"/>
        <v>35781.79</v>
      </c>
      <c r="F195" s="39">
        <f t="shared" si="84"/>
        <v>30737.5</v>
      </c>
      <c r="G195" s="39">
        <f t="shared" si="84"/>
        <v>52421.020000000019</v>
      </c>
      <c r="H195" s="39">
        <f t="shared" si="84"/>
        <v>63006.17</v>
      </c>
      <c r="I195" s="39">
        <f t="shared" si="84"/>
        <v>70789.38</v>
      </c>
      <c r="J195" s="39">
        <f t="shared" si="84"/>
        <v>48944.289999999994</v>
      </c>
      <c r="K195" s="39">
        <f t="shared" si="84"/>
        <v>73375.700000000012</v>
      </c>
      <c r="L195" s="39">
        <f t="shared" si="84"/>
        <v>56165.999999999985</v>
      </c>
      <c r="M195" s="39">
        <f t="shared" si="84"/>
        <v>101585.94</v>
      </c>
      <c r="N195" s="39">
        <f t="shared" si="84"/>
        <v>92064.6</v>
      </c>
      <c r="O195" s="39">
        <f t="shared" si="84"/>
        <v>-3779.7800000000025</v>
      </c>
      <c r="P195" s="32">
        <f t="shared" si="77"/>
        <v>659050.09</v>
      </c>
      <c r="Q195" s="32"/>
    </row>
    <row r="196" spans="2:17" s="9" customFormat="1" ht="12.6" customHeight="1" x14ac:dyDescent="0.2">
      <c r="B196" s="158" t="s">
        <v>92</v>
      </c>
      <c r="C196" s="158"/>
      <c r="D196" s="159">
        <f>D121+D141</f>
        <v>5742149.8166624997</v>
      </c>
      <c r="E196" s="159">
        <f t="shared" ref="E196:O196" si="85">E121+E141</f>
        <v>7117576.1645449996</v>
      </c>
      <c r="F196" s="159">
        <f t="shared" si="85"/>
        <v>6367579.1848783325</v>
      </c>
      <c r="G196" s="159">
        <f t="shared" si="85"/>
        <v>3804638.0081958338</v>
      </c>
      <c r="H196" s="159">
        <f t="shared" si="85"/>
        <v>7512217.0000233352</v>
      </c>
      <c r="I196" s="159">
        <f t="shared" si="85"/>
        <v>4982330.0398458326</v>
      </c>
      <c r="J196" s="159">
        <f t="shared" si="85"/>
        <v>5742501.5899999999</v>
      </c>
      <c r="K196" s="159">
        <f t="shared" si="85"/>
        <v>5350640.99</v>
      </c>
      <c r="L196" s="159">
        <f t="shared" si="85"/>
        <v>5060175.91</v>
      </c>
      <c r="M196" s="159">
        <f t="shared" si="85"/>
        <v>4960223.9092650004</v>
      </c>
      <c r="N196" s="159">
        <f t="shared" si="85"/>
        <v>10333323.826433748</v>
      </c>
      <c r="O196" s="159">
        <f t="shared" si="85"/>
        <v>930847.47293499892</v>
      </c>
      <c r="P196" s="160">
        <f t="shared" si="77"/>
        <v>67904203.912784591</v>
      </c>
      <c r="Q196" s="10"/>
    </row>
    <row r="197" spans="2:17" s="9" customFormat="1" ht="12.75" customHeight="1" x14ac:dyDescent="0.2">
      <c r="B197" s="9" t="s">
        <v>96</v>
      </c>
      <c r="C197" s="25"/>
      <c r="D197" s="13">
        <f>D142</f>
        <v>2286937</v>
      </c>
      <c r="E197" s="13">
        <f t="shared" ref="E197:O197" si="86">E142</f>
        <v>504390</v>
      </c>
      <c r="F197" s="13">
        <f t="shared" si="86"/>
        <v>4462697.6100000003</v>
      </c>
      <c r="G197" s="13">
        <f t="shared" si="86"/>
        <v>2123142</v>
      </c>
      <c r="H197" s="13">
        <f t="shared" si="86"/>
        <v>3633702</v>
      </c>
      <c r="I197" s="13">
        <f t="shared" si="86"/>
        <v>0</v>
      </c>
      <c r="J197" s="13">
        <f t="shared" si="86"/>
        <v>3918895</v>
      </c>
      <c r="K197" s="13">
        <f t="shared" si="86"/>
        <v>4006391.77490234</v>
      </c>
      <c r="L197" s="13">
        <f t="shared" si="86"/>
        <v>2018187.7880859401</v>
      </c>
      <c r="M197" s="13">
        <f t="shared" si="86"/>
        <v>2004158.6816406201</v>
      </c>
      <c r="N197" s="13">
        <f t="shared" si="86"/>
        <v>4554891.9140625</v>
      </c>
      <c r="O197" s="13">
        <f t="shared" si="86"/>
        <v>3473949.0283203102</v>
      </c>
      <c r="P197" s="10">
        <f t="shared" si="77"/>
        <v>32987342.797011711</v>
      </c>
      <c r="Q197" s="10"/>
    </row>
    <row r="198" spans="2:17" s="9" customFormat="1" ht="12.6" customHeight="1" x14ac:dyDescent="0.2">
      <c r="B198" s="158" t="s">
        <v>93</v>
      </c>
      <c r="C198" s="158"/>
      <c r="D198" s="159">
        <f>D127</f>
        <v>14540571.367835004</v>
      </c>
      <c r="E198" s="159">
        <f t="shared" ref="E198:O198" si="87">E127</f>
        <v>3522075.0580224996</v>
      </c>
      <c r="F198" s="159">
        <f t="shared" si="87"/>
        <v>3978650.306104999</v>
      </c>
      <c r="G198" s="159">
        <f t="shared" si="87"/>
        <v>2753079.9856875008</v>
      </c>
      <c r="H198" s="159">
        <f t="shared" si="87"/>
        <v>2191793.8747825013</v>
      </c>
      <c r="I198" s="159">
        <f t="shared" si="87"/>
        <v>777566.87</v>
      </c>
      <c r="J198" s="159">
        <f t="shared" si="87"/>
        <v>3224593.7</v>
      </c>
      <c r="K198" s="159">
        <f t="shared" si="87"/>
        <v>1676269.07</v>
      </c>
      <c r="L198" s="159">
        <f t="shared" si="87"/>
        <v>1453837.38</v>
      </c>
      <c r="M198" s="159">
        <f t="shared" si="87"/>
        <v>1745437.5707499993</v>
      </c>
      <c r="N198" s="159">
        <f t="shared" si="87"/>
        <v>4535910.4784774985</v>
      </c>
      <c r="O198" s="159">
        <f t="shared" si="87"/>
        <v>1725240.6030049992</v>
      </c>
      <c r="P198" s="160">
        <f t="shared" si="77"/>
        <v>42125026.264665008</v>
      </c>
      <c r="Q198" s="10"/>
    </row>
    <row r="199" spans="2:17" ht="12.75" customHeight="1" x14ac:dyDescent="0.2">
      <c r="B199" s="51" t="s">
        <v>97</v>
      </c>
      <c r="C199" s="21"/>
      <c r="D199" s="49">
        <f t="shared" ref="D199:P199" si="88">SUM(D183:D198)</f>
        <v>165010733.47500178</v>
      </c>
      <c r="E199" s="49">
        <f t="shared" si="88"/>
        <v>132340841.98020771</v>
      </c>
      <c r="F199" s="49">
        <f t="shared" si="88"/>
        <v>137380710.72795922</v>
      </c>
      <c r="G199" s="49">
        <f t="shared" si="88"/>
        <v>92645316.309322819</v>
      </c>
      <c r="H199" s="49">
        <f t="shared" si="88"/>
        <v>69802810.120886013</v>
      </c>
      <c r="I199" s="49">
        <f t="shared" si="88"/>
        <v>59866531.397782832</v>
      </c>
      <c r="J199" s="49">
        <f t="shared" si="88"/>
        <v>46917707.430515185</v>
      </c>
      <c r="K199" s="49">
        <f t="shared" si="88"/>
        <v>41452861.26101198</v>
      </c>
      <c r="L199" s="49">
        <f t="shared" si="88"/>
        <v>45870207.372894086</v>
      </c>
      <c r="M199" s="49">
        <f t="shared" si="88"/>
        <v>76815169.73893176</v>
      </c>
      <c r="N199" s="49">
        <f t="shared" si="88"/>
        <v>129555962.97329089</v>
      </c>
      <c r="O199" s="49">
        <f t="shared" si="88"/>
        <v>137977416.132961</v>
      </c>
      <c r="P199" s="49">
        <f t="shared" si="88"/>
        <v>1135636268.9207649</v>
      </c>
      <c r="Q199" s="39"/>
    </row>
    <row r="200" spans="2:17" ht="12.75" customHeight="1" x14ac:dyDescent="0.2">
      <c r="B200" s="55" t="s">
        <v>16</v>
      </c>
      <c r="C200" s="56"/>
      <c r="D200" s="57">
        <f>D199-D145</f>
        <v>0</v>
      </c>
      <c r="E200" s="57">
        <f t="shared" ref="E200:P200" si="89">E199-E145</f>
        <v>0</v>
      </c>
      <c r="F200" s="57">
        <f t="shared" si="89"/>
        <v>0</v>
      </c>
      <c r="G200" s="57">
        <f t="shared" si="89"/>
        <v>0</v>
      </c>
      <c r="H200" s="57">
        <f t="shared" si="89"/>
        <v>0</v>
      </c>
      <c r="I200" s="57">
        <f t="shared" si="89"/>
        <v>0</v>
      </c>
      <c r="J200" s="57">
        <f t="shared" si="89"/>
        <v>0</v>
      </c>
      <c r="K200" s="57">
        <f t="shared" si="89"/>
        <v>0</v>
      </c>
      <c r="L200" s="57">
        <f t="shared" si="89"/>
        <v>0</v>
      </c>
      <c r="M200" s="57">
        <f t="shared" si="89"/>
        <v>0</v>
      </c>
      <c r="N200" s="57">
        <f t="shared" si="89"/>
        <v>0</v>
      </c>
      <c r="O200" s="57">
        <f t="shared" si="89"/>
        <v>0</v>
      </c>
      <c r="P200" s="57">
        <f t="shared" si="89"/>
        <v>0</v>
      </c>
      <c r="Q200" s="39"/>
    </row>
    <row r="201" spans="2:17" s="9" customFormat="1" ht="12.6" customHeight="1" x14ac:dyDescent="0.2">
      <c r="B201" s="158" t="s">
        <v>147</v>
      </c>
      <c r="C201" s="158"/>
      <c r="D201" s="159">
        <f>D189+D191+D194+D196+D197</f>
        <v>17325664.528240032</v>
      </c>
      <c r="E201" s="159">
        <f t="shared" ref="E201:P201" si="90">E189+E191+E194+E196+E197</f>
        <v>16092086.902839879</v>
      </c>
      <c r="F201" s="159">
        <f t="shared" si="90"/>
        <v>18979874.184289251</v>
      </c>
      <c r="G201" s="159">
        <f t="shared" si="90"/>
        <v>15697123.061468286</v>
      </c>
      <c r="H201" s="159">
        <f t="shared" si="90"/>
        <v>18219726.1540507</v>
      </c>
      <c r="I201" s="159">
        <f t="shared" si="90"/>
        <v>12199089.256845834</v>
      </c>
      <c r="J201" s="159">
        <f t="shared" si="90"/>
        <v>16696583.186419055</v>
      </c>
      <c r="K201" s="159">
        <f t="shared" si="90"/>
        <v>14375040.26148325</v>
      </c>
      <c r="L201" s="159">
        <f t="shared" si="90"/>
        <v>13218338.472415855</v>
      </c>
      <c r="M201" s="159">
        <f t="shared" si="90"/>
        <v>14569598.828171404</v>
      </c>
      <c r="N201" s="159">
        <f t="shared" si="90"/>
        <v>28081914.346377522</v>
      </c>
      <c r="O201" s="159">
        <f t="shared" si="90"/>
        <v>7272093.736840453</v>
      </c>
      <c r="P201" s="160">
        <f t="shared" si="90"/>
        <v>192727132.91944155</v>
      </c>
      <c r="Q201" s="10"/>
    </row>
    <row r="202" spans="2:17" ht="12.75" customHeight="1" x14ac:dyDescent="0.2">
      <c r="B202" s="8" t="s">
        <v>98</v>
      </c>
      <c r="C202" s="21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2:17" s="9" customFormat="1" ht="12.75" customHeight="1" x14ac:dyDescent="0.2">
      <c r="B203" s="53" t="s">
        <v>99</v>
      </c>
      <c r="C203" s="25"/>
      <c r="D203" s="13">
        <f t="shared" ref="D203:O203" si="91">SUM(D37:D39)</f>
        <v>818297</v>
      </c>
      <c r="E203" s="13">
        <f t="shared" si="91"/>
        <v>818707</v>
      </c>
      <c r="F203" s="13">
        <f t="shared" si="91"/>
        <v>818984</v>
      </c>
      <c r="G203" s="13">
        <f t="shared" si="91"/>
        <v>819033</v>
      </c>
      <c r="H203" s="13">
        <f t="shared" si="91"/>
        <v>819134</v>
      </c>
      <c r="I203" s="13">
        <f t="shared" si="91"/>
        <v>819300</v>
      </c>
      <c r="J203" s="13">
        <f t="shared" si="91"/>
        <v>819204</v>
      </c>
      <c r="K203" s="13">
        <f t="shared" si="91"/>
        <v>819340</v>
      </c>
      <c r="L203" s="13">
        <f t="shared" si="91"/>
        <v>819415</v>
      </c>
      <c r="M203" s="13">
        <f t="shared" si="91"/>
        <v>819988</v>
      </c>
      <c r="N203" s="13">
        <f t="shared" si="91"/>
        <v>820605</v>
      </c>
      <c r="O203" s="13">
        <f t="shared" si="91"/>
        <v>820952</v>
      </c>
      <c r="P203" s="13">
        <f t="shared" ref="P203:P217" si="92">SUM(D203:O203)</f>
        <v>9832959</v>
      </c>
      <c r="Q203" s="13"/>
    </row>
    <row r="204" spans="2:17" s="9" customFormat="1" ht="12.75" customHeight="1" x14ac:dyDescent="0.2">
      <c r="B204" s="52" t="s">
        <v>81</v>
      </c>
      <c r="C204" s="25"/>
      <c r="D204" s="13">
        <f t="shared" ref="D204:O204" si="93">SUM(D41,D48)</f>
        <v>58008</v>
      </c>
      <c r="E204" s="13">
        <f t="shared" si="93"/>
        <v>58059</v>
      </c>
      <c r="F204" s="13">
        <f t="shared" si="93"/>
        <v>58065</v>
      </c>
      <c r="G204" s="13">
        <f t="shared" si="93"/>
        <v>58039</v>
      </c>
      <c r="H204" s="13">
        <f t="shared" si="93"/>
        <v>58060</v>
      </c>
      <c r="I204" s="13">
        <f t="shared" si="93"/>
        <v>58026</v>
      </c>
      <c r="J204" s="13">
        <f t="shared" si="93"/>
        <v>58010</v>
      </c>
      <c r="K204" s="13">
        <f t="shared" si="93"/>
        <v>58023</v>
      </c>
      <c r="L204" s="13">
        <f t="shared" si="93"/>
        <v>58009</v>
      </c>
      <c r="M204" s="13">
        <f t="shared" si="93"/>
        <v>57974</v>
      </c>
      <c r="N204" s="13">
        <f t="shared" si="93"/>
        <v>58047</v>
      </c>
      <c r="O204" s="13">
        <f t="shared" si="93"/>
        <v>58096</v>
      </c>
      <c r="P204" s="13">
        <f t="shared" si="92"/>
        <v>696416</v>
      </c>
      <c r="Q204" s="13"/>
    </row>
    <row r="205" spans="2:17" ht="12.75" customHeight="1" x14ac:dyDescent="0.2">
      <c r="B205" s="53" t="s">
        <v>82</v>
      </c>
      <c r="C205" s="21"/>
      <c r="D205" s="39">
        <f t="shared" ref="D205:O205" si="94">D42+D49</f>
        <v>1315</v>
      </c>
      <c r="E205" s="39">
        <f t="shared" si="94"/>
        <v>1316</v>
      </c>
      <c r="F205" s="39">
        <f t="shared" si="94"/>
        <v>1316</v>
      </c>
      <c r="G205" s="39">
        <f t="shared" si="94"/>
        <v>1314</v>
      </c>
      <c r="H205" s="39">
        <f t="shared" si="94"/>
        <v>1293</v>
      </c>
      <c r="I205" s="39">
        <f t="shared" si="94"/>
        <v>1290</v>
      </c>
      <c r="J205" s="39">
        <f t="shared" si="94"/>
        <v>1294</v>
      </c>
      <c r="K205" s="39">
        <f t="shared" si="94"/>
        <v>1294</v>
      </c>
      <c r="L205" s="39">
        <f t="shared" si="94"/>
        <v>1306</v>
      </c>
      <c r="M205" s="39">
        <f t="shared" si="94"/>
        <v>1327</v>
      </c>
      <c r="N205" s="39">
        <f t="shared" si="94"/>
        <v>1341</v>
      </c>
      <c r="O205" s="39">
        <f t="shared" si="94"/>
        <v>1339</v>
      </c>
      <c r="P205" s="39">
        <f t="shared" si="92"/>
        <v>15745</v>
      </c>
      <c r="Q205" s="39"/>
    </row>
    <row r="206" spans="2:17" ht="12.75" customHeight="1" x14ac:dyDescent="0.2">
      <c r="B206" s="51" t="s">
        <v>83</v>
      </c>
      <c r="C206" s="21"/>
      <c r="D206" s="39">
        <f t="shared" ref="D206:O206" si="95">D43</f>
        <v>0</v>
      </c>
      <c r="E206" s="39">
        <f t="shared" si="95"/>
        <v>0</v>
      </c>
      <c r="F206" s="39">
        <f t="shared" si="95"/>
        <v>0</v>
      </c>
      <c r="G206" s="39">
        <f t="shared" si="95"/>
        <v>0</v>
      </c>
      <c r="H206" s="39">
        <f t="shared" si="95"/>
        <v>0</v>
      </c>
      <c r="I206" s="39">
        <f t="shared" si="95"/>
        <v>0</v>
      </c>
      <c r="J206" s="39">
        <f t="shared" si="95"/>
        <v>0</v>
      </c>
      <c r="K206" s="39">
        <f t="shared" si="95"/>
        <v>0</v>
      </c>
      <c r="L206" s="39">
        <f t="shared" si="95"/>
        <v>0</v>
      </c>
      <c r="M206" s="39">
        <f t="shared" si="95"/>
        <v>0</v>
      </c>
      <c r="N206" s="39">
        <f t="shared" si="95"/>
        <v>0</v>
      </c>
      <c r="O206" s="39">
        <f t="shared" si="95"/>
        <v>0</v>
      </c>
      <c r="P206" s="39">
        <f t="shared" si="92"/>
        <v>0</v>
      </c>
      <c r="Q206" s="39"/>
    </row>
    <row r="207" spans="2:17" ht="12.75" customHeight="1" x14ac:dyDescent="0.2">
      <c r="B207" s="53" t="s">
        <v>100</v>
      </c>
      <c r="C207" s="21"/>
      <c r="D207" s="39">
        <f t="shared" ref="D207:O207" si="96">SUM(D40,D44,D50)</f>
        <v>0</v>
      </c>
      <c r="E207" s="39">
        <f t="shared" si="96"/>
        <v>0</v>
      </c>
      <c r="F207" s="39">
        <f t="shared" si="96"/>
        <v>0</v>
      </c>
      <c r="G207" s="39">
        <f t="shared" si="96"/>
        <v>0</v>
      </c>
      <c r="H207" s="39">
        <f t="shared" si="96"/>
        <v>0</v>
      </c>
      <c r="I207" s="39">
        <f t="shared" si="96"/>
        <v>0</v>
      </c>
      <c r="J207" s="39">
        <f t="shared" si="96"/>
        <v>0</v>
      </c>
      <c r="K207" s="39">
        <f t="shared" si="96"/>
        <v>0</v>
      </c>
      <c r="L207" s="39">
        <f t="shared" si="96"/>
        <v>0</v>
      </c>
      <c r="M207" s="39">
        <f t="shared" si="96"/>
        <v>0</v>
      </c>
      <c r="N207" s="39">
        <f t="shared" si="96"/>
        <v>0</v>
      </c>
      <c r="O207" s="39">
        <f t="shared" si="96"/>
        <v>0</v>
      </c>
      <c r="P207" s="39">
        <f t="shared" si="92"/>
        <v>0</v>
      </c>
      <c r="Q207" s="39"/>
    </row>
    <row r="208" spans="2:17" ht="12.75" customHeight="1" x14ac:dyDescent="0.2">
      <c r="B208" s="53" t="s">
        <v>85</v>
      </c>
      <c r="C208" s="21"/>
      <c r="D208" s="39">
        <f t="shared" ref="D208:O210" si="97">D45+D51</f>
        <v>31</v>
      </c>
      <c r="E208" s="39">
        <f t="shared" si="97"/>
        <v>30</v>
      </c>
      <c r="F208" s="39">
        <f t="shared" si="97"/>
        <v>30</v>
      </c>
      <c r="G208" s="39">
        <f t="shared" si="97"/>
        <v>30</v>
      </c>
      <c r="H208" s="39">
        <f t="shared" si="97"/>
        <v>30</v>
      </c>
      <c r="I208" s="39">
        <f t="shared" si="97"/>
        <v>30</v>
      </c>
      <c r="J208" s="39">
        <f t="shared" si="97"/>
        <v>30</v>
      </c>
      <c r="K208" s="39">
        <f t="shared" si="97"/>
        <v>30</v>
      </c>
      <c r="L208" s="39">
        <f t="shared" si="97"/>
        <v>30</v>
      </c>
      <c r="M208" s="39">
        <f t="shared" si="97"/>
        <v>30</v>
      </c>
      <c r="N208" s="39">
        <f t="shared" si="97"/>
        <v>30</v>
      </c>
      <c r="O208" s="39">
        <f t="shared" si="97"/>
        <v>31</v>
      </c>
      <c r="P208" s="39">
        <f t="shared" si="92"/>
        <v>362</v>
      </c>
      <c r="Q208" s="39"/>
    </row>
    <row r="209" spans="2:17" ht="12.75" customHeight="1" x14ac:dyDescent="0.2">
      <c r="B209" s="53" t="s">
        <v>86</v>
      </c>
      <c r="C209" s="21"/>
      <c r="D209" s="39">
        <f t="shared" si="97"/>
        <v>101</v>
      </c>
      <c r="E209" s="39">
        <f t="shared" si="97"/>
        <v>101</v>
      </c>
      <c r="F209" s="39">
        <f t="shared" si="97"/>
        <v>101</v>
      </c>
      <c r="G209" s="39">
        <f t="shared" si="97"/>
        <v>101</v>
      </c>
      <c r="H209" s="39">
        <f t="shared" si="97"/>
        <v>101</v>
      </c>
      <c r="I209" s="39">
        <f t="shared" si="97"/>
        <v>101</v>
      </c>
      <c r="J209" s="39">
        <f t="shared" si="97"/>
        <v>101</v>
      </c>
      <c r="K209" s="39">
        <f t="shared" si="97"/>
        <v>100</v>
      </c>
      <c r="L209" s="39">
        <f t="shared" si="97"/>
        <v>100</v>
      </c>
      <c r="M209" s="39">
        <f t="shared" si="97"/>
        <v>89</v>
      </c>
      <c r="N209" s="39">
        <f t="shared" si="97"/>
        <v>87</v>
      </c>
      <c r="O209" s="39">
        <f t="shared" si="97"/>
        <v>86</v>
      </c>
      <c r="P209" s="39">
        <f t="shared" si="92"/>
        <v>1169</v>
      </c>
      <c r="Q209" s="39"/>
    </row>
    <row r="210" spans="2:17" ht="12.75" customHeight="1" x14ac:dyDescent="0.2">
      <c r="B210" s="53" t="s">
        <v>87</v>
      </c>
      <c r="C210" s="21"/>
      <c r="D210" s="39">
        <f t="shared" si="97"/>
        <v>4</v>
      </c>
      <c r="E210" s="39">
        <f t="shared" si="97"/>
        <v>4</v>
      </c>
      <c r="F210" s="39">
        <f t="shared" si="97"/>
        <v>4</v>
      </c>
      <c r="G210" s="39">
        <f t="shared" si="97"/>
        <v>4</v>
      </c>
      <c r="H210" s="39">
        <f t="shared" si="97"/>
        <v>4</v>
      </c>
      <c r="I210" s="39">
        <f t="shared" si="97"/>
        <v>4</v>
      </c>
      <c r="J210" s="39">
        <f t="shared" si="97"/>
        <v>4</v>
      </c>
      <c r="K210" s="39">
        <f t="shared" si="97"/>
        <v>4</v>
      </c>
      <c r="L210" s="39">
        <f t="shared" si="97"/>
        <v>4</v>
      </c>
      <c r="M210" s="39">
        <f t="shared" si="97"/>
        <v>4</v>
      </c>
      <c r="N210" s="39">
        <f t="shared" si="97"/>
        <v>4</v>
      </c>
      <c r="O210" s="39">
        <f t="shared" si="97"/>
        <v>3</v>
      </c>
      <c r="P210" s="39">
        <f t="shared" si="92"/>
        <v>47</v>
      </c>
      <c r="Q210" s="39"/>
    </row>
    <row r="211" spans="2:17" ht="12.75" customHeight="1" x14ac:dyDescent="0.2">
      <c r="B211" s="2" t="s">
        <v>88</v>
      </c>
      <c r="C211" s="21"/>
      <c r="D211" s="39">
        <f>D54+D59</f>
        <v>1</v>
      </c>
      <c r="E211" s="39">
        <f t="shared" ref="E211:O213" si="98">E54+E59</f>
        <v>1</v>
      </c>
      <c r="F211" s="39">
        <f t="shared" si="98"/>
        <v>1</v>
      </c>
      <c r="G211" s="39">
        <f t="shared" si="98"/>
        <v>1</v>
      </c>
      <c r="H211" s="39">
        <f t="shared" si="98"/>
        <v>1</v>
      </c>
      <c r="I211" s="39">
        <f t="shared" si="98"/>
        <v>1</v>
      </c>
      <c r="J211" s="39">
        <f t="shared" si="98"/>
        <v>1</v>
      </c>
      <c r="K211" s="39">
        <f t="shared" si="98"/>
        <v>1</v>
      </c>
      <c r="L211" s="39">
        <f t="shared" si="98"/>
        <v>1</v>
      </c>
      <c r="M211" s="39">
        <f t="shared" si="98"/>
        <v>1</v>
      </c>
      <c r="N211" s="39">
        <f t="shared" si="98"/>
        <v>1</v>
      </c>
      <c r="O211" s="39">
        <f t="shared" si="98"/>
        <v>1</v>
      </c>
      <c r="P211" s="39">
        <f t="shared" si="92"/>
        <v>12</v>
      </c>
      <c r="Q211" s="39"/>
    </row>
    <row r="212" spans="2:17" ht="12.75" customHeight="1" x14ac:dyDescent="0.2">
      <c r="B212" s="2" t="s">
        <v>89</v>
      </c>
      <c r="C212" s="21"/>
      <c r="D212" s="39">
        <f>D55+D60</f>
        <v>92</v>
      </c>
      <c r="E212" s="39">
        <f t="shared" si="98"/>
        <v>91</v>
      </c>
      <c r="F212" s="39">
        <f t="shared" si="98"/>
        <v>94</v>
      </c>
      <c r="G212" s="39">
        <f t="shared" si="98"/>
        <v>94</v>
      </c>
      <c r="H212" s="39">
        <f t="shared" si="98"/>
        <v>94</v>
      </c>
      <c r="I212" s="39">
        <f t="shared" si="98"/>
        <v>96</v>
      </c>
      <c r="J212" s="39">
        <f t="shared" si="98"/>
        <v>96</v>
      </c>
      <c r="K212" s="39">
        <f t="shared" si="98"/>
        <v>96</v>
      </c>
      <c r="L212" s="39">
        <f t="shared" si="98"/>
        <v>96</v>
      </c>
      <c r="M212" s="39">
        <f t="shared" si="98"/>
        <v>96</v>
      </c>
      <c r="N212" s="39">
        <f t="shared" si="98"/>
        <v>91</v>
      </c>
      <c r="O212" s="39">
        <f t="shared" si="98"/>
        <v>91</v>
      </c>
      <c r="P212" s="39">
        <f t="shared" si="92"/>
        <v>1127</v>
      </c>
      <c r="Q212" s="39"/>
    </row>
    <row r="213" spans="2:17" ht="12.75" customHeight="1" x14ac:dyDescent="0.2">
      <c r="B213" s="2" t="s">
        <v>90</v>
      </c>
      <c r="C213" s="21"/>
      <c r="D213" s="39">
        <f>D56+D61</f>
        <v>80</v>
      </c>
      <c r="E213" s="39">
        <f t="shared" si="98"/>
        <v>79</v>
      </c>
      <c r="F213" s="39">
        <f t="shared" si="98"/>
        <v>77</v>
      </c>
      <c r="G213" s="39">
        <f t="shared" si="98"/>
        <v>77</v>
      </c>
      <c r="H213" s="39">
        <f t="shared" si="98"/>
        <v>77</v>
      </c>
      <c r="I213" s="39">
        <f t="shared" si="98"/>
        <v>77</v>
      </c>
      <c r="J213" s="39">
        <f t="shared" si="98"/>
        <v>75</v>
      </c>
      <c r="K213" s="39">
        <f t="shared" si="98"/>
        <v>75</v>
      </c>
      <c r="L213" s="39">
        <f t="shared" si="98"/>
        <v>75</v>
      </c>
      <c r="M213" s="39">
        <f t="shared" si="98"/>
        <v>75</v>
      </c>
      <c r="N213" s="39">
        <f t="shared" si="98"/>
        <v>75</v>
      </c>
      <c r="O213" s="39">
        <f t="shared" si="98"/>
        <v>74</v>
      </c>
      <c r="P213" s="39">
        <f t="shared" si="92"/>
        <v>916</v>
      </c>
      <c r="Q213" s="39"/>
    </row>
    <row r="214" spans="2:17" ht="12.75" customHeight="1" x14ac:dyDescent="0.2">
      <c r="B214" s="9" t="s">
        <v>95</v>
      </c>
      <c r="C214" s="21"/>
      <c r="D214" s="39">
        <f t="shared" ref="D214:O214" si="99">D62+D57</f>
        <v>5</v>
      </c>
      <c r="E214" s="39">
        <f t="shared" si="99"/>
        <v>5</v>
      </c>
      <c r="F214" s="39">
        <f t="shared" si="99"/>
        <v>5</v>
      </c>
      <c r="G214" s="39">
        <f t="shared" si="99"/>
        <v>5</v>
      </c>
      <c r="H214" s="39">
        <f t="shared" si="99"/>
        <v>5</v>
      </c>
      <c r="I214" s="39">
        <f t="shared" si="99"/>
        <v>5</v>
      </c>
      <c r="J214" s="39">
        <f t="shared" si="99"/>
        <v>5</v>
      </c>
      <c r="K214" s="39">
        <f t="shared" si="99"/>
        <v>5</v>
      </c>
      <c r="L214" s="39">
        <f t="shared" si="99"/>
        <v>5</v>
      </c>
      <c r="M214" s="39">
        <f t="shared" si="99"/>
        <v>5</v>
      </c>
      <c r="N214" s="39">
        <f t="shared" si="99"/>
        <v>5</v>
      </c>
      <c r="O214" s="39">
        <f t="shared" si="99"/>
        <v>5</v>
      </c>
      <c r="P214" s="39">
        <f t="shared" si="92"/>
        <v>60</v>
      </c>
      <c r="Q214" s="39"/>
    </row>
    <row r="215" spans="2:17" ht="12.75" customHeight="1" x14ac:dyDescent="0.2">
      <c r="B215" s="2" t="s">
        <v>92</v>
      </c>
      <c r="C215" s="21"/>
      <c r="D215" s="39">
        <f t="shared" ref="D215:O215" si="100">D58+D63</f>
        <v>12</v>
      </c>
      <c r="E215" s="39">
        <f t="shared" si="100"/>
        <v>14</v>
      </c>
      <c r="F215" s="39">
        <f t="shared" si="100"/>
        <v>14</v>
      </c>
      <c r="G215" s="39">
        <f t="shared" si="100"/>
        <v>14</v>
      </c>
      <c r="H215" s="39">
        <f t="shared" si="100"/>
        <v>14</v>
      </c>
      <c r="I215" s="39">
        <f t="shared" si="100"/>
        <v>14</v>
      </c>
      <c r="J215" s="39">
        <f t="shared" si="100"/>
        <v>14</v>
      </c>
      <c r="K215" s="39">
        <f t="shared" si="100"/>
        <v>14</v>
      </c>
      <c r="L215" s="39">
        <f t="shared" si="100"/>
        <v>14</v>
      </c>
      <c r="M215" s="39">
        <f t="shared" si="100"/>
        <v>14</v>
      </c>
      <c r="N215" s="39">
        <f t="shared" si="100"/>
        <v>14</v>
      </c>
      <c r="O215" s="39">
        <f t="shared" si="100"/>
        <v>14</v>
      </c>
      <c r="P215" s="39">
        <f t="shared" si="92"/>
        <v>166</v>
      </c>
      <c r="Q215" s="39"/>
    </row>
    <row r="216" spans="2:17" ht="12.75" customHeight="1" x14ac:dyDescent="0.2">
      <c r="B216" s="2" t="s">
        <v>96</v>
      </c>
      <c r="C216" s="21"/>
      <c r="D216" s="39">
        <f>D64</f>
        <v>1</v>
      </c>
      <c r="E216" s="39">
        <f t="shared" ref="E216:O216" si="101">E64</f>
        <v>1</v>
      </c>
      <c r="F216" s="39">
        <f t="shared" si="101"/>
        <v>1</v>
      </c>
      <c r="G216" s="39">
        <f t="shared" si="101"/>
        <v>1</v>
      </c>
      <c r="H216" s="39">
        <f t="shared" si="101"/>
        <v>1</v>
      </c>
      <c r="I216" s="39">
        <f t="shared" si="101"/>
        <v>1</v>
      </c>
      <c r="J216" s="39">
        <f t="shared" si="101"/>
        <v>1</v>
      </c>
      <c r="K216" s="39">
        <f t="shared" si="101"/>
        <v>1</v>
      </c>
      <c r="L216" s="39">
        <f t="shared" si="101"/>
        <v>1</v>
      </c>
      <c r="M216" s="39">
        <f t="shared" si="101"/>
        <v>1</v>
      </c>
      <c r="N216" s="39">
        <f t="shared" si="101"/>
        <v>1</v>
      </c>
      <c r="O216" s="39">
        <f t="shared" si="101"/>
        <v>1</v>
      </c>
      <c r="P216" s="39">
        <f t="shared" si="92"/>
        <v>12</v>
      </c>
      <c r="Q216" s="39"/>
    </row>
    <row r="217" spans="2:17" s="40" customFormat="1" ht="12.75" customHeight="1" x14ac:dyDescent="0.2">
      <c r="B217" s="53" t="s">
        <v>93</v>
      </c>
      <c r="C217" s="54"/>
      <c r="D217" s="39">
        <f t="shared" ref="D217:O217" si="102">SUM(D65:D65)</f>
        <v>9</v>
      </c>
      <c r="E217" s="39">
        <f t="shared" si="102"/>
        <v>9</v>
      </c>
      <c r="F217" s="39">
        <f t="shared" si="102"/>
        <v>9</v>
      </c>
      <c r="G217" s="39">
        <f t="shared" si="102"/>
        <v>9</v>
      </c>
      <c r="H217" s="39">
        <f t="shared" si="102"/>
        <v>9</v>
      </c>
      <c r="I217" s="39">
        <f t="shared" si="102"/>
        <v>9</v>
      </c>
      <c r="J217" s="39">
        <f t="shared" si="102"/>
        <v>9</v>
      </c>
      <c r="K217" s="39">
        <f t="shared" si="102"/>
        <v>9</v>
      </c>
      <c r="L217" s="39">
        <f t="shared" si="102"/>
        <v>9</v>
      </c>
      <c r="M217" s="39">
        <f t="shared" si="102"/>
        <v>9</v>
      </c>
      <c r="N217" s="39">
        <f t="shared" si="102"/>
        <v>9</v>
      </c>
      <c r="O217" s="39">
        <f t="shared" si="102"/>
        <v>9</v>
      </c>
      <c r="P217" s="39">
        <f t="shared" si="92"/>
        <v>108</v>
      </c>
      <c r="Q217" s="39"/>
    </row>
    <row r="218" spans="2:17" ht="12.75" customHeight="1" x14ac:dyDescent="0.2">
      <c r="B218" s="9" t="s">
        <v>101</v>
      </c>
      <c r="C218" s="21"/>
      <c r="D218" s="49">
        <f t="shared" ref="D218:P218" si="103">SUM(D203:D217)</f>
        <v>877956</v>
      </c>
      <c r="E218" s="49">
        <f t="shared" si="103"/>
        <v>878417</v>
      </c>
      <c r="F218" s="49">
        <f t="shared" si="103"/>
        <v>878701</v>
      </c>
      <c r="G218" s="49">
        <f t="shared" si="103"/>
        <v>878722</v>
      </c>
      <c r="H218" s="49">
        <f t="shared" si="103"/>
        <v>878823</v>
      </c>
      <c r="I218" s="49">
        <f t="shared" si="103"/>
        <v>878954</v>
      </c>
      <c r="J218" s="49">
        <f t="shared" si="103"/>
        <v>878844</v>
      </c>
      <c r="K218" s="49">
        <f t="shared" si="103"/>
        <v>878992</v>
      </c>
      <c r="L218" s="49">
        <f t="shared" si="103"/>
        <v>879065</v>
      </c>
      <c r="M218" s="49">
        <f t="shared" si="103"/>
        <v>879613</v>
      </c>
      <c r="N218" s="49">
        <f t="shared" si="103"/>
        <v>880310</v>
      </c>
      <c r="O218" s="49">
        <f t="shared" si="103"/>
        <v>880702</v>
      </c>
      <c r="P218" s="49">
        <f t="shared" si="103"/>
        <v>10549099</v>
      </c>
      <c r="Q218" s="39"/>
    </row>
    <row r="219" spans="2:17" s="9" customFormat="1" ht="12.75" customHeight="1" x14ac:dyDescent="0.2">
      <c r="B219" s="58" t="s">
        <v>16</v>
      </c>
      <c r="C219" s="59"/>
      <c r="D219" s="60">
        <f t="shared" ref="D219:P219" si="104">D218-D66</f>
        <v>0</v>
      </c>
      <c r="E219" s="60">
        <f t="shared" si="104"/>
        <v>0</v>
      </c>
      <c r="F219" s="60">
        <f t="shared" si="104"/>
        <v>0</v>
      </c>
      <c r="G219" s="60">
        <f t="shared" si="104"/>
        <v>0</v>
      </c>
      <c r="H219" s="60">
        <f t="shared" si="104"/>
        <v>0</v>
      </c>
      <c r="I219" s="60">
        <f t="shared" si="104"/>
        <v>0</v>
      </c>
      <c r="J219" s="60">
        <f t="shared" si="104"/>
        <v>0</v>
      </c>
      <c r="K219" s="60">
        <f t="shared" si="104"/>
        <v>0</v>
      </c>
      <c r="L219" s="60">
        <f t="shared" si="104"/>
        <v>0</v>
      </c>
      <c r="M219" s="60">
        <f t="shared" si="104"/>
        <v>0</v>
      </c>
      <c r="N219" s="60">
        <f t="shared" si="104"/>
        <v>0</v>
      </c>
      <c r="O219" s="60">
        <f t="shared" si="104"/>
        <v>0</v>
      </c>
      <c r="P219" s="60">
        <f t="shared" si="104"/>
        <v>0</v>
      </c>
      <c r="Q219" s="13"/>
    </row>
    <row r="220" spans="2:17" ht="12.75" customHeight="1" x14ac:dyDescent="0.2">
      <c r="C220" s="21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2:17" ht="12.75" customHeight="1" x14ac:dyDescent="0.2">
      <c r="B221" s="8" t="s">
        <v>102</v>
      </c>
      <c r="C221" s="21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2:17" ht="12.75" customHeight="1" x14ac:dyDescent="0.2">
      <c r="B222" s="53" t="s">
        <v>99</v>
      </c>
      <c r="C222" s="21"/>
      <c r="D222" s="39">
        <f>SUM(D183:D184)</f>
        <v>87533889.009726033</v>
      </c>
      <c r="E222" s="39">
        <f t="shared" ref="E222:O222" si="105">SUM(E183:E184)</f>
        <v>75106860.363732085</v>
      </c>
      <c r="F222" s="39">
        <f t="shared" si="105"/>
        <v>75906843.27997981</v>
      </c>
      <c r="G222" s="39">
        <f t="shared" si="105"/>
        <v>45716925.276464343</v>
      </c>
      <c r="H222" s="39">
        <f t="shared" si="105"/>
        <v>29262805.593980387</v>
      </c>
      <c r="I222" s="39">
        <f t="shared" si="105"/>
        <v>26496678.229610916</v>
      </c>
      <c r="J222" s="39">
        <f t="shared" si="105"/>
        <v>12731959.128610991</v>
      </c>
      <c r="K222" s="39">
        <f t="shared" si="105"/>
        <v>13627626.760545392</v>
      </c>
      <c r="L222" s="39">
        <f t="shared" si="105"/>
        <v>16002198.547508333</v>
      </c>
      <c r="M222" s="39">
        <f t="shared" si="105"/>
        <v>38344847.99795828</v>
      </c>
      <c r="N222" s="39">
        <f t="shared" si="105"/>
        <v>63463249.59884996</v>
      </c>
      <c r="O222" s="39">
        <f t="shared" si="105"/>
        <v>85305177.846041903</v>
      </c>
      <c r="P222" s="39">
        <f t="shared" ref="P222:P235" si="106">SUM(D222:O222)</f>
        <v>569499061.63300836</v>
      </c>
      <c r="Q222" s="39"/>
    </row>
    <row r="223" spans="2:17" ht="12.75" customHeight="1" x14ac:dyDescent="0.2">
      <c r="B223" s="52" t="s">
        <v>81</v>
      </c>
      <c r="C223" s="21"/>
      <c r="D223" s="39">
        <f>SUM(D185:D185,D188:D188)</f>
        <v>33972584.556457743</v>
      </c>
      <c r="E223" s="39">
        <f t="shared" ref="E223:O223" si="107">SUM(E185:E185,E188:E188)</f>
        <v>27717269.594925009</v>
      </c>
      <c r="F223" s="39">
        <f t="shared" si="107"/>
        <v>28655194.154110786</v>
      </c>
      <c r="G223" s="39">
        <f t="shared" si="107"/>
        <v>20408484.973938089</v>
      </c>
      <c r="H223" s="39">
        <f t="shared" si="107"/>
        <v>13206945.678287348</v>
      </c>
      <c r="I223" s="39">
        <f t="shared" si="107"/>
        <v>13285497.525058275</v>
      </c>
      <c r="J223" s="39">
        <f t="shared" si="107"/>
        <v>8438226.9363416638</v>
      </c>
      <c r="K223" s="39">
        <f t="shared" si="107"/>
        <v>6740823.5006704256</v>
      </c>
      <c r="L223" s="39">
        <f t="shared" si="107"/>
        <v>10732296.868123727</v>
      </c>
      <c r="M223" s="39">
        <f t="shared" si="107"/>
        <v>14628408.397144945</v>
      </c>
      <c r="N223" s="39">
        <f t="shared" si="107"/>
        <v>23259644.243499964</v>
      </c>
      <c r="O223" s="39">
        <f t="shared" si="107"/>
        <v>32267815.046007417</v>
      </c>
      <c r="P223" s="39">
        <f t="shared" si="106"/>
        <v>233313191.47456542</v>
      </c>
      <c r="Q223" s="39"/>
    </row>
    <row r="224" spans="2:17" ht="12.75" customHeight="1" x14ac:dyDescent="0.2">
      <c r="B224" s="53" t="s">
        <v>82</v>
      </c>
      <c r="C224" s="21"/>
      <c r="D224" s="39">
        <f t="shared" ref="D224:O225" si="108">D186</f>
        <v>8914655.1727054492</v>
      </c>
      <c r="E224" s="39">
        <f t="shared" si="108"/>
        <v>7300962.5043438198</v>
      </c>
      <c r="F224" s="39">
        <f t="shared" si="108"/>
        <v>7577920.7909626393</v>
      </c>
      <c r="G224" s="39">
        <f t="shared" si="108"/>
        <v>5917629.1177664604</v>
      </c>
      <c r="H224" s="39">
        <f t="shared" si="108"/>
        <v>4742000.3311355542</v>
      </c>
      <c r="I224" s="39">
        <f t="shared" si="108"/>
        <v>4925487.8872677991</v>
      </c>
      <c r="J224" s="39">
        <f t="shared" si="108"/>
        <v>4060503.198176953</v>
      </c>
      <c r="K224" s="39">
        <f t="shared" si="108"/>
        <v>3234261.3078577244</v>
      </c>
      <c r="L224" s="39">
        <f t="shared" si="108"/>
        <v>2594038.4521200201</v>
      </c>
      <c r="M224" s="39">
        <f t="shared" si="108"/>
        <v>5325230.6612084806</v>
      </c>
      <c r="N224" s="39">
        <f t="shared" si="108"/>
        <v>6777974.0165591352</v>
      </c>
      <c r="O224" s="39">
        <f t="shared" si="108"/>
        <v>10168731.266994797</v>
      </c>
      <c r="P224" s="39">
        <f t="shared" si="106"/>
        <v>71539394.707098842</v>
      </c>
      <c r="Q224" s="39"/>
    </row>
    <row r="225" spans="2:17" ht="12.75" customHeight="1" x14ac:dyDescent="0.2">
      <c r="B225" s="51" t="s">
        <v>83</v>
      </c>
      <c r="C225" s="21"/>
      <c r="D225" s="39">
        <f t="shared" si="108"/>
        <v>0</v>
      </c>
      <c r="E225" s="39">
        <f t="shared" si="108"/>
        <v>0</v>
      </c>
      <c r="F225" s="39">
        <f t="shared" si="108"/>
        <v>0</v>
      </c>
      <c r="G225" s="39">
        <f t="shared" si="108"/>
        <v>0</v>
      </c>
      <c r="H225" s="39">
        <f t="shared" si="108"/>
        <v>0</v>
      </c>
      <c r="I225" s="39">
        <f t="shared" si="108"/>
        <v>0</v>
      </c>
      <c r="J225" s="39">
        <f t="shared" si="108"/>
        <v>0</v>
      </c>
      <c r="K225" s="39">
        <f t="shared" si="108"/>
        <v>0</v>
      </c>
      <c r="L225" s="39">
        <f t="shared" si="108"/>
        <v>0</v>
      </c>
      <c r="M225" s="39">
        <f t="shared" si="108"/>
        <v>0</v>
      </c>
      <c r="N225" s="39">
        <f t="shared" si="108"/>
        <v>0</v>
      </c>
      <c r="O225" s="39">
        <f t="shared" si="108"/>
        <v>0</v>
      </c>
      <c r="P225" s="39">
        <f t="shared" si="106"/>
        <v>0</v>
      </c>
      <c r="Q225" s="39"/>
    </row>
    <row r="226" spans="2:17" ht="12.75" customHeight="1" x14ac:dyDescent="0.2">
      <c r="B226" s="53" t="s">
        <v>85</v>
      </c>
      <c r="C226" s="21"/>
      <c r="D226" s="39">
        <f t="shared" ref="D226:O235" si="109">D189</f>
        <v>2309822.7890867828</v>
      </c>
      <c r="E226" s="39">
        <f t="shared" si="109"/>
        <v>1841049.1412883785</v>
      </c>
      <c r="F226" s="39">
        <f t="shared" si="109"/>
        <v>1853350.9962626661</v>
      </c>
      <c r="G226" s="39">
        <f t="shared" si="109"/>
        <v>1801736.1589292833</v>
      </c>
      <c r="H226" s="39">
        <f t="shared" si="109"/>
        <v>1092548.181789367</v>
      </c>
      <c r="I226" s="39">
        <f t="shared" si="109"/>
        <v>1217674.909</v>
      </c>
      <c r="J226" s="39">
        <f t="shared" si="109"/>
        <v>1697427.0627308572</v>
      </c>
      <c r="K226" s="39">
        <f t="shared" si="109"/>
        <v>-31520.914919090283</v>
      </c>
      <c r="L226" s="39">
        <f t="shared" si="109"/>
        <v>1051267.2303299159</v>
      </c>
      <c r="M226" s="39">
        <f t="shared" si="109"/>
        <v>1100859.3936491187</v>
      </c>
      <c r="N226" s="39">
        <f t="shared" si="109"/>
        <v>1648508.222071276</v>
      </c>
      <c r="O226" s="39">
        <f t="shared" si="109"/>
        <v>2455775.7100758115</v>
      </c>
      <c r="P226" s="39">
        <f t="shared" si="106"/>
        <v>18038498.880294368</v>
      </c>
      <c r="Q226" s="39"/>
    </row>
    <row r="227" spans="2:17" ht="12.75" customHeight="1" x14ac:dyDescent="0.2">
      <c r="B227" s="53" t="s">
        <v>86</v>
      </c>
      <c r="C227" s="21"/>
      <c r="D227" s="39">
        <f t="shared" si="109"/>
        <v>747765.85406064836</v>
      </c>
      <c r="E227" s="39">
        <f t="shared" si="109"/>
        <v>559135.41777502908</v>
      </c>
      <c r="F227" s="39">
        <f t="shared" si="109"/>
        <v>516540.62481512484</v>
      </c>
      <c r="G227" s="39">
        <f t="shared" si="109"/>
        <v>498390.09934521694</v>
      </c>
      <c r="H227" s="39">
        <f t="shared" si="109"/>
        <v>346716.8523522169</v>
      </c>
      <c r="I227" s="39">
        <f t="shared" si="109"/>
        <v>378505.83900000004</v>
      </c>
      <c r="J227" s="39">
        <f t="shared" si="109"/>
        <v>148793.01096651304</v>
      </c>
      <c r="K227" s="39">
        <f t="shared" si="109"/>
        <v>142973.47045518307</v>
      </c>
      <c r="L227" s="39">
        <f t="shared" si="109"/>
        <v>184989.06272614383</v>
      </c>
      <c r="M227" s="39">
        <f t="shared" si="109"/>
        <v>338916.41713808553</v>
      </c>
      <c r="N227" s="39">
        <f t="shared" si="109"/>
        <v>449532.93409244117</v>
      </c>
      <c r="O227" s="39">
        <f t="shared" si="109"/>
        <v>595024.63612767367</v>
      </c>
      <c r="P227" s="39">
        <f t="shared" si="106"/>
        <v>4907284.2188542765</v>
      </c>
      <c r="Q227" s="39"/>
    </row>
    <row r="228" spans="2:17" ht="12.75" customHeight="1" x14ac:dyDescent="0.2">
      <c r="B228" s="53" t="s">
        <v>87</v>
      </c>
      <c r="C228" s="21"/>
      <c r="D228" s="39">
        <f t="shared" si="109"/>
        <v>2551692.2210299997</v>
      </c>
      <c r="E228" s="39">
        <f t="shared" si="109"/>
        <v>1648630.8825300003</v>
      </c>
      <c r="F228" s="39">
        <f t="shared" si="109"/>
        <v>1923987.4073349994</v>
      </c>
      <c r="G228" s="39">
        <f t="shared" si="109"/>
        <v>2529781.9067866676</v>
      </c>
      <c r="H228" s="39">
        <f t="shared" si="109"/>
        <v>1475996.0573700003</v>
      </c>
      <c r="I228" s="39">
        <f t="shared" si="109"/>
        <v>1417971.4280000001</v>
      </c>
      <c r="J228" s="39">
        <f t="shared" si="109"/>
        <v>1246783.8936881979</v>
      </c>
      <c r="K228" s="39">
        <f t="shared" si="109"/>
        <v>759342.77149999992</v>
      </c>
      <c r="L228" s="39">
        <f t="shared" si="109"/>
        <v>863948.82400000002</v>
      </c>
      <c r="M228" s="39">
        <f t="shared" si="109"/>
        <v>1363873.6576999996</v>
      </c>
      <c r="N228" s="39">
        <f t="shared" si="109"/>
        <v>3806299.8757216665</v>
      </c>
      <c r="O228" s="39">
        <f t="shared" si="109"/>
        <v>-862760.14929000044</v>
      </c>
      <c r="P228" s="39">
        <f t="shared" si="106"/>
        <v>18725548.776371531</v>
      </c>
      <c r="Q228" s="39"/>
    </row>
    <row r="229" spans="2:17" ht="12.75" customHeight="1" x14ac:dyDescent="0.2">
      <c r="B229" s="2" t="s">
        <v>88</v>
      </c>
      <c r="C229" s="21"/>
      <c r="D229" s="39">
        <f t="shared" si="109"/>
        <v>0</v>
      </c>
      <c r="E229" s="39">
        <f t="shared" si="109"/>
        <v>0</v>
      </c>
      <c r="F229" s="39">
        <f t="shared" si="109"/>
        <v>0</v>
      </c>
      <c r="G229" s="39">
        <f t="shared" si="109"/>
        <v>0</v>
      </c>
      <c r="H229" s="39">
        <f t="shared" si="109"/>
        <v>0</v>
      </c>
      <c r="I229" s="39">
        <f t="shared" si="109"/>
        <v>0</v>
      </c>
      <c r="J229" s="39">
        <f t="shared" si="109"/>
        <v>0</v>
      </c>
      <c r="K229" s="39">
        <f t="shared" si="109"/>
        <v>0</v>
      </c>
      <c r="L229" s="39">
        <f t="shared" si="109"/>
        <v>0</v>
      </c>
      <c r="M229" s="39">
        <f t="shared" si="109"/>
        <v>0</v>
      </c>
      <c r="N229" s="39">
        <f t="shared" si="109"/>
        <v>0</v>
      </c>
      <c r="O229" s="39">
        <f t="shared" si="109"/>
        <v>0</v>
      </c>
      <c r="P229" s="39">
        <f t="shared" si="106"/>
        <v>0</v>
      </c>
      <c r="Q229" s="39"/>
    </row>
    <row r="230" spans="2:17" ht="12.75" customHeight="1" x14ac:dyDescent="0.2">
      <c r="B230" s="2" t="s">
        <v>89</v>
      </c>
      <c r="C230" s="21"/>
      <c r="D230" s="39">
        <f t="shared" si="109"/>
        <v>1937645.5059768751</v>
      </c>
      <c r="E230" s="39">
        <f t="shared" si="109"/>
        <v>2006670.3485693752</v>
      </c>
      <c r="F230" s="39">
        <f t="shared" si="109"/>
        <v>1734949.887696604</v>
      </c>
      <c r="G230" s="39">
        <f t="shared" si="109"/>
        <v>1601262.7746529251</v>
      </c>
      <c r="H230" s="39">
        <f t="shared" si="109"/>
        <v>1769815.4662973001</v>
      </c>
      <c r="I230" s="39">
        <f t="shared" si="109"/>
        <v>1732916.4100000001</v>
      </c>
      <c r="J230" s="39">
        <f t="shared" si="109"/>
        <v>1568103.9800000002</v>
      </c>
      <c r="K230" s="39">
        <f t="shared" si="109"/>
        <v>1582491.19</v>
      </c>
      <c r="L230" s="39">
        <f t="shared" si="109"/>
        <v>1628342.59</v>
      </c>
      <c r="M230" s="39">
        <f t="shared" si="109"/>
        <v>1761143.9265605668</v>
      </c>
      <c r="N230" s="39">
        <f t="shared" si="109"/>
        <v>2895672.7554343743</v>
      </c>
      <c r="O230" s="39">
        <f t="shared" si="109"/>
        <v>647112.77794374991</v>
      </c>
      <c r="P230" s="39">
        <f t="shared" si="106"/>
        <v>20866127.613131769</v>
      </c>
      <c r="Q230" s="39"/>
    </row>
    <row r="231" spans="2:17" ht="12.75" customHeight="1" x14ac:dyDescent="0.2">
      <c r="B231" s="2" t="s">
        <v>90</v>
      </c>
      <c r="C231" s="21"/>
      <c r="D231" s="39">
        <f t="shared" si="109"/>
        <v>4435062.7014607508</v>
      </c>
      <c r="E231" s="39">
        <f t="shared" si="109"/>
        <v>4980440.7144764997</v>
      </c>
      <c r="F231" s="39">
        <f t="shared" si="109"/>
        <v>4372258.9858132508</v>
      </c>
      <c r="G231" s="39">
        <f t="shared" si="109"/>
        <v>5437824.9875565004</v>
      </c>
      <c r="H231" s="39">
        <f t="shared" si="109"/>
        <v>4505262.914867999</v>
      </c>
      <c r="I231" s="39">
        <f t="shared" si="109"/>
        <v>4581112.8800000008</v>
      </c>
      <c r="J231" s="39">
        <f t="shared" si="109"/>
        <v>4090975.64</v>
      </c>
      <c r="K231" s="39">
        <f t="shared" si="109"/>
        <v>4290185.6400000006</v>
      </c>
      <c r="L231" s="39">
        <f t="shared" si="109"/>
        <v>4224758.72</v>
      </c>
      <c r="M231" s="39">
        <f t="shared" si="109"/>
        <v>5140483.1859166669</v>
      </c>
      <c r="N231" s="39">
        <f t="shared" si="109"/>
        <v>7738890.5080883326</v>
      </c>
      <c r="O231" s="39">
        <f t="shared" si="109"/>
        <v>1274281.6747993329</v>
      </c>
      <c r="P231" s="39">
        <f t="shared" si="106"/>
        <v>55071538.552979335</v>
      </c>
      <c r="Q231" s="39"/>
    </row>
    <row r="232" spans="2:17" ht="12.75" customHeight="1" x14ac:dyDescent="0.2">
      <c r="B232" s="9" t="s">
        <v>95</v>
      </c>
      <c r="C232" s="21"/>
      <c r="D232" s="39">
        <f t="shared" si="109"/>
        <v>37957.479999999996</v>
      </c>
      <c r="E232" s="39">
        <f t="shared" si="109"/>
        <v>35781.79</v>
      </c>
      <c r="F232" s="39">
        <f t="shared" si="109"/>
        <v>30737.5</v>
      </c>
      <c r="G232" s="39">
        <f t="shared" si="109"/>
        <v>52421.020000000019</v>
      </c>
      <c r="H232" s="39">
        <f t="shared" si="109"/>
        <v>63006.17</v>
      </c>
      <c r="I232" s="39">
        <f t="shared" si="109"/>
        <v>70789.38</v>
      </c>
      <c r="J232" s="39">
        <f t="shared" si="109"/>
        <v>48944.289999999994</v>
      </c>
      <c r="K232" s="39">
        <f t="shared" si="109"/>
        <v>73375.700000000012</v>
      </c>
      <c r="L232" s="39">
        <f t="shared" si="109"/>
        <v>56165.999999999985</v>
      </c>
      <c r="M232" s="39">
        <f t="shared" si="109"/>
        <v>101585.94</v>
      </c>
      <c r="N232" s="39">
        <f t="shared" si="109"/>
        <v>92064.6</v>
      </c>
      <c r="O232" s="39">
        <f t="shared" si="109"/>
        <v>-3779.7800000000025</v>
      </c>
      <c r="P232" s="39">
        <f t="shared" si="106"/>
        <v>659050.09</v>
      </c>
      <c r="Q232" s="39"/>
    </row>
    <row r="233" spans="2:17" ht="12.75" customHeight="1" x14ac:dyDescent="0.2">
      <c r="B233" s="2" t="s">
        <v>92</v>
      </c>
      <c r="C233" s="21"/>
      <c r="D233" s="39">
        <f t="shared" si="109"/>
        <v>5742149.8166624997</v>
      </c>
      <c r="E233" s="39">
        <f t="shared" si="109"/>
        <v>7117576.1645449996</v>
      </c>
      <c r="F233" s="39">
        <f t="shared" si="109"/>
        <v>6367579.1848783325</v>
      </c>
      <c r="G233" s="39">
        <f t="shared" si="109"/>
        <v>3804638.0081958338</v>
      </c>
      <c r="H233" s="39">
        <f t="shared" si="109"/>
        <v>7512217.0000233352</v>
      </c>
      <c r="I233" s="39">
        <f t="shared" si="109"/>
        <v>4982330.0398458326</v>
      </c>
      <c r="J233" s="39">
        <f t="shared" si="109"/>
        <v>5742501.5899999999</v>
      </c>
      <c r="K233" s="39">
        <f t="shared" si="109"/>
        <v>5350640.99</v>
      </c>
      <c r="L233" s="39">
        <f t="shared" si="109"/>
        <v>5060175.91</v>
      </c>
      <c r="M233" s="39">
        <f t="shared" si="109"/>
        <v>4960223.9092650004</v>
      </c>
      <c r="N233" s="39">
        <f t="shared" si="109"/>
        <v>10333323.826433748</v>
      </c>
      <c r="O233" s="39">
        <f t="shared" si="109"/>
        <v>930847.47293499892</v>
      </c>
      <c r="P233" s="39">
        <f t="shared" si="106"/>
        <v>67904203.912784591</v>
      </c>
      <c r="Q233" s="39"/>
    </row>
    <row r="234" spans="2:17" ht="12.75" customHeight="1" x14ac:dyDescent="0.2">
      <c r="B234" s="2" t="s">
        <v>96</v>
      </c>
      <c r="C234" s="21"/>
      <c r="D234" s="39">
        <f t="shared" si="109"/>
        <v>2286937</v>
      </c>
      <c r="E234" s="39">
        <f t="shared" si="109"/>
        <v>504390</v>
      </c>
      <c r="F234" s="39">
        <f t="shared" si="109"/>
        <v>4462697.6100000003</v>
      </c>
      <c r="G234" s="39">
        <f t="shared" si="109"/>
        <v>2123142</v>
      </c>
      <c r="H234" s="39">
        <f t="shared" si="109"/>
        <v>3633702</v>
      </c>
      <c r="I234" s="39">
        <f t="shared" si="109"/>
        <v>0</v>
      </c>
      <c r="J234" s="39">
        <f t="shared" si="109"/>
        <v>3918895</v>
      </c>
      <c r="K234" s="39">
        <f t="shared" si="109"/>
        <v>4006391.77490234</v>
      </c>
      <c r="L234" s="39">
        <f t="shared" si="109"/>
        <v>2018187.7880859401</v>
      </c>
      <c r="M234" s="39">
        <f t="shared" si="109"/>
        <v>2004158.6816406201</v>
      </c>
      <c r="N234" s="39">
        <f t="shared" si="109"/>
        <v>4554891.9140625</v>
      </c>
      <c r="O234" s="39">
        <f t="shared" si="109"/>
        <v>3473949.0283203102</v>
      </c>
      <c r="P234" s="39">
        <f t="shared" ref="P234" si="110">SUM(D234:O234)</f>
        <v>32987342.797011711</v>
      </c>
      <c r="Q234" s="39"/>
    </row>
    <row r="235" spans="2:17" s="40" customFormat="1" ht="12.75" customHeight="1" x14ac:dyDescent="0.2">
      <c r="B235" s="53" t="s">
        <v>93</v>
      </c>
      <c r="C235" s="54"/>
      <c r="D235" s="39">
        <f t="shared" si="109"/>
        <v>14540571.367835004</v>
      </c>
      <c r="E235" s="39">
        <f t="shared" si="109"/>
        <v>3522075.0580224996</v>
      </c>
      <c r="F235" s="39">
        <f t="shared" si="109"/>
        <v>3978650.306104999</v>
      </c>
      <c r="G235" s="39">
        <f t="shared" si="109"/>
        <v>2753079.9856875008</v>
      </c>
      <c r="H235" s="39">
        <f t="shared" si="109"/>
        <v>2191793.8747825013</v>
      </c>
      <c r="I235" s="39">
        <f t="shared" si="109"/>
        <v>777566.87</v>
      </c>
      <c r="J235" s="39">
        <f t="shared" si="109"/>
        <v>3224593.7</v>
      </c>
      <c r="K235" s="39">
        <f t="shared" si="109"/>
        <v>1676269.07</v>
      </c>
      <c r="L235" s="39">
        <f t="shared" si="109"/>
        <v>1453837.38</v>
      </c>
      <c r="M235" s="39">
        <f t="shared" si="109"/>
        <v>1745437.5707499993</v>
      </c>
      <c r="N235" s="39">
        <f t="shared" si="109"/>
        <v>4535910.4784774985</v>
      </c>
      <c r="O235" s="39">
        <f t="shared" si="109"/>
        <v>1725240.6030049992</v>
      </c>
      <c r="P235" s="39">
        <f t="shared" si="106"/>
        <v>42125026.264665008</v>
      </c>
      <c r="Q235" s="39"/>
    </row>
    <row r="236" spans="2:17" ht="12.75" customHeight="1" x14ac:dyDescent="0.2">
      <c r="B236" s="51" t="s">
        <v>97</v>
      </c>
      <c r="C236" s="21"/>
      <c r="D236" s="49">
        <f t="shared" ref="D236:P236" si="111">SUM(D222:D235)</f>
        <v>165010733.47500178</v>
      </c>
      <c r="E236" s="49">
        <f t="shared" si="111"/>
        <v>132340841.98020771</v>
      </c>
      <c r="F236" s="49">
        <f t="shared" si="111"/>
        <v>137380710.72795922</v>
      </c>
      <c r="G236" s="49">
        <f t="shared" si="111"/>
        <v>92645316.309322819</v>
      </c>
      <c r="H236" s="49">
        <f t="shared" si="111"/>
        <v>69802810.120886013</v>
      </c>
      <c r="I236" s="49">
        <f t="shared" si="111"/>
        <v>59866531.397782832</v>
      </c>
      <c r="J236" s="49">
        <f t="shared" si="111"/>
        <v>46917707.430515185</v>
      </c>
      <c r="K236" s="49">
        <f t="shared" si="111"/>
        <v>41452861.26101198</v>
      </c>
      <c r="L236" s="49">
        <f t="shared" si="111"/>
        <v>45870207.372894086</v>
      </c>
      <c r="M236" s="49">
        <f t="shared" si="111"/>
        <v>76815169.73893176</v>
      </c>
      <c r="N236" s="49">
        <f t="shared" si="111"/>
        <v>129555962.97329089</v>
      </c>
      <c r="O236" s="49">
        <f t="shared" si="111"/>
        <v>137977416.132961</v>
      </c>
      <c r="P236" s="49">
        <f t="shared" si="111"/>
        <v>1135636268.9207649</v>
      </c>
      <c r="Q236" s="39"/>
    </row>
    <row r="237" spans="2:17" ht="12.75" customHeight="1" x14ac:dyDescent="0.2">
      <c r="B237" s="51" t="s">
        <v>16</v>
      </c>
      <c r="C237" s="21"/>
      <c r="D237" s="39">
        <f t="shared" ref="D237:P237" si="112">D236-D199</f>
        <v>0</v>
      </c>
      <c r="E237" s="39">
        <f t="shared" si="112"/>
        <v>0</v>
      </c>
      <c r="F237" s="39">
        <f t="shared" si="112"/>
        <v>0</v>
      </c>
      <c r="G237" s="39">
        <f t="shared" si="112"/>
        <v>0</v>
      </c>
      <c r="H237" s="39">
        <f t="shared" si="112"/>
        <v>0</v>
      </c>
      <c r="I237" s="39">
        <f t="shared" si="112"/>
        <v>0</v>
      </c>
      <c r="J237" s="39">
        <f t="shared" si="112"/>
        <v>0</v>
      </c>
      <c r="K237" s="39">
        <f t="shared" si="112"/>
        <v>0</v>
      </c>
      <c r="L237" s="39">
        <f t="shared" si="112"/>
        <v>0</v>
      </c>
      <c r="M237" s="39">
        <f t="shared" si="112"/>
        <v>0</v>
      </c>
      <c r="N237" s="39">
        <f t="shared" si="112"/>
        <v>0</v>
      </c>
      <c r="O237" s="39">
        <f t="shared" si="112"/>
        <v>0</v>
      </c>
      <c r="P237" s="39">
        <f t="shared" si="112"/>
        <v>0</v>
      </c>
      <c r="Q237" s="39"/>
    </row>
    <row r="238" spans="2:17" ht="12.75" customHeight="1" x14ac:dyDescent="0.2">
      <c r="B238" s="51"/>
      <c r="C238" s="21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2:17" ht="12.75" customHeight="1" x14ac:dyDescent="0.2">
      <c r="B239" s="51" t="s">
        <v>103</v>
      </c>
      <c r="C239" s="21"/>
      <c r="D239" s="39">
        <f>SUM(D222:D228)</f>
        <v>136030409.60306665</v>
      </c>
      <c r="E239" s="39">
        <f t="shared" ref="E239:O239" si="113">SUM(E222:E228)</f>
        <v>114173907.90459433</v>
      </c>
      <c r="F239" s="39">
        <f t="shared" si="113"/>
        <v>116433837.25346602</v>
      </c>
      <c r="G239" s="39">
        <f t="shared" si="113"/>
        <v>76872947.533230066</v>
      </c>
      <c r="H239" s="39">
        <f t="shared" si="113"/>
        <v>50127012.694914877</v>
      </c>
      <c r="I239" s="39">
        <f t="shared" si="113"/>
        <v>47721815.817936994</v>
      </c>
      <c r="J239" s="39">
        <f t="shared" si="113"/>
        <v>28323693.230515178</v>
      </c>
      <c r="K239" s="39">
        <f t="shared" si="113"/>
        <v>24473506.896109637</v>
      </c>
      <c r="L239" s="39">
        <f t="shared" si="113"/>
        <v>31428738.984808143</v>
      </c>
      <c r="M239" s="39">
        <f t="shared" si="113"/>
        <v>61102136.524798907</v>
      </c>
      <c r="N239" s="39">
        <f t="shared" si="113"/>
        <v>99405208.890794441</v>
      </c>
      <c r="O239" s="39">
        <f t="shared" si="113"/>
        <v>129929764.35595761</v>
      </c>
      <c r="P239" s="39">
        <f>SUM(D239:O239)</f>
        <v>916022979.69019258</v>
      </c>
      <c r="Q239" s="39"/>
    </row>
    <row r="240" spans="2:17" ht="12.75" customHeight="1" x14ac:dyDescent="0.2">
      <c r="B240" s="51" t="s">
        <v>104</v>
      </c>
      <c r="C240" s="21"/>
      <c r="D240" s="39">
        <f>SUM(D229:D235)</f>
        <v>28980323.871935129</v>
      </c>
      <c r="E240" s="39">
        <f t="shared" ref="E240:O240" si="114">SUM(E229:E235)</f>
        <v>18166934.075613376</v>
      </c>
      <c r="F240" s="39">
        <f t="shared" si="114"/>
        <v>20946873.474493187</v>
      </c>
      <c r="G240" s="39">
        <f t="shared" si="114"/>
        <v>15772368.77609276</v>
      </c>
      <c r="H240" s="39">
        <f t="shared" si="114"/>
        <v>19675797.425971135</v>
      </c>
      <c r="I240" s="39">
        <f t="shared" si="114"/>
        <v>12144715.579845833</v>
      </c>
      <c r="J240" s="39">
        <f t="shared" si="114"/>
        <v>18594014.199999999</v>
      </c>
      <c r="K240" s="39">
        <f t="shared" si="114"/>
        <v>16979354.36490234</v>
      </c>
      <c r="L240" s="39">
        <f t="shared" si="114"/>
        <v>14441468.388085939</v>
      </c>
      <c r="M240" s="39">
        <f t="shared" si="114"/>
        <v>15713033.214132853</v>
      </c>
      <c r="N240" s="39">
        <f t="shared" si="114"/>
        <v>30150754.082496457</v>
      </c>
      <c r="O240" s="39">
        <f t="shared" si="114"/>
        <v>8047651.7770033907</v>
      </c>
      <c r="P240" s="39">
        <f>SUM(D240:O240)</f>
        <v>219613289.23057237</v>
      </c>
      <c r="Q240" s="39"/>
    </row>
    <row r="241" spans="2:17" ht="12.75" customHeight="1" x14ac:dyDescent="0.2">
      <c r="B241" s="51" t="s">
        <v>6</v>
      </c>
      <c r="C241" s="21"/>
      <c r="D241" s="49">
        <f t="shared" ref="D241:P241" si="115">SUM(D239:D240)</f>
        <v>165010733.47500178</v>
      </c>
      <c r="E241" s="49">
        <f t="shared" si="115"/>
        <v>132340841.98020771</v>
      </c>
      <c r="F241" s="49">
        <f t="shared" si="115"/>
        <v>137380710.72795922</v>
      </c>
      <c r="G241" s="49">
        <f t="shared" si="115"/>
        <v>92645316.309322834</v>
      </c>
      <c r="H241" s="49">
        <f t="shared" si="115"/>
        <v>69802810.120886013</v>
      </c>
      <c r="I241" s="49">
        <f t="shared" si="115"/>
        <v>59866531.397782825</v>
      </c>
      <c r="J241" s="49">
        <f t="shared" si="115"/>
        <v>46917707.430515178</v>
      </c>
      <c r="K241" s="49">
        <f t="shared" si="115"/>
        <v>41452861.261011973</v>
      </c>
      <c r="L241" s="49">
        <f t="shared" si="115"/>
        <v>45870207.372894078</v>
      </c>
      <c r="M241" s="49">
        <f t="shared" si="115"/>
        <v>76815169.73893176</v>
      </c>
      <c r="N241" s="49">
        <f t="shared" si="115"/>
        <v>129555962.97329089</v>
      </c>
      <c r="O241" s="49">
        <f t="shared" si="115"/>
        <v>137977416.132961</v>
      </c>
      <c r="P241" s="49">
        <f t="shared" si="115"/>
        <v>1135636268.9207649</v>
      </c>
      <c r="Q241" s="39"/>
    </row>
    <row r="242" spans="2:17" ht="12.75" customHeight="1" x14ac:dyDescent="0.2">
      <c r="B242" s="55" t="s">
        <v>16</v>
      </c>
      <c r="C242" s="56"/>
      <c r="D242" s="57">
        <f t="shared" ref="D242:P242" si="116">D241-D236</f>
        <v>0</v>
      </c>
      <c r="E242" s="57">
        <f t="shared" si="116"/>
        <v>0</v>
      </c>
      <c r="F242" s="57">
        <f t="shared" si="116"/>
        <v>0</v>
      </c>
      <c r="G242" s="57">
        <f t="shared" si="116"/>
        <v>0</v>
      </c>
      <c r="H242" s="57">
        <f t="shared" si="116"/>
        <v>0</v>
      </c>
      <c r="I242" s="57">
        <f t="shared" si="116"/>
        <v>0</v>
      </c>
      <c r="J242" s="57">
        <f t="shared" si="116"/>
        <v>0</v>
      </c>
      <c r="K242" s="57">
        <f t="shared" si="116"/>
        <v>0</v>
      </c>
      <c r="L242" s="57">
        <f t="shared" si="116"/>
        <v>0</v>
      </c>
      <c r="M242" s="57">
        <f t="shared" si="116"/>
        <v>0</v>
      </c>
      <c r="N242" s="57">
        <f t="shared" si="116"/>
        <v>0</v>
      </c>
      <c r="O242" s="57">
        <f t="shared" si="116"/>
        <v>0</v>
      </c>
      <c r="P242" s="57">
        <f t="shared" si="116"/>
        <v>0</v>
      </c>
      <c r="Q242" s="39"/>
    </row>
    <row r="243" spans="2:17" s="9" customFormat="1" ht="12.75" customHeight="1" x14ac:dyDescent="0.2">
      <c r="B243" s="51"/>
      <c r="C243" s="21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2:17" s="9" customFormat="1" ht="12.75" customHeight="1" x14ac:dyDescent="0.2">
      <c r="B244" s="61" t="s">
        <v>105</v>
      </c>
      <c r="C244" s="21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2:17" s="9" customFormat="1" ht="12.75" customHeight="1" x14ac:dyDescent="0.2">
      <c r="B245" s="9" t="s">
        <v>106</v>
      </c>
      <c r="C245" s="25">
        <v>23</v>
      </c>
      <c r="D245" s="13">
        <f t="shared" ref="D245:O257" si="117">IFERROR(ROUND(SUMIF($C$116:$C$141,$C245,D$116:D$141),0)/ROUND(SUMIF($C$37:$C$65,$C245,D$37:D$65),0),0)</f>
        <v>106.97070120360311</v>
      </c>
      <c r="E245" s="13">
        <f t="shared" si="117"/>
        <v>91.738097041177269</v>
      </c>
      <c r="F245" s="13">
        <f t="shared" si="117"/>
        <v>92.683871787013373</v>
      </c>
      <c r="G245" s="13">
        <f t="shared" si="117"/>
        <v>55.81775026555804</v>
      </c>
      <c r="H245" s="13">
        <f t="shared" si="117"/>
        <v>35.723581454004304</v>
      </c>
      <c r="I245" s="13">
        <f t="shared" si="117"/>
        <v>32.340161553333594</v>
      </c>
      <c r="J245" s="13">
        <f t="shared" si="117"/>
        <v>15.541296946659001</v>
      </c>
      <c r="K245" s="13">
        <f t="shared" si="117"/>
        <v>16.631879190125673</v>
      </c>
      <c r="L245" s="13">
        <f t="shared" si="117"/>
        <v>19.528254406818547</v>
      </c>
      <c r="M245" s="13">
        <f t="shared" si="117"/>
        <v>46.762296581396711</v>
      </c>
      <c r="N245" s="13">
        <f t="shared" si="117"/>
        <v>77.336899418840588</v>
      </c>
      <c r="O245" s="13">
        <f t="shared" si="117"/>
        <v>103.90994922942744</v>
      </c>
      <c r="P245" s="13">
        <f>SUM(D245:O245)</f>
        <v>694.98473907795767</v>
      </c>
      <c r="Q245" s="13"/>
    </row>
    <row r="246" spans="2:17" s="9" customFormat="1" ht="12.75" customHeight="1" x14ac:dyDescent="0.2">
      <c r="B246" s="9" t="s">
        <v>107</v>
      </c>
      <c r="C246" s="25">
        <v>31</v>
      </c>
      <c r="D246" s="13">
        <f t="shared" si="117"/>
        <v>585.65344435250313</v>
      </c>
      <c r="E246" s="13">
        <f t="shared" si="117"/>
        <v>477.39833617527</v>
      </c>
      <c r="F246" s="13">
        <f t="shared" si="117"/>
        <v>493.50200637216915</v>
      </c>
      <c r="G246" s="13">
        <f t="shared" si="117"/>
        <v>351.63398749116971</v>
      </c>
      <c r="H246" s="13">
        <f t="shared" si="117"/>
        <v>227.47065105063726</v>
      </c>
      <c r="I246" s="13">
        <f t="shared" si="117"/>
        <v>228.95767414607246</v>
      </c>
      <c r="J246" s="13">
        <f t="shared" si="117"/>
        <v>145.4615928288226</v>
      </c>
      <c r="K246" s="13">
        <f t="shared" si="117"/>
        <v>116.17503403822622</v>
      </c>
      <c r="L246" s="13">
        <f t="shared" si="117"/>
        <v>185.01089486114225</v>
      </c>
      <c r="M246" s="13">
        <f t="shared" si="117"/>
        <v>252.32704315727739</v>
      </c>
      <c r="N246" s="13">
        <f t="shared" si="117"/>
        <v>400.70363670818477</v>
      </c>
      <c r="O246" s="13">
        <f t="shared" si="117"/>
        <v>555.42231823189206</v>
      </c>
      <c r="P246" s="13">
        <f t="shared" ref="P246:P260" si="118">SUM(D246:O246)</f>
        <v>4019.7166194133665</v>
      </c>
      <c r="Q246" s="13"/>
    </row>
    <row r="247" spans="2:17" s="9" customFormat="1" ht="12.75" customHeight="1" x14ac:dyDescent="0.2">
      <c r="B247" s="9" t="s">
        <v>108</v>
      </c>
      <c r="C247" s="25">
        <v>41</v>
      </c>
      <c r="D247" s="13">
        <f t="shared" si="117"/>
        <v>6779.2053231939162</v>
      </c>
      <c r="E247" s="13">
        <f t="shared" si="117"/>
        <v>5547.8442249240125</v>
      </c>
      <c r="F247" s="13">
        <f t="shared" si="117"/>
        <v>5758.2986322188453</v>
      </c>
      <c r="G247" s="13">
        <f t="shared" si="117"/>
        <v>4503.522831050228</v>
      </c>
      <c r="H247" s="13">
        <f t="shared" si="117"/>
        <v>3667.4400618716163</v>
      </c>
      <c r="I247" s="13">
        <f t="shared" si="117"/>
        <v>3818.2077519379845</v>
      </c>
      <c r="J247" s="13">
        <f t="shared" si="117"/>
        <v>3137.9466769706337</v>
      </c>
      <c r="K247" s="13">
        <f t="shared" si="117"/>
        <v>2499.4289026275114</v>
      </c>
      <c r="L247" s="13">
        <f t="shared" si="117"/>
        <v>1986.2465543644716</v>
      </c>
      <c r="M247" s="13">
        <f t="shared" si="117"/>
        <v>4012.9849284099473</v>
      </c>
      <c r="N247" s="13">
        <f t="shared" si="117"/>
        <v>5054.417598806861</v>
      </c>
      <c r="O247" s="13">
        <f t="shared" si="117"/>
        <v>7594.272591486184</v>
      </c>
      <c r="P247" s="13">
        <f t="shared" si="118"/>
        <v>54359.816077862211</v>
      </c>
      <c r="Q247" s="13"/>
    </row>
    <row r="248" spans="2:17" s="9" customFormat="1" ht="12.75" customHeight="1" x14ac:dyDescent="0.2">
      <c r="B248" s="9" t="s">
        <v>29</v>
      </c>
      <c r="C248" s="25">
        <v>53</v>
      </c>
      <c r="D248" s="13">
        <f t="shared" si="117"/>
        <v>0</v>
      </c>
      <c r="E248" s="13">
        <f t="shared" si="117"/>
        <v>0</v>
      </c>
      <c r="F248" s="13">
        <f t="shared" si="117"/>
        <v>0</v>
      </c>
      <c r="G248" s="13">
        <f t="shared" si="117"/>
        <v>0</v>
      </c>
      <c r="H248" s="13">
        <f t="shared" si="117"/>
        <v>0</v>
      </c>
      <c r="I248" s="13">
        <f t="shared" si="117"/>
        <v>0</v>
      </c>
      <c r="J248" s="13">
        <f t="shared" si="117"/>
        <v>0</v>
      </c>
      <c r="K248" s="13">
        <f t="shared" si="117"/>
        <v>0</v>
      </c>
      <c r="L248" s="13">
        <f t="shared" si="117"/>
        <v>0</v>
      </c>
      <c r="M248" s="13">
        <f t="shared" si="117"/>
        <v>0</v>
      </c>
      <c r="N248" s="13">
        <f t="shared" si="117"/>
        <v>0</v>
      </c>
      <c r="O248" s="13">
        <f t="shared" si="117"/>
        <v>0</v>
      </c>
      <c r="P248" s="13">
        <f t="shared" si="118"/>
        <v>0</v>
      </c>
      <c r="Q248" s="13"/>
    </row>
    <row r="249" spans="2:17" s="9" customFormat="1" ht="12.75" customHeight="1" x14ac:dyDescent="0.2">
      <c r="B249" s="9" t="s">
        <v>32</v>
      </c>
      <c r="C249" s="25">
        <v>50</v>
      </c>
      <c r="D249" s="13">
        <f t="shared" si="117"/>
        <v>0</v>
      </c>
      <c r="E249" s="13">
        <f t="shared" si="117"/>
        <v>0</v>
      </c>
      <c r="F249" s="13">
        <f t="shared" si="117"/>
        <v>0</v>
      </c>
      <c r="G249" s="13">
        <f t="shared" si="117"/>
        <v>0</v>
      </c>
      <c r="H249" s="13">
        <f t="shared" si="117"/>
        <v>0</v>
      </c>
      <c r="I249" s="13">
        <f t="shared" si="117"/>
        <v>0</v>
      </c>
      <c r="J249" s="13">
        <f t="shared" si="117"/>
        <v>0</v>
      </c>
      <c r="K249" s="13">
        <f t="shared" si="117"/>
        <v>0</v>
      </c>
      <c r="L249" s="13">
        <f t="shared" si="117"/>
        <v>0</v>
      </c>
      <c r="M249" s="13">
        <f t="shared" si="117"/>
        <v>0</v>
      </c>
      <c r="N249" s="13">
        <f t="shared" si="117"/>
        <v>0</v>
      </c>
      <c r="O249" s="13">
        <f t="shared" si="117"/>
        <v>0</v>
      </c>
      <c r="P249" s="13">
        <f t="shared" si="118"/>
        <v>0</v>
      </c>
      <c r="Q249" s="13"/>
    </row>
    <row r="250" spans="2:17" s="9" customFormat="1" ht="12.75" customHeight="1" x14ac:dyDescent="0.2">
      <c r="B250" s="2" t="s">
        <v>109</v>
      </c>
      <c r="C250" s="25" t="s">
        <v>41</v>
      </c>
      <c r="D250" s="13">
        <f t="shared" si="117"/>
        <v>0</v>
      </c>
      <c r="E250" s="13">
        <f t="shared" si="117"/>
        <v>0</v>
      </c>
      <c r="F250" s="13">
        <f t="shared" si="117"/>
        <v>0</v>
      </c>
      <c r="G250" s="13">
        <f t="shared" si="117"/>
        <v>0</v>
      </c>
      <c r="H250" s="13">
        <f t="shared" si="117"/>
        <v>0</v>
      </c>
      <c r="I250" s="13">
        <f t="shared" si="117"/>
        <v>0</v>
      </c>
      <c r="J250" s="13">
        <f t="shared" si="117"/>
        <v>0</v>
      </c>
      <c r="K250" s="13">
        <f t="shared" si="117"/>
        <v>0</v>
      </c>
      <c r="L250" s="13">
        <f t="shared" si="117"/>
        <v>0</v>
      </c>
      <c r="M250" s="13">
        <f t="shared" si="117"/>
        <v>0</v>
      </c>
      <c r="N250" s="13">
        <f t="shared" si="117"/>
        <v>0</v>
      </c>
      <c r="O250" s="13">
        <f t="shared" si="117"/>
        <v>0</v>
      </c>
      <c r="P250" s="13">
        <f t="shared" si="118"/>
        <v>0</v>
      </c>
      <c r="Q250" s="13"/>
    </row>
    <row r="251" spans="2:17" s="9" customFormat="1" ht="12.75" customHeight="1" x14ac:dyDescent="0.2">
      <c r="B251" s="9" t="s">
        <v>110</v>
      </c>
      <c r="C251" s="25" t="s">
        <v>43</v>
      </c>
      <c r="D251" s="13">
        <f t="shared" si="117"/>
        <v>21061.369565217392</v>
      </c>
      <c r="E251" s="13">
        <f t="shared" si="117"/>
        <v>22051.31868131868</v>
      </c>
      <c r="F251" s="13">
        <f t="shared" si="117"/>
        <v>18456.91489361702</v>
      </c>
      <c r="G251" s="13">
        <f t="shared" si="117"/>
        <v>17034.712765957447</v>
      </c>
      <c r="H251" s="13">
        <f t="shared" si="117"/>
        <v>18827.819148936171</v>
      </c>
      <c r="I251" s="13">
        <f t="shared" si="117"/>
        <v>18051.208333333332</v>
      </c>
      <c r="J251" s="13">
        <f t="shared" si="117"/>
        <v>16334.416666666666</v>
      </c>
      <c r="K251" s="13">
        <f t="shared" si="117"/>
        <v>16484.28125</v>
      </c>
      <c r="L251" s="13">
        <f t="shared" si="117"/>
        <v>16961.90625</v>
      </c>
      <c r="M251" s="13">
        <f t="shared" si="117"/>
        <v>18345.25</v>
      </c>
      <c r="N251" s="13">
        <f t="shared" si="117"/>
        <v>31820.582417582416</v>
      </c>
      <c r="O251" s="13">
        <f t="shared" si="117"/>
        <v>7111.131868131868</v>
      </c>
      <c r="P251" s="13">
        <f t="shared" si="118"/>
        <v>222540.91184076099</v>
      </c>
      <c r="Q251" s="13"/>
    </row>
    <row r="252" spans="2:17" s="9" customFormat="1" ht="12.75" customHeight="1" x14ac:dyDescent="0.2">
      <c r="B252" s="9" t="s">
        <v>111</v>
      </c>
      <c r="C252" s="25" t="s">
        <v>10</v>
      </c>
      <c r="D252" s="13">
        <f t="shared" si="117"/>
        <v>55438.287499999999</v>
      </c>
      <c r="E252" s="13">
        <f t="shared" si="117"/>
        <v>63043.556962025315</v>
      </c>
      <c r="F252" s="13">
        <f t="shared" si="117"/>
        <v>56782.584415584417</v>
      </c>
      <c r="G252" s="13">
        <f t="shared" si="117"/>
        <v>70621.103896103901</v>
      </c>
      <c r="H252" s="13">
        <f t="shared" si="117"/>
        <v>58509.909090909088</v>
      </c>
      <c r="I252" s="13">
        <f t="shared" si="117"/>
        <v>59494.974025974028</v>
      </c>
      <c r="J252" s="13">
        <f t="shared" si="117"/>
        <v>54546.346666666665</v>
      </c>
      <c r="K252" s="13">
        <f t="shared" si="117"/>
        <v>57202.48</v>
      </c>
      <c r="L252" s="13">
        <f t="shared" si="117"/>
        <v>56330.12</v>
      </c>
      <c r="M252" s="13">
        <f t="shared" si="117"/>
        <v>68539.773333333331</v>
      </c>
      <c r="N252" s="13">
        <f t="shared" si="117"/>
        <v>103185.21333333333</v>
      </c>
      <c r="O252" s="13">
        <f t="shared" si="117"/>
        <v>17220.027027027027</v>
      </c>
      <c r="P252" s="13">
        <f t="shared" si="118"/>
        <v>720914.37625095714</v>
      </c>
      <c r="Q252" s="13"/>
    </row>
    <row r="253" spans="2:17" s="9" customFormat="1" ht="12.75" customHeight="1" x14ac:dyDescent="0.2">
      <c r="B253" s="9" t="s">
        <v>112</v>
      </c>
      <c r="C253" s="25" t="s">
        <v>44</v>
      </c>
      <c r="D253" s="13">
        <f t="shared" si="117"/>
        <v>7591.4</v>
      </c>
      <c r="E253" s="13">
        <f t="shared" si="117"/>
        <v>7156.4</v>
      </c>
      <c r="F253" s="13">
        <f t="shared" si="117"/>
        <v>6147.6</v>
      </c>
      <c r="G253" s="13">
        <f t="shared" si="117"/>
        <v>10484.200000000001</v>
      </c>
      <c r="H253" s="13">
        <f t="shared" si="117"/>
        <v>12601.2</v>
      </c>
      <c r="I253" s="13">
        <f t="shared" si="117"/>
        <v>14157.8</v>
      </c>
      <c r="J253" s="13">
        <f t="shared" si="117"/>
        <v>9788.7999999999993</v>
      </c>
      <c r="K253" s="13">
        <f t="shared" si="117"/>
        <v>14675.2</v>
      </c>
      <c r="L253" s="13">
        <f t="shared" si="117"/>
        <v>11233.2</v>
      </c>
      <c r="M253" s="13">
        <f t="shared" si="117"/>
        <v>20317.2</v>
      </c>
      <c r="N253" s="13">
        <f t="shared" si="117"/>
        <v>18413</v>
      </c>
      <c r="O253" s="13">
        <f t="shared" si="117"/>
        <v>-756</v>
      </c>
      <c r="P253" s="13">
        <f t="shared" si="118"/>
        <v>131810</v>
      </c>
      <c r="Q253" s="13"/>
    </row>
    <row r="254" spans="2:17" s="9" customFormat="1" ht="12.75" customHeight="1" x14ac:dyDescent="0.2">
      <c r="B254" s="9" t="s">
        <v>113</v>
      </c>
      <c r="C254" s="25" t="s">
        <v>13</v>
      </c>
      <c r="D254" s="13">
        <f t="shared" si="117"/>
        <v>478512.5</v>
      </c>
      <c r="E254" s="13">
        <f t="shared" si="117"/>
        <v>508398.28571428574</v>
      </c>
      <c r="F254" s="13">
        <f t="shared" si="117"/>
        <v>454827.07142857142</v>
      </c>
      <c r="G254" s="13">
        <f t="shared" si="117"/>
        <v>271759.85714285716</v>
      </c>
      <c r="H254" s="13">
        <f t="shared" si="117"/>
        <v>536586.92857142852</v>
      </c>
      <c r="I254" s="13">
        <f t="shared" si="117"/>
        <v>355880.71428571426</v>
      </c>
      <c r="J254" s="13">
        <f t="shared" si="117"/>
        <v>410178.71428571426</v>
      </c>
      <c r="K254" s="13">
        <f t="shared" si="117"/>
        <v>382188.64285714284</v>
      </c>
      <c r="L254" s="13">
        <f t="shared" si="117"/>
        <v>361441.14285714284</v>
      </c>
      <c r="M254" s="13">
        <f t="shared" si="117"/>
        <v>354301.71428571426</v>
      </c>
      <c r="N254" s="13">
        <f t="shared" si="117"/>
        <v>738094.57142857148</v>
      </c>
      <c r="O254" s="13">
        <f t="shared" si="117"/>
        <v>66489.071428571435</v>
      </c>
      <c r="P254" s="13">
        <f t="shared" si="118"/>
        <v>4918659.2142857136</v>
      </c>
      <c r="Q254" s="13"/>
    </row>
    <row r="255" spans="2:17" s="9" customFormat="1" ht="12.75" customHeight="1" x14ac:dyDescent="0.2">
      <c r="B255" s="9" t="s">
        <v>114</v>
      </c>
      <c r="C255" s="9">
        <v>85</v>
      </c>
      <c r="D255" s="13">
        <f t="shared" si="117"/>
        <v>74510.419354838712</v>
      </c>
      <c r="E255" s="13">
        <f t="shared" si="117"/>
        <v>61368.3</v>
      </c>
      <c r="F255" s="13">
        <f t="shared" si="117"/>
        <v>61778.366666666669</v>
      </c>
      <c r="G255" s="13">
        <f t="shared" si="117"/>
        <v>60057.866666666669</v>
      </c>
      <c r="H255" s="13">
        <f t="shared" si="117"/>
        <v>36418.26666666667</v>
      </c>
      <c r="I255" s="13">
        <f t="shared" si="117"/>
        <v>40589.166666666664</v>
      </c>
      <c r="J255" s="13">
        <f t="shared" si="117"/>
        <v>56580.9</v>
      </c>
      <c r="K255" s="13">
        <f t="shared" si="117"/>
        <v>-1050.7</v>
      </c>
      <c r="L255" s="13">
        <f t="shared" si="117"/>
        <v>35042.23333333333</v>
      </c>
      <c r="M255" s="13">
        <f t="shared" si="117"/>
        <v>36695.300000000003</v>
      </c>
      <c r="N255" s="13">
        <f t="shared" si="117"/>
        <v>54950.26666666667</v>
      </c>
      <c r="O255" s="13">
        <f t="shared" si="117"/>
        <v>79218.580645161288</v>
      </c>
      <c r="P255" s="13">
        <f t="shared" si="118"/>
        <v>596158.96666666667</v>
      </c>
      <c r="Q255" s="13"/>
    </row>
    <row r="256" spans="2:17" s="9" customFormat="1" ht="12.75" customHeight="1" x14ac:dyDescent="0.2">
      <c r="B256" s="9" t="s">
        <v>115</v>
      </c>
      <c r="C256" s="9">
        <v>86</v>
      </c>
      <c r="D256" s="13">
        <f t="shared" si="117"/>
        <v>7403.6237623762372</v>
      </c>
      <c r="E256" s="13">
        <f t="shared" si="117"/>
        <v>5535.9900990099013</v>
      </c>
      <c r="F256" s="13">
        <f t="shared" si="117"/>
        <v>5114.2673267326736</v>
      </c>
      <c r="G256" s="13">
        <f t="shared" si="117"/>
        <v>4934.5544554455446</v>
      </c>
      <c r="H256" s="13">
        <f t="shared" si="117"/>
        <v>3432.841584158416</v>
      </c>
      <c r="I256" s="13">
        <f t="shared" si="117"/>
        <v>3747.5841584158416</v>
      </c>
      <c r="J256" s="13">
        <f t="shared" si="117"/>
        <v>1473.1980198019803</v>
      </c>
      <c r="K256" s="13">
        <f t="shared" si="117"/>
        <v>1429.73</v>
      </c>
      <c r="L256" s="13">
        <f t="shared" si="117"/>
        <v>1849.89</v>
      </c>
      <c r="M256" s="13">
        <f t="shared" si="117"/>
        <v>3808.0449438202249</v>
      </c>
      <c r="N256" s="13">
        <f t="shared" si="117"/>
        <v>5167.045977011494</v>
      </c>
      <c r="O256" s="13">
        <f t="shared" si="117"/>
        <v>6918.895348837209</v>
      </c>
      <c r="P256" s="13">
        <f t="shared" si="118"/>
        <v>50815.665675609518</v>
      </c>
      <c r="Q256" s="13"/>
    </row>
    <row r="257" spans="2:17" s="9" customFormat="1" ht="12.75" customHeight="1" x14ac:dyDescent="0.2">
      <c r="B257" s="9" t="s">
        <v>116</v>
      </c>
      <c r="C257" s="9">
        <v>87</v>
      </c>
      <c r="D257" s="13">
        <f t="shared" si="117"/>
        <v>637923</v>
      </c>
      <c r="E257" s="13">
        <f t="shared" si="117"/>
        <v>412157.75</v>
      </c>
      <c r="F257" s="13">
        <f t="shared" si="117"/>
        <v>480996.75</v>
      </c>
      <c r="G257" s="13">
        <f t="shared" si="117"/>
        <v>632445.5</v>
      </c>
      <c r="H257" s="13">
        <f t="shared" si="117"/>
        <v>368999</v>
      </c>
      <c r="I257" s="13">
        <f t="shared" si="117"/>
        <v>354492.75</v>
      </c>
      <c r="J257" s="13">
        <f t="shared" si="117"/>
        <v>311696</v>
      </c>
      <c r="K257" s="13">
        <f t="shared" si="117"/>
        <v>189835.75</v>
      </c>
      <c r="L257" s="13">
        <f t="shared" si="117"/>
        <v>215987.25</v>
      </c>
      <c r="M257" s="13">
        <f t="shared" si="117"/>
        <v>340968.5</v>
      </c>
      <c r="N257" s="13">
        <f t="shared" si="117"/>
        <v>951575</v>
      </c>
      <c r="O257" s="13">
        <f t="shared" si="117"/>
        <v>-287586.66666666669</v>
      </c>
      <c r="P257" s="13">
        <f t="shared" si="118"/>
        <v>4609490.583333333</v>
      </c>
      <c r="Q257" s="13"/>
    </row>
    <row r="258" spans="2:17" s="9" customFormat="1" ht="12.75" customHeight="1" x14ac:dyDescent="0.2">
      <c r="B258" s="2" t="s">
        <v>117</v>
      </c>
      <c r="C258" s="25" t="s">
        <v>50</v>
      </c>
      <c r="D258" s="13">
        <f>IFERROR(ROUND(SUMIF($C$116:$C$142,$C258,D$116:D$142),0)/ROUND(SUMIF($C$37:$C$65,$C258,D$37:D$65),0),0)</f>
        <v>2286937</v>
      </c>
      <c r="E258" s="13">
        <f t="shared" ref="E258:P258" si="119">IFERROR(ROUND(SUMIF($C$116:$C$142,$C258,E$116:E$142),0)/ROUND(SUMIF($C$37:$C$65,$C258,E$37:E$65),0),0)</f>
        <v>504390</v>
      </c>
      <c r="F258" s="13">
        <f t="shared" si="119"/>
        <v>4462698</v>
      </c>
      <c r="G258" s="13">
        <f t="shared" si="119"/>
        <v>2123142</v>
      </c>
      <c r="H258" s="13">
        <f t="shared" si="119"/>
        <v>3633702</v>
      </c>
      <c r="I258" s="13">
        <f t="shared" si="119"/>
        <v>0</v>
      </c>
      <c r="J258" s="13">
        <f t="shared" si="119"/>
        <v>3918895</v>
      </c>
      <c r="K258" s="13">
        <f t="shared" si="119"/>
        <v>4006392</v>
      </c>
      <c r="L258" s="13">
        <f t="shared" si="119"/>
        <v>2018188</v>
      </c>
      <c r="M258" s="13">
        <f t="shared" si="119"/>
        <v>2004159</v>
      </c>
      <c r="N258" s="13">
        <f t="shared" si="119"/>
        <v>4554892</v>
      </c>
      <c r="O258" s="13">
        <f t="shared" si="119"/>
        <v>3473949</v>
      </c>
      <c r="P258" s="13">
        <f t="shared" si="119"/>
        <v>2748945.25</v>
      </c>
      <c r="Q258" s="13"/>
    </row>
    <row r="259" spans="2:17" s="11" customFormat="1" ht="12.75" customHeight="1" x14ac:dyDescent="0.25">
      <c r="B259" s="52" t="s">
        <v>93</v>
      </c>
      <c r="C259" s="38" t="s">
        <v>15</v>
      </c>
      <c r="D259" s="13">
        <f t="shared" ref="D259:O259" si="120">IFERROR(ROUND(SUMIF($C$116:$C$141,$C259,D$116:D$141),0)/ROUND(SUMIF($C$37:$C$65,$C259,D$37:D$65),0),0)</f>
        <v>1615619</v>
      </c>
      <c r="E259" s="13">
        <f t="shared" si="120"/>
        <v>391341.66666666669</v>
      </c>
      <c r="F259" s="13">
        <f t="shared" si="120"/>
        <v>442072.22222222225</v>
      </c>
      <c r="G259" s="13">
        <f t="shared" si="120"/>
        <v>305897.77777777775</v>
      </c>
      <c r="H259" s="13">
        <f t="shared" si="120"/>
        <v>243532.66666666666</v>
      </c>
      <c r="I259" s="13">
        <f t="shared" si="120"/>
        <v>86396.333333333328</v>
      </c>
      <c r="J259" s="13">
        <f t="shared" si="120"/>
        <v>358288.22222222225</v>
      </c>
      <c r="K259" s="13">
        <f t="shared" si="120"/>
        <v>186252.11111111112</v>
      </c>
      <c r="L259" s="13">
        <f t="shared" si="120"/>
        <v>161537.44444444444</v>
      </c>
      <c r="M259" s="13">
        <f t="shared" si="120"/>
        <v>193937.55555555556</v>
      </c>
      <c r="N259" s="13">
        <f t="shared" si="120"/>
        <v>503990</v>
      </c>
      <c r="O259" s="13">
        <f t="shared" si="120"/>
        <v>191693.44444444444</v>
      </c>
      <c r="P259" s="13">
        <f t="shared" si="118"/>
        <v>4680558.444444444</v>
      </c>
      <c r="Q259" s="13"/>
    </row>
    <row r="260" spans="2:17" ht="12.75" customHeight="1" x14ac:dyDescent="0.2">
      <c r="B260" s="9" t="s">
        <v>6</v>
      </c>
      <c r="C260" s="9"/>
      <c r="D260" s="13">
        <f>IFERROR(ROUND(D145,0)/ROUND(D66,0),0)</f>
        <v>187.94875027905726</v>
      </c>
      <c r="E260" s="13">
        <f t="shared" ref="E260:O260" si="121">IFERROR(ROUND(E145,0)/ROUND(E66,0),0)</f>
        <v>150.65833425354927</v>
      </c>
      <c r="F260" s="13">
        <f t="shared" si="121"/>
        <v>156.34523119923614</v>
      </c>
      <c r="G260" s="13">
        <f t="shared" si="121"/>
        <v>105.43188403158223</v>
      </c>
      <c r="H260" s="13">
        <f t="shared" si="121"/>
        <v>79.427609427609426</v>
      </c>
      <c r="I260" s="13">
        <f t="shared" si="121"/>
        <v>68.111108203614748</v>
      </c>
      <c r="J260" s="13">
        <f t="shared" si="121"/>
        <v>53.385705540459966</v>
      </c>
      <c r="K260" s="13">
        <f t="shared" si="121"/>
        <v>47.159542976500354</v>
      </c>
      <c r="L260" s="13">
        <f t="shared" si="121"/>
        <v>52.180677196794321</v>
      </c>
      <c r="M260" s="13">
        <f t="shared" si="121"/>
        <v>87.328370544773662</v>
      </c>
      <c r="N260" s="13">
        <f t="shared" si="121"/>
        <v>147.17084095375492</v>
      </c>
      <c r="O260" s="13">
        <f t="shared" si="121"/>
        <v>156.66754021223977</v>
      </c>
      <c r="P260" s="13">
        <f t="shared" si="118"/>
        <v>1291.8155948191722</v>
      </c>
      <c r="Q260" s="13"/>
    </row>
    <row r="261" spans="2:17" x14ac:dyDescent="0.2">
      <c r="B261" s="9"/>
      <c r="C261" s="2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62"/>
      <c r="Q261" s="62"/>
    </row>
    <row r="262" spans="2:17" x14ac:dyDescent="0.2">
      <c r="B262" s="9"/>
      <c r="C262" s="2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62"/>
      <c r="Q262" s="62"/>
    </row>
    <row r="263" spans="2:17" x14ac:dyDescent="0.2"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2:17" x14ac:dyDescent="0.2"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2:17" x14ac:dyDescent="0.2"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2:17" x14ac:dyDescent="0.2"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2:17" x14ac:dyDescent="0.2"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2:17" x14ac:dyDescent="0.2"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2:17" x14ac:dyDescent="0.2"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2:17" x14ac:dyDescent="0.2"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2:17" x14ac:dyDescent="0.2"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2:17" x14ac:dyDescent="0.2"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4:17" x14ac:dyDescent="0.2"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4:17" x14ac:dyDescent="0.2"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4:17" x14ac:dyDescent="0.2"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4:17" x14ac:dyDescent="0.2"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4:17" x14ac:dyDescent="0.2"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4:17" x14ac:dyDescent="0.2"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4:17" x14ac:dyDescent="0.2"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4:17" x14ac:dyDescent="0.2"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4:17" x14ac:dyDescent="0.2"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4:17" x14ac:dyDescent="0.2"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4:17" x14ac:dyDescent="0.2"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4:17" x14ac:dyDescent="0.2"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4:17" x14ac:dyDescent="0.2"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4:17" x14ac:dyDescent="0.2"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4:17" x14ac:dyDescent="0.2"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4:17" x14ac:dyDescent="0.2"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4:17" x14ac:dyDescent="0.2"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4:17" x14ac:dyDescent="0.2"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4:17" x14ac:dyDescent="0.2"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4:17" x14ac:dyDescent="0.2"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4:17" x14ac:dyDescent="0.2"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4:17" x14ac:dyDescent="0.2"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4:17" x14ac:dyDescent="0.2"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4:17" x14ac:dyDescent="0.2"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4:17" x14ac:dyDescent="0.2"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4:17" x14ac:dyDescent="0.2"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4:17" x14ac:dyDescent="0.2"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4:17" x14ac:dyDescent="0.2"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4:17" x14ac:dyDescent="0.2"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4:17" x14ac:dyDescent="0.2"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4:17" x14ac:dyDescent="0.2"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4:17" x14ac:dyDescent="0.2"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4:17" x14ac:dyDescent="0.2"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4:17" x14ac:dyDescent="0.2"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</sheetData>
  <printOptions horizontalCentered="1"/>
  <pageMargins left="0.5" right="0.5" top="0.75" bottom="0.75" header="0.5" footer="0.3"/>
  <pageSetup scale="59" fitToHeight="5" orientation="landscape" blackAndWhite="1" r:id="rId1"/>
  <headerFooter alignWithMargins="0">
    <oddFooter>&amp;L&amp;F  
&amp;A&amp;C&amp;P&amp;R&amp;D</oddFooter>
  </headerFooter>
  <rowBreaks count="3" manualBreakCount="3">
    <brk id="67" min="1" max="15" man="1"/>
    <brk id="114" min="1" max="15" man="1"/>
    <brk id="180" min="1" max="1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67A445-8DC9-40DB-853B-9E7D2341D8CD}"/>
</file>

<file path=customXml/itemProps2.xml><?xml version="1.0" encoding="utf-8"?>
<ds:datastoreItem xmlns:ds="http://schemas.openxmlformats.org/officeDocument/2006/customXml" ds:itemID="{EDE658CA-F04E-4ABD-BBA9-FB5368E6E8D4}"/>
</file>

<file path=customXml/itemProps3.xml><?xml version="1.0" encoding="utf-8"?>
<ds:datastoreItem xmlns:ds="http://schemas.openxmlformats.org/officeDocument/2006/customXml" ds:itemID="{A1C0E5C1-DFDB-4370-AFAE-C367A3EC6BCA}"/>
</file>

<file path=customXml/itemProps4.xml><?xml version="1.0" encoding="utf-8"?>
<ds:datastoreItem xmlns:ds="http://schemas.openxmlformats.org/officeDocument/2006/customXml" ds:itemID="{81ABCEE2-B32B-4CED-9F18-7AD838115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 Lead Sheet</vt:lpstr>
      <vt:lpstr>Weather Adj. For CBR</vt:lpstr>
      <vt:lpstr>Weather Adj. Volumes</vt:lpstr>
      <vt:lpstr>'Weather Adj. For CBR'!Print_Area</vt:lpstr>
      <vt:lpstr>'Weather Adj. Volumes'!Print_Area</vt:lpstr>
      <vt:lpstr>'Weather Adj. Volumes'!Print_Titles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Kellogg, Anh</cp:lastModifiedBy>
  <dcterms:created xsi:type="dcterms:W3CDTF">2025-03-21T17:12:17Z</dcterms:created>
  <dcterms:modified xsi:type="dcterms:W3CDTF">2025-03-28T16:55:57Z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