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RASANEN\#  Rate Filings\Sch 129 - Low Income\2025_Filing - May 1, 2025\Analysis\No Links\"/>
    </mc:Choice>
  </mc:AlternateContent>
  <bookViews>
    <workbookView xWindow="750" yWindow="1410" windowWidth="26085" windowHeight="13950" tabRatio="929"/>
  </bookViews>
  <sheets>
    <sheet name="Sch 129 Rates" sheetId="68" r:id="rId1"/>
    <sheet name="Lighting Rates" sheetId="75" r:id="rId2"/>
    <sheet name="Rate Impacts" sheetId="70" r:id="rId3"/>
    <sheet name="Workpapers -&gt;" sheetId="61" r:id="rId4"/>
    <sheet name="Rate Spread &amp; Design" sheetId="73" r:id="rId5"/>
    <sheet name="Lighting RD" sheetId="72" r:id="rId6"/>
    <sheet name="Inputs" sheetId="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73" l="1"/>
  <c r="E39" i="73" l="1"/>
  <c r="J17" i="70" l="1"/>
  <c r="J28" i="70"/>
  <c r="J23" i="70"/>
  <c r="F34" i="68" l="1"/>
  <c r="D34" i="68"/>
  <c r="C36" i="70" l="1"/>
  <c r="C33" i="73" s="1"/>
  <c r="B67" i="68"/>
  <c r="C67" i="68"/>
  <c r="I32" i="70" l="1"/>
  <c r="N32" i="70" s="1"/>
  <c r="A1" i="75" l="1"/>
  <c r="A2" i="75"/>
  <c r="A3" i="75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45" i="75" s="1"/>
  <c r="A46" i="75" s="1"/>
  <c r="A47" i="75" s="1"/>
  <c r="A48" i="75" s="1"/>
  <c r="A49" i="75" s="1"/>
  <c r="A50" i="75" s="1"/>
  <c r="A51" i="75" s="1"/>
  <c r="A52" i="75" s="1"/>
  <c r="A53" i="75" s="1"/>
  <c r="A54" i="75" s="1"/>
  <c r="A55" i="75" s="1"/>
  <c r="A56" i="75" s="1"/>
  <c r="A57" i="75" s="1"/>
  <c r="A58" i="75" s="1"/>
  <c r="A59" i="75" s="1"/>
  <c r="A60" i="75" s="1"/>
  <c r="A61" i="75" s="1"/>
  <c r="A62" i="75" s="1"/>
  <c r="A63" i="75" s="1"/>
  <c r="A64" i="75" s="1"/>
  <c r="A65" i="75" s="1"/>
  <c r="A66" i="75" s="1"/>
  <c r="A67" i="75" s="1"/>
  <c r="A68" i="75" s="1"/>
  <c r="A69" i="75" s="1"/>
  <c r="A70" i="75" s="1"/>
  <c r="A71" i="75" s="1"/>
  <c r="A72" i="75" s="1"/>
  <c r="A73" i="75" s="1"/>
  <c r="A74" i="75" s="1"/>
  <c r="A75" i="75" s="1"/>
  <c r="A76" i="75" s="1"/>
  <c r="A77" i="75" s="1"/>
  <c r="A78" i="75" s="1"/>
  <c r="A79" i="75" s="1"/>
  <c r="A80" i="75" s="1"/>
  <c r="A81" i="75" s="1"/>
  <c r="A82" i="75" s="1"/>
  <c r="A83" i="75" s="1"/>
  <c r="A84" i="75" s="1"/>
  <c r="A85" i="75" s="1"/>
  <c r="A86" i="75" s="1"/>
  <c r="A87" i="75" s="1"/>
  <c r="A88" i="75" s="1"/>
  <c r="A89" i="75" s="1"/>
  <c r="A90" i="75" s="1"/>
  <c r="A91" i="75" s="1"/>
  <c r="A92" i="75" s="1"/>
  <c r="A93" i="75" s="1"/>
  <c r="A94" i="75" s="1"/>
  <c r="A95" i="75" s="1"/>
  <c r="A96" i="75" s="1"/>
  <c r="A97" i="75" s="1"/>
  <c r="A98" i="75" s="1"/>
  <c r="A99" i="75" s="1"/>
  <c r="A100" i="75" s="1"/>
  <c r="A101" i="75" s="1"/>
  <c r="A102" i="75" s="1"/>
  <c r="A103" i="75" s="1"/>
  <c r="A104" i="75" s="1"/>
  <c r="A105" i="75" s="1"/>
  <c r="A106" i="75" s="1"/>
  <c r="A107" i="75" s="1"/>
  <c r="A108" i="75" s="1"/>
  <c r="A109" i="75" s="1"/>
  <c r="A110" i="75" s="1"/>
  <c r="A111" i="75" s="1"/>
  <c r="A112" i="75" s="1"/>
  <c r="A113" i="75" s="1"/>
  <c r="A114" i="75" s="1"/>
  <c r="A115" i="75" s="1"/>
  <c r="A116" i="75" s="1"/>
  <c r="A117" i="75" s="1"/>
  <c r="A118" i="75" s="1"/>
  <c r="A119" i="75" s="1"/>
  <c r="A120" i="75" s="1"/>
  <c r="A121" i="75" s="1"/>
  <c r="A122" i="75" s="1"/>
  <c r="A123" i="75" s="1"/>
  <c r="A124" i="75" s="1"/>
  <c r="A125" i="75" s="1"/>
  <c r="A126" i="75" s="1"/>
  <c r="A127" i="75" s="1"/>
  <c r="A128" i="75" s="1"/>
  <c r="A129" i="75" s="1"/>
  <c r="A130" i="75" s="1"/>
  <c r="A131" i="75" s="1"/>
  <c r="A132" i="75" s="1"/>
  <c r="A133" i="75" s="1"/>
  <c r="A134" i="75" s="1"/>
  <c r="A135" i="75" s="1"/>
  <c r="A136" i="75" s="1"/>
  <c r="A137" i="75" s="1"/>
  <c r="A138" i="75" s="1"/>
  <c r="A139" i="75" s="1"/>
  <c r="A140" i="75" s="1"/>
  <c r="A141" i="75" s="1"/>
  <c r="A142" i="75" s="1"/>
  <c r="A143" i="75" s="1"/>
  <c r="A144" i="75" s="1"/>
  <c r="A145" i="75" s="1"/>
  <c r="A146" i="75" s="1"/>
  <c r="A147" i="75" s="1"/>
  <c r="A148" i="75" s="1"/>
  <c r="A149" i="75" s="1"/>
  <c r="A150" i="75" s="1"/>
  <c r="A151" i="75" s="1"/>
  <c r="A152" i="75" s="1"/>
  <c r="A153" i="75" s="1"/>
  <c r="A154" i="75" s="1"/>
  <c r="A155" i="75" s="1"/>
  <c r="A156" i="75" s="1"/>
  <c r="A157" i="75" s="1"/>
  <c r="A158" i="75" s="1"/>
  <c r="A159" i="75" s="1"/>
  <c r="A160" i="75" s="1"/>
  <c r="A161" i="75" s="1"/>
  <c r="A162" i="75" s="1"/>
  <c r="A163" i="75" s="1"/>
  <c r="E12" i="75"/>
  <c r="E13" i="75"/>
  <c r="E14" i="75"/>
  <c r="E15" i="75"/>
  <c r="E19" i="75"/>
  <c r="E20" i="75"/>
  <c r="E21" i="75"/>
  <c r="E22" i="75"/>
  <c r="E23" i="75"/>
  <c r="E24" i="75"/>
  <c r="E25" i="75"/>
  <c r="E26" i="75"/>
  <c r="E27" i="75"/>
  <c r="E29" i="75"/>
  <c r="E33" i="75"/>
  <c r="E34" i="75"/>
  <c r="E35" i="75"/>
  <c r="E36" i="75"/>
  <c r="E37" i="75"/>
  <c r="E38" i="75"/>
  <c r="E39" i="75"/>
  <c r="E41" i="75"/>
  <c r="E42" i="75"/>
  <c r="E43" i="75"/>
  <c r="E44" i="75"/>
  <c r="E45" i="75"/>
  <c r="E46" i="75"/>
  <c r="E47" i="75"/>
  <c r="E50" i="75"/>
  <c r="E51" i="75"/>
  <c r="E52" i="75"/>
  <c r="E53" i="75"/>
  <c r="E54" i="75"/>
  <c r="E55" i="75"/>
  <c r="E56" i="75"/>
  <c r="E57" i="75"/>
  <c r="E58" i="75"/>
  <c r="E61" i="75"/>
  <c r="E62" i="75"/>
  <c r="E63" i="75"/>
  <c r="E64" i="75"/>
  <c r="E65" i="75"/>
  <c r="E67" i="75"/>
  <c r="E68" i="75"/>
  <c r="E69" i="75"/>
  <c r="E70" i="75"/>
  <c r="E71" i="75"/>
  <c r="E72" i="75"/>
  <c r="E73" i="75"/>
  <c r="E74" i="75"/>
  <c r="E75" i="75"/>
  <c r="E76" i="75"/>
  <c r="E78" i="75"/>
  <c r="E81" i="75"/>
  <c r="E82" i="75"/>
  <c r="E83" i="75"/>
  <c r="E84" i="75"/>
  <c r="E85" i="75"/>
  <c r="E86" i="75"/>
  <c r="E87" i="75"/>
  <c r="E88" i="75"/>
  <c r="E89" i="75"/>
  <c r="E91" i="75"/>
  <c r="E92" i="75"/>
  <c r="E93" i="75"/>
  <c r="E94" i="75"/>
  <c r="E95" i="75"/>
  <c r="E96" i="75"/>
  <c r="E97" i="75"/>
  <c r="E98" i="75"/>
  <c r="E99" i="75"/>
  <c r="E100" i="75"/>
  <c r="E104" i="75"/>
  <c r="E105" i="75"/>
  <c r="E106" i="75"/>
  <c r="E107" i="75"/>
  <c r="E108" i="75"/>
  <c r="E110" i="75"/>
  <c r="E112" i="75"/>
  <c r="E113" i="75"/>
  <c r="E114" i="75"/>
  <c r="E115" i="75"/>
  <c r="E116" i="75"/>
  <c r="E117" i="75"/>
  <c r="E118" i="75"/>
  <c r="E119" i="75"/>
  <c r="E120" i="75"/>
  <c r="E121" i="75"/>
  <c r="E124" i="75"/>
  <c r="E128" i="75"/>
  <c r="E129" i="75"/>
  <c r="E130" i="75"/>
  <c r="E131" i="75"/>
  <c r="E132" i="75"/>
  <c r="E134" i="75"/>
  <c r="E135" i="75"/>
  <c r="E136" i="75"/>
  <c r="E137" i="75"/>
  <c r="E138" i="75"/>
  <c r="E140" i="75"/>
  <c r="E141" i="75"/>
  <c r="E142" i="75"/>
  <c r="E143" i="75"/>
  <c r="E145" i="75"/>
  <c r="E146" i="75"/>
  <c r="E149" i="75"/>
  <c r="E150" i="75"/>
  <c r="E151" i="75"/>
  <c r="E152" i="75"/>
  <c r="E153" i="75"/>
  <c r="E154" i="75"/>
  <c r="E155" i="75"/>
  <c r="E156" i="75"/>
  <c r="E157" i="75"/>
  <c r="E158" i="75"/>
  <c r="E159" i="75"/>
  <c r="E160" i="75"/>
  <c r="E161" i="75"/>
  <c r="E162" i="75"/>
  <c r="E163" i="75"/>
  <c r="G7" i="70"/>
  <c r="K32" i="70" l="1"/>
  <c r="L32" i="70" s="1"/>
  <c r="M32" i="70" s="1"/>
  <c r="A4" i="68" l="1"/>
  <c r="A4" i="75" s="1"/>
  <c r="B25" i="70" l="1"/>
  <c r="B19" i="70"/>
  <c r="B12" i="70"/>
  <c r="B12" i="73" s="1"/>
  <c r="D7" i="73" l="1"/>
  <c r="C14" i="73"/>
  <c r="F32" i="68" l="1"/>
  <c r="F31" i="68"/>
  <c r="F28" i="68"/>
  <c r="F23" i="68" l="1"/>
  <c r="F22" i="68"/>
  <c r="F21" i="68"/>
  <c r="F15" i="68"/>
  <c r="F16" i="68"/>
  <c r="F17" i="68"/>
  <c r="F14" i="68"/>
  <c r="A4" i="70" l="1"/>
  <c r="A2" i="70"/>
  <c r="A2" i="73" s="1"/>
  <c r="A3" i="70"/>
  <c r="A1" i="70"/>
  <c r="A1" i="73" s="1"/>
  <c r="A3" i="72"/>
  <c r="A2" i="72"/>
  <c r="A1" i="72"/>
  <c r="A3" i="73"/>
  <c r="A4" i="73"/>
  <c r="A9" i="73"/>
  <c r="A10" i="73" s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4" i="72"/>
  <c r="A10" i="72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A171" i="72" s="1"/>
  <c r="A172" i="72" s="1"/>
  <c r="F11" i="72"/>
  <c r="K11" i="72" s="1"/>
  <c r="D10" i="75" s="1"/>
  <c r="F13" i="72"/>
  <c r="K13" i="72" s="1"/>
  <c r="D12" i="75" s="1"/>
  <c r="B14" i="72"/>
  <c r="B15" i="72" s="1"/>
  <c r="B16" i="72" s="1"/>
  <c r="F14" i="72"/>
  <c r="K14" i="72" s="1"/>
  <c r="D13" i="75" s="1"/>
  <c r="F15" i="72"/>
  <c r="K15" i="72" s="1"/>
  <c r="D14" i="75" s="1"/>
  <c r="F16" i="72"/>
  <c r="K16" i="72" s="1"/>
  <c r="D15" i="75" s="1"/>
  <c r="F19" i="72"/>
  <c r="K19" i="72" s="1"/>
  <c r="D18" i="75" s="1"/>
  <c r="F20" i="72"/>
  <c r="K20" i="72" s="1"/>
  <c r="D19" i="75" s="1"/>
  <c r="F21" i="72"/>
  <c r="K21" i="72" s="1"/>
  <c r="D20" i="75" s="1"/>
  <c r="F22" i="72"/>
  <c r="K22" i="72" s="1"/>
  <c r="D21" i="75" s="1"/>
  <c r="F23" i="72"/>
  <c r="K23" i="72" s="1"/>
  <c r="D22" i="75" s="1"/>
  <c r="F24" i="72"/>
  <c r="K24" i="72" s="1"/>
  <c r="D23" i="75" s="1"/>
  <c r="F25" i="72"/>
  <c r="K25" i="72" s="1"/>
  <c r="D24" i="75" s="1"/>
  <c r="F26" i="72"/>
  <c r="K26" i="72" s="1"/>
  <c r="D25" i="75" s="1"/>
  <c r="F27" i="72"/>
  <c r="K27" i="72" s="1"/>
  <c r="D26" i="75" s="1"/>
  <c r="F28" i="72"/>
  <c r="K28" i="72" s="1"/>
  <c r="D27" i="75" s="1"/>
  <c r="F32" i="72"/>
  <c r="K32" i="72" s="1"/>
  <c r="D32" i="75" s="1"/>
  <c r="B33" i="72"/>
  <c r="B34" i="72" s="1"/>
  <c r="B35" i="72" s="1"/>
  <c r="B36" i="72" s="1"/>
  <c r="F33" i="72"/>
  <c r="K33" i="72" s="1"/>
  <c r="D33" i="75" s="1"/>
  <c r="F34" i="72"/>
  <c r="K34" i="72" s="1"/>
  <c r="D34" i="75" s="1"/>
  <c r="F35" i="72"/>
  <c r="K35" i="72" s="1"/>
  <c r="D35" i="75" s="1"/>
  <c r="F36" i="72"/>
  <c r="K36" i="72" s="1"/>
  <c r="D36" i="75" s="1"/>
  <c r="F37" i="72"/>
  <c r="K37" i="72" s="1"/>
  <c r="D37" i="75" s="1"/>
  <c r="F38" i="72"/>
  <c r="K38" i="72" s="1"/>
  <c r="D38" i="75" s="1"/>
  <c r="F39" i="72"/>
  <c r="K39" i="72" s="1"/>
  <c r="D39" i="75" s="1"/>
  <c r="F41" i="72"/>
  <c r="K41" i="72" s="1"/>
  <c r="D41" i="75" s="1"/>
  <c r="F42" i="72"/>
  <c r="K42" i="72" s="1"/>
  <c r="D42" i="75" s="1"/>
  <c r="F43" i="72"/>
  <c r="K43" i="72" s="1"/>
  <c r="D43" i="75" s="1"/>
  <c r="F44" i="72"/>
  <c r="K44" i="72" s="1"/>
  <c r="D44" i="75" s="1"/>
  <c r="C45" i="72"/>
  <c r="C46" i="72" s="1"/>
  <c r="C47" i="72" s="1"/>
  <c r="F45" i="72"/>
  <c r="K45" i="72" s="1"/>
  <c r="D45" i="75" s="1"/>
  <c r="F46" i="72"/>
  <c r="K46" i="72" s="1"/>
  <c r="D46" i="75" s="1"/>
  <c r="F47" i="72"/>
  <c r="K47" i="72" s="1"/>
  <c r="D47" i="75" s="1"/>
  <c r="F50" i="72"/>
  <c r="K50" i="72" s="1"/>
  <c r="D50" i="75" s="1"/>
  <c r="B51" i="72"/>
  <c r="B52" i="72" s="1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F51" i="72"/>
  <c r="K51" i="72" s="1"/>
  <c r="D51" i="75" s="1"/>
  <c r="F52" i="72"/>
  <c r="K52" i="72" s="1"/>
  <c r="D52" i="75" s="1"/>
  <c r="F53" i="72"/>
  <c r="K53" i="72" s="1"/>
  <c r="D53" i="75" s="1"/>
  <c r="F54" i="72"/>
  <c r="K54" i="72" s="1"/>
  <c r="D54" i="75" s="1"/>
  <c r="F55" i="72"/>
  <c r="K55" i="72" s="1"/>
  <c r="D55" i="75" s="1"/>
  <c r="F56" i="72"/>
  <c r="K56" i="72" s="1"/>
  <c r="D56" i="75" s="1"/>
  <c r="F57" i="72"/>
  <c r="K57" i="72" s="1"/>
  <c r="D57" i="75" s="1"/>
  <c r="F58" i="72"/>
  <c r="K58" i="72" s="1"/>
  <c r="D58" i="75" s="1"/>
  <c r="F60" i="72"/>
  <c r="K60" i="72" s="1"/>
  <c r="D60" i="75" s="1"/>
  <c r="F61" i="72"/>
  <c r="K61" i="72" s="1"/>
  <c r="D61" i="75" s="1"/>
  <c r="F62" i="72"/>
  <c r="K62" i="72" s="1"/>
  <c r="D62" i="75" s="1"/>
  <c r="F63" i="72"/>
  <c r="K63" i="72" s="1"/>
  <c r="D63" i="75" s="1"/>
  <c r="F64" i="72"/>
  <c r="K64" i="72" s="1"/>
  <c r="D64" i="75" s="1"/>
  <c r="F65" i="72"/>
  <c r="K65" i="72" s="1"/>
  <c r="D65" i="75" s="1"/>
  <c r="F67" i="72"/>
  <c r="K67" i="72" s="1"/>
  <c r="D67" i="75" s="1"/>
  <c r="F68" i="72"/>
  <c r="K68" i="72" s="1"/>
  <c r="D68" i="75" s="1"/>
  <c r="F69" i="72"/>
  <c r="K69" i="72" s="1"/>
  <c r="D69" i="75" s="1"/>
  <c r="F70" i="72"/>
  <c r="K70" i="72" s="1"/>
  <c r="D70" i="75" s="1"/>
  <c r="F71" i="72"/>
  <c r="K71" i="72" s="1"/>
  <c r="D71" i="75" s="1"/>
  <c r="F72" i="72"/>
  <c r="K72" i="72" s="1"/>
  <c r="D72" i="75" s="1"/>
  <c r="F73" i="72"/>
  <c r="K73" i="72" s="1"/>
  <c r="D73" i="75" s="1"/>
  <c r="F74" i="72"/>
  <c r="K74" i="72" s="1"/>
  <c r="D74" i="75" s="1"/>
  <c r="F75" i="72"/>
  <c r="K75" i="72" s="1"/>
  <c r="D75" i="75" s="1"/>
  <c r="F76" i="72"/>
  <c r="K76" i="72" s="1"/>
  <c r="D76" i="75" s="1"/>
  <c r="F80" i="72"/>
  <c r="K80" i="72" s="1"/>
  <c r="D81" i="75" s="1"/>
  <c r="B81" i="72"/>
  <c r="B82" i="72" s="1"/>
  <c r="B83" i="72" s="1"/>
  <c r="B84" i="72" s="1"/>
  <c r="B85" i="72" s="1"/>
  <c r="B86" i="72" s="1"/>
  <c r="B87" i="72" s="1"/>
  <c r="F81" i="72"/>
  <c r="K81" i="72" s="1"/>
  <c r="D82" i="75" s="1"/>
  <c r="F82" i="72"/>
  <c r="K82" i="72" s="1"/>
  <c r="D83" i="75" s="1"/>
  <c r="F83" i="72"/>
  <c r="K83" i="72" s="1"/>
  <c r="D84" i="75" s="1"/>
  <c r="F84" i="72"/>
  <c r="K84" i="72" s="1"/>
  <c r="D85" i="75" s="1"/>
  <c r="F85" i="72"/>
  <c r="K85" i="72" s="1"/>
  <c r="D86" i="75" s="1"/>
  <c r="F86" i="72"/>
  <c r="K86" i="72" s="1"/>
  <c r="D87" i="75" s="1"/>
  <c r="F87" i="72"/>
  <c r="K87" i="72" s="1"/>
  <c r="D88" i="75" s="1"/>
  <c r="F88" i="72"/>
  <c r="K88" i="72" s="1"/>
  <c r="D89" i="75" s="1"/>
  <c r="F90" i="72"/>
  <c r="K90" i="72" s="1"/>
  <c r="D91" i="75" s="1"/>
  <c r="F91" i="72"/>
  <c r="K91" i="72" s="1"/>
  <c r="D92" i="75" s="1"/>
  <c r="F92" i="72"/>
  <c r="K92" i="72" s="1"/>
  <c r="D93" i="75" s="1"/>
  <c r="F93" i="72"/>
  <c r="K93" i="72" s="1"/>
  <c r="D94" i="75" s="1"/>
  <c r="F94" i="72"/>
  <c r="K94" i="72" s="1"/>
  <c r="D95" i="75" s="1"/>
  <c r="F95" i="72"/>
  <c r="K95" i="72" s="1"/>
  <c r="D96" i="75" s="1"/>
  <c r="F96" i="72"/>
  <c r="K96" i="72" s="1"/>
  <c r="D97" i="75" s="1"/>
  <c r="F97" i="72"/>
  <c r="K97" i="72" s="1"/>
  <c r="D98" i="75" s="1"/>
  <c r="F98" i="72"/>
  <c r="K98" i="72" s="1"/>
  <c r="D99" i="75" s="1"/>
  <c r="F99" i="72"/>
  <c r="K99" i="72" s="1"/>
  <c r="D100" i="75" s="1"/>
  <c r="F102" i="72"/>
  <c r="K102" i="72" s="1"/>
  <c r="D103" i="75" s="1"/>
  <c r="B103" i="72"/>
  <c r="B104" i="72" s="1"/>
  <c r="B105" i="72" s="1"/>
  <c r="B106" i="72" s="1"/>
  <c r="B107" i="72" s="1"/>
  <c r="B109" i="72" s="1"/>
  <c r="F103" i="72"/>
  <c r="K103" i="72" s="1"/>
  <c r="D104" i="75" s="1"/>
  <c r="F104" i="72"/>
  <c r="K104" i="72" s="1"/>
  <c r="D105" i="75" s="1"/>
  <c r="F105" i="72"/>
  <c r="K105" i="72" s="1"/>
  <c r="D106" i="75" s="1"/>
  <c r="F106" i="72"/>
  <c r="K106" i="72" s="1"/>
  <c r="D107" i="75" s="1"/>
  <c r="F107" i="72"/>
  <c r="K107" i="72" s="1"/>
  <c r="D108" i="75" s="1"/>
  <c r="F109" i="72"/>
  <c r="K109" i="72" s="1"/>
  <c r="D110" i="75" s="1"/>
  <c r="F111" i="72"/>
  <c r="K111" i="72" s="1"/>
  <c r="D112" i="75" s="1"/>
  <c r="F112" i="72"/>
  <c r="K112" i="72" s="1"/>
  <c r="D113" i="75" s="1"/>
  <c r="F113" i="72"/>
  <c r="K113" i="72" s="1"/>
  <c r="D114" i="75" s="1"/>
  <c r="F114" i="72"/>
  <c r="K114" i="72" s="1"/>
  <c r="D115" i="75" s="1"/>
  <c r="F115" i="72"/>
  <c r="K115" i="72" s="1"/>
  <c r="D116" i="75" s="1"/>
  <c r="F116" i="72"/>
  <c r="K116" i="72" s="1"/>
  <c r="D117" i="75" s="1"/>
  <c r="F117" i="72"/>
  <c r="K117" i="72" s="1"/>
  <c r="D118" i="75" s="1"/>
  <c r="F118" i="72"/>
  <c r="K118" i="72" s="1"/>
  <c r="D119" i="75" s="1"/>
  <c r="F119" i="72"/>
  <c r="K119" i="72" s="1"/>
  <c r="D120" i="75" s="1"/>
  <c r="F120" i="72"/>
  <c r="K120" i="72" s="1"/>
  <c r="D121" i="75" s="1"/>
  <c r="F123" i="72"/>
  <c r="K123" i="72" s="1"/>
  <c r="D124" i="75" s="1"/>
  <c r="F126" i="72"/>
  <c r="K126" i="72" s="1"/>
  <c r="D127" i="75" s="1"/>
  <c r="B127" i="72"/>
  <c r="B128" i="72" s="1"/>
  <c r="B129" i="72" s="1"/>
  <c r="B130" i="72" s="1"/>
  <c r="B131" i="72" s="1"/>
  <c r="F127" i="72"/>
  <c r="K127" i="72" s="1"/>
  <c r="D128" i="75" s="1"/>
  <c r="F128" i="72"/>
  <c r="K128" i="72" s="1"/>
  <c r="D129" i="75" s="1"/>
  <c r="F129" i="72"/>
  <c r="K129" i="72" s="1"/>
  <c r="D130" i="75" s="1"/>
  <c r="F130" i="72"/>
  <c r="K130" i="72" s="1"/>
  <c r="D131" i="75" s="1"/>
  <c r="F131" i="72"/>
  <c r="K131" i="72" s="1"/>
  <c r="D132" i="75" s="1"/>
  <c r="F133" i="72"/>
  <c r="K133" i="72" s="1"/>
  <c r="D134" i="75" s="1"/>
  <c r="B134" i="72"/>
  <c r="B135" i="72" s="1"/>
  <c r="B136" i="72" s="1"/>
  <c r="B137" i="72" s="1"/>
  <c r="F134" i="72"/>
  <c r="K134" i="72" s="1"/>
  <c r="D135" i="75" s="1"/>
  <c r="F135" i="72"/>
  <c r="K135" i="72" s="1"/>
  <c r="D136" i="75" s="1"/>
  <c r="F136" i="72"/>
  <c r="K136" i="72" s="1"/>
  <c r="D137" i="75" s="1"/>
  <c r="F137" i="72"/>
  <c r="K137" i="72" s="1"/>
  <c r="D138" i="75" s="1"/>
  <c r="F139" i="72"/>
  <c r="K139" i="72" s="1"/>
  <c r="D140" i="75" s="1"/>
  <c r="F140" i="72"/>
  <c r="K140" i="72" s="1"/>
  <c r="D141" i="75" s="1"/>
  <c r="F141" i="72"/>
  <c r="K141" i="72" s="1"/>
  <c r="D142" i="75" s="1"/>
  <c r="F142" i="72"/>
  <c r="K142" i="72" s="1"/>
  <c r="D143" i="75" s="1"/>
  <c r="B144" i="72"/>
  <c r="B145" i="72" s="1"/>
  <c r="F144" i="72"/>
  <c r="K144" i="72" s="1"/>
  <c r="D145" i="75" s="1"/>
  <c r="F145" i="72"/>
  <c r="K145" i="72" s="1"/>
  <c r="D146" i="75" s="1"/>
  <c r="F147" i="72"/>
  <c r="K147" i="72" s="1"/>
  <c r="D148" i="75" s="1"/>
  <c r="F148" i="72"/>
  <c r="K148" i="72" s="1"/>
  <c r="D149" i="75" s="1"/>
  <c r="B149" i="72"/>
  <c r="B150" i="72" s="1"/>
  <c r="B151" i="72" s="1"/>
  <c r="B152" i="72" s="1"/>
  <c r="B153" i="72" s="1"/>
  <c r="B154" i="72" s="1"/>
  <c r="B155" i="72" s="1"/>
  <c r="B156" i="72" s="1"/>
  <c r="B157" i="72" s="1"/>
  <c r="B158" i="72" s="1"/>
  <c r="B159" i="72" s="1"/>
  <c r="B160" i="72" s="1"/>
  <c r="B161" i="72" s="1"/>
  <c r="B162" i="72" s="1"/>
  <c r="F149" i="72"/>
  <c r="K149" i="72" s="1"/>
  <c r="D150" i="75" s="1"/>
  <c r="F150" i="72"/>
  <c r="K150" i="72" s="1"/>
  <c r="D151" i="75" s="1"/>
  <c r="F151" i="72"/>
  <c r="K151" i="72" s="1"/>
  <c r="D152" i="75" s="1"/>
  <c r="F152" i="72"/>
  <c r="K152" i="72" s="1"/>
  <c r="D153" i="75" s="1"/>
  <c r="F153" i="72"/>
  <c r="K153" i="72" s="1"/>
  <c r="D154" i="75" s="1"/>
  <c r="F154" i="72"/>
  <c r="K154" i="72" s="1"/>
  <c r="D155" i="75" s="1"/>
  <c r="F155" i="72"/>
  <c r="K155" i="72" s="1"/>
  <c r="D156" i="75" s="1"/>
  <c r="F156" i="72"/>
  <c r="K156" i="72" s="1"/>
  <c r="D157" i="75" s="1"/>
  <c r="F157" i="72"/>
  <c r="K157" i="72" s="1"/>
  <c r="D158" i="75" s="1"/>
  <c r="F158" i="72"/>
  <c r="K158" i="72" s="1"/>
  <c r="D159" i="75" s="1"/>
  <c r="F159" i="72"/>
  <c r="K159" i="72" s="1"/>
  <c r="D160" i="75" s="1"/>
  <c r="F160" i="72"/>
  <c r="K160" i="72" s="1"/>
  <c r="D161" i="75" s="1"/>
  <c r="F161" i="72"/>
  <c r="K161" i="72" s="1"/>
  <c r="D162" i="75" s="1"/>
  <c r="F162" i="72"/>
  <c r="K162" i="72" s="1"/>
  <c r="D163" i="75" s="1"/>
  <c r="A10" i="70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11" i="68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B46" i="68"/>
  <c r="B51" i="68"/>
  <c r="B53" i="68"/>
  <c r="B57" i="68"/>
  <c r="B59" i="68"/>
  <c r="B62" i="68"/>
  <c r="B69" i="68"/>
  <c r="B73" i="68"/>
  <c r="H119" i="72" l="1"/>
  <c r="B139" i="72"/>
  <c r="B140" i="72" s="1"/>
  <c r="B141" i="72" s="1"/>
  <c r="B142" i="72" s="1"/>
  <c r="A28" i="68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H25" i="72"/>
  <c r="H153" i="72"/>
  <c r="H14" i="72"/>
  <c r="H161" i="72"/>
  <c r="H115" i="72"/>
  <c r="H62" i="72"/>
  <c r="H88" i="72"/>
  <c r="H51" i="72"/>
  <c r="H37" i="72"/>
  <c r="H99" i="72"/>
  <c r="H160" i="72"/>
  <c r="H85" i="72"/>
  <c r="H58" i="72"/>
  <c r="H45" i="72"/>
  <c r="H27" i="72"/>
  <c r="H23" i="72"/>
  <c r="H157" i="72"/>
  <c r="H156" i="72"/>
  <c r="H139" i="72"/>
  <c r="H65" i="72"/>
  <c r="H117" i="72"/>
  <c r="H83" i="72"/>
  <c r="H74" i="72"/>
  <c r="H32" i="72"/>
  <c r="H26" i="72"/>
  <c r="H22" i="72"/>
  <c r="H82" i="72"/>
  <c r="H116" i="72"/>
  <c r="H39" i="72"/>
  <c r="H75" i="72"/>
  <c r="H71" i="72"/>
  <c r="H67" i="72"/>
  <c r="H54" i="72"/>
  <c r="H70" i="72"/>
  <c r="H57" i="72"/>
  <c r="H50" i="72"/>
  <c r="H33" i="72"/>
  <c r="H105" i="72"/>
  <c r="H95" i="72"/>
  <c r="H91" i="72"/>
  <c r="H56" i="72"/>
  <c r="H52" i="72"/>
  <c r="H131" i="72"/>
  <c r="H76" i="72"/>
  <c r="H55" i="72"/>
  <c r="H43" i="72"/>
  <c r="H21" i="72"/>
  <c r="H128" i="72"/>
  <c r="H19" i="72"/>
  <c r="H154" i="72"/>
  <c r="H141" i="72"/>
  <c r="H129" i="72"/>
  <c r="H113" i="72"/>
  <c r="H107" i="72"/>
  <c r="H103" i="72"/>
  <c r="H97" i="72"/>
  <c r="H93" i="72"/>
  <c r="H84" i="72"/>
  <c r="H81" i="72"/>
  <c r="H72" i="72"/>
  <c r="H68" i="72"/>
  <c r="H126" i="72"/>
  <c r="H44" i="72"/>
  <c r="H136" i="72"/>
  <c r="H123" i="72"/>
  <c r="H86" i="72"/>
  <c r="H80" i="72"/>
  <c r="H142" i="72"/>
  <c r="H130" i="72"/>
  <c r="H127" i="72"/>
  <c r="H114" i="72"/>
  <c r="H109" i="72"/>
  <c r="H104" i="72"/>
  <c r="H98" i="72"/>
  <c r="H94" i="72"/>
  <c r="H69" i="72"/>
  <c r="H42" i="72"/>
  <c r="H15" i="72"/>
  <c r="H87" i="72"/>
  <c r="H150" i="72"/>
  <c r="H46" i="72"/>
  <c r="H64" i="72"/>
  <c r="H35" i="72"/>
  <c r="H118" i="72"/>
  <c r="H102" i="72"/>
  <c r="H92" i="72"/>
  <c r="H16" i="72"/>
  <c r="H158" i="72"/>
  <c r="H120" i="72"/>
  <c r="H112" i="72"/>
  <c r="H61" i="72"/>
  <c r="H41" i="72"/>
  <c r="H28" i="72"/>
  <c r="H53" i="72"/>
  <c r="H13" i="72"/>
  <c r="H134" i="72"/>
  <c r="H90" i="72"/>
  <c r="H60" i="72"/>
  <c r="H47" i="72"/>
  <c r="H36" i="72"/>
  <c r="H24" i="72"/>
  <c r="H11" i="72"/>
  <c r="H73" i="72"/>
  <c r="H133" i="72"/>
  <c r="H162" i="72"/>
  <c r="H147" i="72"/>
  <c r="H20" i="72"/>
  <c r="H38" i="72"/>
  <c r="H63" i="72"/>
  <c r="H152" i="72"/>
  <c r="H135" i="72"/>
  <c r="H34" i="72"/>
  <c r="H137" i="72"/>
  <c r="H148" i="72"/>
  <c r="H144" i="72"/>
  <c r="H111" i="72"/>
  <c r="H149" i="72"/>
  <c r="H159" i="72"/>
  <c r="H145" i="72"/>
  <c r="H151" i="72"/>
  <c r="B37" i="72"/>
  <c r="B41" i="72"/>
  <c r="H96" i="72"/>
  <c r="H106" i="72"/>
  <c r="B90" i="72"/>
  <c r="B88" i="72"/>
  <c r="B91" i="72" s="1"/>
  <c r="B92" i="72" s="1"/>
  <c r="B93" i="72" s="1"/>
  <c r="B94" i="72" s="1"/>
  <c r="B95" i="72" s="1"/>
  <c r="B96" i="72" s="1"/>
  <c r="B97" i="72" s="1"/>
  <c r="B98" i="72" s="1"/>
  <c r="B99" i="72" s="1"/>
  <c r="H140" i="72"/>
  <c r="B67" i="72"/>
  <c r="B65" i="72"/>
  <c r="B68" i="72" s="1"/>
  <c r="B69" i="72" s="1"/>
  <c r="B70" i="72" s="1"/>
  <c r="B71" i="72" s="1"/>
  <c r="B72" i="72" s="1"/>
  <c r="B73" i="72" s="1"/>
  <c r="B74" i="72" s="1"/>
  <c r="B75" i="72" s="1"/>
  <c r="B76" i="72" s="1"/>
  <c r="H155" i="72"/>
  <c r="B38" i="72" l="1"/>
  <c r="B42" i="72"/>
  <c r="B39" i="72" l="1"/>
  <c r="B44" i="72" s="1"/>
  <c r="B45" i="72" s="1"/>
  <c r="B46" i="72" s="1"/>
  <c r="B47" i="72" s="1"/>
  <c r="B43" i="72"/>
  <c r="C48" i="68" l="1"/>
  <c r="C71" i="68" l="1"/>
  <c r="B71" i="68"/>
  <c r="B66" i="68"/>
  <c r="B65" i="68"/>
  <c r="B64" i="68"/>
  <c r="C26" i="70" l="1"/>
  <c r="C24" i="73" s="1"/>
  <c r="C60" i="68"/>
  <c r="C34" i="70"/>
  <c r="C31" i="73" s="1"/>
  <c r="C66" i="68"/>
  <c r="C27" i="70"/>
  <c r="C25" i="73" s="1"/>
  <c r="C61" i="68"/>
  <c r="C49" i="68"/>
  <c r="C15" i="70"/>
  <c r="C15" i="73" s="1"/>
  <c r="B13" i="70"/>
  <c r="B13" i="73" s="1"/>
  <c r="B47" i="68"/>
  <c r="C20" i="70"/>
  <c r="C19" i="73" s="1"/>
  <c r="C54" i="68"/>
  <c r="B61" i="68"/>
  <c r="B27" i="70"/>
  <c r="C55" i="68"/>
  <c r="C21" i="70"/>
  <c r="C20" i="73" s="1"/>
  <c r="B50" i="68"/>
  <c r="B16" i="70"/>
  <c r="C47" i="68"/>
  <c r="C13" i="70"/>
  <c r="C13" i="73" s="1"/>
  <c r="C50" i="68"/>
  <c r="C16" i="70"/>
  <c r="C16" i="73" s="1"/>
  <c r="C22" i="70"/>
  <c r="C21" i="73" s="1"/>
  <c r="C56" i="68"/>
  <c r="B15" i="70"/>
  <c r="B49" i="68"/>
  <c r="B22" i="70"/>
  <c r="B56" i="68"/>
  <c r="B14" i="70"/>
  <c r="B48" i="68"/>
  <c r="C64" i="68"/>
  <c r="C30" i="70"/>
  <c r="C27" i="73" s="1"/>
  <c r="B10" i="70"/>
  <c r="B44" i="68"/>
  <c r="B21" i="70"/>
  <c r="B55" i="68"/>
  <c r="B54" i="68"/>
  <c r="B20" i="70"/>
  <c r="B60" i="68"/>
  <c r="B26" i="70"/>
  <c r="C32" i="70"/>
  <c r="C29" i="73" s="1"/>
  <c r="C65" i="68"/>
  <c r="C10" i="70" l="1"/>
  <c r="C10" i="73" s="1"/>
  <c r="C44" i="68"/>
  <c r="E45" i="70" l="1"/>
  <c r="D45" i="70"/>
  <c r="C45" i="70" l="1"/>
  <c r="G44" i="70" l="1"/>
  <c r="E32" i="68" l="1"/>
  <c r="D29" i="73" l="1"/>
  <c r="G29" i="73" s="1"/>
  <c r="E42" i="73" s="1"/>
  <c r="E43" i="73" s="1"/>
  <c r="D21" i="73"/>
  <c r="D31" i="73"/>
  <c r="D15" i="73"/>
  <c r="D10" i="73"/>
  <c r="D19" i="73" l="1"/>
  <c r="D25" i="73"/>
  <c r="D14" i="73"/>
  <c r="D27" i="73"/>
  <c r="D16" i="73"/>
  <c r="D20" i="73"/>
  <c r="D13" i="73"/>
  <c r="D24" i="73"/>
  <c r="D35" i="73" l="1"/>
  <c r="D39" i="73" s="1"/>
  <c r="G28" i="70"/>
  <c r="G23" i="70"/>
  <c r="G17" i="70"/>
  <c r="G38" i="70" l="1"/>
  <c r="D36" i="73" l="1"/>
  <c r="D32" i="68"/>
  <c r="E45" i="73" l="1"/>
  <c r="E47" i="73" s="1"/>
  <c r="F13" i="73" l="1"/>
  <c r="I13" i="70" s="1"/>
  <c r="N13" i="70" s="1"/>
  <c r="F20" i="73"/>
  <c r="I21" i="70" s="1"/>
  <c r="N21" i="70" s="1"/>
  <c r="F25" i="73"/>
  <c r="I27" i="70" s="1"/>
  <c r="N27" i="70" s="1"/>
  <c r="F31" i="73"/>
  <c r="I34" i="70" s="1"/>
  <c r="F14" i="73"/>
  <c r="I14" i="70" s="1"/>
  <c r="N14" i="70" s="1"/>
  <c r="F21" i="73"/>
  <c r="I22" i="70" s="1"/>
  <c r="N22" i="70" s="1"/>
  <c r="F27" i="73"/>
  <c r="I30" i="70" s="1"/>
  <c r="N30" i="70" s="1"/>
  <c r="F24" i="73"/>
  <c r="I26" i="70" s="1"/>
  <c r="N26" i="70" s="1"/>
  <c r="F16" i="73"/>
  <c r="I16" i="70" s="1"/>
  <c r="N16" i="70" s="1"/>
  <c r="F15" i="73"/>
  <c r="I15" i="70" s="1"/>
  <c r="N15" i="70" s="1"/>
  <c r="F10" i="73"/>
  <c r="I10" i="70" s="1"/>
  <c r="N10" i="70" s="1"/>
  <c r="F19" i="73"/>
  <c r="I20" i="70" s="1"/>
  <c r="N20" i="70" s="1"/>
  <c r="N34" i="70" l="1"/>
  <c r="K20" i="70"/>
  <c r="L20" i="70" s="1"/>
  <c r="M20" i="70" s="1"/>
  <c r="G19" i="73"/>
  <c r="K15" i="70"/>
  <c r="L15" i="70" s="1"/>
  <c r="M15" i="70" s="1"/>
  <c r="G15" i="73"/>
  <c r="K22" i="70"/>
  <c r="L22" i="70" s="1"/>
  <c r="M22" i="70" s="1"/>
  <c r="G21" i="73"/>
  <c r="K27" i="70"/>
  <c r="L27" i="70" s="1"/>
  <c r="M27" i="70" s="1"/>
  <c r="G25" i="73"/>
  <c r="K30" i="70"/>
  <c r="L30" i="70" s="1"/>
  <c r="M30" i="70" s="1"/>
  <c r="G27" i="73"/>
  <c r="K14" i="70"/>
  <c r="L14" i="70" s="1"/>
  <c r="M14" i="70" s="1"/>
  <c r="G14" i="73"/>
  <c r="K34" i="70"/>
  <c r="L34" i="70" s="1"/>
  <c r="M34" i="70" s="1"/>
  <c r="G31" i="73"/>
  <c r="H166" i="72" s="1"/>
  <c r="K21" i="70"/>
  <c r="L21" i="70" s="1"/>
  <c r="M21" i="70" s="1"/>
  <c r="G20" i="73"/>
  <c r="K10" i="70"/>
  <c r="G10" i="73"/>
  <c r="K16" i="70"/>
  <c r="L16" i="70" s="1"/>
  <c r="M16" i="70" s="1"/>
  <c r="G16" i="73"/>
  <c r="K26" i="70"/>
  <c r="L26" i="70" s="1"/>
  <c r="M26" i="70" s="1"/>
  <c r="G24" i="73"/>
  <c r="K13" i="70"/>
  <c r="L13" i="70" s="1"/>
  <c r="M13" i="70" s="1"/>
  <c r="G13" i="73"/>
  <c r="F33" i="73" l="1"/>
  <c r="I36" i="70" s="1"/>
  <c r="E34" i="68" s="1"/>
  <c r="G35" i="73"/>
  <c r="G36" i="73" s="1"/>
  <c r="E15" i="68"/>
  <c r="E31" i="68"/>
  <c r="E17" i="68"/>
  <c r="E22" i="68"/>
  <c r="E28" i="68"/>
  <c r="E14" i="68"/>
  <c r="E27" i="68"/>
  <c r="E11" i="68"/>
  <c r="E23" i="68"/>
  <c r="E16" i="68"/>
  <c r="F77" i="72"/>
  <c r="F29" i="72"/>
  <c r="E33" i="68"/>
  <c r="E21" i="68"/>
  <c r="K29" i="72" l="1"/>
  <c r="D29" i="75" s="1"/>
  <c r="K77" i="72"/>
  <c r="D78" i="75" s="1"/>
  <c r="H29" i="72"/>
  <c r="H77" i="72"/>
  <c r="H165" i="72" l="1"/>
  <c r="H167" i="72" s="1"/>
  <c r="D14" i="68" l="1"/>
  <c r="D31" i="68"/>
  <c r="D33" i="68"/>
  <c r="D27" i="68"/>
  <c r="D22" i="68"/>
  <c r="D11" i="68"/>
  <c r="F45" i="70"/>
  <c r="G45" i="70" s="1"/>
  <c r="G46" i="70" s="1"/>
  <c r="G47" i="70" s="1"/>
  <c r="D15" i="68"/>
  <c r="D16" i="68"/>
  <c r="D28" i="68"/>
  <c r="D21" i="68"/>
  <c r="D23" i="68"/>
  <c r="D17" i="68"/>
  <c r="K28" i="70" l="1"/>
  <c r="L10" i="70"/>
  <c r="M10" i="70" s="1"/>
  <c r="K23" i="70"/>
  <c r="K17" i="70"/>
  <c r="L23" i="70" l="1"/>
  <c r="M23" i="70" s="1"/>
  <c r="L17" i="70"/>
  <c r="M17" i="70" s="1"/>
  <c r="L28" i="70"/>
  <c r="M28" i="70" s="1"/>
  <c r="J38" i="70" l="1"/>
  <c r="K38" i="70" l="1"/>
  <c r="L38" i="70" l="1"/>
  <c r="M38" i="70" l="1"/>
</calcChain>
</file>

<file path=xl/sharedStrings.xml><?xml version="1.0" encoding="utf-8"?>
<sst xmlns="http://schemas.openxmlformats.org/spreadsheetml/2006/main" count="633" uniqueCount="210">
  <si>
    <t>Schedule</t>
  </si>
  <si>
    <t>Residential</t>
  </si>
  <si>
    <t>PUGET SOUND ENERGY</t>
  </si>
  <si>
    <t>Line No.</t>
  </si>
  <si>
    <t>Lamp Type</t>
  </si>
  <si>
    <t>Mercury Vapor</t>
  </si>
  <si>
    <t>Sodium Vapor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</si>
  <si>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</si>
  <si>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</si>
  <si>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</si>
  <si>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</si>
  <si>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</si>
  <si>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</si>
  <si>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HV Interruptible Svc</t>
  </si>
  <si>
    <t>HV Gen Svc</t>
  </si>
  <si>
    <t>Lights</t>
  </si>
  <si>
    <t>Total</t>
  </si>
  <si>
    <t>Firm Resale</t>
  </si>
  <si>
    <t>Total Sales</t>
  </si>
  <si>
    <t>Customer Class</t>
  </si>
  <si>
    <t>aa</t>
  </si>
  <si>
    <t xml:space="preserve"> </t>
  </si>
  <si>
    <t>Voltage Level</t>
  </si>
  <si>
    <t>Total Secondary Voltage</t>
  </si>
  <si>
    <t>Total Primary Voltage</t>
  </si>
  <si>
    <t>Total High Voltage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</si>
  <si>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</si>
  <si>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</si>
  <si>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</si>
  <si>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</si>
  <si>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</si>
  <si>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</si>
  <si>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</si>
  <si>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</si>
  <si>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</si>
  <si>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</si>
  <si>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</si>
  <si>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</si>
  <si>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</si>
  <si>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</si>
  <si>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</si>
  <si>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</si>
  <si>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</si>
  <si>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</si>
  <si>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</si>
  <si>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</si>
  <si>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</si>
  <si>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</si>
  <si>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</si>
  <si>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</si>
  <si>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</si>
  <si>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</si>
  <si>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</si>
  <si>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 xml:space="preserve">52E </t>
  </si>
  <si>
    <t>51E</t>
  </si>
  <si>
    <t>Sch 51E</t>
  </si>
  <si>
    <t>Compact Flourescent</t>
  </si>
  <si>
    <t>003</t>
  </si>
  <si>
    <t>Wattage (W)</t>
  </si>
  <si>
    <t>Special Contract</t>
  </si>
  <si>
    <t>Sales less Special Contract &amp; Firm Resale</t>
  </si>
  <si>
    <t>Low Income Revenue Requirement, excluding Special Contract</t>
  </si>
  <si>
    <t>Low Income Revenue Requirement as % of Total Revenue Adj for Special Contact &amp; Firm Resale</t>
  </si>
  <si>
    <t>Total Retail Sales</t>
  </si>
  <si>
    <t>Proposed Rider Rate Effective Start Date</t>
  </si>
  <si>
    <t>Budget Forecast</t>
  </si>
  <si>
    <t>Basic Charge</t>
  </si>
  <si>
    <t>First 600 kWh</t>
  </si>
  <si>
    <t>Over 600 kWh</t>
  </si>
  <si>
    <t>Smart LED</t>
  </si>
  <si>
    <t>Per kWh - All Lamps</t>
  </si>
  <si>
    <t>30 - 60</t>
  </si>
  <si>
    <t>0-30</t>
  </si>
  <si>
    <t>0 - 30</t>
  </si>
  <si>
    <t>53E</t>
  </si>
  <si>
    <t>50E</t>
  </si>
  <si>
    <t>Remove Special Contract Low Income Revenue Requirement</t>
  </si>
  <si>
    <t>Demand</t>
  </si>
  <si>
    <t>na</t>
  </si>
  <si>
    <t>See Lighting Rates tab</t>
  </si>
  <si>
    <t>Energy</t>
  </si>
  <si>
    <t>f</t>
  </si>
  <si>
    <t>e</t>
  </si>
  <si>
    <t>d</t>
  </si>
  <si>
    <t>c</t>
  </si>
  <si>
    <t>b</t>
  </si>
  <si>
    <t>a</t>
  </si>
  <si>
    <t>Rate Schedule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</si>
  <si>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</si>
  <si>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</si>
  <si>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</si>
  <si>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</si>
  <si>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</si>
  <si>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</si>
  <si>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</si>
  <si>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</si>
  <si>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</si>
  <si>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</si>
  <si>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</si>
  <si>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</si>
  <si>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</si>
  <si>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</si>
  <si>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</si>
  <si>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</si>
  <si>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</si>
  <si>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</si>
  <si>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</si>
  <si>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</si>
  <si>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</si>
  <si>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</si>
  <si>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</si>
  <si>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</si>
  <si>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</si>
  <si>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</si>
  <si>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</si>
  <si>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</si>
  <si>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>Wattage</t>
  </si>
  <si>
    <t>Schedule &amp; Charge Type</t>
  </si>
  <si>
    <t>Typical Residential Bill at 800 kWh</t>
  </si>
  <si>
    <t>Pass-Thru Trackers</t>
  </si>
  <si>
    <t>Current Bill</t>
  </si>
  <si>
    <t>Residential Bill Impacts</t>
  </si>
  <si>
    <t>Total Choice / Retail Wheeling</t>
  </si>
  <si>
    <t>g = f / d</t>
  </si>
  <si>
    <t>f = e - d</t>
  </si>
  <si>
    <t>Projected Rate-Year
Revenue Impacts
from Proposed Rate Changes</t>
  </si>
  <si>
    <t>Projected Schedule Revenue Impacts of Rate Change by Forecasted Energy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</si>
  <si>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</si>
  <si>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</si>
  <si>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</si>
  <si>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</si>
  <si>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</si>
  <si>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</si>
  <si>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</si>
  <si>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Lamp Level Rate Design</t>
  </si>
  <si>
    <t>Forecasted Rate Year End Date</t>
  </si>
  <si>
    <t>Forecasted Rate Year Start Date</t>
  </si>
  <si>
    <t>Sch 129 Tariff Reference</t>
  </si>
  <si>
    <t xml:space="preserve">Schedule 129 - Low Income Program </t>
  </si>
  <si>
    <t>7A (11) (25)</t>
  </si>
  <si>
    <t>Sheet No. 129-B</t>
  </si>
  <si>
    <t>Sheet No. 129-C</t>
  </si>
  <si>
    <t>Tariff Reference</t>
  </si>
  <si>
    <t>Sheet No. 129-D</t>
  </si>
  <si>
    <t>Sheet No. 129-E</t>
  </si>
  <si>
    <t>Sheet No. 129-F</t>
  </si>
  <si>
    <t>Sheet No. 129-G</t>
  </si>
  <si>
    <t>Sheet No. 129-H</t>
  </si>
  <si>
    <t>Sheet No. 129-I</t>
  </si>
  <si>
    <t>cross check</t>
  </si>
  <si>
    <t xml:space="preserve">c = (aa * b) / a </t>
  </si>
  <si>
    <t>d = a * c</t>
  </si>
  <si>
    <t>Proposed Lamp Charge</t>
  </si>
  <si>
    <t>Proposed Lamp Revenue</t>
  </si>
  <si>
    <t xml:space="preserve"> Equal % Allocation (Ex. Special Contract)</t>
  </si>
  <si>
    <t>Proposed Low Income $</t>
  </si>
  <si>
    <t xml:space="preserve">Rate Spread &amp; Design with Equal % Allocation based on Forecasted Base related Revenues </t>
  </si>
  <si>
    <t>e = a * (c - b) + d</t>
  </si>
  <si>
    <t>Special Contract (2)</t>
  </si>
  <si>
    <t>Secondary Voltage:</t>
  </si>
  <si>
    <t>Primary Voltage:</t>
  </si>
  <si>
    <t>High Voltage:</t>
  </si>
  <si>
    <t>Current</t>
  </si>
  <si>
    <t>Proposed</t>
  </si>
  <si>
    <t>Total Projected Revenue
 @ Current Rates</t>
  </si>
  <si>
    <t>Total Projected Revenue
@ Proposed Rates</t>
  </si>
  <si>
    <t>F2024</t>
  </si>
  <si>
    <t>Proposed Rates</t>
  </si>
  <si>
    <t>Lighting (1)</t>
  </si>
  <si>
    <t>Low Income Electric Revenue Requirement Cap</t>
  </si>
  <si>
    <t>Note (2): Special Contract - Sch 129 rate set at $0.000614 per kWh per Contract in Docket UE-230694</t>
  </si>
  <si>
    <t xml:space="preserve">Note (1): Rate for Street Lighting (Sch. 03, 50-59) displayed in energy determinates (kWh). Proposed Lighting tariff rates are detailed on the "Lighting Rates" tab.
</t>
  </si>
  <si>
    <t>Street Lighting Rates</t>
  </si>
  <si>
    <t xml:space="preserve">Current Rates </t>
  </si>
  <si>
    <t>Transportation Electrification</t>
  </si>
  <si>
    <t xml:space="preserve">Proposed Additional Funding Filing </t>
  </si>
  <si>
    <t>Current Rate</t>
  </si>
  <si>
    <t>Proposed Rate (2)</t>
  </si>
  <si>
    <t>Note (2): Proposed rate includes current SCH 129 rate set under Docket UE-240645</t>
  </si>
  <si>
    <t>Transportation Electrification (3)</t>
  </si>
  <si>
    <t>Note (3): Schedule 558 rate is a weighted average rate based on rates for Schedules 24/25/26</t>
  </si>
  <si>
    <t>n/a</t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</si>
  <si>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Lighting Base Rates </t>
    </r>
    <r>
      <rPr>
        <b/>
        <vertAlign val="superscript"/>
        <sz val="8"/>
        <rFont val="Arial"/>
        <family val="2"/>
      </rPr>
      <t>[1]</t>
    </r>
  </si>
  <si>
    <t>h</t>
  </si>
  <si>
    <t>Note (1): Utilizes base rates approved in Docket No UE-240004 which established a pro-rata allocation beteween lamp watage sizes and lamp types in the 2024 GRC Lighting COS Model.</t>
  </si>
  <si>
    <r>
      <rPr>
        <b/>
        <sz val="8"/>
        <color rgb="FF0033CC"/>
        <rFont val="Arial"/>
        <family val="2"/>
      </rPr>
      <t>2024 GRC</t>
    </r>
    <r>
      <rPr>
        <b/>
        <sz val="8"/>
        <rFont val="Arial"/>
        <family val="2"/>
      </rPr>
      <t xml:space="preserve"> Annual Lamp Inventory </t>
    </r>
    <r>
      <rPr>
        <b/>
        <sz val="5"/>
        <rFont val="Arial"/>
        <family val="2"/>
      </rPr>
      <t>(2)</t>
    </r>
  </si>
  <si>
    <t>Note (2): Utilizes lamp inventory from 2024 GRC (UE-240004); prorated to 5-month adjusted average</t>
  </si>
  <si>
    <t>Current Lamp Charge</t>
  </si>
  <si>
    <t>i = e + h</t>
  </si>
  <si>
    <r>
      <t xml:space="preserve">Total Proposed Lamp Charge </t>
    </r>
    <r>
      <rPr>
        <b/>
        <sz val="6"/>
        <rFont val="Arial"/>
        <family val="2"/>
      </rPr>
      <t>(3)</t>
    </r>
  </si>
  <si>
    <t>Note (3): Proposed rate includes current SCH 129 rate set under Docket UE-240645</t>
  </si>
  <si>
    <t>Forecast Base Revenue 5/1/25 - 4/30/26 (1)</t>
  </si>
  <si>
    <t>Note (1):  Avg 2024 GRC Compliance Base Rates</t>
  </si>
  <si>
    <t>General Service: Demand &lt;= 50 kW</t>
  </si>
  <si>
    <t>Small General Service: Demand &gt; 50 kW but &lt;= 350 kW</t>
  </si>
  <si>
    <t>Large General Service: Demand &gt; 350 kW</t>
  </si>
  <si>
    <t>Irrigation &amp; Pumping Service: Demand &gt; 50 kW but &lt;= 350 kW</t>
  </si>
  <si>
    <t>General Service</t>
  </si>
  <si>
    <t>Irrigation &amp; Pumping Service</t>
  </si>
  <si>
    <t>All Electric Schools</t>
  </si>
  <si>
    <t>Interruptible Service</t>
  </si>
  <si>
    <t>Choice / Retail Wheeling</t>
  </si>
  <si>
    <t>Special Contracts</t>
  </si>
  <si>
    <t>Lighting</t>
  </si>
  <si>
    <t>7 (307) (317) (327)</t>
  </si>
  <si>
    <t>08 (24) (324)</t>
  </si>
  <si>
    <t>12 (26) (26P)</t>
  </si>
  <si>
    <t>10 (31)</t>
  </si>
  <si>
    <t>448 - 459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</si>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</sst>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0.000%"/>
    <numFmt numFmtId="169" formatCode="_(* #,##0.000000_);_(* \(#,##0.000000\);_(* &quot;-&quot;??_);_(@_)"/>
    <numFmt numFmtId="170" formatCode="m/d/yy;@"/>
    <numFmt numFmtId="171" formatCode="_(* #,##0.000000_);_(* \(#,##0.000000\);_(* &quot;-&quot;_);_(@_)"/>
  </numFmts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rgb="FF0033CC"/>
      <name val="Arial"/>
      <family val="2"/>
    </font>
    <font>
      <b/>
      <sz val="8"/>
      <color rgb="FF0033CC"/>
      <name val="Arial"/>
      <family val="2"/>
    </font>
    <font>
      <b/>
      <sz val="8"/>
      <color rgb="FF008080"/>
      <name val="Arial"/>
      <family val="2"/>
    </font>
    <font>
      <u/>
      <sz val="8"/>
      <name val="Arial"/>
      <family val="2"/>
    </font>
    <font>
      <b/>
      <sz val="8"/>
      <color rgb="FF0000FF"/>
      <name val="Arial"/>
      <family val="2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b/>
      <u val="singleAccounting"/>
      <sz val="8"/>
      <name val="Arial"/>
      <family val="2"/>
    </font>
    <font>
      <b/>
      <sz val="8"/>
      <color theme="1"/>
      <name val="Arial"/>
      <family val="2"/>
    </font>
    <font>
      <u val="singleAccounting"/>
      <sz val="8"/>
      <name val="Arial"/>
      <family val="2"/>
    </font>
    <font>
      <u val="singleAccounting"/>
      <sz val="8"/>
      <color rgb="FF0033CC"/>
      <name val="Arial"/>
      <family val="2"/>
    </font>
    <font>
      <u val="singleAccounting"/>
      <sz val="8"/>
      <color rgb="FF00808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b/>
      <sz val="5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9" fillId="0" borderId="0"/>
    <xf numFmtId="43" fontId="19" fillId="0" borderId="0" applyFont="0" applyFill="0" applyBorder="0" applyAlignment="0" applyProtection="0"/>
  </cellStyleXfs>
  <cellXfs count="239">
    <xf numFmtId="0" fontId="0" fillId="0" borderId="0" xfId="0"/>
    <xf numFmtId="164" fontId="1" fillId="0" borderId="0" xfId="0" applyNumberFormat="1" applyFont="1" applyFill="1" applyBorder="1"/>
    <xf numFmtId="168" fontId="2" fillId="0" borderId="1" xfId="0" applyNumberFormat="1" applyFont="1" applyFill="1" applyBorder="1"/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0" xfId="0" quotePrefix="1" applyFont="1" applyFill="1" applyAlignment="1">
      <alignment horizontal="center"/>
    </xf>
    <xf numFmtId="167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5" xfId="0" quotePrefix="1" applyFont="1" applyFill="1" applyBorder="1" applyAlignment="1">
      <alignment horizontal="center" wrapText="1"/>
    </xf>
    <xf numFmtId="0" fontId="5" fillId="0" borderId="0" xfId="0" applyFont="1" applyFill="1"/>
    <xf numFmtId="41" fontId="5" fillId="0" borderId="0" xfId="0" applyNumberFormat="1" applyFont="1" applyFill="1"/>
    <xf numFmtId="0" fontId="1" fillId="0" borderId="6" xfId="0" quotePrefix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quotePrefix="1" applyFont="1" applyFill="1" applyAlignment="1">
      <alignment horizontal="center" vertical="center" wrapText="1"/>
    </xf>
    <xf numFmtId="44" fontId="1" fillId="0" borderId="0" xfId="0" applyNumberFormat="1" applyFont="1" applyFill="1"/>
    <xf numFmtId="165" fontId="1" fillId="0" borderId="0" xfId="0" applyNumberFormat="1" applyFont="1" applyFill="1"/>
    <xf numFmtId="164" fontId="1" fillId="0" borderId="0" xfId="0" applyNumberFormat="1" applyFont="1" applyFill="1"/>
    <xf numFmtId="166" fontId="3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7" fontId="4" fillId="0" borderId="5" xfId="0" applyNumberFormat="1" applyFont="1" applyFill="1" applyBorder="1"/>
    <xf numFmtId="164" fontId="4" fillId="0" borderId="0" xfId="0" applyNumberFormat="1" applyFont="1" applyFill="1" applyAlignment="1">
      <alignment horizontal="center"/>
    </xf>
    <xf numFmtId="167" fontId="1" fillId="0" borderId="0" xfId="0" applyNumberFormat="1" applyFont="1" applyFill="1"/>
    <xf numFmtId="0" fontId="1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 vertical="center"/>
    </xf>
    <xf numFmtId="0" fontId="4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Continuous" vertical="center"/>
    </xf>
    <xf numFmtId="166" fontId="4" fillId="0" borderId="0" xfId="0" applyNumberFormat="1" applyFont="1" applyFill="1"/>
    <xf numFmtId="0" fontId="7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44" fontId="13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16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67" fontId="1" fillId="0" borderId="0" xfId="0" quotePrefix="1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167" fontId="6" fillId="0" borderId="0" xfId="0" applyNumberFormat="1" applyFont="1" applyFill="1" applyAlignment="1">
      <alignment horizontal="right" vertical="center"/>
    </xf>
    <xf numFmtId="44" fontId="1" fillId="0" borderId="0" xfId="0" applyNumberFormat="1" applyFont="1" applyFill="1" applyAlignment="1">
      <alignment horizontal="right"/>
    </xf>
    <xf numFmtId="44" fontId="15" fillId="0" borderId="0" xfId="0" applyNumberFormat="1" applyFont="1" applyFill="1" applyAlignment="1">
      <alignment horizontal="right"/>
    </xf>
    <xf numFmtId="41" fontId="17" fillId="0" borderId="0" xfId="0" applyNumberFormat="1" applyFont="1" applyFill="1"/>
    <xf numFmtId="4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44" fontId="1" fillId="0" borderId="0" xfId="0" applyNumberFormat="1" applyFont="1" applyFill="1" applyAlignment="1">
      <alignment horizontal="right" vertical="center"/>
    </xf>
    <xf numFmtId="169" fontId="16" fillId="0" borderId="0" xfId="0" applyNumberFormat="1" applyFont="1" applyFill="1" applyAlignment="1">
      <alignment horizontal="center"/>
    </xf>
    <xf numFmtId="167" fontId="2" fillId="0" borderId="5" xfId="0" quotePrefix="1" applyNumberFormat="1" applyFont="1" applyFill="1" applyBorder="1" applyAlignment="1">
      <alignment horizontal="centerContinuous" wrapText="1"/>
    </xf>
    <xf numFmtId="167" fontId="1" fillId="0" borderId="2" xfId="0" quotePrefix="1" applyNumberFormat="1" applyFont="1" applyFill="1" applyBorder="1" applyAlignment="1">
      <alignment horizontal="centerContinuous" wrapText="1"/>
    </xf>
    <xf numFmtId="167" fontId="1" fillId="0" borderId="0" xfId="0" applyNumberFormat="1" applyFont="1" applyFill="1" applyAlignment="1">
      <alignment horizontal="centerContinuous"/>
    </xf>
    <xf numFmtId="0" fontId="2" fillId="0" borderId="0" xfId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44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Border="1"/>
    <xf numFmtId="166" fontId="1" fillId="0" borderId="0" xfId="0" applyNumberFormat="1" applyFont="1" applyFill="1" applyAlignment="1">
      <alignment horizontal="centerContinuous"/>
    </xf>
    <xf numFmtId="166" fontId="1" fillId="0" borderId="0" xfId="0" applyNumberFormat="1" applyFont="1" applyFill="1"/>
    <xf numFmtId="167" fontId="5" fillId="0" borderId="0" xfId="0" applyNumberFormat="1" applyFont="1" applyFill="1" applyAlignment="1">
      <alignment horizontal="centerContinuous"/>
    </xf>
    <xf numFmtId="0" fontId="10" fillId="0" borderId="3" xfId="0" applyFont="1" applyFill="1" applyBorder="1" applyAlignment="1">
      <alignment horizontal="center" wrapText="1"/>
    </xf>
    <xf numFmtId="167" fontId="1" fillId="0" borderId="7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wrapText="1"/>
    </xf>
    <xf numFmtId="167" fontId="4" fillId="0" borderId="0" xfId="0" applyNumberFormat="1" applyFont="1" applyFill="1" applyBorder="1" applyAlignment="1">
      <alignment horizontal="center"/>
    </xf>
    <xf numFmtId="167" fontId="1" fillId="0" borderId="8" xfId="0" applyNumberFormat="1" applyFont="1" applyFill="1" applyBorder="1" applyAlignment="1">
      <alignment horizontal="center"/>
    </xf>
    <xf numFmtId="167" fontId="8" fillId="0" borderId="5" xfId="0" quotePrefix="1" applyNumberFormat="1" applyFont="1" applyFill="1" applyBorder="1" applyAlignment="1">
      <alignment horizontal="center" wrapText="1"/>
    </xf>
    <xf numFmtId="167" fontId="4" fillId="0" borderId="2" xfId="0" applyNumberFormat="1" applyFont="1" applyFill="1" applyBorder="1"/>
    <xf numFmtId="167" fontId="4" fillId="0" borderId="0" xfId="0" applyNumberFormat="1" applyFont="1" applyFill="1"/>
    <xf numFmtId="167" fontId="1" fillId="0" borderId="2" xfId="0" applyNumberFormat="1" applyFont="1" applyFill="1" applyBorder="1"/>
    <xf numFmtId="167" fontId="4" fillId="0" borderId="0" xfId="0" applyNumberFormat="1" applyFont="1" applyFill="1" applyBorder="1"/>
    <xf numFmtId="167" fontId="1" fillId="0" borderId="4" xfId="0" applyNumberFormat="1" applyFont="1" applyFill="1" applyBorder="1"/>
    <xf numFmtId="167" fontId="5" fillId="0" borderId="0" xfId="0" applyNumberFormat="1" applyFont="1" applyFill="1"/>
    <xf numFmtId="0" fontId="2" fillId="0" borderId="5" xfId="0" quotePrefix="1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0" xfId="0" applyFont="1" applyFill="1" applyAlignment="1">
      <alignment horizontal="centerContinuous"/>
    </xf>
    <xf numFmtId="166" fontId="4" fillId="0" borderId="2" xfId="0" applyNumberFormat="1" applyFont="1" applyFill="1" applyBorder="1" applyAlignment="1">
      <alignment horizontal="centerContinuous"/>
    </xf>
    <xf numFmtId="166" fontId="4" fillId="0" borderId="0" xfId="0" applyNumberFormat="1" applyFont="1" applyFill="1" applyAlignment="1">
      <alignment horizontal="centerContinuous"/>
    </xf>
    <xf numFmtId="166" fontId="4" fillId="0" borderId="0" xfId="0" applyNumberFormat="1" applyFont="1" applyFill="1" applyBorder="1" applyAlignment="1">
      <alignment horizontal="centerContinuous"/>
    </xf>
    <xf numFmtId="166" fontId="1" fillId="0" borderId="2" xfId="0" applyNumberFormat="1" applyFont="1" applyFill="1" applyBorder="1" applyAlignment="1">
      <alignment horizontal="centerContinuous"/>
    </xf>
    <xf numFmtId="166" fontId="1" fillId="0" borderId="2" xfId="0" applyNumberFormat="1" applyFont="1" applyFill="1" applyBorder="1" applyAlignment="1">
      <alignment horizontal="centerContinuous" wrapText="1"/>
    </xf>
    <xf numFmtId="166" fontId="4" fillId="0" borderId="2" xfId="0" applyNumberFormat="1" applyFont="1" applyFill="1" applyBorder="1"/>
    <xf numFmtId="166" fontId="1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Continuous" vertical="center"/>
    </xf>
    <xf numFmtId="164" fontId="4" fillId="0" borderId="0" xfId="0" applyNumberFormat="1" applyFont="1" applyFill="1" applyBorder="1" applyAlignment="1">
      <alignment horizontal="centerContinuous" vertical="center"/>
    </xf>
    <xf numFmtId="164" fontId="4" fillId="0" borderId="5" xfId="0" applyNumberFormat="1" applyFont="1" applyFill="1" applyBorder="1" applyAlignment="1">
      <alignment horizontal="centerContinuous" vertical="center"/>
    </xf>
    <xf numFmtId="164" fontId="1" fillId="0" borderId="5" xfId="0" applyNumberFormat="1" applyFont="1" applyFill="1" applyBorder="1" applyAlignment="1">
      <alignment horizontal="centerContinuous"/>
    </xf>
    <xf numFmtId="167" fontId="4" fillId="0" borderId="0" xfId="0" applyNumberFormat="1" applyFont="1" applyFill="1" applyAlignment="1">
      <alignment horizontal="centerContinuous"/>
    </xf>
    <xf numFmtId="164" fontId="1" fillId="0" borderId="4" xfId="0" applyNumberFormat="1" applyFont="1" applyFill="1" applyBorder="1" applyAlignment="1">
      <alignment horizontal="centerContinuous"/>
    </xf>
    <xf numFmtId="0" fontId="8" fillId="0" borderId="0" xfId="0" applyFont="1" applyFill="1" applyAlignment="1">
      <alignment horizontal="centerContinuous"/>
    </xf>
    <xf numFmtId="14" fontId="3" fillId="0" borderId="2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quotePrefix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4" fontId="15" fillId="0" borderId="0" xfId="0" quotePrefix="1" applyNumberFormat="1" applyFont="1" applyFill="1" applyAlignment="1">
      <alignment horizontal="left"/>
    </xf>
    <xf numFmtId="170" fontId="10" fillId="0" borderId="0" xfId="0" quotePrefix="1" applyNumberFormat="1" applyFont="1" applyFill="1" applyAlignment="1">
      <alignment horizontal="center"/>
    </xf>
    <xf numFmtId="0" fontId="0" fillId="0" borderId="0" xfId="0" applyFill="1"/>
    <xf numFmtId="44" fontId="15" fillId="0" borderId="0" xfId="0" applyNumberFormat="1" applyFont="1" applyFill="1"/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 vertical="center" wrapText="1"/>
    </xf>
    <xf numFmtId="44" fontId="4" fillId="0" borderId="0" xfId="0" applyNumberFormat="1" applyFont="1" applyFill="1"/>
    <xf numFmtId="41" fontId="4" fillId="0" borderId="0" xfId="0" applyNumberFormat="1" applyFont="1" applyFill="1"/>
    <xf numFmtId="44" fontId="2" fillId="0" borderId="0" xfId="0" applyNumberFormat="1" applyFont="1" applyFill="1"/>
    <xf numFmtId="171" fontId="4" fillId="0" borderId="0" xfId="0" applyNumberFormat="1" applyFont="1" applyFill="1"/>
    <xf numFmtId="166" fontId="2" fillId="0" borderId="0" xfId="0" applyNumberFormat="1" applyFont="1" applyFill="1"/>
    <xf numFmtId="165" fontId="4" fillId="0" borderId="0" xfId="0" applyNumberFormat="1" applyFont="1" applyFill="1"/>
    <xf numFmtId="165" fontId="2" fillId="0" borderId="0" xfId="0" applyNumberFormat="1" applyFont="1" applyFill="1"/>
    <xf numFmtId="0" fontId="10" fillId="0" borderId="0" xfId="0" applyFont="1" applyFill="1" applyAlignment="1">
      <alignment horizontal="centerContinuous" vertical="center"/>
    </xf>
    <xf numFmtId="0" fontId="2" fillId="0" borderId="3" xfId="0" applyFont="1" applyFill="1" applyBorder="1" applyAlignment="1">
      <alignment horizontal="center" wrapText="1"/>
    </xf>
    <xf numFmtId="167" fontId="10" fillId="0" borderId="3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7" xfId="0" quotePrefix="1" applyFont="1" applyFill="1" applyBorder="1" applyAlignment="1">
      <alignment horizontal="center" wrapText="1"/>
    </xf>
    <xf numFmtId="167" fontId="1" fillId="0" borderId="0" xfId="0" applyNumberFormat="1" applyFont="1" applyFill="1" applyBorder="1"/>
    <xf numFmtId="166" fontId="1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0" fontId="1" fillId="0" borderId="5" xfId="0" quotePrefix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10" fontId="1" fillId="0" borderId="0" xfId="0" applyNumberFormat="1" applyFont="1" applyFill="1" applyAlignment="1">
      <alignment horizontal="center" vertical="center"/>
    </xf>
    <xf numFmtId="167" fontId="1" fillId="0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4" fillId="0" borderId="0" xfId="0" applyNumberFormat="1" applyFont="1" applyFill="1"/>
    <xf numFmtId="0" fontId="1" fillId="0" borderId="0" xfId="0" quotePrefix="1" applyFont="1" applyFill="1" applyAlignment="1">
      <alignment vertical="center" wrapText="1"/>
    </xf>
    <xf numFmtId="164" fontId="1" fillId="0" borderId="6" xfId="0" applyNumberFormat="1" applyFont="1" applyFill="1" applyBorder="1"/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7" fontId="2" fillId="0" borderId="1" xfId="0" applyNumberFormat="1" applyFont="1" applyFill="1" applyBorder="1"/>
    <xf numFmtId="10" fontId="1" fillId="0" borderId="0" xfId="0" applyNumberFormat="1" applyFont="1" applyFill="1" applyAlignment="1">
      <alignment horizontal="left" vertical="center"/>
    </xf>
    <xf numFmtId="0" fontId="1" fillId="0" borderId="8" xfId="0" applyFont="1" applyFill="1" applyBorder="1"/>
    <xf numFmtId="0" fontId="1" fillId="0" borderId="8" xfId="0" quotePrefix="1" applyFont="1" applyFill="1" applyBorder="1" applyAlignment="1">
      <alignment horizontal="center"/>
    </xf>
    <xf numFmtId="0" fontId="1" fillId="0" borderId="8" xfId="0" quotePrefix="1" applyFont="1" applyFill="1" applyBorder="1" applyAlignment="1">
      <alignment horizontal="right"/>
    </xf>
    <xf numFmtId="167" fontId="1" fillId="0" borderId="8" xfId="0" applyNumberFormat="1" applyFont="1" applyFill="1" applyBorder="1"/>
    <xf numFmtId="0" fontId="18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Continuous" wrapText="1"/>
    </xf>
    <xf numFmtId="0" fontId="2" fillId="0" borderId="0" xfId="0" applyFont="1" applyFill="1" applyAlignment="1">
      <alignment horizontal="centerContinuous" wrapText="1"/>
    </xf>
    <xf numFmtId="167" fontId="2" fillId="0" borderId="5" xfId="0" quotePrefix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quotePrefix="1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Continuous" vertical="center"/>
    </xf>
    <xf numFmtId="0" fontId="4" fillId="0" borderId="0" xfId="0" quotePrefix="1" applyFont="1" applyFill="1" applyAlignment="1">
      <alignment horizontal="centerContinuous" vertical="center" wrapText="1"/>
    </xf>
    <xf numFmtId="164" fontId="1" fillId="0" borderId="2" xfId="0" applyNumberFormat="1" applyFont="1" applyFill="1" applyBorder="1"/>
    <xf numFmtId="10" fontId="1" fillId="0" borderId="2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Continuous" vertical="center" wrapText="1"/>
    </xf>
    <xf numFmtId="0" fontId="8" fillId="0" borderId="0" xfId="0" applyFont="1" applyFill="1" applyAlignment="1">
      <alignment horizontal="centerContinuous" vertical="center"/>
    </xf>
    <xf numFmtId="0" fontId="1" fillId="0" borderId="0" xfId="0" quotePrefix="1" applyFont="1" applyFill="1"/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Continuous" vertical="center"/>
    </xf>
    <xf numFmtId="0" fontId="1" fillId="0" borderId="4" xfId="0" quotePrefix="1" applyFont="1" applyFill="1" applyBorder="1" applyAlignment="1">
      <alignment horizontal="centerContinuous" vertical="center" wrapText="1"/>
    </xf>
    <xf numFmtId="166" fontId="1" fillId="0" borderId="4" xfId="0" applyNumberFormat="1" applyFont="1" applyFill="1" applyBorder="1" applyAlignment="1">
      <alignment horizontal="centerContinuous" wrapText="1"/>
    </xf>
    <xf numFmtId="166" fontId="1" fillId="0" borderId="4" xfId="0" applyNumberFormat="1" applyFont="1" applyFill="1" applyBorder="1"/>
    <xf numFmtId="164" fontId="1" fillId="0" borderId="4" xfId="0" applyNumberFormat="1" applyFont="1" applyFill="1" applyBorder="1"/>
    <xf numFmtId="10" fontId="1" fillId="0" borderId="4" xfId="0" applyNumberFormat="1" applyFont="1" applyFill="1" applyBorder="1" applyAlignment="1">
      <alignment horizontal="right"/>
    </xf>
    <xf numFmtId="167" fontId="5" fillId="0" borderId="0" xfId="0" applyNumberFormat="1" applyFont="1" applyFill="1" applyAlignment="1">
      <alignment horizontal="right"/>
    </xf>
    <xf numFmtId="44" fontId="14" fillId="0" borderId="5" xfId="0" quotePrefix="1" applyNumberFormat="1" applyFont="1" applyFill="1" applyBorder="1" applyAlignment="1">
      <alignment horizontal="centerContinuous" vertical="center"/>
    </xf>
    <xf numFmtId="44" fontId="13" fillId="0" borderId="5" xfId="0" quotePrefix="1" applyNumberFormat="1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7" fontId="1" fillId="0" borderId="5" xfId="0" applyNumberFormat="1" applyFont="1" applyFill="1" applyBorder="1" applyAlignment="1">
      <alignment horizontal="centerContinuous" vertical="center"/>
    </xf>
    <xf numFmtId="167" fontId="6" fillId="0" borderId="5" xfId="0" applyNumberFormat="1" applyFont="1" applyFill="1" applyBorder="1" applyAlignment="1">
      <alignment horizontal="centerContinuous" vertical="center"/>
    </xf>
    <xf numFmtId="44" fontId="13" fillId="0" borderId="0" xfId="0" quotePrefix="1" applyNumberFormat="1" applyFont="1" applyFill="1" applyAlignment="1">
      <alignment horizontal="centerContinuous" vertical="center"/>
    </xf>
    <xf numFmtId="44" fontId="13" fillId="0" borderId="0" xfId="0" quotePrefix="1" applyNumberFormat="1" applyFont="1" applyFill="1" applyAlignment="1">
      <alignment horizontal="center" vertical="center"/>
    </xf>
    <xf numFmtId="44" fontId="13" fillId="0" borderId="0" xfId="0" quotePrefix="1" applyNumberFormat="1" applyFont="1" applyFill="1" applyAlignment="1">
      <alignment horizontal="centerContinuous"/>
    </xf>
    <xf numFmtId="44" fontId="13" fillId="0" borderId="0" xfId="0" applyNumberFormat="1" applyFont="1" applyFill="1" applyAlignment="1">
      <alignment horizontal="centerContinuous"/>
    </xf>
    <xf numFmtId="44" fontId="13" fillId="0" borderId="0" xfId="0" applyNumberFormat="1" applyFont="1" applyFill="1" applyAlignment="1">
      <alignment horizontal="center" wrapText="1"/>
    </xf>
    <xf numFmtId="44" fontId="13" fillId="0" borderId="0" xfId="0" applyNumberFormat="1" applyFont="1" applyFill="1" applyAlignment="1">
      <alignment horizontal="center"/>
    </xf>
    <xf numFmtId="43" fontId="1" fillId="0" borderId="0" xfId="0" quotePrefix="1" applyNumberFormat="1" applyFont="1" applyFill="1"/>
    <xf numFmtId="10" fontId="1" fillId="0" borderId="0" xfId="0" applyNumberFormat="1" applyFont="1" applyFill="1"/>
    <xf numFmtId="44" fontId="1" fillId="0" borderId="0" xfId="0" applyNumberFormat="1" applyFont="1" applyFill="1" applyAlignment="1">
      <alignment horizontal="center" vertical="center"/>
    </xf>
    <xf numFmtId="10" fontId="1" fillId="0" borderId="0" xfId="0" quotePrefix="1" applyNumberFormat="1" applyFont="1" applyFill="1"/>
    <xf numFmtId="0" fontId="1" fillId="0" borderId="0" xfId="1" applyFont="1" applyFill="1" applyAlignment="1">
      <alignment horizontal="centerContinuous" vertical="center"/>
    </xf>
    <xf numFmtId="0" fontId="1" fillId="0" borderId="0" xfId="1" applyFont="1" applyFill="1"/>
    <xf numFmtId="0" fontId="10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2" fillId="0" borderId="5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Continuous" wrapText="1"/>
    </xf>
    <xf numFmtId="0" fontId="14" fillId="0" borderId="5" xfId="1" quotePrefix="1" applyFont="1" applyFill="1" applyBorder="1" applyAlignment="1">
      <alignment horizontal="center" wrapText="1"/>
    </xf>
    <xf numFmtId="0" fontId="1" fillId="0" borderId="0" xfId="1" applyFont="1" applyFill="1" applyAlignment="1">
      <alignment horizontal="center" vertical="center" wrapText="1"/>
    </xf>
    <xf numFmtId="166" fontId="4" fillId="0" borderId="0" xfId="1" applyNumberFormat="1" applyFont="1" applyFill="1"/>
    <xf numFmtId="0" fontId="1" fillId="0" borderId="0" xfId="1" applyFont="1" applyFill="1" applyAlignment="1">
      <alignment horizontal="center"/>
    </xf>
    <xf numFmtId="44" fontId="13" fillId="0" borderId="0" xfId="1" applyNumberFormat="1" applyFont="1" applyFill="1"/>
    <xf numFmtId="167" fontId="1" fillId="0" borderId="0" xfId="1" applyNumberFormat="1" applyFont="1" applyFill="1"/>
    <xf numFmtId="0" fontId="1" fillId="0" borderId="0" xfId="1" quotePrefix="1" applyFont="1" applyFill="1" applyAlignment="1">
      <alignment horizontal="left"/>
    </xf>
    <xf numFmtId="167" fontId="1" fillId="0" borderId="0" xfId="1" applyNumberFormat="1" applyFont="1" applyFill="1" applyAlignment="1">
      <alignment horizontal="center"/>
    </xf>
    <xf numFmtId="44" fontId="4" fillId="0" borderId="0" xfId="1" applyNumberFormat="1" applyFont="1" applyFill="1"/>
    <xf numFmtId="0" fontId="6" fillId="0" borderId="0" xfId="1" quotePrefix="1" applyFont="1" applyFill="1" applyAlignment="1">
      <alignment horizontal="center"/>
    </xf>
    <xf numFmtId="0" fontId="1" fillId="0" borderId="0" xfId="1" quotePrefix="1" applyFont="1" applyFill="1" applyAlignment="1">
      <alignment horizontal="center" wrapText="1"/>
    </xf>
    <xf numFmtId="0" fontId="6" fillId="0" borderId="0" xfId="1" applyFont="1" applyFill="1" applyAlignment="1">
      <alignment horizontal="center"/>
    </xf>
    <xf numFmtId="0" fontId="1" fillId="0" borderId="0" xfId="1" quotePrefix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167" fontId="1" fillId="0" borderId="0" xfId="1" quotePrefix="1" applyNumberFormat="1" applyFont="1" applyFill="1" applyAlignment="1">
      <alignment horizontal="center"/>
    </xf>
    <xf numFmtId="167" fontId="1" fillId="0" borderId="0" xfId="1" applyNumberFormat="1" applyFont="1" applyFill="1" applyAlignment="1">
      <alignment horizontal="left"/>
    </xf>
    <xf numFmtId="165" fontId="4" fillId="0" borderId="0" xfId="1" applyNumberFormat="1" applyFont="1" applyFill="1"/>
    <xf numFmtId="0" fontId="4" fillId="0" borderId="0" xfId="0" applyFont="1" applyFill="1"/>
    <xf numFmtId="0" fontId="2" fillId="0" borderId="2" xfId="0" applyFont="1" applyFill="1" applyBorder="1" applyAlignment="1">
      <alignment horizontal="center" wrapText="1"/>
    </xf>
    <xf numFmtId="0" fontId="1" fillId="0" borderId="2" xfId="0" quotePrefix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166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166" fontId="11" fillId="0" borderId="4" xfId="0" applyNumberFormat="1" applyFont="1" applyFill="1" applyBorder="1"/>
    <xf numFmtId="0" fontId="12" fillId="0" borderId="0" xfId="0" applyFont="1" applyFill="1" applyAlignment="1">
      <alignment horizontal="left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4" fontId="11" fillId="0" borderId="2" xfId="0" applyNumberFormat="1" applyFont="1" applyFill="1" applyBorder="1"/>
    <xf numFmtId="44" fontId="11" fillId="0" borderId="0" xfId="0" applyNumberFormat="1" applyFont="1" applyFill="1"/>
    <xf numFmtId="0" fontId="1" fillId="0" borderId="0" xfId="0" applyFont="1" applyFill="1" applyAlignment="1">
      <alignment horizontal="left" vertical="center" indent="1"/>
    </xf>
    <xf numFmtId="0" fontId="11" fillId="0" borderId="0" xfId="0" quotePrefix="1" applyFont="1" applyFill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8080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53</xdr:row>
      <xdr:rowOff>110950</xdr:rowOff>
    </xdr:from>
    <xdr:to>
      <xdr:col>3</xdr:col>
      <xdr:colOff>552449</xdr:colOff>
      <xdr:row>64</xdr:row>
      <xdr:rowOff>2349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7A74A2-A0C9-48C2-A416-4615496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4" y="8340550"/>
          <a:ext cx="4752975" cy="146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pane ySplit="7" topLeftCell="A8" activePane="bottomLeft" state="frozen"/>
      <selection activeCell="B18" sqref="B18"/>
      <selection pane="bottomLeft" activeCell="K12" sqref="K12"/>
    </sheetView>
  </sheetViews>
  <sheetFormatPr defaultColWidth="6.42578125" defaultRowHeight="11.25" x14ac:dyDescent="0.2"/>
  <cols>
    <col min="1" max="1" width="6.140625" style="10" bestFit="1" customWidth="1"/>
    <col min="2" max="2" width="45.7109375" style="10" bestFit="1" customWidth="1"/>
    <col min="3" max="3" width="14.42578125" style="10" bestFit="1" customWidth="1"/>
    <col min="4" max="4" width="13.5703125" style="10" customWidth="1"/>
    <col min="5" max="5" width="14.5703125" style="10" customWidth="1"/>
    <col min="6" max="6" width="16.5703125" style="10" bestFit="1" customWidth="1"/>
    <col min="7" max="16384" width="6.42578125" style="10"/>
  </cols>
  <sheetData>
    <row r="1" spans="1:6" x14ac:dyDescent="0.2">
      <c r="A1" s="58" t="s">
        <v>2</v>
      </c>
      <c r="B1" s="58"/>
      <c r="C1" s="58"/>
      <c r="D1" s="58"/>
      <c r="E1" s="58"/>
    </row>
    <row r="2" spans="1:6" x14ac:dyDescent="0.2">
      <c r="A2" s="26" t="s">
        <v>138</v>
      </c>
      <c r="B2" s="58"/>
      <c r="C2" s="58"/>
      <c r="D2" s="58"/>
      <c r="E2" s="58"/>
    </row>
    <row r="3" spans="1:6" x14ac:dyDescent="0.2">
      <c r="A3" s="26" t="s">
        <v>175</v>
      </c>
      <c r="B3" s="58"/>
      <c r="C3" s="97"/>
      <c r="D3" s="97"/>
      <c r="E3" s="97"/>
      <c r="F3" s="219"/>
    </row>
    <row r="4" spans="1:6" s="219" customFormat="1" x14ac:dyDescent="0.2">
      <c r="A4" s="26" t="str">
        <f>"Effective "&amp;TEXT(Inputs!B1,"mmmm d, yyyy")&amp;" - "&amp;TEXT(Inputs!B4,"mmmm d, yyyy")</f>
        <v>Effective May 1, 2025 - September 30, 2025</v>
      </c>
      <c r="B4" s="58"/>
      <c r="C4" s="97"/>
      <c r="D4" s="97"/>
      <c r="E4" s="97"/>
    </row>
    <row r="5" spans="1:6" x14ac:dyDescent="0.2">
      <c r="A5" s="6"/>
      <c r="B5" s="6"/>
      <c r="C5" s="4"/>
      <c r="D5" s="4"/>
      <c r="E5" s="4"/>
    </row>
    <row r="6" spans="1:6" ht="13.5" customHeight="1" x14ac:dyDescent="0.2">
      <c r="A6" s="6"/>
      <c r="B6" s="6"/>
      <c r="C6" s="4"/>
      <c r="D6" s="4"/>
      <c r="E6" s="4"/>
    </row>
    <row r="7" spans="1:6" s="16" customFormat="1" ht="22.5" x14ac:dyDescent="0.2">
      <c r="A7" s="5" t="s">
        <v>3</v>
      </c>
      <c r="B7" s="5" t="s">
        <v>22</v>
      </c>
      <c r="C7" s="5" t="s">
        <v>87</v>
      </c>
      <c r="D7" s="12" t="s">
        <v>173</v>
      </c>
      <c r="E7" s="12" t="s">
        <v>167</v>
      </c>
      <c r="F7" s="5" t="s">
        <v>137</v>
      </c>
    </row>
    <row r="8" spans="1:6" s="16" customFormat="1" x14ac:dyDescent="0.2">
      <c r="A8" s="220"/>
      <c r="B8" s="220"/>
      <c r="C8" s="220"/>
      <c r="D8" s="98">
        <v>45566</v>
      </c>
      <c r="E8" s="98">
        <v>45778</v>
      </c>
      <c r="F8" s="221"/>
    </row>
    <row r="9" spans="1:6" s="16" customFormat="1" x14ac:dyDescent="0.2">
      <c r="A9" s="222"/>
      <c r="B9" s="157" t="s">
        <v>86</v>
      </c>
      <c r="C9" s="223" t="s">
        <v>85</v>
      </c>
      <c r="D9" s="223" t="s">
        <v>84</v>
      </c>
      <c r="E9" s="223" t="s">
        <v>83</v>
      </c>
      <c r="F9" s="223" t="s">
        <v>81</v>
      </c>
    </row>
    <row r="10" spans="1:6" s="16" customFormat="1" x14ac:dyDescent="0.2">
      <c r="A10" s="4">
        <v>1</v>
      </c>
      <c r="B10" s="224" t="s">
        <v>80</v>
      </c>
      <c r="C10" s="224"/>
      <c r="D10" s="225"/>
      <c r="E10" s="225"/>
    </row>
    <row r="11" spans="1:6" x14ac:dyDescent="0.2">
      <c r="A11" s="9">
        <f t="shared" ref="A11:A73" si="0">+A10+1</f>
        <v>2</v>
      </c>
      <c r="B11" s="226" t="s">
        <v>1</v>
      </c>
      <c r="C11" s="27" t="s">
        <v>204</v>
      </c>
      <c r="D11" s="89">
        <f>'Rate Impacts'!H10</f>
        <v>3.7529999999999998E-3</v>
      </c>
      <c r="E11" s="89">
        <f>'Rate Impacts'!I10</f>
        <v>9.0259999999999993E-3</v>
      </c>
      <c r="F11" s="227" t="s">
        <v>140</v>
      </c>
    </row>
    <row r="12" spans="1:6" x14ac:dyDescent="0.2">
      <c r="A12" s="9">
        <f t="shared" si="0"/>
        <v>3</v>
      </c>
      <c r="B12" s="226"/>
      <c r="C12" s="27"/>
      <c r="D12" s="31"/>
      <c r="E12" s="31"/>
    </row>
    <row r="13" spans="1:6" x14ac:dyDescent="0.2">
      <c r="A13" s="9">
        <f t="shared" si="0"/>
        <v>4</v>
      </c>
      <c r="B13" s="226" t="s">
        <v>159</v>
      </c>
      <c r="C13" s="27"/>
      <c r="D13" s="31"/>
      <c r="E13" s="31"/>
    </row>
    <row r="14" spans="1:6" x14ac:dyDescent="0.2">
      <c r="A14" s="9">
        <f t="shared" si="0"/>
        <v>5</v>
      </c>
      <c r="B14" s="226" t="s">
        <v>193</v>
      </c>
      <c r="C14" s="27" t="s">
        <v>205</v>
      </c>
      <c r="D14" s="31">
        <f>'Rate Impacts'!H13</f>
        <v>3.5349999999999999E-3</v>
      </c>
      <c r="E14" s="31">
        <f>'Rate Impacts'!I13</f>
        <v>7.698E-3</v>
      </c>
      <c r="F14" s="4" t="str">
        <f>$F$11</f>
        <v>Sheet No. 129-B</v>
      </c>
    </row>
    <row r="15" spans="1:6" x14ac:dyDescent="0.2">
      <c r="A15" s="9">
        <f t="shared" si="0"/>
        <v>6</v>
      </c>
      <c r="B15" s="226" t="s">
        <v>194</v>
      </c>
      <c r="C15" s="28" t="s">
        <v>139</v>
      </c>
      <c r="D15" s="31">
        <f>'Rate Impacts'!H14</f>
        <v>3.2269999999999998E-3</v>
      </c>
      <c r="E15" s="31">
        <f>'Rate Impacts'!I14</f>
        <v>6.9219999999999993E-3</v>
      </c>
      <c r="F15" s="4" t="str">
        <f t="shared" ref="F15:F17" si="1">$F$11</f>
        <v>Sheet No. 129-B</v>
      </c>
    </row>
    <row r="16" spans="1:6" x14ac:dyDescent="0.2">
      <c r="A16" s="9">
        <f t="shared" si="0"/>
        <v>7</v>
      </c>
      <c r="B16" s="226" t="s">
        <v>195</v>
      </c>
      <c r="C16" s="27" t="s">
        <v>206</v>
      </c>
      <c r="D16" s="31">
        <f>'Rate Impacts'!H15</f>
        <v>2.9729999999999999E-3</v>
      </c>
      <c r="E16" s="31">
        <f>'Rate Impacts'!I15</f>
        <v>6.2399999999999999E-3</v>
      </c>
      <c r="F16" s="4" t="str">
        <f t="shared" si="1"/>
        <v>Sheet No. 129-B</v>
      </c>
    </row>
    <row r="17" spans="1:6" x14ac:dyDescent="0.2">
      <c r="A17" s="9">
        <f t="shared" si="0"/>
        <v>8</v>
      </c>
      <c r="B17" s="226" t="s">
        <v>196</v>
      </c>
      <c r="C17" s="27">
        <v>29</v>
      </c>
      <c r="D17" s="31">
        <f>'Rate Impacts'!H16</f>
        <v>3.0149999999999999E-3</v>
      </c>
      <c r="E17" s="31">
        <f>'Rate Impacts'!I16</f>
        <v>4.718E-3</v>
      </c>
      <c r="F17" s="4" t="str">
        <f t="shared" si="1"/>
        <v>Sheet No. 129-B</v>
      </c>
    </row>
    <row r="18" spans="1:6" x14ac:dyDescent="0.2">
      <c r="A18" s="9">
        <f t="shared" si="0"/>
        <v>9</v>
      </c>
      <c r="B18" s="226" t="s">
        <v>23</v>
      </c>
      <c r="C18" s="29"/>
      <c r="D18" s="89"/>
      <c r="E18" s="89"/>
    </row>
    <row r="19" spans="1:6" x14ac:dyDescent="0.2">
      <c r="A19" s="9">
        <f t="shared" si="0"/>
        <v>10</v>
      </c>
      <c r="B19" s="22"/>
      <c r="C19" s="29"/>
      <c r="D19" s="31"/>
      <c r="E19" s="31"/>
    </row>
    <row r="20" spans="1:6" x14ac:dyDescent="0.2">
      <c r="A20" s="9">
        <f t="shared" si="0"/>
        <v>11</v>
      </c>
      <c r="B20" s="226" t="s">
        <v>160</v>
      </c>
      <c r="C20" s="27"/>
      <c r="D20" s="31"/>
      <c r="E20" s="31"/>
    </row>
    <row r="21" spans="1:6" x14ac:dyDescent="0.2">
      <c r="A21" s="9">
        <f t="shared" si="0"/>
        <v>12</v>
      </c>
      <c r="B21" s="226" t="s">
        <v>197</v>
      </c>
      <c r="C21" s="27" t="s">
        <v>207</v>
      </c>
      <c r="D21" s="31">
        <f>'Rate Impacts'!H20</f>
        <v>2.9329999999999998E-3</v>
      </c>
      <c r="E21" s="31">
        <f>'Rate Impacts'!I20</f>
        <v>6.136E-3</v>
      </c>
      <c r="F21" s="4" t="str">
        <f t="shared" ref="F21:F23" si="2">$F$11</f>
        <v>Sheet No. 129-B</v>
      </c>
    </row>
    <row r="22" spans="1:6" x14ac:dyDescent="0.2">
      <c r="A22" s="9">
        <f t="shared" si="0"/>
        <v>13</v>
      </c>
      <c r="B22" s="226" t="s">
        <v>198</v>
      </c>
      <c r="C22" s="27">
        <v>35</v>
      </c>
      <c r="D22" s="31">
        <f>'Rate Impacts'!H21</f>
        <v>2.2169999999999998E-3</v>
      </c>
      <c r="E22" s="31">
        <f>'Rate Impacts'!I21</f>
        <v>3.8319999999999995E-3</v>
      </c>
      <c r="F22" s="4" t="str">
        <f t="shared" si="2"/>
        <v>Sheet No. 129-B</v>
      </c>
    </row>
    <row r="23" spans="1:6" x14ac:dyDescent="0.2">
      <c r="A23" s="9">
        <f t="shared" si="0"/>
        <v>14</v>
      </c>
      <c r="B23" s="226" t="s">
        <v>199</v>
      </c>
      <c r="C23" s="27">
        <v>43</v>
      </c>
      <c r="D23" s="31">
        <f>'Rate Impacts'!H22</f>
        <v>3.1310000000000001E-3</v>
      </c>
      <c r="E23" s="31">
        <f>'Rate Impacts'!I22</f>
        <v>8.0450000000000001E-3</v>
      </c>
      <c r="F23" s="4" t="str">
        <f t="shared" si="2"/>
        <v>Sheet No. 129-B</v>
      </c>
    </row>
    <row r="24" spans="1:6" x14ac:dyDescent="0.2">
      <c r="A24" s="9">
        <f t="shared" si="0"/>
        <v>15</v>
      </c>
      <c r="B24" s="22" t="s">
        <v>24</v>
      </c>
      <c r="C24" s="29"/>
      <c r="D24" s="89"/>
      <c r="E24" s="89"/>
    </row>
    <row r="25" spans="1:6" x14ac:dyDescent="0.2">
      <c r="A25" s="9">
        <f t="shared" si="0"/>
        <v>16</v>
      </c>
      <c r="B25" s="22"/>
      <c r="C25" s="29"/>
      <c r="D25" s="31"/>
      <c r="E25" s="31"/>
    </row>
    <row r="26" spans="1:6" x14ac:dyDescent="0.2">
      <c r="A26" s="9">
        <f t="shared" si="0"/>
        <v>17</v>
      </c>
      <c r="B26" s="226" t="s">
        <v>161</v>
      </c>
      <c r="C26" s="27"/>
      <c r="D26" s="31"/>
      <c r="E26" s="31"/>
    </row>
    <row r="27" spans="1:6" x14ac:dyDescent="0.2">
      <c r="A27" s="9">
        <f t="shared" si="0"/>
        <v>18</v>
      </c>
      <c r="B27" s="226" t="s">
        <v>200</v>
      </c>
      <c r="C27" s="27">
        <v>46</v>
      </c>
      <c r="D27" s="31">
        <f>'Rate Impacts'!H26</f>
        <v>2.258E-3</v>
      </c>
      <c r="E27" s="31">
        <f>'Rate Impacts'!I26</f>
        <v>4.5149999999999999E-3</v>
      </c>
      <c r="F27" s="227" t="s">
        <v>141</v>
      </c>
    </row>
    <row r="28" spans="1:6" x14ac:dyDescent="0.2">
      <c r="A28" s="9">
        <f t="shared" si="0"/>
        <v>19</v>
      </c>
      <c r="B28" s="226" t="s">
        <v>197</v>
      </c>
      <c r="C28" s="27">
        <v>49</v>
      </c>
      <c r="D28" s="31">
        <f>'Rate Impacts'!H27</f>
        <v>2.2910000000000001E-3</v>
      </c>
      <c r="E28" s="31">
        <f>'Rate Impacts'!I27</f>
        <v>4.7360000000000006E-3</v>
      </c>
      <c r="F28" s="4" t="str">
        <f>$F$27</f>
        <v>Sheet No. 129-C</v>
      </c>
    </row>
    <row r="29" spans="1:6" x14ac:dyDescent="0.2">
      <c r="A29" s="9">
        <f t="shared" si="0"/>
        <v>20</v>
      </c>
      <c r="B29" s="44" t="s">
        <v>25</v>
      </c>
      <c r="C29" s="29"/>
      <c r="D29" s="89"/>
      <c r="E29" s="89"/>
    </row>
    <row r="30" spans="1:6" x14ac:dyDescent="0.2">
      <c r="A30" s="9">
        <f t="shared" si="0"/>
        <v>21</v>
      </c>
      <c r="B30" s="226"/>
      <c r="C30" s="27"/>
      <c r="D30" s="31"/>
      <c r="E30" s="31"/>
    </row>
    <row r="31" spans="1:6" x14ac:dyDescent="0.2">
      <c r="A31" s="9">
        <f t="shared" si="0"/>
        <v>22</v>
      </c>
      <c r="B31" s="226" t="s">
        <v>201</v>
      </c>
      <c r="C31" s="27" t="s">
        <v>208</v>
      </c>
      <c r="D31" s="31">
        <f>'Rate Impacts'!$H$30</f>
        <v>1.7100000000000001E-4</v>
      </c>
      <c r="E31" s="31">
        <f>'Rate Impacts'!$I$30</f>
        <v>3.68E-4</v>
      </c>
      <c r="F31" s="4" t="str">
        <f t="shared" ref="F31:F34" si="3">$F$27</f>
        <v>Sheet No. 129-C</v>
      </c>
    </row>
    <row r="32" spans="1:6" x14ac:dyDescent="0.2">
      <c r="A32" s="9">
        <f t="shared" si="0"/>
        <v>23</v>
      </c>
      <c r="B32" s="226" t="s">
        <v>202</v>
      </c>
      <c r="C32" s="27" t="s">
        <v>59</v>
      </c>
      <c r="D32" s="31">
        <f>'Rate Impacts'!$H$32</f>
        <v>6.1399999999999996E-4</v>
      </c>
      <c r="E32" s="31">
        <f>'Rate Impacts'!$I$32</f>
        <v>1.2279999999999999E-3</v>
      </c>
      <c r="F32" s="4" t="str">
        <f t="shared" si="3"/>
        <v>Sheet No. 129-C</v>
      </c>
    </row>
    <row r="33" spans="1:6" x14ac:dyDescent="0.2">
      <c r="A33" s="9">
        <f t="shared" si="0"/>
        <v>24</v>
      </c>
      <c r="B33" s="226" t="s">
        <v>203</v>
      </c>
      <c r="C33" s="27" t="s">
        <v>209</v>
      </c>
      <c r="D33" s="228">
        <f>'Rate Impacts'!$H$34</f>
        <v>8.8070000000000006E-3</v>
      </c>
      <c r="E33" s="228">
        <f>'Rate Impacts'!$I$34</f>
        <v>1.8856000000000001E-2</v>
      </c>
      <c r="F33" s="227" t="s">
        <v>79</v>
      </c>
    </row>
    <row r="34" spans="1:6" x14ac:dyDescent="0.2">
      <c r="A34" s="9">
        <f t="shared" si="0"/>
        <v>25</v>
      </c>
      <c r="B34" s="226" t="s">
        <v>174</v>
      </c>
      <c r="C34" s="27">
        <v>558</v>
      </c>
      <c r="D34" s="31">
        <f>'Rate Impacts'!H36</f>
        <v>0</v>
      </c>
      <c r="E34" s="31">
        <f>'Rate Impacts'!I36</f>
        <v>1.1677999999999999E-2</v>
      </c>
      <c r="F34" s="4" t="str">
        <f t="shared" si="3"/>
        <v>Sheet No. 129-C</v>
      </c>
    </row>
    <row r="35" spans="1:6" x14ac:dyDescent="0.2">
      <c r="A35" s="9">
        <f t="shared" si="0"/>
        <v>26</v>
      </c>
      <c r="B35" s="226"/>
      <c r="C35" s="27"/>
      <c r="D35" s="31"/>
      <c r="E35" s="31"/>
    </row>
    <row r="36" spans="1:6" x14ac:dyDescent="0.2">
      <c r="A36" s="9">
        <f t="shared" si="0"/>
        <v>27</v>
      </c>
      <c r="B36" s="44" t="s">
        <v>63</v>
      </c>
      <c r="C36" s="29"/>
      <c r="D36" s="89"/>
      <c r="E36" s="89"/>
    </row>
    <row r="37" spans="1:6" x14ac:dyDescent="0.2">
      <c r="A37" s="9">
        <f t="shared" si="0"/>
        <v>28</v>
      </c>
      <c r="B37" s="226"/>
      <c r="C37" s="27"/>
      <c r="D37" s="31"/>
      <c r="E37" s="31"/>
    </row>
    <row r="38" spans="1:6" x14ac:dyDescent="0.2">
      <c r="A38" s="9">
        <f t="shared" si="0"/>
        <v>29</v>
      </c>
      <c r="B38" s="226" t="s">
        <v>17</v>
      </c>
      <c r="C38" s="27">
        <v>5</v>
      </c>
      <c r="D38" s="228" t="s">
        <v>78</v>
      </c>
      <c r="E38" s="228" t="s">
        <v>78</v>
      </c>
    </row>
    <row r="39" spans="1:6" x14ac:dyDescent="0.2">
      <c r="A39" s="9">
        <f t="shared" si="0"/>
        <v>30</v>
      </c>
      <c r="B39" s="226"/>
      <c r="C39" s="229"/>
      <c r="D39" s="228"/>
      <c r="E39" s="228"/>
    </row>
    <row r="40" spans="1:6" ht="12" thickBot="1" x14ac:dyDescent="0.25">
      <c r="A40" s="9">
        <f t="shared" si="0"/>
        <v>31</v>
      </c>
      <c r="B40" s="44" t="s">
        <v>18</v>
      </c>
      <c r="C40" s="230"/>
      <c r="D40" s="231"/>
      <c r="E40" s="231"/>
    </row>
    <row r="41" spans="1:6" ht="12" thickTop="1" x14ac:dyDescent="0.2">
      <c r="A41" s="9">
        <f t="shared" si="0"/>
        <v>32</v>
      </c>
      <c r="B41" s="4"/>
      <c r="C41" s="229"/>
      <c r="D41" s="228"/>
      <c r="E41" s="228"/>
    </row>
    <row r="42" spans="1:6" x14ac:dyDescent="0.2">
      <c r="A42" s="9">
        <f t="shared" si="0"/>
        <v>33</v>
      </c>
      <c r="B42" s="4"/>
      <c r="C42" s="229"/>
      <c r="D42" s="228"/>
      <c r="E42" s="228"/>
    </row>
    <row r="43" spans="1:6" x14ac:dyDescent="0.2">
      <c r="A43" s="9">
        <f t="shared" si="0"/>
        <v>34</v>
      </c>
      <c r="B43" s="224" t="s">
        <v>77</v>
      </c>
      <c r="C43" s="232"/>
      <c r="D43" s="233"/>
      <c r="E43" s="233"/>
    </row>
    <row r="44" spans="1:6" x14ac:dyDescent="0.2">
      <c r="A44" s="9">
        <f t="shared" si="0"/>
        <v>35</v>
      </c>
      <c r="B44" s="226" t="str">
        <f>B11</f>
        <v>Residential</v>
      </c>
      <c r="C44" s="234" t="str">
        <f>C11</f>
        <v>7 (307) (317) (327)</v>
      </c>
      <c r="D44" s="235"/>
      <c r="E44" s="235"/>
    </row>
    <row r="45" spans="1:6" x14ac:dyDescent="0.2">
      <c r="A45" s="9">
        <f t="shared" si="0"/>
        <v>36</v>
      </c>
      <c r="B45" s="226"/>
      <c r="C45" s="234"/>
      <c r="D45" s="236"/>
      <c r="E45" s="236"/>
    </row>
    <row r="46" spans="1:6" x14ac:dyDescent="0.2">
      <c r="A46" s="9">
        <f t="shared" si="0"/>
        <v>37</v>
      </c>
      <c r="B46" s="226" t="str">
        <f>B13</f>
        <v>Secondary Voltage:</v>
      </c>
      <c r="C46" s="234"/>
      <c r="D46" s="236"/>
      <c r="E46" s="236"/>
    </row>
    <row r="47" spans="1:6" x14ac:dyDescent="0.2">
      <c r="A47" s="9">
        <f t="shared" si="0"/>
        <v>38</v>
      </c>
      <c r="B47" s="237" t="str">
        <f>B14</f>
        <v>General Service: Demand &lt;= 50 kW</v>
      </c>
      <c r="C47" s="234" t="str">
        <f>C14</f>
        <v>08 (24) (324)</v>
      </c>
      <c r="D47" s="236"/>
      <c r="E47" s="236"/>
    </row>
    <row r="48" spans="1:6" x14ac:dyDescent="0.2">
      <c r="A48" s="9">
        <f t="shared" si="0"/>
        <v>39</v>
      </c>
      <c r="B48" s="237" t="str">
        <f>B15</f>
        <v>Small General Service: Demand &gt; 50 kW but &lt;= 350 kW</v>
      </c>
      <c r="C48" s="234" t="str">
        <f>C15</f>
        <v>7A (11) (25)</v>
      </c>
      <c r="D48" s="236"/>
      <c r="E48" s="236"/>
    </row>
    <row r="49" spans="1:5" x14ac:dyDescent="0.2">
      <c r="A49" s="9">
        <f t="shared" si="0"/>
        <v>40</v>
      </c>
      <c r="B49" s="237" t="str">
        <f t="shared" ref="B49:B51" si="4">B16</f>
        <v>Large General Service: Demand &gt; 350 kW</v>
      </c>
      <c r="C49" s="234" t="str">
        <f>C16</f>
        <v>12 (26) (26P)</v>
      </c>
      <c r="D49" s="236"/>
      <c r="E49" s="236"/>
    </row>
    <row r="50" spans="1:5" x14ac:dyDescent="0.2">
      <c r="A50" s="9">
        <f t="shared" si="0"/>
        <v>41</v>
      </c>
      <c r="B50" s="237" t="str">
        <f t="shared" si="4"/>
        <v>Irrigation &amp; Pumping Service: Demand &gt; 50 kW but &lt;= 350 kW</v>
      </c>
      <c r="C50" s="234">
        <f>C17</f>
        <v>29</v>
      </c>
      <c r="D50" s="236"/>
      <c r="E50" s="236"/>
    </row>
    <row r="51" spans="1:5" x14ac:dyDescent="0.2">
      <c r="A51" s="9">
        <f t="shared" si="0"/>
        <v>42</v>
      </c>
      <c r="B51" s="22" t="str">
        <f t="shared" si="4"/>
        <v>Total Secondary Voltage</v>
      </c>
      <c r="C51" s="238"/>
      <c r="D51" s="235"/>
      <c r="E51" s="235"/>
    </row>
    <row r="52" spans="1:5" x14ac:dyDescent="0.2">
      <c r="A52" s="9">
        <f t="shared" si="0"/>
        <v>43</v>
      </c>
      <c r="B52" s="22"/>
      <c r="C52" s="238"/>
      <c r="D52" s="236"/>
      <c r="E52" s="236"/>
    </row>
    <row r="53" spans="1:5" x14ac:dyDescent="0.2">
      <c r="A53" s="9">
        <f t="shared" si="0"/>
        <v>44</v>
      </c>
      <c r="B53" s="226" t="str">
        <f>B20</f>
        <v>Primary Voltage:</v>
      </c>
      <c r="C53" s="234"/>
      <c r="D53" s="236"/>
      <c r="E53" s="236"/>
    </row>
    <row r="54" spans="1:5" x14ac:dyDescent="0.2">
      <c r="A54" s="9">
        <f t="shared" si="0"/>
        <v>45</v>
      </c>
      <c r="B54" s="237" t="str">
        <f>B21</f>
        <v>General Service</v>
      </c>
      <c r="C54" s="234" t="str">
        <f>C21</f>
        <v>10 (31)</v>
      </c>
      <c r="D54" s="236"/>
      <c r="E54" s="236"/>
    </row>
    <row r="55" spans="1:5" x14ac:dyDescent="0.2">
      <c r="A55" s="9">
        <f t="shared" si="0"/>
        <v>46</v>
      </c>
      <c r="B55" s="237" t="str">
        <f>B22</f>
        <v>Irrigation &amp; Pumping Service</v>
      </c>
      <c r="C55" s="234">
        <f>C22</f>
        <v>35</v>
      </c>
      <c r="D55" s="236"/>
      <c r="E55" s="236"/>
    </row>
    <row r="56" spans="1:5" x14ac:dyDescent="0.2">
      <c r="A56" s="9">
        <f t="shared" si="0"/>
        <v>47</v>
      </c>
      <c r="B56" s="237" t="str">
        <f>B23</f>
        <v>All Electric Schools</v>
      </c>
      <c r="C56" s="234">
        <f>C23</f>
        <v>43</v>
      </c>
      <c r="D56" s="236"/>
      <c r="E56" s="236"/>
    </row>
    <row r="57" spans="1:5" x14ac:dyDescent="0.2">
      <c r="A57" s="9">
        <f t="shared" si="0"/>
        <v>48</v>
      </c>
      <c r="B57" s="22" t="str">
        <f>B24</f>
        <v>Total Primary Voltage</v>
      </c>
      <c r="C57" s="238"/>
      <c r="D57" s="235"/>
      <c r="E57" s="235"/>
    </row>
    <row r="58" spans="1:5" x14ac:dyDescent="0.2">
      <c r="A58" s="9">
        <f t="shared" si="0"/>
        <v>49</v>
      </c>
      <c r="B58" s="22"/>
      <c r="C58" s="238"/>
      <c r="D58" s="236"/>
      <c r="E58" s="236"/>
    </row>
    <row r="59" spans="1:5" x14ac:dyDescent="0.2">
      <c r="A59" s="9">
        <f t="shared" si="0"/>
        <v>50</v>
      </c>
      <c r="B59" s="226" t="str">
        <f>B26</f>
        <v>High Voltage:</v>
      </c>
      <c r="C59" s="234"/>
      <c r="D59" s="236"/>
      <c r="E59" s="236"/>
    </row>
    <row r="60" spans="1:5" x14ac:dyDescent="0.2">
      <c r="A60" s="9">
        <f t="shared" si="0"/>
        <v>51</v>
      </c>
      <c r="B60" s="237" t="str">
        <f>B27</f>
        <v>Interruptible Service</v>
      </c>
      <c r="C60" s="234">
        <f>C27</f>
        <v>46</v>
      </c>
      <c r="D60" s="236"/>
      <c r="E60" s="236"/>
    </row>
    <row r="61" spans="1:5" x14ac:dyDescent="0.2">
      <c r="A61" s="9">
        <f t="shared" si="0"/>
        <v>52</v>
      </c>
      <c r="B61" s="237" t="str">
        <f>B28</f>
        <v>General Service</v>
      </c>
      <c r="C61" s="234">
        <f>C28</f>
        <v>49</v>
      </c>
      <c r="D61" s="236"/>
      <c r="E61" s="236"/>
    </row>
    <row r="62" spans="1:5" x14ac:dyDescent="0.2">
      <c r="A62" s="9">
        <f t="shared" si="0"/>
        <v>53</v>
      </c>
      <c r="B62" s="44" t="str">
        <f>B29</f>
        <v>Total High Voltage</v>
      </c>
      <c r="C62" s="238"/>
      <c r="D62" s="235"/>
      <c r="E62" s="235"/>
    </row>
    <row r="63" spans="1:5" x14ac:dyDescent="0.2">
      <c r="A63" s="9">
        <f t="shared" si="0"/>
        <v>54</v>
      </c>
      <c r="B63" s="226"/>
      <c r="C63" s="234"/>
      <c r="D63" s="236"/>
      <c r="E63" s="236"/>
    </row>
    <row r="64" spans="1:5" x14ac:dyDescent="0.2">
      <c r="A64" s="9">
        <f t="shared" si="0"/>
        <v>55</v>
      </c>
      <c r="B64" s="22" t="str">
        <f t="shared" ref="B64:C67" si="5">B31</f>
        <v>Choice / Retail Wheeling</v>
      </c>
      <c r="C64" s="234" t="str">
        <f t="shared" si="5"/>
        <v>448 - 459</v>
      </c>
      <c r="D64" s="236"/>
      <c r="E64" s="236"/>
    </row>
    <row r="65" spans="1:12" x14ac:dyDescent="0.2">
      <c r="A65" s="9">
        <f t="shared" si="0"/>
        <v>56</v>
      </c>
      <c r="B65" s="226" t="str">
        <f t="shared" si="5"/>
        <v>Special Contracts</v>
      </c>
      <c r="C65" s="234" t="str">
        <f t="shared" si="5"/>
        <v>Special Contract</v>
      </c>
      <c r="D65" s="236"/>
      <c r="E65" s="236"/>
    </row>
    <row r="66" spans="1:12" x14ac:dyDescent="0.2">
      <c r="A66" s="9">
        <f t="shared" si="0"/>
        <v>57</v>
      </c>
      <c r="B66" s="226" t="str">
        <f t="shared" si="5"/>
        <v>Lighting</v>
      </c>
      <c r="C66" s="234" t="str">
        <f t="shared" si="5"/>
        <v>50 - 59</v>
      </c>
      <c r="D66" s="236"/>
      <c r="E66" s="236"/>
    </row>
    <row r="67" spans="1:12" x14ac:dyDescent="0.2">
      <c r="A67" s="9">
        <f t="shared" si="0"/>
        <v>58</v>
      </c>
      <c r="B67" s="226" t="str">
        <f t="shared" si="5"/>
        <v>Transportation Electrification</v>
      </c>
      <c r="C67" s="234">
        <f t="shared" si="5"/>
        <v>558</v>
      </c>
      <c r="D67" s="236"/>
      <c r="E67" s="236"/>
    </row>
    <row r="68" spans="1:12" x14ac:dyDescent="0.2">
      <c r="A68" s="9">
        <f t="shared" si="0"/>
        <v>59</v>
      </c>
      <c r="B68" s="226"/>
      <c r="C68" s="234"/>
      <c r="D68" s="236"/>
      <c r="E68" s="236"/>
    </row>
    <row r="69" spans="1:12" x14ac:dyDescent="0.2">
      <c r="A69" s="9">
        <f t="shared" si="0"/>
        <v>60</v>
      </c>
      <c r="B69" s="44" t="str">
        <f>B36</f>
        <v>Total Retail Sales</v>
      </c>
      <c r="C69" s="238"/>
      <c r="D69" s="235"/>
      <c r="E69" s="235"/>
    </row>
    <row r="70" spans="1:12" x14ac:dyDescent="0.2">
      <c r="A70" s="9">
        <f t="shared" si="0"/>
        <v>61</v>
      </c>
      <c r="B70" s="226"/>
      <c r="C70" s="234"/>
      <c r="D70" s="236"/>
      <c r="E70" s="236"/>
    </row>
    <row r="71" spans="1:12" x14ac:dyDescent="0.2">
      <c r="A71" s="9">
        <f t="shared" si="0"/>
        <v>62</v>
      </c>
      <c r="B71" s="226" t="str">
        <f>B38</f>
        <v>Firm Resale</v>
      </c>
      <c r="C71" s="234">
        <f>C38</f>
        <v>5</v>
      </c>
      <c r="D71" s="236"/>
      <c r="E71" s="236"/>
    </row>
    <row r="72" spans="1:12" x14ac:dyDescent="0.2">
      <c r="A72" s="9">
        <f t="shared" si="0"/>
        <v>63</v>
      </c>
      <c r="B72" s="226"/>
      <c r="C72" s="229"/>
      <c r="D72" s="228"/>
      <c r="E72" s="228"/>
    </row>
    <row r="73" spans="1:12" ht="12" thickBot="1" x14ac:dyDescent="0.25">
      <c r="A73" s="9">
        <f t="shared" si="0"/>
        <v>64</v>
      </c>
      <c r="B73" s="44" t="str">
        <f>B40</f>
        <v>Total Sales</v>
      </c>
      <c r="C73" s="230"/>
      <c r="D73" s="231"/>
      <c r="E73" s="231"/>
    </row>
    <row r="74" spans="1:12" ht="12" thickTop="1" x14ac:dyDescent="0.2">
      <c r="A74" s="9"/>
    </row>
    <row r="75" spans="1:12" x14ac:dyDescent="0.2">
      <c r="A75" s="9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workbookViewId="0">
      <pane ySplit="7" topLeftCell="A8" activePane="bottomLeft" state="frozen"/>
      <selection activeCell="B18" sqref="B18"/>
      <selection pane="bottomLeft" activeCell="B18" sqref="B18"/>
    </sheetView>
  </sheetViews>
  <sheetFormatPr defaultColWidth="8.85546875" defaultRowHeight="11.25" x14ac:dyDescent="0.2"/>
  <cols>
    <col min="1" max="1" width="6.7109375" style="196" bestFit="1" customWidth="1"/>
    <col min="2" max="2" width="30.5703125" style="196" customWidth="1"/>
    <col min="3" max="3" width="11.5703125" style="196" bestFit="1" customWidth="1"/>
    <col min="4" max="4" width="12.140625" style="196" customWidth="1"/>
    <col min="5" max="5" width="18.28515625" style="196" bestFit="1" customWidth="1"/>
    <col min="6" max="16384" width="8.85546875" style="196"/>
  </cols>
  <sheetData>
    <row r="1" spans="1:5" x14ac:dyDescent="0.2">
      <c r="A1" s="57" t="str">
        <f>'Sch 129 Rates'!A1</f>
        <v>PUGET SOUND ENERGY</v>
      </c>
      <c r="B1" s="57"/>
      <c r="C1" s="57"/>
      <c r="D1" s="195"/>
      <c r="E1" s="57"/>
    </row>
    <row r="2" spans="1:5" x14ac:dyDescent="0.2">
      <c r="A2" s="57" t="str">
        <f>'Sch 129 Rates'!A2</f>
        <v xml:space="preserve">Schedule 129 - Low Income Program </v>
      </c>
      <c r="B2" s="57"/>
      <c r="C2" s="57"/>
      <c r="D2" s="195"/>
      <c r="E2" s="57"/>
    </row>
    <row r="3" spans="1:5" x14ac:dyDescent="0.2">
      <c r="A3" s="57" t="str">
        <f>'Sch 129 Rates'!A3</f>
        <v xml:space="preserve">Proposed Additional Funding Filing </v>
      </c>
      <c r="B3" s="57"/>
      <c r="C3" s="57"/>
      <c r="D3" s="195"/>
      <c r="E3" s="57"/>
    </row>
    <row r="4" spans="1:5" x14ac:dyDescent="0.2">
      <c r="A4" s="57" t="str">
        <f>'Sch 129 Rates'!A4</f>
        <v>Effective May 1, 2025 - September 30, 2025</v>
      </c>
      <c r="B4" s="57"/>
      <c r="C4" s="57"/>
      <c r="D4" s="195"/>
      <c r="E4" s="57"/>
    </row>
    <row r="5" spans="1:5" x14ac:dyDescent="0.2">
      <c r="A5" s="197" t="s">
        <v>172</v>
      </c>
      <c r="B5" s="197"/>
      <c r="C5" s="197"/>
      <c r="D5" s="198"/>
      <c r="E5" s="197"/>
    </row>
    <row r="6" spans="1:5" x14ac:dyDescent="0.2">
      <c r="A6" s="57" t="s">
        <v>21</v>
      </c>
      <c r="B6" s="57"/>
      <c r="C6" s="57"/>
      <c r="D6" s="195"/>
      <c r="E6" s="57"/>
    </row>
    <row r="7" spans="1:5" ht="22.5" x14ac:dyDescent="0.2">
      <c r="A7" s="199" t="s">
        <v>3</v>
      </c>
      <c r="B7" s="200" t="s">
        <v>117</v>
      </c>
      <c r="C7" s="201" t="s">
        <v>116</v>
      </c>
      <c r="D7" s="202" t="s">
        <v>167</v>
      </c>
      <c r="E7" s="199" t="s">
        <v>142</v>
      </c>
    </row>
    <row r="8" spans="1:5" x14ac:dyDescent="0.2">
      <c r="A8" s="203">
        <v>1</v>
      </c>
      <c r="B8" s="57" t="s">
        <v>21</v>
      </c>
      <c r="C8" s="195"/>
      <c r="D8" s="204"/>
      <c r="E8" s="205"/>
    </row>
    <row r="9" spans="1:5" ht="13.5" x14ac:dyDescent="0.35">
      <c r="A9" s="203">
        <f t="shared" ref="A9:A40" si="0">A8+1</f>
        <v>2</v>
      </c>
      <c r="B9" s="206" t="s">
        <v>115</v>
      </c>
      <c r="C9" s="207"/>
      <c r="E9" s="205"/>
    </row>
    <row r="10" spans="1:5" x14ac:dyDescent="0.2">
      <c r="A10" s="203">
        <f t="shared" si="0"/>
        <v>3</v>
      </c>
      <c r="B10" s="208" t="s">
        <v>114</v>
      </c>
      <c r="C10" s="209">
        <v>22</v>
      </c>
      <c r="D10" s="210">
        <f>ROUND('Lighting RD'!K11,2)</f>
        <v>0.14000000000000001</v>
      </c>
      <c r="E10" s="211" t="s">
        <v>141</v>
      </c>
    </row>
    <row r="11" spans="1:5" x14ac:dyDescent="0.2">
      <c r="A11" s="203">
        <f t="shared" si="0"/>
        <v>4</v>
      </c>
      <c r="B11" s="208"/>
      <c r="C11" s="212"/>
      <c r="D11" s="210"/>
      <c r="E11" s="213"/>
    </row>
    <row r="12" spans="1:5" x14ac:dyDescent="0.2">
      <c r="A12" s="203">
        <f t="shared" si="0"/>
        <v>5</v>
      </c>
      <c r="B12" s="208" t="s">
        <v>113</v>
      </c>
      <c r="C12" s="209">
        <v>100</v>
      </c>
      <c r="D12" s="210">
        <f>ROUND('Lighting RD'!K13,2)</f>
        <v>0.71</v>
      </c>
      <c r="E12" s="214" t="str">
        <f>$E$10</f>
        <v>Sheet No. 129-C</v>
      </c>
    </row>
    <row r="13" spans="1:5" x14ac:dyDescent="0.2">
      <c r="A13" s="203">
        <f t="shared" si="0"/>
        <v>6</v>
      </c>
      <c r="B13" s="208" t="s">
        <v>113</v>
      </c>
      <c r="C13" s="209">
        <v>175</v>
      </c>
      <c r="D13" s="210">
        <f>ROUND('Lighting RD'!K14,2)</f>
        <v>1.24</v>
      </c>
      <c r="E13" s="214" t="str">
        <f>$E$10</f>
        <v>Sheet No. 129-C</v>
      </c>
    </row>
    <row r="14" spans="1:5" x14ac:dyDescent="0.2">
      <c r="A14" s="203">
        <f t="shared" si="0"/>
        <v>7</v>
      </c>
      <c r="B14" s="208" t="s">
        <v>113</v>
      </c>
      <c r="C14" s="209">
        <v>400</v>
      </c>
      <c r="D14" s="210">
        <f>ROUND('Lighting RD'!K15,2)</f>
        <v>2.7</v>
      </c>
      <c r="E14" s="214" t="str">
        <f>$E$10</f>
        <v>Sheet No. 129-C</v>
      </c>
    </row>
    <row r="15" spans="1:5" x14ac:dyDescent="0.2">
      <c r="A15" s="203">
        <f t="shared" si="0"/>
        <v>8</v>
      </c>
      <c r="B15" s="208" t="s">
        <v>113</v>
      </c>
      <c r="C15" s="209">
        <v>700</v>
      </c>
      <c r="D15" s="210">
        <f>ROUND('Lighting RD'!K16,2)</f>
        <v>5.74</v>
      </c>
      <c r="E15" s="214" t="str">
        <f>$E$10</f>
        <v>Sheet No. 129-C</v>
      </c>
    </row>
    <row r="16" spans="1:5" x14ac:dyDescent="0.2">
      <c r="A16" s="203">
        <f t="shared" si="0"/>
        <v>9</v>
      </c>
      <c r="B16" s="215"/>
      <c r="C16" s="205"/>
      <c r="D16" s="210"/>
      <c r="E16" s="213"/>
    </row>
    <row r="17" spans="1:5" ht="13.5" x14ac:dyDescent="0.35">
      <c r="A17" s="203">
        <f t="shared" si="0"/>
        <v>10</v>
      </c>
      <c r="B17" s="206" t="s">
        <v>112</v>
      </c>
      <c r="C17" s="205"/>
      <c r="D17" s="210"/>
      <c r="E17" s="213"/>
    </row>
    <row r="18" spans="1:5" x14ac:dyDescent="0.2">
      <c r="A18" s="203">
        <f t="shared" si="0"/>
        <v>11</v>
      </c>
      <c r="B18" s="208" t="s">
        <v>111</v>
      </c>
      <c r="C18" s="205" t="s">
        <v>72</v>
      </c>
      <c r="D18" s="210">
        <f>ROUND('Lighting RD'!K19,2)</f>
        <v>0.12</v>
      </c>
      <c r="E18" s="211" t="s">
        <v>143</v>
      </c>
    </row>
    <row r="19" spans="1:5" x14ac:dyDescent="0.2">
      <c r="A19" s="203">
        <f t="shared" si="0"/>
        <v>12</v>
      </c>
      <c r="B19" s="208" t="s">
        <v>111</v>
      </c>
      <c r="C19" s="216" t="s">
        <v>71</v>
      </c>
      <c r="D19" s="210">
        <f>ROUND('Lighting RD'!K20,2)</f>
        <v>0.3</v>
      </c>
      <c r="E19" s="214" t="str">
        <f t="shared" ref="E19:E27" si="1">$E$18</f>
        <v>Sheet No. 129-D</v>
      </c>
    </row>
    <row r="20" spans="1:5" x14ac:dyDescent="0.2">
      <c r="A20" s="203">
        <f t="shared" si="0"/>
        <v>13</v>
      </c>
      <c r="B20" s="208" t="s">
        <v>111</v>
      </c>
      <c r="C20" s="209" t="s">
        <v>43</v>
      </c>
      <c r="D20" s="210">
        <f>ROUND('Lighting RD'!K21,2)</f>
        <v>0.5</v>
      </c>
      <c r="E20" s="214" t="str">
        <f t="shared" si="1"/>
        <v>Sheet No. 129-D</v>
      </c>
    </row>
    <row r="21" spans="1:5" x14ac:dyDescent="0.2">
      <c r="A21" s="203">
        <f t="shared" si="0"/>
        <v>14</v>
      </c>
      <c r="B21" s="208" t="s">
        <v>111</v>
      </c>
      <c r="C21" s="209" t="s">
        <v>42</v>
      </c>
      <c r="D21" s="210">
        <f>ROUND('Lighting RD'!K22,2)</f>
        <v>0.72</v>
      </c>
      <c r="E21" s="214" t="str">
        <f t="shared" si="1"/>
        <v>Sheet No. 129-D</v>
      </c>
    </row>
    <row r="22" spans="1:5" x14ac:dyDescent="0.2">
      <c r="A22" s="203">
        <f t="shared" si="0"/>
        <v>15</v>
      </c>
      <c r="B22" s="208" t="s">
        <v>111</v>
      </c>
      <c r="C22" s="209" t="s">
        <v>41</v>
      </c>
      <c r="D22" s="210">
        <f>ROUND('Lighting RD'!K23,2)</f>
        <v>0.82</v>
      </c>
      <c r="E22" s="214" t="str">
        <f t="shared" si="1"/>
        <v>Sheet No. 129-D</v>
      </c>
    </row>
    <row r="23" spans="1:5" x14ac:dyDescent="0.2">
      <c r="A23" s="203">
        <f t="shared" si="0"/>
        <v>16</v>
      </c>
      <c r="B23" s="208" t="s">
        <v>111</v>
      </c>
      <c r="C23" s="209" t="s">
        <v>40</v>
      </c>
      <c r="D23" s="210">
        <f>ROUND('Lighting RD'!K24,2)</f>
        <v>1.2</v>
      </c>
      <c r="E23" s="214" t="str">
        <f t="shared" si="1"/>
        <v>Sheet No. 129-D</v>
      </c>
    </row>
    <row r="24" spans="1:5" x14ac:dyDescent="0.2">
      <c r="A24" s="203">
        <f t="shared" si="0"/>
        <v>17</v>
      </c>
      <c r="B24" s="208" t="s">
        <v>111</v>
      </c>
      <c r="C24" s="209" t="s">
        <v>39</v>
      </c>
      <c r="D24" s="210">
        <f>ROUND('Lighting RD'!K25,2)</f>
        <v>1.31</v>
      </c>
      <c r="E24" s="214" t="str">
        <f t="shared" si="1"/>
        <v>Sheet No. 129-D</v>
      </c>
    </row>
    <row r="25" spans="1:5" x14ac:dyDescent="0.2">
      <c r="A25" s="203">
        <f t="shared" si="0"/>
        <v>18</v>
      </c>
      <c r="B25" s="208" t="s">
        <v>111</v>
      </c>
      <c r="C25" s="209" t="s">
        <v>38</v>
      </c>
      <c r="D25" s="210">
        <f>ROUND('Lighting RD'!K26,2)</f>
        <v>1.41</v>
      </c>
      <c r="E25" s="214" t="str">
        <f t="shared" si="1"/>
        <v>Sheet No. 129-D</v>
      </c>
    </row>
    <row r="26" spans="1:5" x14ac:dyDescent="0.2">
      <c r="A26" s="203">
        <f t="shared" si="0"/>
        <v>19</v>
      </c>
      <c r="B26" s="208" t="s">
        <v>111</v>
      </c>
      <c r="C26" s="209" t="s">
        <v>37</v>
      </c>
      <c r="D26" s="210">
        <f>ROUND('Lighting RD'!K27,2)</f>
        <v>1.72</v>
      </c>
      <c r="E26" s="214" t="str">
        <f t="shared" si="1"/>
        <v>Sheet No. 129-D</v>
      </c>
    </row>
    <row r="27" spans="1:5" x14ac:dyDescent="0.2">
      <c r="A27" s="203">
        <f t="shared" si="0"/>
        <v>20</v>
      </c>
      <c r="B27" s="208" t="s">
        <v>111</v>
      </c>
      <c r="C27" s="209" t="s">
        <v>36</v>
      </c>
      <c r="D27" s="210">
        <f>ROUND('Lighting RD'!K28,2)</f>
        <v>1.82</v>
      </c>
      <c r="E27" s="214" t="str">
        <f t="shared" si="1"/>
        <v>Sheet No. 129-D</v>
      </c>
    </row>
    <row r="28" spans="1:5" x14ac:dyDescent="0.2">
      <c r="A28" s="203">
        <f t="shared" si="0"/>
        <v>21</v>
      </c>
      <c r="B28" s="208"/>
      <c r="C28" s="209"/>
      <c r="D28" s="210"/>
      <c r="E28" s="211"/>
    </row>
    <row r="29" spans="1:5" x14ac:dyDescent="0.2">
      <c r="A29" s="203">
        <f t="shared" si="0"/>
        <v>22</v>
      </c>
      <c r="B29" s="208" t="s">
        <v>110</v>
      </c>
      <c r="C29" s="209" t="s">
        <v>101</v>
      </c>
      <c r="D29" s="204">
        <f>ROUND('Lighting RD'!K29,6)</f>
        <v>2.7663E-2</v>
      </c>
      <c r="E29" s="214" t="str">
        <f>$E$18</f>
        <v>Sheet No. 129-D</v>
      </c>
    </row>
    <row r="30" spans="1:5" x14ac:dyDescent="0.2">
      <c r="A30" s="203">
        <f t="shared" si="0"/>
        <v>23</v>
      </c>
      <c r="B30" s="215"/>
      <c r="C30" s="205"/>
      <c r="D30" s="210"/>
      <c r="E30" s="213"/>
    </row>
    <row r="31" spans="1:5" ht="13.5" x14ac:dyDescent="0.35">
      <c r="A31" s="203">
        <f t="shared" si="0"/>
        <v>24</v>
      </c>
      <c r="B31" s="206" t="s">
        <v>109</v>
      </c>
      <c r="C31" s="205"/>
      <c r="D31" s="210"/>
      <c r="E31" s="213"/>
    </row>
    <row r="32" spans="1:5" x14ac:dyDescent="0.2">
      <c r="A32" s="203">
        <f t="shared" si="0"/>
        <v>25</v>
      </c>
      <c r="B32" s="208" t="s">
        <v>108</v>
      </c>
      <c r="C32" s="209">
        <v>50</v>
      </c>
      <c r="D32" s="210">
        <f>ROUND('Lighting RD'!K32,2)</f>
        <v>0.32</v>
      </c>
      <c r="E32" s="211" t="s">
        <v>144</v>
      </c>
    </row>
    <row r="33" spans="1:5" x14ac:dyDescent="0.2">
      <c r="A33" s="203">
        <f t="shared" si="0"/>
        <v>26</v>
      </c>
      <c r="B33" s="208" t="s">
        <v>108</v>
      </c>
      <c r="C33" s="209">
        <v>70</v>
      </c>
      <c r="D33" s="210">
        <f>ROUND('Lighting RD'!K33,2)</f>
        <v>0.49</v>
      </c>
      <c r="E33" s="214" t="str">
        <f t="shared" ref="E33:E39" si="2">$E$32</f>
        <v>Sheet No. 129-E</v>
      </c>
    </row>
    <row r="34" spans="1:5" x14ac:dyDescent="0.2">
      <c r="A34" s="203">
        <f t="shared" si="0"/>
        <v>27</v>
      </c>
      <c r="B34" s="208" t="s">
        <v>108</v>
      </c>
      <c r="C34" s="209">
        <v>100</v>
      </c>
      <c r="D34" s="210">
        <f>ROUND('Lighting RD'!K34,2)</f>
        <v>0.71</v>
      </c>
      <c r="E34" s="214" t="str">
        <f t="shared" si="2"/>
        <v>Sheet No. 129-E</v>
      </c>
    </row>
    <row r="35" spans="1:5" x14ac:dyDescent="0.2">
      <c r="A35" s="203">
        <f t="shared" si="0"/>
        <v>28</v>
      </c>
      <c r="B35" s="208" t="s">
        <v>108</v>
      </c>
      <c r="C35" s="209">
        <v>150</v>
      </c>
      <c r="D35" s="210">
        <f>ROUND('Lighting RD'!K35,2)</f>
        <v>0.87</v>
      </c>
      <c r="E35" s="214" t="str">
        <f t="shared" si="2"/>
        <v>Sheet No. 129-E</v>
      </c>
    </row>
    <row r="36" spans="1:5" x14ac:dyDescent="0.2">
      <c r="A36" s="203">
        <f t="shared" si="0"/>
        <v>29</v>
      </c>
      <c r="B36" s="208" t="s">
        <v>108</v>
      </c>
      <c r="C36" s="209">
        <v>200</v>
      </c>
      <c r="D36" s="210">
        <f>ROUND('Lighting RD'!K36,2)</f>
        <v>1.32</v>
      </c>
      <c r="E36" s="214" t="str">
        <f t="shared" si="2"/>
        <v>Sheet No. 129-E</v>
      </c>
    </row>
    <row r="37" spans="1:5" x14ac:dyDescent="0.2">
      <c r="A37" s="203">
        <f t="shared" si="0"/>
        <v>30</v>
      </c>
      <c r="B37" s="208" t="s">
        <v>108</v>
      </c>
      <c r="C37" s="209">
        <v>250</v>
      </c>
      <c r="D37" s="210">
        <f>ROUND('Lighting RD'!K37,2)</f>
        <v>1.7</v>
      </c>
      <c r="E37" s="214" t="str">
        <f t="shared" si="2"/>
        <v>Sheet No. 129-E</v>
      </c>
    </row>
    <row r="38" spans="1:5" x14ac:dyDescent="0.2">
      <c r="A38" s="203">
        <f t="shared" si="0"/>
        <v>31</v>
      </c>
      <c r="B38" s="208" t="s">
        <v>108</v>
      </c>
      <c r="C38" s="209">
        <v>310</v>
      </c>
      <c r="D38" s="210">
        <f>ROUND('Lighting RD'!K38,2)</f>
        <v>1.9</v>
      </c>
      <c r="E38" s="214" t="str">
        <f t="shared" si="2"/>
        <v>Sheet No. 129-E</v>
      </c>
    </row>
    <row r="39" spans="1:5" x14ac:dyDescent="0.2">
      <c r="A39" s="203">
        <f t="shared" si="0"/>
        <v>32</v>
      </c>
      <c r="B39" s="208" t="s">
        <v>108</v>
      </c>
      <c r="C39" s="209">
        <v>400</v>
      </c>
      <c r="D39" s="210">
        <f>ROUND('Lighting RD'!K39,2)</f>
        <v>2.7</v>
      </c>
      <c r="E39" s="214" t="str">
        <f t="shared" si="2"/>
        <v>Sheet No. 129-E</v>
      </c>
    </row>
    <row r="40" spans="1:5" x14ac:dyDescent="0.2">
      <c r="A40" s="203">
        <f t="shared" si="0"/>
        <v>33</v>
      </c>
      <c r="B40" s="217"/>
      <c r="C40" s="209"/>
      <c r="D40" s="210"/>
      <c r="E40" s="213"/>
    </row>
    <row r="41" spans="1:5" x14ac:dyDescent="0.2">
      <c r="A41" s="203">
        <f t="shared" ref="A41:A72" si="3">A40+1</f>
        <v>34</v>
      </c>
      <c r="B41" s="208" t="s">
        <v>107</v>
      </c>
      <c r="C41" s="209">
        <v>70</v>
      </c>
      <c r="D41" s="210">
        <f>ROUND('Lighting RD'!K41,2)</f>
        <v>0.49</v>
      </c>
      <c r="E41" s="214" t="str">
        <f t="shared" ref="E41:E47" si="4">$E$32</f>
        <v>Sheet No. 129-E</v>
      </c>
    </row>
    <row r="42" spans="1:5" x14ac:dyDescent="0.2">
      <c r="A42" s="203">
        <f t="shared" si="3"/>
        <v>35</v>
      </c>
      <c r="B42" s="208" t="s">
        <v>107</v>
      </c>
      <c r="C42" s="209">
        <v>100</v>
      </c>
      <c r="D42" s="210">
        <f>ROUND('Lighting RD'!K42,2)</f>
        <v>0.71</v>
      </c>
      <c r="E42" s="214" t="str">
        <f t="shared" si="4"/>
        <v>Sheet No. 129-E</v>
      </c>
    </row>
    <row r="43" spans="1:5" x14ac:dyDescent="0.2">
      <c r="A43" s="203">
        <f t="shared" si="3"/>
        <v>36</v>
      </c>
      <c r="B43" s="208" t="s">
        <v>107</v>
      </c>
      <c r="C43" s="209">
        <v>150</v>
      </c>
      <c r="D43" s="210">
        <f>ROUND('Lighting RD'!K43,2)</f>
        <v>0.87</v>
      </c>
      <c r="E43" s="214" t="str">
        <f t="shared" si="4"/>
        <v>Sheet No. 129-E</v>
      </c>
    </row>
    <row r="44" spans="1:5" x14ac:dyDescent="0.2">
      <c r="A44" s="203">
        <f t="shared" si="3"/>
        <v>37</v>
      </c>
      <c r="B44" s="208" t="s">
        <v>107</v>
      </c>
      <c r="C44" s="209">
        <v>175</v>
      </c>
      <c r="D44" s="210">
        <f>ROUND('Lighting RD'!K44,2)</f>
        <v>1.24</v>
      </c>
      <c r="E44" s="214" t="str">
        <f t="shared" si="4"/>
        <v>Sheet No. 129-E</v>
      </c>
    </row>
    <row r="45" spans="1:5" x14ac:dyDescent="0.2">
      <c r="A45" s="203">
        <f t="shared" si="3"/>
        <v>38</v>
      </c>
      <c r="B45" s="208" t="s">
        <v>107</v>
      </c>
      <c r="C45" s="209">
        <v>250</v>
      </c>
      <c r="D45" s="210">
        <f>ROUND('Lighting RD'!K45,2)</f>
        <v>1.7</v>
      </c>
      <c r="E45" s="214" t="str">
        <f t="shared" si="4"/>
        <v>Sheet No. 129-E</v>
      </c>
    </row>
    <row r="46" spans="1:5" x14ac:dyDescent="0.2">
      <c r="A46" s="203">
        <f t="shared" si="3"/>
        <v>39</v>
      </c>
      <c r="B46" s="208" t="s">
        <v>107</v>
      </c>
      <c r="C46" s="209">
        <v>400</v>
      </c>
      <c r="D46" s="210">
        <f>ROUND('Lighting RD'!K46,2)</f>
        <v>2.7</v>
      </c>
      <c r="E46" s="214" t="str">
        <f t="shared" si="4"/>
        <v>Sheet No. 129-E</v>
      </c>
    </row>
    <row r="47" spans="1:5" x14ac:dyDescent="0.2">
      <c r="A47" s="203">
        <f t="shared" si="3"/>
        <v>40</v>
      </c>
      <c r="B47" s="208" t="s">
        <v>107</v>
      </c>
      <c r="C47" s="209">
        <v>1000</v>
      </c>
      <c r="D47" s="210">
        <f>ROUND('Lighting RD'!K47,2)</f>
        <v>6.74</v>
      </c>
      <c r="E47" s="214" t="str">
        <f t="shared" si="4"/>
        <v>Sheet No. 129-E</v>
      </c>
    </row>
    <row r="48" spans="1:5" x14ac:dyDescent="0.2">
      <c r="A48" s="203">
        <f t="shared" si="3"/>
        <v>41</v>
      </c>
      <c r="B48" s="215"/>
      <c r="C48" s="205"/>
      <c r="D48" s="210"/>
      <c r="E48" s="213"/>
    </row>
    <row r="49" spans="1:5" ht="13.5" x14ac:dyDescent="0.35">
      <c r="A49" s="203">
        <f t="shared" si="3"/>
        <v>42</v>
      </c>
      <c r="B49" s="206" t="s">
        <v>106</v>
      </c>
      <c r="C49" s="205"/>
      <c r="D49" s="210"/>
      <c r="E49" s="213"/>
    </row>
    <row r="50" spans="1:5" x14ac:dyDescent="0.2">
      <c r="A50" s="203">
        <f t="shared" si="3"/>
        <v>43</v>
      </c>
      <c r="B50" s="208" t="s">
        <v>105</v>
      </c>
      <c r="C50" s="209">
        <v>50</v>
      </c>
      <c r="D50" s="210">
        <f>ROUND('Lighting RD'!K50,2)</f>
        <v>0.32</v>
      </c>
      <c r="E50" s="214" t="str">
        <f t="shared" ref="E50:E58" si="5">$E$32</f>
        <v>Sheet No. 129-E</v>
      </c>
    </row>
    <row r="51" spans="1:5" x14ac:dyDescent="0.2">
      <c r="A51" s="203">
        <f t="shared" si="3"/>
        <v>44</v>
      </c>
      <c r="B51" s="208" t="s">
        <v>105</v>
      </c>
      <c r="C51" s="209">
        <v>70</v>
      </c>
      <c r="D51" s="210">
        <f>ROUND('Lighting RD'!K51,2)</f>
        <v>0.49</v>
      </c>
      <c r="E51" s="214" t="str">
        <f t="shared" si="5"/>
        <v>Sheet No. 129-E</v>
      </c>
    </row>
    <row r="52" spans="1:5" x14ac:dyDescent="0.2">
      <c r="A52" s="203">
        <f t="shared" si="3"/>
        <v>45</v>
      </c>
      <c r="B52" s="208" t="s">
        <v>105</v>
      </c>
      <c r="C52" s="209">
        <v>100</v>
      </c>
      <c r="D52" s="210">
        <f>ROUND('Lighting RD'!K52,2)</f>
        <v>0.71</v>
      </c>
      <c r="E52" s="214" t="str">
        <f t="shared" si="5"/>
        <v>Sheet No. 129-E</v>
      </c>
    </row>
    <row r="53" spans="1:5" x14ac:dyDescent="0.2">
      <c r="A53" s="203">
        <f t="shared" si="3"/>
        <v>46</v>
      </c>
      <c r="B53" s="208" t="s">
        <v>105</v>
      </c>
      <c r="C53" s="209">
        <v>150</v>
      </c>
      <c r="D53" s="210">
        <f>ROUND('Lighting RD'!K53,2)</f>
        <v>0.87</v>
      </c>
      <c r="E53" s="214" t="str">
        <f t="shared" si="5"/>
        <v>Sheet No. 129-E</v>
      </c>
    </row>
    <row r="54" spans="1:5" x14ac:dyDescent="0.2">
      <c r="A54" s="203">
        <f t="shared" si="3"/>
        <v>47</v>
      </c>
      <c r="B54" s="208" t="s">
        <v>105</v>
      </c>
      <c r="C54" s="209">
        <v>200</v>
      </c>
      <c r="D54" s="210">
        <f>ROUND('Lighting RD'!K54,2)</f>
        <v>1.32</v>
      </c>
      <c r="E54" s="214" t="str">
        <f t="shared" si="5"/>
        <v>Sheet No. 129-E</v>
      </c>
    </row>
    <row r="55" spans="1:5" x14ac:dyDescent="0.2">
      <c r="A55" s="203">
        <f t="shared" si="3"/>
        <v>48</v>
      </c>
      <c r="B55" s="208" t="s">
        <v>105</v>
      </c>
      <c r="C55" s="209">
        <v>250</v>
      </c>
      <c r="D55" s="210">
        <f>ROUND('Lighting RD'!K55,2)</f>
        <v>1.7</v>
      </c>
      <c r="E55" s="214" t="str">
        <f t="shared" si="5"/>
        <v>Sheet No. 129-E</v>
      </c>
    </row>
    <row r="56" spans="1:5" x14ac:dyDescent="0.2">
      <c r="A56" s="203">
        <f t="shared" si="3"/>
        <v>49</v>
      </c>
      <c r="B56" s="208" t="s">
        <v>105</v>
      </c>
      <c r="C56" s="209">
        <v>310</v>
      </c>
      <c r="D56" s="210">
        <f>ROUND('Lighting RD'!K56,2)</f>
        <v>1.9</v>
      </c>
      <c r="E56" s="214" t="str">
        <f t="shared" si="5"/>
        <v>Sheet No. 129-E</v>
      </c>
    </row>
    <row r="57" spans="1:5" x14ac:dyDescent="0.2">
      <c r="A57" s="203">
        <f t="shared" si="3"/>
        <v>50</v>
      </c>
      <c r="B57" s="208" t="s">
        <v>105</v>
      </c>
      <c r="C57" s="209">
        <v>400</v>
      </c>
      <c r="D57" s="210">
        <f>ROUND('Lighting RD'!K57,2)</f>
        <v>2.7</v>
      </c>
      <c r="E57" s="214" t="str">
        <f t="shared" si="5"/>
        <v>Sheet No. 129-E</v>
      </c>
    </row>
    <row r="58" spans="1:5" x14ac:dyDescent="0.2">
      <c r="A58" s="203">
        <f t="shared" si="3"/>
        <v>51</v>
      </c>
      <c r="B58" s="208" t="s">
        <v>105</v>
      </c>
      <c r="C58" s="209">
        <v>1000</v>
      </c>
      <c r="D58" s="210">
        <f>ROUND('Lighting RD'!K58,2)</f>
        <v>6.74</v>
      </c>
      <c r="E58" s="214" t="str">
        <f t="shared" si="5"/>
        <v>Sheet No. 129-E</v>
      </c>
    </row>
    <row r="59" spans="1:5" x14ac:dyDescent="0.2">
      <c r="A59" s="203">
        <f t="shared" si="3"/>
        <v>52</v>
      </c>
      <c r="B59" s="217"/>
      <c r="C59" s="209"/>
      <c r="D59" s="210"/>
      <c r="E59" s="213"/>
    </row>
    <row r="60" spans="1:5" x14ac:dyDescent="0.2">
      <c r="A60" s="203">
        <f t="shared" si="3"/>
        <v>53</v>
      </c>
      <c r="B60" s="208" t="s">
        <v>104</v>
      </c>
      <c r="C60" s="209">
        <v>70</v>
      </c>
      <c r="D60" s="210">
        <f>ROUND('Lighting RD'!K60,2)</f>
        <v>0.49</v>
      </c>
      <c r="E60" s="211" t="s">
        <v>145</v>
      </c>
    </row>
    <row r="61" spans="1:5" x14ac:dyDescent="0.2">
      <c r="A61" s="203">
        <f t="shared" si="3"/>
        <v>54</v>
      </c>
      <c r="B61" s="208" t="s">
        <v>104</v>
      </c>
      <c r="C61" s="209">
        <v>100</v>
      </c>
      <c r="D61" s="210">
        <f>ROUND('Lighting RD'!K61,2)</f>
        <v>0.71</v>
      </c>
      <c r="E61" s="214" t="str">
        <f>$E$60</f>
        <v>Sheet No. 129-F</v>
      </c>
    </row>
    <row r="62" spans="1:5" x14ac:dyDescent="0.2">
      <c r="A62" s="203">
        <f t="shared" si="3"/>
        <v>55</v>
      </c>
      <c r="B62" s="208" t="s">
        <v>104</v>
      </c>
      <c r="C62" s="209">
        <v>150</v>
      </c>
      <c r="D62" s="210">
        <f>ROUND('Lighting RD'!K62,2)</f>
        <v>0.87</v>
      </c>
      <c r="E62" s="214" t="str">
        <f>$E$60</f>
        <v>Sheet No. 129-F</v>
      </c>
    </row>
    <row r="63" spans="1:5" x14ac:dyDescent="0.2">
      <c r="A63" s="203">
        <f t="shared" si="3"/>
        <v>56</v>
      </c>
      <c r="B63" s="208" t="s">
        <v>104</v>
      </c>
      <c r="C63" s="209">
        <v>175</v>
      </c>
      <c r="D63" s="210">
        <f>ROUND('Lighting RD'!K63,2)</f>
        <v>1.24</v>
      </c>
      <c r="E63" s="214" t="str">
        <f>$E$60</f>
        <v>Sheet No. 129-F</v>
      </c>
    </row>
    <row r="64" spans="1:5" x14ac:dyDescent="0.2">
      <c r="A64" s="203">
        <f t="shared" si="3"/>
        <v>57</v>
      </c>
      <c r="B64" s="208" t="s">
        <v>104</v>
      </c>
      <c r="C64" s="209">
        <v>250</v>
      </c>
      <c r="D64" s="210">
        <f>ROUND('Lighting RD'!K64,2)</f>
        <v>1.7</v>
      </c>
      <c r="E64" s="214" t="str">
        <f>$E$60</f>
        <v>Sheet No. 129-F</v>
      </c>
    </row>
    <row r="65" spans="1:5" x14ac:dyDescent="0.2">
      <c r="A65" s="203">
        <f t="shared" si="3"/>
        <v>58</v>
      </c>
      <c r="B65" s="208" t="s">
        <v>104</v>
      </c>
      <c r="C65" s="209">
        <v>400</v>
      </c>
      <c r="D65" s="210">
        <f>ROUND('Lighting RD'!K65,2)</f>
        <v>2.7</v>
      </c>
      <c r="E65" s="214" t="str">
        <f>$E$60</f>
        <v>Sheet No. 129-F</v>
      </c>
    </row>
    <row r="66" spans="1:5" x14ac:dyDescent="0.2">
      <c r="A66" s="203">
        <f t="shared" si="3"/>
        <v>59</v>
      </c>
      <c r="B66" s="217"/>
      <c r="C66" s="209"/>
      <c r="D66" s="210"/>
      <c r="E66" s="213"/>
    </row>
    <row r="67" spans="1:5" x14ac:dyDescent="0.2">
      <c r="A67" s="203">
        <f t="shared" si="3"/>
        <v>60</v>
      </c>
      <c r="B67" s="208" t="s">
        <v>103</v>
      </c>
      <c r="C67" s="205" t="s">
        <v>72</v>
      </c>
      <c r="D67" s="210">
        <f>ROUND('Lighting RD'!K67,2)</f>
        <v>0.12</v>
      </c>
      <c r="E67" s="214" t="str">
        <f t="shared" ref="E67:E76" si="6">$E$18</f>
        <v>Sheet No. 129-D</v>
      </c>
    </row>
    <row r="68" spans="1:5" x14ac:dyDescent="0.2">
      <c r="A68" s="203">
        <f t="shared" si="3"/>
        <v>61</v>
      </c>
      <c r="B68" s="208" t="s">
        <v>103</v>
      </c>
      <c r="C68" s="216" t="s">
        <v>71</v>
      </c>
      <c r="D68" s="210">
        <f>ROUND('Lighting RD'!K68,2)</f>
        <v>0.3</v>
      </c>
      <c r="E68" s="214" t="str">
        <f t="shared" si="6"/>
        <v>Sheet No. 129-D</v>
      </c>
    </row>
    <row r="69" spans="1:5" x14ac:dyDescent="0.2">
      <c r="A69" s="203">
        <f t="shared" si="3"/>
        <v>62</v>
      </c>
      <c r="B69" s="208" t="s">
        <v>103</v>
      </c>
      <c r="C69" s="209" t="s">
        <v>43</v>
      </c>
      <c r="D69" s="210">
        <f>ROUND('Lighting RD'!K69,2)</f>
        <v>0.5</v>
      </c>
      <c r="E69" s="214" t="str">
        <f t="shared" si="6"/>
        <v>Sheet No. 129-D</v>
      </c>
    </row>
    <row r="70" spans="1:5" x14ac:dyDescent="0.2">
      <c r="A70" s="203">
        <f t="shared" si="3"/>
        <v>63</v>
      </c>
      <c r="B70" s="208" t="s">
        <v>103</v>
      </c>
      <c r="C70" s="209" t="s">
        <v>42</v>
      </c>
      <c r="D70" s="210">
        <f>ROUND('Lighting RD'!K70,2)</f>
        <v>0.72</v>
      </c>
      <c r="E70" s="214" t="str">
        <f t="shared" si="6"/>
        <v>Sheet No. 129-D</v>
      </c>
    </row>
    <row r="71" spans="1:5" x14ac:dyDescent="0.2">
      <c r="A71" s="203">
        <f t="shared" si="3"/>
        <v>64</v>
      </c>
      <c r="B71" s="208" t="s">
        <v>103</v>
      </c>
      <c r="C71" s="209" t="s">
        <v>41</v>
      </c>
      <c r="D71" s="210">
        <f>ROUND('Lighting RD'!K71,2)</f>
        <v>0.82</v>
      </c>
      <c r="E71" s="214" t="str">
        <f t="shared" si="6"/>
        <v>Sheet No. 129-D</v>
      </c>
    </row>
    <row r="72" spans="1:5" x14ac:dyDescent="0.2">
      <c r="A72" s="203">
        <f t="shared" si="3"/>
        <v>65</v>
      </c>
      <c r="B72" s="208" t="s">
        <v>103</v>
      </c>
      <c r="C72" s="209" t="s">
        <v>40</v>
      </c>
      <c r="D72" s="210">
        <f>ROUND('Lighting RD'!K72,2)</f>
        <v>1.2</v>
      </c>
      <c r="E72" s="214" t="str">
        <f t="shared" si="6"/>
        <v>Sheet No. 129-D</v>
      </c>
    </row>
    <row r="73" spans="1:5" x14ac:dyDescent="0.2">
      <c r="A73" s="203">
        <f t="shared" ref="A73:A104" si="7">A72+1</f>
        <v>66</v>
      </c>
      <c r="B73" s="208" t="s">
        <v>103</v>
      </c>
      <c r="C73" s="209" t="s">
        <v>39</v>
      </c>
      <c r="D73" s="210">
        <f>ROUND('Lighting RD'!K73,2)</f>
        <v>1.31</v>
      </c>
      <c r="E73" s="214" t="str">
        <f t="shared" si="6"/>
        <v>Sheet No. 129-D</v>
      </c>
    </row>
    <row r="74" spans="1:5" x14ac:dyDescent="0.2">
      <c r="A74" s="203">
        <f t="shared" si="7"/>
        <v>67</v>
      </c>
      <c r="B74" s="208" t="s">
        <v>103</v>
      </c>
      <c r="C74" s="209" t="s">
        <v>38</v>
      </c>
      <c r="D74" s="210">
        <f>ROUND('Lighting RD'!K74,2)</f>
        <v>1.41</v>
      </c>
      <c r="E74" s="214" t="str">
        <f t="shared" si="6"/>
        <v>Sheet No. 129-D</v>
      </c>
    </row>
    <row r="75" spans="1:5" x14ac:dyDescent="0.2">
      <c r="A75" s="203">
        <f t="shared" si="7"/>
        <v>68</v>
      </c>
      <c r="B75" s="208" t="s">
        <v>103</v>
      </c>
      <c r="C75" s="209" t="s">
        <v>37</v>
      </c>
      <c r="D75" s="210">
        <f>ROUND('Lighting RD'!K75,2)</f>
        <v>1.72</v>
      </c>
      <c r="E75" s="214" t="str">
        <f t="shared" si="6"/>
        <v>Sheet No. 129-D</v>
      </c>
    </row>
    <row r="76" spans="1:5" x14ac:dyDescent="0.2">
      <c r="A76" s="203">
        <f t="shared" si="7"/>
        <v>69</v>
      </c>
      <c r="B76" s="208" t="s">
        <v>103</v>
      </c>
      <c r="C76" s="209" t="s">
        <v>36</v>
      </c>
      <c r="D76" s="210">
        <f>ROUND('Lighting RD'!K76,2)</f>
        <v>1.82</v>
      </c>
      <c r="E76" s="214" t="str">
        <f t="shared" si="6"/>
        <v>Sheet No. 129-D</v>
      </c>
    </row>
    <row r="77" spans="1:5" x14ac:dyDescent="0.2">
      <c r="A77" s="203">
        <f t="shared" si="7"/>
        <v>70</v>
      </c>
      <c r="B77" s="208"/>
      <c r="C77" s="209"/>
      <c r="D77" s="210"/>
      <c r="E77" s="211"/>
    </row>
    <row r="78" spans="1:5" x14ac:dyDescent="0.2">
      <c r="A78" s="203">
        <f t="shared" si="7"/>
        <v>71</v>
      </c>
      <c r="B78" s="208" t="s">
        <v>102</v>
      </c>
      <c r="C78" s="209" t="s">
        <v>101</v>
      </c>
      <c r="D78" s="204">
        <f>ROUND('Lighting RD'!K77,6)</f>
        <v>2.7663E-2</v>
      </c>
      <c r="E78" s="214" t="str">
        <f>$E$18</f>
        <v>Sheet No. 129-D</v>
      </c>
    </row>
    <row r="79" spans="1:5" x14ac:dyDescent="0.2">
      <c r="A79" s="203">
        <f t="shared" si="7"/>
        <v>72</v>
      </c>
      <c r="C79" s="209"/>
      <c r="D79" s="210"/>
      <c r="E79" s="213"/>
    </row>
    <row r="80" spans="1:5" ht="13.5" x14ac:dyDescent="0.35">
      <c r="A80" s="203">
        <f t="shared" si="7"/>
        <v>73</v>
      </c>
      <c r="B80" s="206" t="s">
        <v>100</v>
      </c>
      <c r="C80" s="205"/>
      <c r="D80" s="210"/>
      <c r="E80" s="213"/>
    </row>
    <row r="81" spans="1:5" x14ac:dyDescent="0.2">
      <c r="A81" s="203">
        <f t="shared" si="7"/>
        <v>74</v>
      </c>
      <c r="B81" s="208" t="s">
        <v>99</v>
      </c>
      <c r="C81" s="209">
        <v>50</v>
      </c>
      <c r="D81" s="210">
        <f>ROUND('Lighting RD'!K80,2)</f>
        <v>0.32</v>
      </c>
      <c r="E81" s="214" t="str">
        <f t="shared" ref="E81:E89" si="8">$E$60</f>
        <v>Sheet No. 129-F</v>
      </c>
    </row>
    <row r="82" spans="1:5" x14ac:dyDescent="0.2">
      <c r="A82" s="203">
        <f t="shared" si="7"/>
        <v>75</v>
      </c>
      <c r="B82" s="208" t="s">
        <v>99</v>
      </c>
      <c r="C82" s="209">
        <v>70</v>
      </c>
      <c r="D82" s="210">
        <f>ROUND('Lighting RD'!K81,2)</f>
        <v>0.49</v>
      </c>
      <c r="E82" s="214" t="str">
        <f t="shared" si="8"/>
        <v>Sheet No. 129-F</v>
      </c>
    </row>
    <row r="83" spans="1:5" x14ac:dyDescent="0.2">
      <c r="A83" s="203">
        <f t="shared" si="7"/>
        <v>76</v>
      </c>
      <c r="B83" s="208" t="s">
        <v>99</v>
      </c>
      <c r="C83" s="209">
        <v>100</v>
      </c>
      <c r="D83" s="210">
        <f>ROUND('Lighting RD'!K82,2)</f>
        <v>0.71</v>
      </c>
      <c r="E83" s="214" t="str">
        <f t="shared" si="8"/>
        <v>Sheet No. 129-F</v>
      </c>
    </row>
    <row r="84" spans="1:5" x14ac:dyDescent="0.2">
      <c r="A84" s="203">
        <f t="shared" si="7"/>
        <v>77</v>
      </c>
      <c r="B84" s="208" t="s">
        <v>99</v>
      </c>
      <c r="C84" s="209">
        <v>150</v>
      </c>
      <c r="D84" s="210">
        <f>ROUND('Lighting RD'!K83,2)</f>
        <v>0.87</v>
      </c>
      <c r="E84" s="214" t="str">
        <f t="shared" si="8"/>
        <v>Sheet No. 129-F</v>
      </c>
    </row>
    <row r="85" spans="1:5" x14ac:dyDescent="0.2">
      <c r="A85" s="203">
        <f t="shared" si="7"/>
        <v>78</v>
      </c>
      <c r="B85" s="208" t="s">
        <v>99</v>
      </c>
      <c r="C85" s="209">
        <v>200</v>
      </c>
      <c r="D85" s="210">
        <f>ROUND('Lighting RD'!K84,2)</f>
        <v>1.32</v>
      </c>
      <c r="E85" s="214" t="str">
        <f t="shared" si="8"/>
        <v>Sheet No. 129-F</v>
      </c>
    </row>
    <row r="86" spans="1:5" x14ac:dyDescent="0.2">
      <c r="A86" s="203">
        <f t="shared" si="7"/>
        <v>79</v>
      </c>
      <c r="B86" s="208" t="s">
        <v>99</v>
      </c>
      <c r="C86" s="209">
        <v>250</v>
      </c>
      <c r="D86" s="210">
        <f>ROUND('Lighting RD'!K85,2)</f>
        <v>1.7</v>
      </c>
      <c r="E86" s="214" t="str">
        <f t="shared" si="8"/>
        <v>Sheet No. 129-F</v>
      </c>
    </row>
    <row r="87" spans="1:5" x14ac:dyDescent="0.2">
      <c r="A87" s="203">
        <f t="shared" si="7"/>
        <v>80</v>
      </c>
      <c r="B87" s="208" t="s">
        <v>99</v>
      </c>
      <c r="C87" s="209">
        <v>310</v>
      </c>
      <c r="D87" s="210">
        <f>ROUND('Lighting RD'!K86,2)</f>
        <v>1.9</v>
      </c>
      <c r="E87" s="214" t="str">
        <f t="shared" si="8"/>
        <v>Sheet No. 129-F</v>
      </c>
    </row>
    <row r="88" spans="1:5" x14ac:dyDescent="0.2">
      <c r="A88" s="203">
        <f t="shared" si="7"/>
        <v>81</v>
      </c>
      <c r="B88" s="208" t="s">
        <v>99</v>
      </c>
      <c r="C88" s="209">
        <v>400</v>
      </c>
      <c r="D88" s="210">
        <f>ROUND('Lighting RD'!K87,2)</f>
        <v>2.7</v>
      </c>
      <c r="E88" s="214" t="str">
        <f t="shared" si="8"/>
        <v>Sheet No. 129-F</v>
      </c>
    </row>
    <row r="89" spans="1:5" x14ac:dyDescent="0.2">
      <c r="A89" s="203">
        <f t="shared" si="7"/>
        <v>82</v>
      </c>
      <c r="B89" s="208" t="s">
        <v>99</v>
      </c>
      <c r="C89" s="209">
        <v>1000</v>
      </c>
      <c r="D89" s="210">
        <f>ROUND('Lighting RD'!K88,2)</f>
        <v>6.74</v>
      </c>
      <c r="E89" s="214" t="str">
        <f t="shared" si="8"/>
        <v>Sheet No. 129-F</v>
      </c>
    </row>
    <row r="90" spans="1:5" x14ac:dyDescent="0.2">
      <c r="A90" s="203">
        <f t="shared" si="7"/>
        <v>83</v>
      </c>
      <c r="B90" s="217"/>
      <c r="C90" s="209"/>
      <c r="D90" s="210"/>
      <c r="E90" s="213"/>
    </row>
    <row r="91" spans="1:5" x14ac:dyDescent="0.2">
      <c r="A91" s="203">
        <f t="shared" si="7"/>
        <v>84</v>
      </c>
      <c r="B91" s="208" t="s">
        <v>98</v>
      </c>
      <c r="C91" s="216" t="s">
        <v>73</v>
      </c>
      <c r="D91" s="210">
        <f>ROUND('Lighting RD'!K90,2)</f>
        <v>0.12</v>
      </c>
      <c r="E91" s="214" t="str">
        <f t="shared" ref="E91:E100" si="9">$E$18</f>
        <v>Sheet No. 129-D</v>
      </c>
    </row>
    <row r="92" spans="1:5" x14ac:dyDescent="0.2">
      <c r="A92" s="203">
        <f t="shared" si="7"/>
        <v>85</v>
      </c>
      <c r="B92" s="208" t="s">
        <v>98</v>
      </c>
      <c r="C92" s="216" t="s">
        <v>44</v>
      </c>
      <c r="D92" s="210">
        <f>ROUND('Lighting RD'!K91,2)</f>
        <v>0.3</v>
      </c>
      <c r="E92" s="214" t="str">
        <f t="shared" si="9"/>
        <v>Sheet No. 129-D</v>
      </c>
    </row>
    <row r="93" spans="1:5" x14ac:dyDescent="0.2">
      <c r="A93" s="203">
        <f t="shared" si="7"/>
        <v>86</v>
      </c>
      <c r="B93" s="208" t="s">
        <v>98</v>
      </c>
      <c r="C93" s="209" t="s">
        <v>43</v>
      </c>
      <c r="D93" s="210">
        <f>ROUND('Lighting RD'!K92,2)</f>
        <v>0.5</v>
      </c>
      <c r="E93" s="214" t="str">
        <f t="shared" si="9"/>
        <v>Sheet No. 129-D</v>
      </c>
    </row>
    <row r="94" spans="1:5" x14ac:dyDescent="0.2">
      <c r="A94" s="203">
        <f t="shared" si="7"/>
        <v>87</v>
      </c>
      <c r="B94" s="208" t="s">
        <v>98</v>
      </c>
      <c r="C94" s="209" t="s">
        <v>42</v>
      </c>
      <c r="D94" s="210">
        <f>ROUND('Lighting RD'!K93,2)</f>
        <v>0.72</v>
      </c>
      <c r="E94" s="214" t="str">
        <f t="shared" si="9"/>
        <v>Sheet No. 129-D</v>
      </c>
    </row>
    <row r="95" spans="1:5" x14ac:dyDescent="0.2">
      <c r="A95" s="203">
        <f t="shared" si="7"/>
        <v>88</v>
      </c>
      <c r="B95" s="208" t="s">
        <v>98</v>
      </c>
      <c r="C95" s="209" t="s">
        <v>41</v>
      </c>
      <c r="D95" s="210">
        <f>ROUND('Lighting RD'!K94,2)</f>
        <v>0.82</v>
      </c>
      <c r="E95" s="214" t="str">
        <f t="shared" si="9"/>
        <v>Sheet No. 129-D</v>
      </c>
    </row>
    <row r="96" spans="1:5" x14ac:dyDescent="0.2">
      <c r="A96" s="203">
        <f t="shared" si="7"/>
        <v>89</v>
      </c>
      <c r="B96" s="208" t="s">
        <v>98</v>
      </c>
      <c r="C96" s="209" t="s">
        <v>40</v>
      </c>
      <c r="D96" s="210">
        <f>ROUND('Lighting RD'!K95,2)</f>
        <v>1.2</v>
      </c>
      <c r="E96" s="214" t="str">
        <f t="shared" si="9"/>
        <v>Sheet No. 129-D</v>
      </c>
    </row>
    <row r="97" spans="1:5" x14ac:dyDescent="0.2">
      <c r="A97" s="203">
        <f t="shared" si="7"/>
        <v>90</v>
      </c>
      <c r="B97" s="208" t="s">
        <v>98</v>
      </c>
      <c r="C97" s="209" t="s">
        <v>39</v>
      </c>
      <c r="D97" s="210">
        <f>ROUND('Lighting RD'!K96,2)</f>
        <v>1.31</v>
      </c>
      <c r="E97" s="214" t="str">
        <f t="shared" si="9"/>
        <v>Sheet No. 129-D</v>
      </c>
    </row>
    <row r="98" spans="1:5" x14ac:dyDescent="0.2">
      <c r="A98" s="203">
        <f t="shared" si="7"/>
        <v>91</v>
      </c>
      <c r="B98" s="208" t="s">
        <v>98</v>
      </c>
      <c r="C98" s="209" t="s">
        <v>38</v>
      </c>
      <c r="D98" s="210">
        <f>ROUND('Lighting RD'!K97,2)</f>
        <v>1.41</v>
      </c>
      <c r="E98" s="214" t="str">
        <f t="shared" si="9"/>
        <v>Sheet No. 129-D</v>
      </c>
    </row>
    <row r="99" spans="1:5" x14ac:dyDescent="0.2">
      <c r="A99" s="203">
        <f t="shared" si="7"/>
        <v>92</v>
      </c>
      <c r="B99" s="208" t="s">
        <v>98</v>
      </c>
      <c r="C99" s="209" t="s">
        <v>37</v>
      </c>
      <c r="D99" s="210">
        <f>ROUND('Lighting RD'!K98,2)</f>
        <v>1.72</v>
      </c>
      <c r="E99" s="214" t="str">
        <f t="shared" si="9"/>
        <v>Sheet No. 129-D</v>
      </c>
    </row>
    <row r="100" spans="1:5" x14ac:dyDescent="0.2">
      <c r="A100" s="203">
        <f t="shared" si="7"/>
        <v>93</v>
      </c>
      <c r="B100" s="208" t="s">
        <v>98</v>
      </c>
      <c r="C100" s="209" t="s">
        <v>36</v>
      </c>
      <c r="D100" s="210">
        <f>ROUND('Lighting RD'!K99,2)</f>
        <v>1.82</v>
      </c>
      <c r="E100" s="214" t="str">
        <f t="shared" si="9"/>
        <v>Sheet No. 129-D</v>
      </c>
    </row>
    <row r="101" spans="1:5" x14ac:dyDescent="0.2">
      <c r="A101" s="203">
        <f t="shared" si="7"/>
        <v>94</v>
      </c>
      <c r="B101" s="217"/>
      <c r="C101" s="209"/>
      <c r="D101" s="210"/>
      <c r="E101" s="213"/>
    </row>
    <row r="102" spans="1:5" ht="13.5" x14ac:dyDescent="0.35">
      <c r="A102" s="203">
        <f t="shared" si="7"/>
        <v>95</v>
      </c>
      <c r="B102" s="206" t="s">
        <v>97</v>
      </c>
      <c r="C102" s="209"/>
      <c r="D102" s="210"/>
      <c r="E102" s="213"/>
    </row>
    <row r="103" spans="1:5" x14ac:dyDescent="0.2">
      <c r="A103" s="203">
        <f t="shared" si="7"/>
        <v>96</v>
      </c>
      <c r="B103" s="208" t="s">
        <v>96</v>
      </c>
      <c r="C103" s="209">
        <v>70</v>
      </c>
      <c r="D103" s="210">
        <f>ROUND('Lighting RD'!K102,2)</f>
        <v>0.74</v>
      </c>
      <c r="E103" s="211" t="s">
        <v>146</v>
      </c>
    </row>
    <row r="104" spans="1:5" x14ac:dyDescent="0.2">
      <c r="A104" s="203">
        <f t="shared" si="7"/>
        <v>97</v>
      </c>
      <c r="B104" s="208" t="s">
        <v>96</v>
      </c>
      <c r="C104" s="209">
        <v>100</v>
      </c>
      <c r="D104" s="210">
        <f>ROUND('Lighting RD'!K103,2)</f>
        <v>0.94</v>
      </c>
      <c r="E104" s="214" t="str">
        <f>$E$103</f>
        <v>Sheet No. 129-G</v>
      </c>
    </row>
    <row r="105" spans="1:5" x14ac:dyDescent="0.2">
      <c r="A105" s="203">
        <f t="shared" ref="A105:A136" si="10">A104+1</f>
        <v>98</v>
      </c>
      <c r="B105" s="208" t="s">
        <v>96</v>
      </c>
      <c r="C105" s="209">
        <v>150</v>
      </c>
      <c r="D105" s="210">
        <f>ROUND('Lighting RD'!K104,2)</f>
        <v>1.1100000000000001</v>
      </c>
      <c r="E105" s="214" t="str">
        <f>$E$103</f>
        <v>Sheet No. 129-G</v>
      </c>
    </row>
    <row r="106" spans="1:5" x14ac:dyDescent="0.2">
      <c r="A106" s="203">
        <f t="shared" si="10"/>
        <v>99</v>
      </c>
      <c r="B106" s="208" t="s">
        <v>96</v>
      </c>
      <c r="C106" s="209">
        <v>200</v>
      </c>
      <c r="D106" s="210">
        <f>ROUND('Lighting RD'!K105,2)</f>
        <v>1.57</v>
      </c>
      <c r="E106" s="214" t="str">
        <f>$E$103</f>
        <v>Sheet No. 129-G</v>
      </c>
    </row>
    <row r="107" spans="1:5" x14ac:dyDescent="0.2">
      <c r="A107" s="203">
        <f t="shared" si="10"/>
        <v>100</v>
      </c>
      <c r="B107" s="208" t="s">
        <v>96</v>
      </c>
      <c r="C107" s="209">
        <v>250</v>
      </c>
      <c r="D107" s="210">
        <f>ROUND('Lighting RD'!K106,2)</f>
        <v>1.96</v>
      </c>
      <c r="E107" s="214" t="str">
        <f>$E$103</f>
        <v>Sheet No. 129-G</v>
      </c>
    </row>
    <row r="108" spans="1:5" x14ac:dyDescent="0.2">
      <c r="A108" s="203">
        <f t="shared" si="10"/>
        <v>101</v>
      </c>
      <c r="B108" s="208" t="s">
        <v>96</v>
      </c>
      <c r="C108" s="209">
        <v>400</v>
      </c>
      <c r="D108" s="210">
        <f>ROUND('Lighting RD'!K107,2)</f>
        <v>2.92</v>
      </c>
      <c r="E108" s="214" t="str">
        <f>$E$103</f>
        <v>Sheet No. 129-G</v>
      </c>
    </row>
    <row r="109" spans="1:5" x14ac:dyDescent="0.2">
      <c r="A109" s="203">
        <f t="shared" si="10"/>
        <v>102</v>
      </c>
      <c r="B109" s="217"/>
      <c r="C109" s="209"/>
      <c r="D109" s="210"/>
      <c r="E109" s="213"/>
    </row>
    <row r="110" spans="1:5" x14ac:dyDescent="0.2">
      <c r="A110" s="203">
        <f t="shared" si="10"/>
        <v>103</v>
      </c>
      <c r="B110" s="208" t="s">
        <v>95</v>
      </c>
      <c r="C110" s="209">
        <v>250</v>
      </c>
      <c r="D110" s="210">
        <f>ROUND('Lighting RD'!K109,2)</f>
        <v>1.96</v>
      </c>
      <c r="E110" s="214" t="str">
        <f>$E$103</f>
        <v>Sheet No. 129-G</v>
      </c>
    </row>
    <row r="111" spans="1:5" x14ac:dyDescent="0.2">
      <c r="A111" s="203">
        <f t="shared" si="10"/>
        <v>104</v>
      </c>
      <c r="B111" s="217"/>
      <c r="C111" s="209"/>
      <c r="D111" s="210"/>
      <c r="E111" s="213"/>
    </row>
    <row r="112" spans="1:5" x14ac:dyDescent="0.2">
      <c r="A112" s="203">
        <f t="shared" si="10"/>
        <v>105</v>
      </c>
      <c r="B112" s="208" t="s">
        <v>94</v>
      </c>
      <c r="C112" s="205" t="s">
        <v>72</v>
      </c>
      <c r="D112" s="210">
        <f>ROUND('Lighting RD'!K111,2)</f>
        <v>0.35</v>
      </c>
      <c r="E112" s="214" t="str">
        <f t="shared" ref="E112:E121" si="11">$E$103</f>
        <v>Sheet No. 129-G</v>
      </c>
    </row>
    <row r="113" spans="1:5" x14ac:dyDescent="0.2">
      <c r="A113" s="203">
        <f t="shared" si="10"/>
        <v>106</v>
      </c>
      <c r="B113" s="208" t="s">
        <v>94</v>
      </c>
      <c r="C113" s="216" t="s">
        <v>44</v>
      </c>
      <c r="D113" s="210">
        <f>ROUND('Lighting RD'!K112,2)</f>
        <v>0.53</v>
      </c>
      <c r="E113" s="214" t="str">
        <f t="shared" si="11"/>
        <v>Sheet No. 129-G</v>
      </c>
    </row>
    <row r="114" spans="1:5" x14ac:dyDescent="0.2">
      <c r="A114" s="203">
        <f t="shared" si="10"/>
        <v>107</v>
      </c>
      <c r="B114" s="208" t="s">
        <v>94</v>
      </c>
      <c r="C114" s="209" t="s">
        <v>43</v>
      </c>
      <c r="D114" s="210">
        <f>ROUND('Lighting RD'!K113,2)</f>
        <v>0.75</v>
      </c>
      <c r="E114" s="214" t="str">
        <f t="shared" si="11"/>
        <v>Sheet No. 129-G</v>
      </c>
    </row>
    <row r="115" spans="1:5" x14ac:dyDescent="0.2">
      <c r="A115" s="203">
        <f t="shared" si="10"/>
        <v>108</v>
      </c>
      <c r="B115" s="208" t="s">
        <v>94</v>
      </c>
      <c r="C115" s="209" t="s">
        <v>42</v>
      </c>
      <c r="D115" s="210">
        <f>ROUND('Lighting RD'!K114,2)</f>
        <v>0.95</v>
      </c>
      <c r="E115" s="214" t="str">
        <f t="shared" si="11"/>
        <v>Sheet No. 129-G</v>
      </c>
    </row>
    <row r="116" spans="1:5" x14ac:dyDescent="0.2">
      <c r="A116" s="203">
        <f t="shared" si="10"/>
        <v>109</v>
      </c>
      <c r="B116" s="208" t="s">
        <v>94</v>
      </c>
      <c r="C116" s="209" t="s">
        <v>41</v>
      </c>
      <c r="D116" s="210">
        <f>ROUND('Lighting RD'!K115,2)</f>
        <v>1.06</v>
      </c>
      <c r="E116" s="214" t="str">
        <f t="shared" si="11"/>
        <v>Sheet No. 129-G</v>
      </c>
    </row>
    <row r="117" spans="1:5" x14ac:dyDescent="0.2">
      <c r="A117" s="203">
        <f t="shared" si="10"/>
        <v>110</v>
      </c>
      <c r="B117" s="208" t="s">
        <v>94</v>
      </c>
      <c r="C117" s="209" t="s">
        <v>40</v>
      </c>
      <c r="D117" s="210">
        <f>ROUND('Lighting RD'!K116,2)</f>
        <v>1.46</v>
      </c>
      <c r="E117" s="214" t="str">
        <f t="shared" si="11"/>
        <v>Sheet No. 129-G</v>
      </c>
    </row>
    <row r="118" spans="1:5" x14ac:dyDescent="0.2">
      <c r="A118" s="203">
        <f t="shared" si="10"/>
        <v>111</v>
      </c>
      <c r="B118" s="208" t="s">
        <v>94</v>
      </c>
      <c r="C118" s="209" t="s">
        <v>39</v>
      </c>
      <c r="D118" s="210">
        <f>ROUND('Lighting RD'!K117,2)</f>
        <v>1.56</v>
      </c>
      <c r="E118" s="214" t="str">
        <f t="shared" si="11"/>
        <v>Sheet No. 129-G</v>
      </c>
    </row>
    <row r="119" spans="1:5" x14ac:dyDescent="0.2">
      <c r="A119" s="203">
        <f t="shared" si="10"/>
        <v>112</v>
      </c>
      <c r="B119" s="208" t="s">
        <v>94</v>
      </c>
      <c r="C119" s="209" t="s">
        <v>38</v>
      </c>
      <c r="D119" s="210">
        <f>ROUND('Lighting RD'!K118,2)</f>
        <v>1.66</v>
      </c>
      <c r="E119" s="214" t="str">
        <f t="shared" si="11"/>
        <v>Sheet No. 129-G</v>
      </c>
    </row>
    <row r="120" spans="1:5" x14ac:dyDescent="0.2">
      <c r="A120" s="203">
        <f t="shared" si="10"/>
        <v>113</v>
      </c>
      <c r="B120" s="208" t="s">
        <v>94</v>
      </c>
      <c r="C120" s="209" t="s">
        <v>37</v>
      </c>
      <c r="D120" s="210">
        <f>ROUND('Lighting RD'!K119,2)</f>
        <v>1.98</v>
      </c>
      <c r="E120" s="214" t="str">
        <f t="shared" si="11"/>
        <v>Sheet No. 129-G</v>
      </c>
    </row>
    <row r="121" spans="1:5" x14ac:dyDescent="0.2">
      <c r="A121" s="203">
        <f t="shared" si="10"/>
        <v>114</v>
      </c>
      <c r="B121" s="208" t="s">
        <v>94</v>
      </c>
      <c r="C121" s="209" t="s">
        <v>36</v>
      </c>
      <c r="D121" s="210">
        <f>ROUND('Lighting RD'!K120,2)</f>
        <v>2.08</v>
      </c>
      <c r="E121" s="214" t="str">
        <f t="shared" si="11"/>
        <v>Sheet No. 129-G</v>
      </c>
    </row>
    <row r="122" spans="1:5" x14ac:dyDescent="0.2">
      <c r="A122" s="203">
        <f t="shared" si="10"/>
        <v>115</v>
      </c>
      <c r="B122" s="217"/>
      <c r="C122" s="209"/>
      <c r="D122" s="210"/>
      <c r="E122" s="213"/>
    </row>
    <row r="123" spans="1:5" ht="13.5" x14ac:dyDescent="0.35">
      <c r="A123" s="203">
        <f t="shared" si="10"/>
        <v>116</v>
      </c>
      <c r="B123" s="206" t="s">
        <v>28</v>
      </c>
      <c r="C123" s="209"/>
      <c r="D123" s="210"/>
      <c r="E123" s="213"/>
    </row>
    <row r="124" spans="1:5" x14ac:dyDescent="0.2">
      <c r="A124" s="203">
        <f t="shared" si="10"/>
        <v>117</v>
      </c>
      <c r="B124" s="208" t="s">
        <v>27</v>
      </c>
      <c r="C124" s="209" t="s">
        <v>93</v>
      </c>
      <c r="D124" s="218">
        <f>ROUND('Lighting RD'!K123,5)</f>
        <v>8.7299999999999999E-3</v>
      </c>
      <c r="E124" s="214" t="str">
        <f>$E$103</f>
        <v>Sheet No. 129-G</v>
      </c>
    </row>
    <row r="125" spans="1:5" x14ac:dyDescent="0.2">
      <c r="A125" s="203">
        <f t="shared" si="10"/>
        <v>118</v>
      </c>
      <c r="B125" s="217"/>
      <c r="C125" s="209"/>
      <c r="D125" s="210"/>
      <c r="E125" s="213"/>
    </row>
    <row r="126" spans="1:5" ht="13.5" x14ac:dyDescent="0.35">
      <c r="A126" s="203">
        <f t="shared" si="10"/>
        <v>119</v>
      </c>
      <c r="B126" s="206" t="s">
        <v>49</v>
      </c>
      <c r="C126" s="209"/>
      <c r="D126" s="210"/>
      <c r="E126" s="213"/>
    </row>
    <row r="127" spans="1:5" x14ac:dyDescent="0.2">
      <c r="A127" s="203">
        <f t="shared" si="10"/>
        <v>120</v>
      </c>
      <c r="B127" s="208" t="s">
        <v>92</v>
      </c>
      <c r="C127" s="209">
        <v>70</v>
      </c>
      <c r="D127" s="210">
        <f>ROUND('Lighting RD'!K126,2)</f>
        <v>0.74</v>
      </c>
      <c r="E127" s="211" t="s">
        <v>147</v>
      </c>
    </row>
    <row r="128" spans="1:5" x14ac:dyDescent="0.2">
      <c r="A128" s="203">
        <f t="shared" si="10"/>
        <v>121</v>
      </c>
      <c r="B128" s="208" t="s">
        <v>92</v>
      </c>
      <c r="C128" s="209">
        <v>100</v>
      </c>
      <c r="D128" s="210">
        <f>ROUND('Lighting RD'!K127,2)</f>
        <v>0.94</v>
      </c>
      <c r="E128" s="214" t="str">
        <f>$E$127</f>
        <v>Sheet No. 129-H</v>
      </c>
    </row>
    <row r="129" spans="1:5" x14ac:dyDescent="0.2">
      <c r="A129" s="203">
        <f t="shared" si="10"/>
        <v>122</v>
      </c>
      <c r="B129" s="208" t="s">
        <v>92</v>
      </c>
      <c r="C129" s="209">
        <v>150</v>
      </c>
      <c r="D129" s="210">
        <f>ROUND('Lighting RD'!K128,2)</f>
        <v>1.1100000000000001</v>
      </c>
      <c r="E129" s="214" t="str">
        <f>$E$127</f>
        <v>Sheet No. 129-H</v>
      </c>
    </row>
    <row r="130" spans="1:5" x14ac:dyDescent="0.2">
      <c r="A130" s="203">
        <f t="shared" si="10"/>
        <v>123</v>
      </c>
      <c r="B130" s="208" t="s">
        <v>92</v>
      </c>
      <c r="C130" s="209">
        <v>200</v>
      </c>
      <c r="D130" s="210">
        <f>ROUND('Lighting RD'!K129,2)</f>
        <v>1.57</v>
      </c>
      <c r="E130" s="214" t="str">
        <f>$E$127</f>
        <v>Sheet No. 129-H</v>
      </c>
    </row>
    <row r="131" spans="1:5" x14ac:dyDescent="0.2">
      <c r="A131" s="203">
        <f t="shared" si="10"/>
        <v>124</v>
      </c>
      <c r="B131" s="208" t="s">
        <v>92</v>
      </c>
      <c r="C131" s="209">
        <v>250</v>
      </c>
      <c r="D131" s="210">
        <f>ROUND('Lighting RD'!K130,2)</f>
        <v>1.96</v>
      </c>
      <c r="E131" s="214" t="str">
        <f>$E$127</f>
        <v>Sheet No. 129-H</v>
      </c>
    </row>
    <row r="132" spans="1:5" x14ac:dyDescent="0.2">
      <c r="A132" s="203">
        <f t="shared" si="10"/>
        <v>125</v>
      </c>
      <c r="B132" s="208" t="s">
        <v>92</v>
      </c>
      <c r="C132" s="209">
        <v>400</v>
      </c>
      <c r="D132" s="210">
        <f>ROUND('Lighting RD'!K131,2)</f>
        <v>2.92</v>
      </c>
      <c r="E132" s="214" t="str">
        <f>$E$127</f>
        <v>Sheet No. 129-H</v>
      </c>
    </row>
    <row r="133" spans="1:5" x14ac:dyDescent="0.2">
      <c r="A133" s="203">
        <f t="shared" si="10"/>
        <v>126</v>
      </c>
      <c r="B133" s="217"/>
      <c r="C133" s="209"/>
      <c r="D133" s="210"/>
      <c r="E133" s="213"/>
    </row>
    <row r="134" spans="1:5" x14ac:dyDescent="0.2">
      <c r="A134" s="203">
        <f t="shared" si="10"/>
        <v>127</v>
      </c>
      <c r="B134" s="208" t="s">
        <v>91</v>
      </c>
      <c r="C134" s="209">
        <v>100</v>
      </c>
      <c r="D134" s="210">
        <f>ROUND('Lighting RD'!K133,2)</f>
        <v>0.94</v>
      </c>
      <c r="E134" s="214" t="str">
        <f>$E$127</f>
        <v>Sheet No. 129-H</v>
      </c>
    </row>
    <row r="135" spans="1:5" x14ac:dyDescent="0.2">
      <c r="A135" s="203">
        <f t="shared" si="10"/>
        <v>128</v>
      </c>
      <c r="B135" s="208" t="s">
        <v>91</v>
      </c>
      <c r="C135" s="209">
        <v>150</v>
      </c>
      <c r="D135" s="210">
        <f>ROUND('Lighting RD'!K134,2)</f>
        <v>1.1100000000000001</v>
      </c>
      <c r="E135" s="214" t="str">
        <f>$E$127</f>
        <v>Sheet No. 129-H</v>
      </c>
    </row>
    <row r="136" spans="1:5" x14ac:dyDescent="0.2">
      <c r="A136" s="203">
        <f t="shared" si="10"/>
        <v>129</v>
      </c>
      <c r="B136" s="208" t="s">
        <v>91</v>
      </c>
      <c r="C136" s="209">
        <v>200</v>
      </c>
      <c r="D136" s="210">
        <f>ROUND('Lighting RD'!K135,2)</f>
        <v>1.57</v>
      </c>
      <c r="E136" s="214" t="str">
        <f>$E$127</f>
        <v>Sheet No. 129-H</v>
      </c>
    </row>
    <row r="137" spans="1:5" x14ac:dyDescent="0.2">
      <c r="A137" s="203">
        <f t="shared" ref="A137:A163" si="12">A136+1</f>
        <v>130</v>
      </c>
      <c r="B137" s="208" t="s">
        <v>91</v>
      </c>
      <c r="C137" s="209">
        <v>250</v>
      </c>
      <c r="D137" s="210">
        <f>ROUND('Lighting RD'!K136,2)</f>
        <v>1.96</v>
      </c>
      <c r="E137" s="214" t="str">
        <f>$E$127</f>
        <v>Sheet No. 129-H</v>
      </c>
    </row>
    <row r="138" spans="1:5" x14ac:dyDescent="0.2">
      <c r="A138" s="203">
        <f t="shared" si="12"/>
        <v>131</v>
      </c>
      <c r="B138" s="208" t="s">
        <v>91</v>
      </c>
      <c r="C138" s="209">
        <v>400</v>
      </c>
      <c r="D138" s="210">
        <f>ROUND('Lighting RD'!K137,2)</f>
        <v>2.92</v>
      </c>
      <c r="E138" s="214" t="str">
        <f>$E$127</f>
        <v>Sheet No. 129-H</v>
      </c>
    </row>
    <row r="139" spans="1:5" x14ac:dyDescent="0.2">
      <c r="A139" s="203">
        <f t="shared" si="12"/>
        <v>132</v>
      </c>
      <c r="B139" s="217"/>
      <c r="C139" s="209"/>
      <c r="D139" s="210"/>
      <c r="E139" s="213"/>
    </row>
    <row r="140" spans="1:5" x14ac:dyDescent="0.2">
      <c r="A140" s="203">
        <f t="shared" si="12"/>
        <v>133</v>
      </c>
      <c r="B140" s="208" t="s">
        <v>90</v>
      </c>
      <c r="C140" s="209">
        <v>175</v>
      </c>
      <c r="D140" s="210">
        <f>ROUND('Lighting RD'!K139,2)</f>
        <v>1.49</v>
      </c>
      <c r="E140" s="214" t="str">
        <f>$E$127</f>
        <v>Sheet No. 129-H</v>
      </c>
    </row>
    <row r="141" spans="1:5" x14ac:dyDescent="0.2">
      <c r="A141" s="203">
        <f t="shared" si="12"/>
        <v>134</v>
      </c>
      <c r="B141" s="208" t="s">
        <v>90</v>
      </c>
      <c r="C141" s="209">
        <v>250</v>
      </c>
      <c r="D141" s="210">
        <f>ROUND('Lighting RD'!K140,2)</f>
        <v>1.96</v>
      </c>
      <c r="E141" s="214" t="str">
        <f>$E$127</f>
        <v>Sheet No. 129-H</v>
      </c>
    </row>
    <row r="142" spans="1:5" x14ac:dyDescent="0.2">
      <c r="A142" s="203">
        <f t="shared" si="12"/>
        <v>135</v>
      </c>
      <c r="B142" s="208" t="s">
        <v>90</v>
      </c>
      <c r="C142" s="209">
        <v>400</v>
      </c>
      <c r="D142" s="210">
        <f>ROUND('Lighting RD'!K141,2)</f>
        <v>2.92</v>
      </c>
      <c r="E142" s="214" t="str">
        <f>$E$127</f>
        <v>Sheet No. 129-H</v>
      </c>
    </row>
    <row r="143" spans="1:5" x14ac:dyDescent="0.2">
      <c r="A143" s="203">
        <f t="shared" si="12"/>
        <v>136</v>
      </c>
      <c r="B143" s="208" t="s">
        <v>90</v>
      </c>
      <c r="C143" s="209">
        <v>1000</v>
      </c>
      <c r="D143" s="210">
        <f>ROUND('Lighting RD'!K142,2)</f>
        <v>7.04</v>
      </c>
      <c r="E143" s="214" t="str">
        <f>$E$127</f>
        <v>Sheet No. 129-H</v>
      </c>
    </row>
    <row r="144" spans="1:5" x14ac:dyDescent="0.2">
      <c r="A144" s="203">
        <f t="shared" si="12"/>
        <v>137</v>
      </c>
      <c r="B144" s="217"/>
      <c r="C144" s="209"/>
      <c r="D144" s="210"/>
      <c r="E144" s="213"/>
    </row>
    <row r="145" spans="1:5" x14ac:dyDescent="0.2">
      <c r="A145" s="203">
        <f t="shared" si="12"/>
        <v>138</v>
      </c>
      <c r="B145" s="208" t="s">
        <v>89</v>
      </c>
      <c r="C145" s="209">
        <v>250</v>
      </c>
      <c r="D145" s="210">
        <f>ROUND('Lighting RD'!K144,2)</f>
        <v>1.96</v>
      </c>
      <c r="E145" s="214" t="str">
        <f>$E$127</f>
        <v>Sheet No. 129-H</v>
      </c>
    </row>
    <row r="146" spans="1:5" x14ac:dyDescent="0.2">
      <c r="A146" s="203">
        <f t="shared" si="12"/>
        <v>139</v>
      </c>
      <c r="B146" s="208" t="s">
        <v>89</v>
      </c>
      <c r="C146" s="209">
        <v>400</v>
      </c>
      <c r="D146" s="210">
        <f>ROUND('Lighting RD'!K145,2)</f>
        <v>2.92</v>
      </c>
      <c r="E146" s="214" t="str">
        <f>$E$127</f>
        <v>Sheet No. 129-H</v>
      </c>
    </row>
    <row r="147" spans="1:5" x14ac:dyDescent="0.2">
      <c r="A147" s="203">
        <f t="shared" si="12"/>
        <v>140</v>
      </c>
      <c r="B147" s="217"/>
      <c r="C147" s="209"/>
      <c r="D147" s="210"/>
      <c r="E147" s="213"/>
    </row>
    <row r="148" spans="1:5" x14ac:dyDescent="0.2">
      <c r="A148" s="203">
        <f t="shared" si="12"/>
        <v>141</v>
      </c>
      <c r="B148" s="208" t="s">
        <v>88</v>
      </c>
      <c r="C148" s="205" t="s">
        <v>72</v>
      </c>
      <c r="D148" s="210">
        <f>ROUND('Lighting RD'!K147,2)</f>
        <v>0.35</v>
      </c>
      <c r="E148" s="211" t="s">
        <v>148</v>
      </c>
    </row>
    <row r="149" spans="1:5" x14ac:dyDescent="0.2">
      <c r="A149" s="203">
        <f t="shared" si="12"/>
        <v>142</v>
      </c>
      <c r="B149" s="208" t="s">
        <v>88</v>
      </c>
      <c r="C149" s="216" t="s">
        <v>71</v>
      </c>
      <c r="D149" s="210">
        <f>ROUND('Lighting RD'!K148,2)</f>
        <v>0.53</v>
      </c>
      <c r="E149" s="214" t="str">
        <f t="shared" ref="E149:E163" si="13">$E$148</f>
        <v>Sheet No. 129-I</v>
      </c>
    </row>
    <row r="150" spans="1:5" x14ac:dyDescent="0.2">
      <c r="A150" s="203">
        <f t="shared" si="12"/>
        <v>143</v>
      </c>
      <c r="B150" s="208" t="s">
        <v>88</v>
      </c>
      <c r="C150" s="209" t="s">
        <v>43</v>
      </c>
      <c r="D150" s="210">
        <f>ROUND('Lighting RD'!K149,2)</f>
        <v>0.75</v>
      </c>
      <c r="E150" s="214" t="str">
        <f t="shared" si="13"/>
        <v>Sheet No. 129-I</v>
      </c>
    </row>
    <row r="151" spans="1:5" x14ac:dyDescent="0.2">
      <c r="A151" s="203">
        <f t="shared" si="12"/>
        <v>144</v>
      </c>
      <c r="B151" s="208" t="s">
        <v>88</v>
      </c>
      <c r="C151" s="209" t="s">
        <v>42</v>
      </c>
      <c r="D151" s="210">
        <f>ROUND('Lighting RD'!K150,2)</f>
        <v>0.95</v>
      </c>
      <c r="E151" s="214" t="str">
        <f t="shared" si="13"/>
        <v>Sheet No. 129-I</v>
      </c>
    </row>
    <row r="152" spans="1:5" x14ac:dyDescent="0.2">
      <c r="A152" s="203">
        <f t="shared" si="12"/>
        <v>145</v>
      </c>
      <c r="B152" s="208" t="s">
        <v>88</v>
      </c>
      <c r="C152" s="209" t="s">
        <v>41</v>
      </c>
      <c r="D152" s="210">
        <f>ROUND('Lighting RD'!K151,2)</f>
        <v>1.06</v>
      </c>
      <c r="E152" s="214" t="str">
        <f t="shared" si="13"/>
        <v>Sheet No. 129-I</v>
      </c>
    </row>
    <row r="153" spans="1:5" x14ac:dyDescent="0.2">
      <c r="A153" s="203">
        <f t="shared" si="12"/>
        <v>146</v>
      </c>
      <c r="B153" s="208" t="s">
        <v>88</v>
      </c>
      <c r="C153" s="209" t="s">
        <v>40</v>
      </c>
      <c r="D153" s="210">
        <f>ROUND('Lighting RD'!K152,2)</f>
        <v>1.46</v>
      </c>
      <c r="E153" s="214" t="str">
        <f t="shared" si="13"/>
        <v>Sheet No. 129-I</v>
      </c>
    </row>
    <row r="154" spans="1:5" x14ac:dyDescent="0.2">
      <c r="A154" s="203">
        <f t="shared" si="12"/>
        <v>147</v>
      </c>
      <c r="B154" s="208" t="s">
        <v>88</v>
      </c>
      <c r="C154" s="209" t="s">
        <v>39</v>
      </c>
      <c r="D154" s="210">
        <f>ROUND('Lighting RD'!K153,2)</f>
        <v>1.56</v>
      </c>
      <c r="E154" s="214" t="str">
        <f t="shared" si="13"/>
        <v>Sheet No. 129-I</v>
      </c>
    </row>
    <row r="155" spans="1:5" x14ac:dyDescent="0.2">
      <c r="A155" s="203">
        <f t="shared" si="12"/>
        <v>148</v>
      </c>
      <c r="B155" s="208" t="s">
        <v>88</v>
      </c>
      <c r="C155" s="209" t="s">
        <v>38</v>
      </c>
      <c r="D155" s="210">
        <f>ROUND('Lighting RD'!K154,2)</f>
        <v>1.66</v>
      </c>
      <c r="E155" s="214" t="str">
        <f t="shared" si="13"/>
        <v>Sheet No. 129-I</v>
      </c>
    </row>
    <row r="156" spans="1:5" x14ac:dyDescent="0.2">
      <c r="A156" s="203">
        <f t="shared" si="12"/>
        <v>149</v>
      </c>
      <c r="B156" s="208" t="s">
        <v>88</v>
      </c>
      <c r="C156" s="209" t="s">
        <v>37</v>
      </c>
      <c r="D156" s="210">
        <f>ROUND('Lighting RD'!K155,2)</f>
        <v>1.98</v>
      </c>
      <c r="E156" s="214" t="str">
        <f t="shared" si="13"/>
        <v>Sheet No. 129-I</v>
      </c>
    </row>
    <row r="157" spans="1:5" x14ac:dyDescent="0.2">
      <c r="A157" s="203">
        <f t="shared" si="12"/>
        <v>150</v>
      </c>
      <c r="B157" s="208" t="s">
        <v>88</v>
      </c>
      <c r="C157" s="209" t="s">
        <v>36</v>
      </c>
      <c r="D157" s="210">
        <f>ROUND('Lighting RD'!K156,2)</f>
        <v>2.08</v>
      </c>
      <c r="E157" s="214" t="str">
        <f t="shared" si="13"/>
        <v>Sheet No. 129-I</v>
      </c>
    </row>
    <row r="158" spans="1:5" x14ac:dyDescent="0.2">
      <c r="A158" s="203">
        <f t="shared" si="12"/>
        <v>151</v>
      </c>
      <c r="B158" s="208" t="s">
        <v>88</v>
      </c>
      <c r="C158" s="209" t="s">
        <v>35</v>
      </c>
      <c r="D158" s="210">
        <f>ROUND('Lighting RD'!K157,2)</f>
        <v>2.75</v>
      </c>
      <c r="E158" s="214" t="str">
        <f t="shared" si="13"/>
        <v>Sheet No. 129-I</v>
      </c>
    </row>
    <row r="159" spans="1:5" x14ac:dyDescent="0.2">
      <c r="A159" s="203">
        <f t="shared" si="12"/>
        <v>152</v>
      </c>
      <c r="B159" s="208" t="s">
        <v>88</v>
      </c>
      <c r="C159" s="209" t="s">
        <v>34</v>
      </c>
      <c r="D159" s="210">
        <f>ROUND('Lighting RD'!K158,2)</f>
        <v>3.09</v>
      </c>
      <c r="E159" s="214" t="str">
        <f t="shared" si="13"/>
        <v>Sheet No. 129-I</v>
      </c>
    </row>
    <row r="160" spans="1:5" x14ac:dyDescent="0.2">
      <c r="A160" s="203">
        <f t="shared" si="12"/>
        <v>153</v>
      </c>
      <c r="B160" s="208" t="s">
        <v>88</v>
      </c>
      <c r="C160" s="209" t="s">
        <v>33</v>
      </c>
      <c r="D160" s="210">
        <f>ROUND('Lighting RD'!K159,2)</f>
        <v>3.42</v>
      </c>
      <c r="E160" s="214" t="str">
        <f t="shared" si="13"/>
        <v>Sheet No. 129-I</v>
      </c>
    </row>
    <row r="161" spans="1:5" x14ac:dyDescent="0.2">
      <c r="A161" s="203">
        <f t="shared" si="12"/>
        <v>154</v>
      </c>
      <c r="B161" s="208" t="s">
        <v>88</v>
      </c>
      <c r="C161" s="209" t="s">
        <v>32</v>
      </c>
      <c r="D161" s="210">
        <f>ROUND('Lighting RD'!K160,2)</f>
        <v>5.86</v>
      </c>
      <c r="E161" s="214" t="str">
        <f t="shared" si="13"/>
        <v>Sheet No. 129-I</v>
      </c>
    </row>
    <row r="162" spans="1:5" x14ac:dyDescent="0.2">
      <c r="A162" s="203">
        <f t="shared" si="12"/>
        <v>155</v>
      </c>
      <c r="B162" s="208" t="s">
        <v>88</v>
      </c>
      <c r="C162" s="209" t="s">
        <v>31</v>
      </c>
      <c r="D162" s="210">
        <f>ROUND('Lighting RD'!K161,2)</f>
        <v>6.2</v>
      </c>
      <c r="E162" s="214" t="str">
        <f t="shared" si="13"/>
        <v>Sheet No. 129-I</v>
      </c>
    </row>
    <row r="163" spans="1:5" x14ac:dyDescent="0.2">
      <c r="A163" s="203">
        <f t="shared" si="12"/>
        <v>156</v>
      </c>
      <c r="B163" s="208" t="s">
        <v>88</v>
      </c>
      <c r="C163" s="209" t="s">
        <v>29</v>
      </c>
      <c r="D163" s="210">
        <f>ROUND('Lighting RD'!K162,2)</f>
        <v>6.54</v>
      </c>
      <c r="E163" s="214" t="str">
        <f t="shared" si="13"/>
        <v>Sheet No. 129-I</v>
      </c>
    </row>
    <row r="164" spans="1:5" x14ac:dyDescent="0.2">
      <c r="A164" s="203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8"/>
  <sheetViews>
    <sheetView zoomScaleNormal="100" zoomScaleSheetLayoutView="100" workbookViewId="0">
      <pane ySplit="7" topLeftCell="A20" activePane="bottomLeft" state="frozen"/>
      <selection activeCell="B18" sqref="B18"/>
      <selection pane="bottomLeft" activeCell="B18" sqref="B18"/>
    </sheetView>
  </sheetViews>
  <sheetFormatPr defaultColWidth="9.140625" defaultRowHeight="11.25" x14ac:dyDescent="0.2"/>
  <cols>
    <col min="1" max="1" width="6.7109375" style="10" bestFit="1" customWidth="1"/>
    <col min="2" max="2" width="44" style="10" bestFit="1" customWidth="1"/>
    <col min="3" max="3" width="7.28515625" style="10" customWidth="1"/>
    <col min="4" max="4" width="7.7109375" style="4" customWidth="1"/>
    <col min="5" max="5" width="7.7109375" style="25" customWidth="1"/>
    <col min="6" max="6" width="8.28515625" style="25" customWidth="1"/>
    <col min="7" max="7" width="14" style="25" customWidth="1"/>
    <col min="8" max="8" width="9.42578125" style="25" bestFit="1" customWidth="1"/>
    <col min="9" max="9" width="9.42578125" style="10" customWidth="1"/>
    <col min="10" max="10" width="12.85546875" style="25" bestFit="1" customWidth="1"/>
    <col min="11" max="11" width="13.42578125" style="25" customWidth="1"/>
    <col min="12" max="12" width="11.28515625" style="10" bestFit="1" customWidth="1"/>
    <col min="13" max="13" width="7.7109375" style="10" bestFit="1" customWidth="1"/>
    <col min="14" max="14" width="10" style="152" bestFit="1" customWidth="1"/>
    <col min="15" max="15" width="12.28515625" style="10" bestFit="1" customWidth="1"/>
    <col min="16" max="16384" width="9.140625" style="10"/>
  </cols>
  <sheetData>
    <row r="1" spans="1:15" s="151" customFormat="1" x14ac:dyDescent="0.2">
      <c r="A1" s="3" t="str">
        <f>'Sch 129 Rates'!A1</f>
        <v>PUGET SOUND ENERGY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0"/>
    </row>
    <row r="2" spans="1:15" s="151" customFormat="1" x14ac:dyDescent="0.2">
      <c r="A2" s="3" t="str">
        <f>'Sch 129 Rates'!A2</f>
        <v xml:space="preserve">Schedule 129 - Low Income Program 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50"/>
    </row>
    <row r="3" spans="1:15" s="151" customFormat="1" x14ac:dyDescent="0.2">
      <c r="A3" s="3" t="str">
        <f>'Sch 129 Rates'!A3</f>
        <v xml:space="preserve">Proposed Additional Funding Filing 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50"/>
    </row>
    <row r="4" spans="1:15" s="151" customFormat="1" x14ac:dyDescent="0.2">
      <c r="A4" s="3" t="str">
        <f>'Sch 129 Rates'!A4</f>
        <v>Effective May 1, 2025 - September 30, 2025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50"/>
    </row>
    <row r="5" spans="1:15" s="16" customFormat="1" x14ac:dyDescent="0.2">
      <c r="A5" s="117" t="s">
        <v>126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0"/>
    </row>
    <row r="6" spans="1:15" s="16" customFormat="1" x14ac:dyDescent="0.2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52"/>
    </row>
    <row r="7" spans="1:15" s="120" customFormat="1" ht="56.25" x14ac:dyDescent="0.2">
      <c r="A7" s="5" t="s">
        <v>3</v>
      </c>
      <c r="B7" s="5" t="s">
        <v>19</v>
      </c>
      <c r="C7" s="153" t="s">
        <v>0</v>
      </c>
      <c r="D7" s="154"/>
      <c r="E7" s="154"/>
      <c r="F7" s="154"/>
      <c r="G7" s="74" t="str">
        <f>Inputs!B2&amp;" Forecast Energy (kWh) "&amp;TEXT(Inputs!B3,"mm/d/yy")&amp;"-"&amp;TEXT(Inputs!B4,"mm/d/yy")</f>
        <v>F2024 Forecast Energy (kWh) 05/1/25-09/30/25</v>
      </c>
      <c r="H7" s="81" t="s">
        <v>176</v>
      </c>
      <c r="I7" s="12" t="s">
        <v>177</v>
      </c>
      <c r="J7" s="54" t="s">
        <v>164</v>
      </c>
      <c r="K7" s="155" t="s">
        <v>165</v>
      </c>
      <c r="L7" s="81" t="s">
        <v>125</v>
      </c>
      <c r="M7" s="81"/>
      <c r="N7" s="156" t="s">
        <v>149</v>
      </c>
    </row>
    <row r="8" spans="1:15" s="39" customFormat="1" x14ac:dyDescent="0.2">
      <c r="A8" s="157"/>
      <c r="B8" s="157"/>
      <c r="C8" s="82" t="s">
        <v>21</v>
      </c>
      <c r="D8" s="82"/>
      <c r="E8" s="82"/>
      <c r="F8" s="82"/>
      <c r="G8" s="7" t="s">
        <v>86</v>
      </c>
      <c r="H8" s="82" t="s">
        <v>85</v>
      </c>
      <c r="I8" s="157" t="s">
        <v>84</v>
      </c>
      <c r="J8" s="55" t="s">
        <v>83</v>
      </c>
      <c r="K8" s="7" t="s">
        <v>157</v>
      </c>
      <c r="L8" s="157" t="s">
        <v>124</v>
      </c>
      <c r="M8" s="157" t="s">
        <v>123</v>
      </c>
      <c r="N8" s="152"/>
    </row>
    <row r="9" spans="1:15" x14ac:dyDescent="0.2">
      <c r="A9" s="158">
        <v>1</v>
      </c>
      <c r="C9" s="30" t="s">
        <v>21</v>
      </c>
      <c r="D9" s="159"/>
      <c r="E9" s="30"/>
      <c r="F9" s="30"/>
      <c r="H9" s="83" t="s">
        <v>21</v>
      </c>
      <c r="J9" s="56"/>
      <c r="O9" s="39"/>
    </row>
    <row r="10" spans="1:15" x14ac:dyDescent="0.2">
      <c r="A10" s="158">
        <f t="shared" ref="A10:A50" si="0">A9+1</f>
        <v>2</v>
      </c>
      <c r="B10" s="10" t="str">
        <f>'Sch 129 Rates'!B11</f>
        <v>Residential</v>
      </c>
      <c r="C10" s="160" t="str">
        <f>'Sch 129 Rates'!C11</f>
        <v>7 (307) (317) (327)</v>
      </c>
      <c r="D10" s="161"/>
      <c r="E10" s="160"/>
      <c r="F10" s="160"/>
      <c r="G10" s="75">
        <v>3783783095.5344672</v>
      </c>
      <c r="H10" s="84">
        <v>3.7529999999999998E-3</v>
      </c>
      <c r="I10" s="89">
        <f>H10+ROUND(+'Rate Spread &amp; Design'!F10,6)</f>
        <v>9.0259999999999993E-3</v>
      </c>
      <c r="J10" s="91">
        <v>611223418.4543364</v>
      </c>
      <c r="K10" s="162">
        <f>J10+G10*(I10-H10)</f>
        <v>631175306.71708965</v>
      </c>
      <c r="L10" s="162">
        <f>+K10-J10</f>
        <v>19951888.262753248</v>
      </c>
      <c r="M10" s="163">
        <f>IF(J10=0,"n/a",+L10/J10)</f>
        <v>3.264254552485512E-2</v>
      </c>
      <c r="N10" s="164">
        <f>I10-H10-ROUND('Rate Spread &amp; Design'!F10,6)</f>
        <v>0</v>
      </c>
      <c r="O10" s="39"/>
    </row>
    <row r="11" spans="1:15" x14ac:dyDescent="0.2">
      <c r="A11" s="158">
        <f t="shared" si="0"/>
        <v>3</v>
      </c>
      <c r="B11" s="44"/>
      <c r="C11" s="30" t="s">
        <v>21</v>
      </c>
      <c r="D11" s="159"/>
      <c r="E11" s="30"/>
      <c r="F11" s="30"/>
      <c r="G11" s="76"/>
      <c r="H11" s="85" t="s">
        <v>21</v>
      </c>
      <c r="I11" s="31"/>
      <c r="J11" s="56"/>
      <c r="K11" s="20"/>
      <c r="L11" s="20"/>
      <c r="M11" s="127"/>
      <c r="N11" s="164"/>
      <c r="O11" s="39"/>
    </row>
    <row r="12" spans="1:15" x14ac:dyDescent="0.2">
      <c r="A12" s="158">
        <f t="shared" si="0"/>
        <v>4</v>
      </c>
      <c r="B12" s="10" t="str">
        <f>'Sch 129 Rates'!B13</f>
        <v>Secondary Voltage:</v>
      </c>
      <c r="C12" s="30" t="s">
        <v>21</v>
      </c>
      <c r="D12" s="159"/>
      <c r="E12" s="30"/>
      <c r="F12" s="30"/>
      <c r="G12" s="76"/>
      <c r="H12" s="85" t="s">
        <v>21</v>
      </c>
      <c r="I12" s="31"/>
      <c r="J12" s="56" t="s">
        <v>21</v>
      </c>
      <c r="K12" s="20"/>
      <c r="L12" s="20"/>
      <c r="M12" s="127"/>
      <c r="N12" s="164"/>
      <c r="O12" s="39"/>
    </row>
    <row r="13" spans="1:15" x14ac:dyDescent="0.2">
      <c r="A13" s="158">
        <f t="shared" si="0"/>
        <v>5</v>
      </c>
      <c r="B13" s="10" t="str">
        <f>'Sch 129 Rates'!B14</f>
        <v>General Service: Demand &lt;= 50 kW</v>
      </c>
      <c r="C13" s="160" t="str">
        <f>'Sch 129 Rates'!C14</f>
        <v>08 (24) (324)</v>
      </c>
      <c r="D13" s="161"/>
      <c r="E13" s="160"/>
      <c r="F13" s="160"/>
      <c r="G13" s="76">
        <v>1058074622.8867624</v>
      </c>
      <c r="H13" s="86">
        <v>3.5349999999999999E-3</v>
      </c>
      <c r="I13" s="60">
        <f>H13+ROUND(+'Rate Spread &amp; Design'!F13,6)</f>
        <v>7.698E-3</v>
      </c>
      <c r="J13" s="92">
        <v>161201121.77157694</v>
      </c>
      <c r="K13" s="20">
        <f t="shared" ref="K13:K16" si="1">J13+G13*(I13-H13)</f>
        <v>165605886.42665452</v>
      </c>
      <c r="L13" s="20">
        <f t="shared" ref="L13:L16" si="2">+K13-J13</f>
        <v>4404764.6550775766</v>
      </c>
      <c r="M13" s="127">
        <f t="shared" ref="M13:M16" si="3">IF(J13=0,"n/a",+L13/J13)</f>
        <v>2.7324652624434943E-2</v>
      </c>
      <c r="N13" s="164">
        <f>I13-H13-ROUND('Rate Spread &amp; Design'!F13,6)</f>
        <v>0</v>
      </c>
      <c r="O13" s="39"/>
    </row>
    <row r="14" spans="1:15" x14ac:dyDescent="0.2">
      <c r="A14" s="158">
        <f t="shared" si="0"/>
        <v>6</v>
      </c>
      <c r="B14" s="10" t="str">
        <f>'Sch 129 Rates'!B15</f>
        <v>Small General Service: Demand &gt; 50 kW but &lt;= 350 kW</v>
      </c>
      <c r="C14" s="28" t="s">
        <v>139</v>
      </c>
      <c r="D14" s="165"/>
      <c r="E14" s="28"/>
      <c r="F14" s="28"/>
      <c r="G14" s="76">
        <v>1211993803.4059019</v>
      </c>
      <c r="H14" s="86">
        <v>3.2269999999999998E-3</v>
      </c>
      <c r="I14" s="60">
        <f>H14+ROUND(+'Rate Spread &amp; Design'!F14,6)</f>
        <v>6.9219999999999993E-3</v>
      </c>
      <c r="J14" s="92">
        <v>169444660.28231052</v>
      </c>
      <c r="K14" s="20">
        <f t="shared" si="1"/>
        <v>173922977.38589531</v>
      </c>
      <c r="L14" s="20">
        <f t="shared" si="2"/>
        <v>4478317.1035847962</v>
      </c>
      <c r="M14" s="127">
        <f t="shared" si="3"/>
        <v>2.642937874892903E-2</v>
      </c>
      <c r="N14" s="164">
        <f>I14-H14-ROUND('Rate Spread &amp; Design'!F14,6)</f>
        <v>0</v>
      </c>
      <c r="O14" s="39"/>
    </row>
    <row r="15" spans="1:15" x14ac:dyDescent="0.2">
      <c r="A15" s="158">
        <f t="shared" si="0"/>
        <v>7</v>
      </c>
      <c r="B15" s="10" t="str">
        <f>'Sch 129 Rates'!B16</f>
        <v>Large General Service: Demand &gt; 350 kW</v>
      </c>
      <c r="C15" s="160" t="str">
        <f>'Sch 129 Rates'!C16</f>
        <v>12 (26) (26P)</v>
      </c>
      <c r="D15" s="161"/>
      <c r="E15" s="160"/>
      <c r="F15" s="160"/>
      <c r="G15" s="76">
        <v>857066645.84407377</v>
      </c>
      <c r="H15" s="86">
        <v>2.9729999999999999E-3</v>
      </c>
      <c r="I15" s="60">
        <f>H15+ROUND(+'Rate Spread &amp; Design'!F15,6)</f>
        <v>6.2399999999999999E-3</v>
      </c>
      <c r="J15" s="92">
        <v>106704499.64988369</v>
      </c>
      <c r="K15" s="20">
        <f t="shared" si="1"/>
        <v>109504536.38185628</v>
      </c>
      <c r="L15" s="20">
        <f t="shared" si="2"/>
        <v>2800036.7319725901</v>
      </c>
      <c r="M15" s="127">
        <f t="shared" si="3"/>
        <v>2.6241037080535545E-2</v>
      </c>
      <c r="N15" s="164">
        <f>I15-H15-ROUND('Rate Spread &amp; Design'!F15,6)</f>
        <v>0</v>
      </c>
      <c r="O15" s="39"/>
    </row>
    <row r="16" spans="1:15" x14ac:dyDescent="0.2">
      <c r="A16" s="158">
        <f t="shared" si="0"/>
        <v>8</v>
      </c>
      <c r="B16" s="10" t="str">
        <f>'Sch 129 Rates'!B17</f>
        <v>Irrigation &amp; Pumping Service: Demand &gt; 50 kW but &lt;= 350 kW</v>
      </c>
      <c r="C16" s="160">
        <f>'Sch 129 Rates'!C17</f>
        <v>29</v>
      </c>
      <c r="D16" s="161"/>
      <c r="E16" s="160"/>
      <c r="F16" s="160"/>
      <c r="G16" s="76">
        <v>11538751.751954857</v>
      </c>
      <c r="H16" s="86">
        <v>3.0149999999999999E-3</v>
      </c>
      <c r="I16" s="60">
        <f>H16+ROUND(+'Rate Spread &amp; Design'!F16,6)</f>
        <v>4.718E-3</v>
      </c>
      <c r="J16" s="93">
        <v>1461373.4775383349</v>
      </c>
      <c r="K16" s="20">
        <f t="shared" si="1"/>
        <v>1481023.971771914</v>
      </c>
      <c r="L16" s="20">
        <f t="shared" si="2"/>
        <v>19650.494233579142</v>
      </c>
      <c r="M16" s="127">
        <f t="shared" si="3"/>
        <v>1.3446592904286282E-2</v>
      </c>
      <c r="N16" s="164">
        <f>I16-H16-ROUND('Rate Spread &amp; Design'!F16,6)</f>
        <v>0</v>
      </c>
    </row>
    <row r="17" spans="1:15" x14ac:dyDescent="0.2">
      <c r="A17" s="158">
        <f t="shared" si="0"/>
        <v>9</v>
      </c>
      <c r="B17" s="22" t="s">
        <v>23</v>
      </c>
      <c r="C17" s="30" t="s">
        <v>21</v>
      </c>
      <c r="D17" s="159"/>
      <c r="E17" s="30"/>
      <c r="F17" s="30"/>
      <c r="G17" s="77">
        <f>SUM(G13:G16)</f>
        <v>3138673823.8886933</v>
      </c>
      <c r="H17" s="84"/>
      <c r="I17" s="89"/>
      <c r="J17" s="94">
        <f>SUM(J13:J16)</f>
        <v>438811655.18130952</v>
      </c>
      <c r="K17" s="162">
        <f>SUM(K13:K16)</f>
        <v>450514424.16617799</v>
      </c>
      <c r="L17" s="162">
        <f>SUM(L13:L16)</f>
        <v>11702768.984868541</v>
      </c>
      <c r="M17" s="163">
        <f>IF(J17=0,"n/a",+L17/J17)</f>
        <v>2.6669230059609871E-2</v>
      </c>
      <c r="N17" s="164"/>
    </row>
    <row r="18" spans="1:15" x14ac:dyDescent="0.2">
      <c r="A18" s="158">
        <f t="shared" si="0"/>
        <v>10</v>
      </c>
      <c r="B18" s="44"/>
      <c r="C18" s="30" t="s">
        <v>21</v>
      </c>
      <c r="D18" s="159"/>
      <c r="E18" s="30"/>
      <c r="F18" s="30"/>
      <c r="H18" s="61" t="s">
        <v>21</v>
      </c>
      <c r="I18" s="62"/>
      <c r="J18" s="56" t="s">
        <v>21</v>
      </c>
      <c r="K18" s="20"/>
      <c r="L18" s="20"/>
      <c r="M18" s="127"/>
      <c r="N18" s="164"/>
    </row>
    <row r="19" spans="1:15" x14ac:dyDescent="0.2">
      <c r="A19" s="158">
        <f t="shared" si="0"/>
        <v>11</v>
      </c>
      <c r="B19" s="10" t="str">
        <f>'Sch 129 Rates'!B20</f>
        <v>Primary Voltage:</v>
      </c>
      <c r="C19" s="30" t="s">
        <v>21</v>
      </c>
      <c r="D19" s="159"/>
      <c r="E19" s="30"/>
      <c r="F19" s="30"/>
      <c r="H19" s="61" t="s">
        <v>21</v>
      </c>
      <c r="I19" s="62"/>
      <c r="J19" s="56" t="s">
        <v>21</v>
      </c>
      <c r="K19" s="20"/>
      <c r="L19" s="20"/>
      <c r="M19" s="127"/>
      <c r="N19" s="164"/>
    </row>
    <row r="20" spans="1:15" x14ac:dyDescent="0.2">
      <c r="A20" s="158">
        <f t="shared" si="0"/>
        <v>12</v>
      </c>
      <c r="B20" s="10" t="str">
        <f>'Sch 129 Rates'!B21</f>
        <v>General Service</v>
      </c>
      <c r="C20" s="160" t="str">
        <f>'Sch 129 Rates'!C21</f>
        <v>10 (31)</v>
      </c>
      <c r="D20" s="161"/>
      <c r="E20" s="160"/>
      <c r="F20" s="160"/>
      <c r="G20" s="76">
        <v>575362661.54389918</v>
      </c>
      <c r="H20" s="86">
        <v>2.9329999999999998E-3</v>
      </c>
      <c r="I20" s="60">
        <f>H20+ROUND(+'Rate Spread &amp; Design'!F19,6)</f>
        <v>6.136E-3</v>
      </c>
      <c r="J20" s="92">
        <v>69647597.978765681</v>
      </c>
      <c r="K20" s="20">
        <f t="shared" ref="K20:K22" si="4">J20+G20*(I20-H20)</f>
        <v>71490484.583690792</v>
      </c>
      <c r="L20" s="20">
        <f t="shared" ref="L20:L22" si="5">+K20-J20</f>
        <v>1842886.6049251109</v>
      </c>
      <c r="M20" s="127">
        <f t="shared" ref="M20:M22" si="6">IF(J20=0,"n/a",+L20/J20)</f>
        <v>2.6460160269805348E-2</v>
      </c>
      <c r="N20" s="164">
        <f>I20-H20-ROUND('Rate Spread &amp; Design'!F19,6)</f>
        <v>0</v>
      </c>
    </row>
    <row r="21" spans="1:15" x14ac:dyDescent="0.2">
      <c r="A21" s="158">
        <f t="shared" si="0"/>
        <v>13</v>
      </c>
      <c r="B21" s="10" t="str">
        <f>'Sch 129 Rates'!B22</f>
        <v>Irrigation &amp; Pumping Service</v>
      </c>
      <c r="C21" s="160">
        <f>'Sch 129 Rates'!C22</f>
        <v>35</v>
      </c>
      <c r="D21" s="161"/>
      <c r="E21" s="166"/>
      <c r="F21" s="166"/>
      <c r="G21" s="76">
        <v>4460271.1529247649</v>
      </c>
      <c r="H21" s="86">
        <v>2.2169999999999998E-3</v>
      </c>
      <c r="I21" s="60">
        <f>H21+ROUND(+'Rate Spread &amp; Design'!F20,6)</f>
        <v>3.8319999999999995E-3</v>
      </c>
      <c r="J21" s="92">
        <v>498117.77154694952</v>
      </c>
      <c r="K21" s="20">
        <f t="shared" si="4"/>
        <v>505321.10945892299</v>
      </c>
      <c r="L21" s="20">
        <f t="shared" si="5"/>
        <v>7203.3379119734745</v>
      </c>
      <c r="M21" s="127">
        <f t="shared" si="6"/>
        <v>1.4461114064657563E-2</v>
      </c>
      <c r="N21" s="164">
        <f>I21-H21-ROUND('Rate Spread &amp; Design'!F20,6)</f>
        <v>0</v>
      </c>
    </row>
    <row r="22" spans="1:15" x14ac:dyDescent="0.2">
      <c r="A22" s="158">
        <f t="shared" si="0"/>
        <v>14</v>
      </c>
      <c r="B22" s="10" t="str">
        <f>'Sch 129 Rates'!B23</f>
        <v>All Electric Schools</v>
      </c>
      <c r="C22" s="160">
        <f>'Sch 129 Rates'!C23</f>
        <v>43</v>
      </c>
      <c r="D22" s="161"/>
      <c r="E22" s="166"/>
      <c r="F22" s="166"/>
      <c r="G22" s="76">
        <v>31525749.195176683</v>
      </c>
      <c r="H22" s="86">
        <v>3.1310000000000001E-3</v>
      </c>
      <c r="I22" s="60">
        <f>H22+ROUND(+'Rate Spread &amp; Design'!F21,6)</f>
        <v>8.0450000000000001E-3</v>
      </c>
      <c r="J22" s="93">
        <v>4239943.7869569249</v>
      </c>
      <c r="K22" s="20">
        <f t="shared" si="4"/>
        <v>4394861.3185020229</v>
      </c>
      <c r="L22" s="20">
        <f t="shared" si="5"/>
        <v>154917.53154509794</v>
      </c>
      <c r="M22" s="127">
        <f t="shared" si="6"/>
        <v>3.6537638074745492E-2</v>
      </c>
      <c r="N22" s="164">
        <f>I22-H22-ROUND('Rate Spread &amp; Design'!F21,6)</f>
        <v>0</v>
      </c>
    </row>
    <row r="23" spans="1:15" x14ac:dyDescent="0.2">
      <c r="A23" s="158">
        <f t="shared" si="0"/>
        <v>15</v>
      </c>
      <c r="B23" s="44" t="s">
        <v>24</v>
      </c>
      <c r="C23" s="30" t="s">
        <v>21</v>
      </c>
      <c r="D23" s="159"/>
      <c r="E23" s="30"/>
      <c r="F23" s="30"/>
      <c r="G23" s="77">
        <f>SUM(G20:G22)</f>
        <v>611348681.89200068</v>
      </c>
      <c r="H23" s="87"/>
      <c r="I23" s="90"/>
      <c r="J23" s="94">
        <f>SUM(J20:J22)</f>
        <v>74385659.537269548</v>
      </c>
      <c r="K23" s="162">
        <f>SUM(K20:K22)</f>
        <v>76390667.011651739</v>
      </c>
      <c r="L23" s="162">
        <f>SUM(L20:L22)</f>
        <v>2005007.4743821824</v>
      </c>
      <c r="M23" s="163">
        <f>IF(J23=0,"n/a",+L23/J23)</f>
        <v>2.6954220569592593E-2</v>
      </c>
      <c r="N23" s="164"/>
    </row>
    <row r="24" spans="1:15" x14ac:dyDescent="0.2">
      <c r="A24" s="158">
        <f t="shared" si="0"/>
        <v>16</v>
      </c>
      <c r="C24" s="30" t="s">
        <v>21</v>
      </c>
      <c r="D24" s="159"/>
      <c r="E24" s="30"/>
      <c r="F24" s="30"/>
      <c r="G24" s="10"/>
      <c r="H24" s="83" t="s">
        <v>21</v>
      </c>
      <c r="J24" s="56" t="s">
        <v>21</v>
      </c>
      <c r="K24" s="10"/>
      <c r="N24" s="164"/>
    </row>
    <row r="25" spans="1:15" x14ac:dyDescent="0.2">
      <c r="A25" s="158">
        <f t="shared" si="0"/>
        <v>17</v>
      </c>
      <c r="B25" s="10" t="str">
        <f>'Sch 129 Rates'!B26</f>
        <v>High Voltage:</v>
      </c>
      <c r="C25" s="30" t="s">
        <v>21</v>
      </c>
      <c r="D25" s="159"/>
      <c r="E25" s="30"/>
      <c r="F25" s="30"/>
      <c r="H25" s="61" t="s">
        <v>21</v>
      </c>
      <c r="I25" s="62"/>
      <c r="J25" s="56" t="s">
        <v>21</v>
      </c>
      <c r="K25" s="20"/>
      <c r="L25" s="20"/>
      <c r="M25" s="127"/>
      <c r="N25" s="164"/>
    </row>
    <row r="26" spans="1:15" x14ac:dyDescent="0.2">
      <c r="A26" s="158">
        <f t="shared" si="0"/>
        <v>18</v>
      </c>
      <c r="B26" s="10" t="str">
        <f>'Sch 129 Rates'!B27</f>
        <v>Interruptible Service</v>
      </c>
      <c r="C26" s="160">
        <f>'Sch 129 Rates'!C27</f>
        <v>46</v>
      </c>
      <c r="D26" s="159"/>
      <c r="E26" s="3"/>
      <c r="F26" s="3"/>
      <c r="G26" s="76">
        <v>42724171.744651601</v>
      </c>
      <c r="H26" s="86">
        <v>2.258E-3</v>
      </c>
      <c r="I26" s="60">
        <f>H26+ROUND(+'Rate Spread &amp; Design'!F24,6)</f>
        <v>4.5149999999999999E-3</v>
      </c>
      <c r="J26" s="92">
        <v>4120610.0218468565</v>
      </c>
      <c r="K26" s="20">
        <f t="shared" ref="K26:K27" si="7">J26+G26*(I26-H26)</f>
        <v>4217038.4774745349</v>
      </c>
      <c r="L26" s="20">
        <f t="shared" ref="L26:L27" si="8">+K26-J26</f>
        <v>96428.455627678428</v>
      </c>
      <c r="M26" s="127">
        <f t="shared" ref="M26:M27" si="9">IF(J26=0,"n/a",+L26/J26)</f>
        <v>2.3401500048883347E-2</v>
      </c>
      <c r="N26" s="164">
        <f>I26-H26-ROUND('Rate Spread &amp; Design'!F24,6)</f>
        <v>0</v>
      </c>
    </row>
    <row r="27" spans="1:15" x14ac:dyDescent="0.2">
      <c r="A27" s="158">
        <f t="shared" si="0"/>
        <v>19</v>
      </c>
      <c r="B27" s="10" t="str">
        <f>'Sch 129 Rates'!B28</f>
        <v>General Service</v>
      </c>
      <c r="C27" s="160">
        <f>'Sch 129 Rates'!C28</f>
        <v>49</v>
      </c>
      <c r="D27" s="159"/>
      <c r="E27" s="3"/>
      <c r="F27" s="3"/>
      <c r="G27" s="76">
        <v>222144806.97393036</v>
      </c>
      <c r="H27" s="86">
        <v>2.2910000000000001E-3</v>
      </c>
      <c r="I27" s="60">
        <f>H27+ROUND(+'Rate Spread &amp; Design'!F25,6)</f>
        <v>4.7360000000000006E-3</v>
      </c>
      <c r="J27" s="93">
        <v>22985501.591172867</v>
      </c>
      <c r="K27" s="20">
        <f t="shared" si="7"/>
        <v>23528645.644224126</v>
      </c>
      <c r="L27" s="20">
        <f t="shared" si="8"/>
        <v>543144.05305125937</v>
      </c>
      <c r="M27" s="127">
        <f t="shared" si="9"/>
        <v>2.3629854275611858E-2</v>
      </c>
      <c r="N27" s="164">
        <f>I27-H27-ROUND('Rate Spread &amp; Design'!F25,6)</f>
        <v>0</v>
      </c>
    </row>
    <row r="28" spans="1:15" x14ac:dyDescent="0.2">
      <c r="A28" s="158">
        <f t="shared" si="0"/>
        <v>20</v>
      </c>
      <c r="B28" s="22" t="s">
        <v>25</v>
      </c>
      <c r="C28" s="3" t="s">
        <v>21</v>
      </c>
      <c r="D28" s="159"/>
      <c r="E28" s="3"/>
      <c r="F28" s="3"/>
      <c r="G28" s="77">
        <f>SUM(G26:G27)</f>
        <v>264868978.71858197</v>
      </c>
      <c r="H28" s="88"/>
      <c r="I28" s="90"/>
      <c r="J28" s="94">
        <f>SUM(J26:J27)</f>
        <v>27106111.613019723</v>
      </c>
      <c r="K28" s="77">
        <f>SUM(K26:K27)</f>
        <v>27745684.121698663</v>
      </c>
      <c r="L28" s="162">
        <f>SUM(L26:L27)</f>
        <v>639572.5086789378</v>
      </c>
      <c r="M28" s="163">
        <f>IF(J28=0,"n/a",+L28/J28)</f>
        <v>2.3595140380508712E-2</v>
      </c>
      <c r="N28" s="164"/>
    </row>
    <row r="29" spans="1:15" x14ac:dyDescent="0.2">
      <c r="A29" s="158">
        <f t="shared" si="0"/>
        <v>21</v>
      </c>
      <c r="B29" s="44"/>
      <c r="C29" s="30" t="s">
        <v>21</v>
      </c>
      <c r="D29" s="159"/>
      <c r="E29" s="30"/>
      <c r="F29" s="30"/>
      <c r="G29" s="10"/>
      <c r="H29" s="83" t="s">
        <v>21</v>
      </c>
      <c r="J29" s="56" t="s">
        <v>21</v>
      </c>
      <c r="K29" s="10"/>
      <c r="N29" s="164"/>
      <c r="O29" s="167"/>
    </row>
    <row r="30" spans="1:15" x14ac:dyDescent="0.2">
      <c r="A30" s="158">
        <f t="shared" si="0"/>
        <v>22</v>
      </c>
      <c r="B30" s="168" t="s">
        <v>122</v>
      </c>
      <c r="C30" s="160" t="str">
        <f>'Sch 129 Rates'!C31</f>
        <v>448 - 459</v>
      </c>
      <c r="D30" s="159"/>
      <c r="E30" s="3"/>
      <c r="F30" s="3"/>
      <c r="G30" s="75">
        <v>830778349.69033718</v>
      </c>
      <c r="H30" s="84">
        <v>1.7100000000000001E-4</v>
      </c>
      <c r="I30" s="89">
        <f>H30+ROUND(+'Rate Spread &amp; Design'!F27,6)</f>
        <v>3.68E-4</v>
      </c>
      <c r="J30" s="91">
        <v>7404797.2768640062</v>
      </c>
      <c r="K30" s="162">
        <f>J30+G30*(I30-H30)</f>
        <v>7568460.6117530027</v>
      </c>
      <c r="L30" s="162">
        <f>+K30-J30</f>
        <v>163663.33488899656</v>
      </c>
      <c r="M30" s="163">
        <f>IF(J30=0,"n/a",+L30/J30)</f>
        <v>2.2102338358452583E-2</v>
      </c>
      <c r="N30" s="164">
        <f>I30-H30-ROUND('Rate Spread &amp; Design'!F27,6)</f>
        <v>0</v>
      </c>
      <c r="O30" s="20"/>
    </row>
    <row r="31" spans="1:15" x14ac:dyDescent="0.2">
      <c r="A31" s="158">
        <f t="shared" si="0"/>
        <v>23</v>
      </c>
      <c r="B31" s="44"/>
      <c r="C31" s="30" t="s">
        <v>21</v>
      </c>
      <c r="D31" s="159"/>
      <c r="E31" s="30"/>
      <c r="F31" s="30"/>
      <c r="G31" s="76"/>
      <c r="H31" s="85"/>
      <c r="I31" s="31"/>
      <c r="J31" s="95" t="s">
        <v>21</v>
      </c>
      <c r="K31" s="20"/>
      <c r="L31" s="20"/>
      <c r="M31" s="127"/>
      <c r="N31" s="164"/>
    </row>
    <row r="32" spans="1:15" x14ac:dyDescent="0.2">
      <c r="A32" s="158">
        <f t="shared" si="0"/>
        <v>24</v>
      </c>
      <c r="B32" s="169" t="s">
        <v>59</v>
      </c>
      <c r="C32" s="160" t="str">
        <f>'Sch 129 Rates'!C32</f>
        <v>Special Contract</v>
      </c>
      <c r="D32" s="159"/>
      <c r="E32" s="3"/>
      <c r="F32" s="3"/>
      <c r="G32" s="75">
        <v>130794112.12300001</v>
      </c>
      <c r="H32" s="84">
        <v>6.1399999999999996E-4</v>
      </c>
      <c r="I32" s="89">
        <f>H32+ROUND(+'Rate Spread &amp; Design'!F29,6)</f>
        <v>1.2279999999999999E-3</v>
      </c>
      <c r="J32" s="91">
        <v>4137421.6217539115</v>
      </c>
      <c r="K32" s="162">
        <f>J32+G32*(I32-H32)</f>
        <v>4217729.2065974334</v>
      </c>
      <c r="L32" s="162">
        <f>+K32-J32</f>
        <v>80307.584843521938</v>
      </c>
      <c r="M32" s="163">
        <f>IF(J32=0,"n/a",+L32/J32)</f>
        <v>1.941005587182058E-2</v>
      </c>
      <c r="N32" s="164">
        <f>I32-H32-ROUND('Rate Spread &amp; Design'!F29,6)</f>
        <v>0</v>
      </c>
    </row>
    <row r="33" spans="1:14" x14ac:dyDescent="0.2">
      <c r="A33" s="158">
        <f t="shared" si="0"/>
        <v>25</v>
      </c>
      <c r="C33" s="30" t="s">
        <v>21</v>
      </c>
      <c r="D33" s="159"/>
      <c r="E33" s="30"/>
      <c r="F33" s="30"/>
      <c r="G33" s="76"/>
      <c r="H33" s="85" t="s">
        <v>21</v>
      </c>
      <c r="I33" s="31"/>
      <c r="J33" s="95" t="s">
        <v>21</v>
      </c>
      <c r="K33" s="20"/>
      <c r="L33" s="20"/>
      <c r="M33" s="127"/>
      <c r="N33" s="164"/>
    </row>
    <row r="34" spans="1:14" x14ac:dyDescent="0.2">
      <c r="A34" s="158">
        <f t="shared" si="0"/>
        <v>26</v>
      </c>
      <c r="B34" s="16" t="s">
        <v>168</v>
      </c>
      <c r="C34" s="160" t="str">
        <f>'Sch 129 Rates'!C33</f>
        <v>50 - 59</v>
      </c>
      <c r="D34" s="159"/>
      <c r="E34" s="3"/>
      <c r="F34" s="3"/>
      <c r="G34" s="75">
        <v>26138029.333528299</v>
      </c>
      <c r="H34" s="84">
        <v>8.8070000000000006E-3</v>
      </c>
      <c r="I34" s="89">
        <f>H34+ROUND(+'Rate Spread &amp; Design'!F31,6)</f>
        <v>1.8856000000000001E-2</v>
      </c>
      <c r="J34" s="91">
        <v>9633519.7628216557</v>
      </c>
      <c r="K34" s="162">
        <f>J34+G34*(I34-H34)</f>
        <v>9896180.8195942808</v>
      </c>
      <c r="L34" s="162">
        <f>+K34-J34</f>
        <v>262661.05677262507</v>
      </c>
      <c r="M34" s="163">
        <f>IF(J34=0,"n/a",+L34/J34)</f>
        <v>2.7265325990849652E-2</v>
      </c>
      <c r="N34" s="164">
        <f>I34-H34-ROUND('Rate Spread &amp; Design'!F31,6)</f>
        <v>0</v>
      </c>
    </row>
    <row r="35" spans="1:14" x14ac:dyDescent="0.2">
      <c r="A35" s="158">
        <f t="shared" si="0"/>
        <v>27</v>
      </c>
      <c r="B35" s="16"/>
      <c r="C35" s="170"/>
      <c r="D35" s="170"/>
      <c r="E35" s="170"/>
      <c r="F35" s="170"/>
      <c r="G35" s="78"/>
      <c r="H35" s="86"/>
      <c r="I35" s="60"/>
      <c r="J35" s="92"/>
      <c r="K35" s="1"/>
      <c r="L35" s="1"/>
      <c r="M35" s="171"/>
      <c r="N35" s="164"/>
    </row>
    <row r="36" spans="1:14" x14ac:dyDescent="0.2">
      <c r="A36" s="158">
        <f t="shared" si="0"/>
        <v>28</v>
      </c>
      <c r="B36" s="16" t="s">
        <v>174</v>
      </c>
      <c r="C36" s="170">
        <f>'Sch 129 Rates'!C34</f>
        <v>558</v>
      </c>
      <c r="D36" s="170"/>
      <c r="E36" s="170"/>
      <c r="F36" s="170"/>
      <c r="G36" s="75">
        <v>0</v>
      </c>
      <c r="H36" s="84">
        <v>0</v>
      </c>
      <c r="I36" s="89">
        <f>H36+ROUND(+'Rate Spread &amp; Design'!F33,6)</f>
        <v>1.1677999999999999E-2</v>
      </c>
      <c r="J36" s="91">
        <v>0</v>
      </c>
      <c r="K36" s="162">
        <v>0</v>
      </c>
      <c r="L36" s="162">
        <v>0</v>
      </c>
      <c r="M36" s="163" t="s">
        <v>181</v>
      </c>
      <c r="N36" s="164"/>
    </row>
    <row r="37" spans="1:14" x14ac:dyDescent="0.2">
      <c r="A37" s="158">
        <f t="shared" si="0"/>
        <v>29</v>
      </c>
      <c r="C37" s="30" t="s">
        <v>21</v>
      </c>
      <c r="D37" s="159"/>
      <c r="E37" s="30"/>
      <c r="F37" s="30"/>
      <c r="H37" s="61" t="s">
        <v>21</v>
      </c>
      <c r="I37" s="62"/>
      <c r="J37" s="95"/>
      <c r="K37" s="20"/>
      <c r="L37" s="20"/>
      <c r="M37" s="127"/>
    </row>
    <row r="38" spans="1:14" ht="12" thickBot="1" x14ac:dyDescent="0.25">
      <c r="A38" s="158">
        <f t="shared" si="0"/>
        <v>30</v>
      </c>
      <c r="B38" s="172" t="s">
        <v>16</v>
      </c>
      <c r="C38" s="173" t="s">
        <v>21</v>
      </c>
      <c r="D38" s="174"/>
      <c r="E38" s="173"/>
      <c r="F38" s="173"/>
      <c r="G38" s="79">
        <f>SUM(G10,G17,G23,G28,G30,G34,G32)</f>
        <v>8786385071.1806068</v>
      </c>
      <c r="H38" s="175"/>
      <c r="I38" s="176"/>
      <c r="J38" s="96">
        <f>SUM(J10,J17,J23,J28,J30,J34,J32)</f>
        <v>1172702583.4473748</v>
      </c>
      <c r="K38" s="177">
        <f>SUM(K10,K17,K23,K28,K30,K34,K32)</f>
        <v>1207508452.6545627</v>
      </c>
      <c r="L38" s="177">
        <f>SUM(L10,L17,L23,L28,L30,L34,L32)</f>
        <v>34805869.207188055</v>
      </c>
      <c r="M38" s="178">
        <f>IF(J38=0,"n/a",+L38/J38)</f>
        <v>2.9680048205291579E-2</v>
      </c>
    </row>
    <row r="39" spans="1:14" ht="12" thickTop="1" x14ac:dyDescent="0.2">
      <c r="A39" s="158">
        <f t="shared" si="0"/>
        <v>31</v>
      </c>
      <c r="C39" s="83" t="s">
        <v>21</v>
      </c>
      <c r="D39" s="83"/>
      <c r="E39" s="56"/>
      <c r="F39" s="179" t="s">
        <v>149</v>
      </c>
      <c r="G39" s="80">
        <v>0</v>
      </c>
      <c r="H39" s="63" t="s">
        <v>21</v>
      </c>
      <c r="J39" s="63">
        <v>0</v>
      </c>
      <c r="L39" s="20"/>
    </row>
    <row r="40" spans="1:14" x14ac:dyDescent="0.2">
      <c r="A40" s="158">
        <f t="shared" si="0"/>
        <v>32</v>
      </c>
      <c r="C40" s="83" t="s">
        <v>21</v>
      </c>
      <c r="D40" s="83"/>
      <c r="E40" s="56"/>
      <c r="F40" s="56"/>
      <c r="H40" s="56" t="s">
        <v>21</v>
      </c>
      <c r="J40" s="56"/>
    </row>
    <row r="41" spans="1:14" ht="13.5" x14ac:dyDescent="0.2">
      <c r="A41" s="158">
        <f t="shared" si="0"/>
        <v>33</v>
      </c>
      <c r="B41" s="180" t="s">
        <v>121</v>
      </c>
      <c r="C41" s="181"/>
      <c r="D41" s="182"/>
      <c r="E41" s="183"/>
      <c r="F41" s="183"/>
      <c r="G41" s="184"/>
      <c r="H41" s="184"/>
      <c r="I41" s="182"/>
      <c r="J41" s="183"/>
      <c r="K41" s="183"/>
      <c r="L41" s="182"/>
      <c r="M41" s="182"/>
    </row>
    <row r="42" spans="1:14" s="16" customFormat="1" ht="13.5" x14ac:dyDescent="0.35">
      <c r="A42" s="158">
        <f t="shared" si="0"/>
        <v>34</v>
      </c>
      <c r="B42" s="185"/>
      <c r="C42" s="185" t="s">
        <v>118</v>
      </c>
      <c r="D42" s="185"/>
      <c r="E42" s="185"/>
      <c r="F42" s="185"/>
      <c r="G42" s="185"/>
      <c r="H42" s="186"/>
      <c r="I42" s="187"/>
      <c r="J42" s="187"/>
      <c r="K42" s="187"/>
      <c r="L42" s="188"/>
      <c r="M42" s="188"/>
      <c r="N42" s="150"/>
    </row>
    <row r="43" spans="1:14" s="16" customFormat="1" ht="40.5" x14ac:dyDescent="0.35">
      <c r="A43" s="158">
        <f t="shared" si="0"/>
        <v>35</v>
      </c>
      <c r="C43" s="189" t="s">
        <v>66</v>
      </c>
      <c r="D43" s="189" t="s">
        <v>67</v>
      </c>
      <c r="E43" s="189" t="s">
        <v>68</v>
      </c>
      <c r="F43" s="189" t="s">
        <v>119</v>
      </c>
      <c r="G43" s="189" t="s">
        <v>120</v>
      </c>
      <c r="H43" s="189"/>
      <c r="I43" s="189"/>
      <c r="J43" s="189"/>
      <c r="K43" s="190"/>
      <c r="L43" s="190"/>
      <c r="M43" s="190"/>
      <c r="N43" s="150"/>
    </row>
    <row r="44" spans="1:14" x14ac:dyDescent="0.2">
      <c r="A44" s="158">
        <f t="shared" si="0"/>
        <v>36</v>
      </c>
      <c r="B44" s="41" t="s">
        <v>162</v>
      </c>
      <c r="C44" s="59">
        <v>7.49</v>
      </c>
      <c r="D44" s="59">
        <v>79.81</v>
      </c>
      <c r="E44" s="59">
        <v>30.49</v>
      </c>
      <c r="F44" s="59">
        <v>8.91</v>
      </c>
      <c r="G44" s="18">
        <f>SUM(C44:F44)</f>
        <v>126.69999999999999</v>
      </c>
      <c r="H44" s="18"/>
      <c r="I44" s="110"/>
      <c r="J44" s="110"/>
      <c r="K44" s="18"/>
      <c r="L44" s="191"/>
      <c r="M44" s="192"/>
    </row>
    <row r="45" spans="1:14" x14ac:dyDescent="0.2">
      <c r="A45" s="158">
        <f t="shared" si="0"/>
        <v>37</v>
      </c>
      <c r="B45" s="41" t="s">
        <v>163</v>
      </c>
      <c r="C45" s="193">
        <f>C44</f>
        <v>7.49</v>
      </c>
      <c r="D45" s="193">
        <f>D44</f>
        <v>79.81</v>
      </c>
      <c r="E45" s="193">
        <f>E44</f>
        <v>30.49</v>
      </c>
      <c r="F45" s="193">
        <f>F44+(800*(I10-H10))</f>
        <v>13.128399999999999</v>
      </c>
      <c r="G45" s="18">
        <f>SUM(C45:F45)</f>
        <v>130.91839999999999</v>
      </c>
      <c r="H45" s="18"/>
      <c r="I45" s="110"/>
      <c r="J45" s="110"/>
      <c r="K45" s="18"/>
      <c r="L45" s="191"/>
      <c r="M45" s="192"/>
    </row>
    <row r="46" spans="1:14" x14ac:dyDescent="0.2">
      <c r="A46" s="158">
        <f t="shared" si="0"/>
        <v>38</v>
      </c>
      <c r="B46" s="41"/>
      <c r="C46" s="59"/>
      <c r="D46" s="59"/>
      <c r="E46" s="59"/>
      <c r="F46" s="59"/>
      <c r="G46" s="18">
        <f>G45-G44</f>
        <v>4.2184000000000026</v>
      </c>
      <c r="H46" s="18"/>
      <c r="I46" s="110"/>
      <c r="J46" s="110"/>
      <c r="K46" s="18"/>
      <c r="L46" s="191"/>
      <c r="M46" s="192"/>
    </row>
    <row r="47" spans="1:14" x14ac:dyDescent="0.2">
      <c r="A47" s="158">
        <f t="shared" si="0"/>
        <v>39</v>
      </c>
      <c r="E47" s="167"/>
      <c r="F47" s="167"/>
      <c r="G47" s="194">
        <f>G46/G44</f>
        <v>3.329439621152331E-2</v>
      </c>
      <c r="H47" s="167"/>
      <c r="I47" s="167"/>
      <c r="K47" s="167"/>
      <c r="L47" s="167"/>
      <c r="M47" s="167"/>
    </row>
    <row r="48" spans="1:14" x14ac:dyDescent="0.2">
      <c r="A48" s="158">
        <f t="shared" si="0"/>
        <v>40</v>
      </c>
      <c r="E48" s="167"/>
      <c r="F48" s="167"/>
      <c r="G48" s="194"/>
      <c r="H48" s="167"/>
      <c r="I48" s="167"/>
      <c r="K48" s="167"/>
      <c r="L48" s="167"/>
      <c r="M48" s="167"/>
    </row>
    <row r="49" spans="1:13" ht="11.25" customHeight="1" x14ac:dyDescent="0.2">
      <c r="A49" s="158">
        <f t="shared" si="0"/>
        <v>41</v>
      </c>
      <c r="B49" s="99" t="s">
        <v>171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</row>
    <row r="50" spans="1:13" x14ac:dyDescent="0.2">
      <c r="A50" s="158">
        <f t="shared" si="0"/>
        <v>42</v>
      </c>
      <c r="B50" s="10" t="s">
        <v>178</v>
      </c>
      <c r="D50" s="10"/>
      <c r="E50" s="10"/>
      <c r="F50" s="10"/>
      <c r="G50" s="10"/>
      <c r="H50" s="10"/>
      <c r="J50" s="10"/>
      <c r="K50" s="10"/>
    </row>
    <row r="51" spans="1:13" x14ac:dyDescent="0.2">
      <c r="A51" s="158"/>
      <c r="D51" s="10"/>
      <c r="E51" s="10"/>
      <c r="F51" s="10"/>
      <c r="G51" s="10"/>
      <c r="H51" s="10"/>
      <c r="J51" s="10"/>
      <c r="K51" s="10"/>
    </row>
    <row r="52" spans="1:13" x14ac:dyDescent="0.2">
      <c r="A52" s="158"/>
      <c r="D52" s="10"/>
      <c r="E52" s="10"/>
      <c r="F52" s="10"/>
      <c r="G52" s="10"/>
      <c r="H52" s="10"/>
      <c r="J52" s="10"/>
      <c r="K52" s="10"/>
    </row>
    <row r="53" spans="1:13" x14ac:dyDescent="0.2">
      <c r="A53" s="158"/>
      <c r="D53" s="10"/>
      <c r="E53" s="10"/>
      <c r="F53" s="10"/>
      <c r="G53" s="10"/>
      <c r="H53" s="10"/>
      <c r="J53" s="10"/>
      <c r="K53" s="10"/>
    </row>
    <row r="54" spans="1:13" x14ac:dyDescent="0.2">
      <c r="A54" s="158"/>
      <c r="D54" s="10"/>
      <c r="E54" s="10"/>
      <c r="F54" s="10"/>
      <c r="G54" s="10"/>
      <c r="H54" s="10"/>
      <c r="J54" s="10"/>
      <c r="K54" s="10"/>
    </row>
    <row r="55" spans="1:13" x14ac:dyDescent="0.2">
      <c r="A55" s="158"/>
      <c r="D55" s="10"/>
      <c r="E55" s="10"/>
      <c r="F55" s="10"/>
      <c r="G55" s="10"/>
      <c r="H55" s="10"/>
      <c r="J55" s="10"/>
      <c r="K55" s="10"/>
    </row>
    <row r="56" spans="1:13" x14ac:dyDescent="0.2">
      <c r="A56" s="158"/>
      <c r="D56" s="10"/>
      <c r="E56" s="10"/>
      <c r="F56" s="10"/>
      <c r="G56" s="10"/>
      <c r="H56" s="10"/>
      <c r="J56" s="10"/>
      <c r="K56" s="10"/>
    </row>
    <row r="57" spans="1:13" x14ac:dyDescent="0.2">
      <c r="A57" s="158"/>
      <c r="D57" s="10"/>
      <c r="E57" s="10"/>
      <c r="F57" s="10"/>
      <c r="G57" s="10"/>
      <c r="H57" s="10"/>
      <c r="J57" s="10"/>
      <c r="K57" s="10"/>
    </row>
    <row r="58" spans="1:13" x14ac:dyDescent="0.2">
      <c r="A58" s="158"/>
      <c r="D58" s="10"/>
      <c r="E58" s="10"/>
      <c r="F58" s="10"/>
      <c r="G58" s="10"/>
      <c r="H58" s="10"/>
      <c r="J58" s="10"/>
      <c r="K58" s="10"/>
    </row>
    <row r="59" spans="1:13" x14ac:dyDescent="0.2">
      <c r="A59" s="158"/>
      <c r="D59" s="10"/>
      <c r="E59" s="10"/>
      <c r="F59" s="10"/>
      <c r="G59" s="10"/>
      <c r="H59" s="10"/>
      <c r="J59" s="10"/>
      <c r="K59" s="10"/>
    </row>
    <row r="60" spans="1:13" x14ac:dyDescent="0.2">
      <c r="A60" s="158"/>
      <c r="D60" s="10"/>
      <c r="E60" s="10"/>
      <c r="F60" s="10"/>
      <c r="G60" s="10"/>
      <c r="H60" s="10"/>
      <c r="J60" s="10"/>
      <c r="K60" s="10"/>
    </row>
    <row r="61" spans="1:13" x14ac:dyDescent="0.2">
      <c r="A61" s="158"/>
      <c r="D61" s="10"/>
      <c r="E61" s="10"/>
      <c r="F61" s="10"/>
      <c r="G61" s="10"/>
      <c r="H61" s="10"/>
      <c r="J61" s="10"/>
      <c r="K61" s="10"/>
    </row>
    <row r="62" spans="1:13" x14ac:dyDescent="0.2">
      <c r="A62" s="158"/>
      <c r="D62" s="10"/>
      <c r="E62" s="10"/>
      <c r="F62" s="10"/>
      <c r="G62" s="10"/>
      <c r="H62" s="10"/>
      <c r="J62" s="10"/>
      <c r="K62" s="10"/>
    </row>
    <row r="63" spans="1:13" x14ac:dyDescent="0.2">
      <c r="A63" s="158"/>
      <c r="D63" s="10"/>
      <c r="E63" s="10"/>
      <c r="F63" s="10"/>
      <c r="G63" s="10"/>
      <c r="H63" s="10"/>
      <c r="J63" s="10"/>
      <c r="K63" s="10"/>
    </row>
    <row r="64" spans="1:13" x14ac:dyDescent="0.2">
      <c r="A64" s="158"/>
      <c r="D64" s="10"/>
      <c r="E64" s="10"/>
      <c r="F64" s="10"/>
      <c r="G64" s="10"/>
      <c r="H64" s="10"/>
      <c r="J64" s="10"/>
      <c r="K64" s="10"/>
    </row>
    <row r="65" spans="1:11" x14ac:dyDescent="0.2">
      <c r="A65" s="158"/>
      <c r="D65" s="10"/>
      <c r="E65" s="10"/>
      <c r="F65" s="10"/>
      <c r="G65" s="10"/>
      <c r="H65" s="10"/>
      <c r="J65" s="10"/>
      <c r="K65" s="10"/>
    </row>
    <row r="66" spans="1:11" x14ac:dyDescent="0.2">
      <c r="A66" s="158"/>
      <c r="D66" s="10"/>
      <c r="E66" s="10"/>
      <c r="F66" s="10"/>
      <c r="G66" s="10"/>
      <c r="H66" s="10"/>
      <c r="J66" s="10"/>
      <c r="K66" s="10"/>
    </row>
    <row r="67" spans="1:11" x14ac:dyDescent="0.2">
      <c r="A67" s="158"/>
      <c r="D67" s="10"/>
      <c r="E67" s="10"/>
      <c r="F67" s="10"/>
      <c r="G67" s="10"/>
      <c r="H67" s="10"/>
      <c r="J67" s="10"/>
      <c r="K67" s="10"/>
    </row>
    <row r="68" spans="1:11" x14ac:dyDescent="0.2">
      <c r="A68" s="158"/>
      <c r="D68" s="10"/>
      <c r="E68" s="10"/>
      <c r="F68" s="10"/>
      <c r="G68" s="10"/>
      <c r="H68" s="10"/>
      <c r="J68" s="10"/>
      <c r="K68" s="10"/>
    </row>
    <row r="69" spans="1:11" x14ac:dyDescent="0.2">
      <c r="A69" s="158"/>
      <c r="D69" s="10"/>
      <c r="E69" s="10"/>
      <c r="F69" s="10"/>
      <c r="G69" s="10"/>
      <c r="H69" s="10"/>
      <c r="J69" s="10"/>
      <c r="K69" s="10"/>
    </row>
    <row r="70" spans="1:11" x14ac:dyDescent="0.2">
      <c r="A70" s="158"/>
      <c r="D70" s="10"/>
      <c r="E70" s="10"/>
      <c r="F70" s="10"/>
      <c r="G70" s="10"/>
      <c r="H70" s="10"/>
      <c r="J70" s="10"/>
      <c r="K70" s="10"/>
    </row>
    <row r="71" spans="1:11" x14ac:dyDescent="0.2">
      <c r="A71" s="158"/>
      <c r="D71" s="10"/>
      <c r="E71" s="10"/>
      <c r="F71" s="10"/>
      <c r="G71" s="10"/>
      <c r="H71" s="10"/>
      <c r="J71" s="10"/>
      <c r="K71" s="10"/>
    </row>
    <row r="72" spans="1:11" x14ac:dyDescent="0.2">
      <c r="A72" s="158"/>
      <c r="D72" s="10"/>
      <c r="E72" s="10"/>
      <c r="F72" s="10"/>
      <c r="G72" s="10"/>
      <c r="H72" s="10"/>
      <c r="J72" s="10"/>
      <c r="K72" s="10"/>
    </row>
    <row r="73" spans="1:11" x14ac:dyDescent="0.2">
      <c r="A73" s="158"/>
      <c r="D73" s="10"/>
      <c r="E73" s="10"/>
      <c r="F73" s="10"/>
      <c r="G73" s="10"/>
      <c r="H73" s="10"/>
      <c r="J73" s="10"/>
      <c r="K73" s="10"/>
    </row>
    <row r="74" spans="1:11" x14ac:dyDescent="0.2">
      <c r="A74" s="158"/>
      <c r="D74" s="10"/>
      <c r="E74" s="10"/>
      <c r="F74" s="10"/>
      <c r="G74" s="10"/>
      <c r="H74" s="10"/>
      <c r="J74" s="10"/>
      <c r="K74" s="10"/>
    </row>
    <row r="75" spans="1:11" x14ac:dyDescent="0.2">
      <c r="A75" s="158"/>
      <c r="D75" s="10"/>
      <c r="E75" s="10"/>
      <c r="F75" s="10"/>
      <c r="G75" s="10"/>
      <c r="H75" s="10"/>
      <c r="J75" s="10"/>
      <c r="K75" s="10"/>
    </row>
    <row r="76" spans="1:11" x14ac:dyDescent="0.2">
      <c r="A76" s="158"/>
      <c r="D76" s="10"/>
      <c r="E76" s="10"/>
      <c r="F76" s="10"/>
      <c r="G76" s="10"/>
      <c r="H76" s="10"/>
      <c r="J76" s="10"/>
      <c r="K76" s="10"/>
    </row>
    <row r="77" spans="1:11" x14ac:dyDescent="0.2">
      <c r="A77" s="158"/>
      <c r="D77" s="10"/>
      <c r="E77" s="10"/>
      <c r="F77" s="10"/>
      <c r="G77" s="10"/>
      <c r="H77" s="10"/>
      <c r="J77" s="10"/>
      <c r="K77" s="10"/>
    </row>
    <row r="78" spans="1:11" x14ac:dyDescent="0.2">
      <c r="A78" s="158"/>
      <c r="D78" s="10"/>
      <c r="E78" s="10"/>
      <c r="F78" s="10"/>
      <c r="G78" s="10"/>
      <c r="H78" s="10"/>
      <c r="J78" s="10"/>
      <c r="K78" s="10"/>
    </row>
    <row r="79" spans="1:11" x14ac:dyDescent="0.2">
      <c r="A79" s="158"/>
      <c r="D79" s="10"/>
      <c r="E79" s="10"/>
      <c r="F79" s="10"/>
      <c r="G79" s="10"/>
      <c r="H79" s="10"/>
      <c r="J79" s="10"/>
      <c r="K79" s="10"/>
    </row>
    <row r="80" spans="1:11" x14ac:dyDescent="0.2">
      <c r="A80" s="158"/>
      <c r="D80" s="10"/>
      <c r="E80" s="10"/>
      <c r="F80" s="10"/>
      <c r="G80" s="10"/>
      <c r="H80" s="10"/>
      <c r="J80" s="10"/>
      <c r="K80" s="10"/>
    </row>
    <row r="81" spans="1:11" x14ac:dyDescent="0.2">
      <c r="A81" s="158"/>
      <c r="D81" s="10"/>
      <c r="E81" s="10"/>
      <c r="F81" s="10"/>
      <c r="G81" s="10"/>
      <c r="H81" s="10"/>
      <c r="J81" s="10"/>
      <c r="K81" s="10"/>
    </row>
    <row r="82" spans="1:11" x14ac:dyDescent="0.2">
      <c r="A82" s="158"/>
      <c r="D82" s="10"/>
      <c r="E82" s="10"/>
      <c r="F82" s="10"/>
      <c r="G82" s="10"/>
      <c r="H82" s="10"/>
      <c r="J82" s="10"/>
      <c r="K82" s="10"/>
    </row>
    <row r="83" spans="1:11" x14ac:dyDescent="0.2">
      <c r="A83" s="158"/>
      <c r="D83" s="10"/>
      <c r="E83" s="10"/>
      <c r="F83" s="10"/>
      <c r="G83" s="10"/>
      <c r="H83" s="10"/>
      <c r="J83" s="10"/>
      <c r="K83" s="10"/>
    </row>
    <row r="84" spans="1:11" x14ac:dyDescent="0.2">
      <c r="A84" s="158"/>
      <c r="D84" s="10"/>
      <c r="E84" s="10"/>
      <c r="F84" s="10"/>
      <c r="G84" s="10"/>
      <c r="H84" s="10"/>
      <c r="J84" s="10"/>
      <c r="K84" s="10"/>
    </row>
    <row r="85" spans="1:11" x14ac:dyDescent="0.2">
      <c r="A85" s="158"/>
      <c r="D85" s="10"/>
      <c r="E85" s="10"/>
      <c r="F85" s="10"/>
      <c r="G85" s="10"/>
      <c r="H85" s="10"/>
      <c r="J85" s="10"/>
      <c r="K85" s="10"/>
    </row>
    <row r="86" spans="1:11" x14ac:dyDescent="0.2">
      <c r="A86" s="158"/>
      <c r="D86" s="10"/>
      <c r="E86" s="10"/>
      <c r="F86" s="10"/>
      <c r="G86" s="10"/>
      <c r="H86" s="10"/>
      <c r="J86" s="10"/>
      <c r="K86" s="10"/>
    </row>
    <row r="87" spans="1:11" x14ac:dyDescent="0.2">
      <c r="A87" s="158"/>
      <c r="D87" s="10"/>
      <c r="E87" s="10"/>
      <c r="F87" s="10"/>
      <c r="G87" s="10"/>
      <c r="H87" s="10"/>
      <c r="J87" s="10"/>
      <c r="K87" s="10"/>
    </row>
    <row r="88" spans="1:11" x14ac:dyDescent="0.2">
      <c r="A88" s="158"/>
      <c r="D88" s="10"/>
      <c r="E88" s="10"/>
      <c r="F88" s="10"/>
      <c r="G88" s="10"/>
      <c r="H88" s="10"/>
      <c r="J88" s="10"/>
      <c r="K88" s="10"/>
    </row>
    <row r="89" spans="1:11" x14ac:dyDescent="0.2">
      <c r="A89" s="158"/>
      <c r="D89" s="10"/>
      <c r="E89" s="10"/>
      <c r="F89" s="10"/>
      <c r="G89" s="10"/>
      <c r="H89" s="10"/>
      <c r="J89" s="10"/>
      <c r="K89" s="10"/>
    </row>
    <row r="90" spans="1:11" x14ac:dyDescent="0.2">
      <c r="A90" s="158"/>
      <c r="D90" s="10"/>
      <c r="E90" s="10"/>
      <c r="F90" s="10"/>
      <c r="G90" s="10"/>
      <c r="H90" s="10"/>
      <c r="J90" s="10"/>
      <c r="K90" s="10"/>
    </row>
    <row r="91" spans="1:11" x14ac:dyDescent="0.2">
      <c r="A91" s="158"/>
      <c r="D91" s="10"/>
      <c r="E91" s="10"/>
      <c r="F91" s="10"/>
      <c r="G91" s="10"/>
      <c r="H91" s="10"/>
      <c r="J91" s="10"/>
      <c r="K91" s="10"/>
    </row>
    <row r="92" spans="1:11" x14ac:dyDescent="0.2">
      <c r="A92" s="158"/>
      <c r="D92" s="10"/>
      <c r="E92" s="10"/>
      <c r="F92" s="10"/>
      <c r="G92" s="10"/>
      <c r="H92" s="10"/>
      <c r="J92" s="10"/>
      <c r="K92" s="10"/>
    </row>
    <row r="93" spans="1:11" x14ac:dyDescent="0.2">
      <c r="A93" s="158"/>
      <c r="D93" s="10"/>
      <c r="E93" s="10"/>
      <c r="F93" s="10"/>
      <c r="G93" s="10"/>
      <c r="H93" s="10"/>
      <c r="J93" s="10"/>
      <c r="K93" s="10"/>
    </row>
    <row r="94" spans="1:11" x14ac:dyDescent="0.2">
      <c r="A94" s="158"/>
      <c r="D94" s="10"/>
      <c r="E94" s="10"/>
      <c r="F94" s="10"/>
      <c r="G94" s="10"/>
      <c r="H94" s="10"/>
      <c r="J94" s="10"/>
      <c r="K94" s="10"/>
    </row>
    <row r="95" spans="1:11" x14ac:dyDescent="0.2">
      <c r="A95" s="158"/>
      <c r="D95" s="10"/>
      <c r="E95" s="10"/>
      <c r="F95" s="10"/>
      <c r="G95" s="10"/>
      <c r="H95" s="10"/>
      <c r="J95" s="10"/>
      <c r="K95" s="10"/>
    </row>
    <row r="96" spans="1:11" x14ac:dyDescent="0.2">
      <c r="A96" s="158"/>
      <c r="D96" s="10"/>
      <c r="E96" s="10"/>
      <c r="F96" s="10"/>
      <c r="G96" s="10"/>
      <c r="H96" s="10"/>
      <c r="J96" s="10"/>
      <c r="K96" s="10"/>
    </row>
    <row r="97" spans="1:11" x14ac:dyDescent="0.2">
      <c r="A97" s="158"/>
      <c r="D97" s="10"/>
      <c r="E97" s="10"/>
      <c r="F97" s="10"/>
      <c r="G97" s="10"/>
      <c r="H97" s="10"/>
      <c r="J97" s="10"/>
      <c r="K97" s="10"/>
    </row>
    <row r="98" spans="1:11" x14ac:dyDescent="0.2">
      <c r="A98" s="158"/>
      <c r="D98" s="10"/>
      <c r="E98" s="10"/>
      <c r="F98" s="10"/>
      <c r="G98" s="10"/>
      <c r="H98" s="10"/>
      <c r="J98" s="10"/>
      <c r="K98" s="10"/>
    </row>
    <row r="99" spans="1:11" x14ac:dyDescent="0.2">
      <c r="A99" s="158"/>
      <c r="D99" s="10"/>
      <c r="E99" s="10"/>
      <c r="F99" s="10"/>
      <c r="G99" s="10"/>
      <c r="H99" s="10"/>
      <c r="J99" s="10"/>
      <c r="K99" s="10"/>
    </row>
    <row r="100" spans="1:11" x14ac:dyDescent="0.2">
      <c r="A100" s="158"/>
      <c r="D100" s="10"/>
      <c r="E100" s="10"/>
      <c r="F100" s="10"/>
      <c r="G100" s="10"/>
      <c r="H100" s="10"/>
      <c r="J100" s="10"/>
      <c r="K100" s="10"/>
    </row>
    <row r="101" spans="1:11" x14ac:dyDescent="0.2">
      <c r="A101" s="158"/>
      <c r="D101" s="10"/>
      <c r="E101" s="10"/>
      <c r="F101" s="10"/>
      <c r="G101" s="10"/>
      <c r="H101" s="10"/>
      <c r="J101" s="10"/>
      <c r="K101" s="10"/>
    </row>
    <row r="102" spans="1:11" x14ac:dyDescent="0.2">
      <c r="A102" s="158"/>
      <c r="D102" s="10"/>
      <c r="E102" s="10"/>
      <c r="F102" s="10"/>
      <c r="G102" s="10"/>
      <c r="H102" s="10"/>
      <c r="J102" s="10"/>
      <c r="K102" s="10"/>
    </row>
    <row r="103" spans="1:11" x14ac:dyDescent="0.2">
      <c r="A103" s="158"/>
      <c r="D103" s="10"/>
      <c r="E103" s="10"/>
      <c r="F103" s="10"/>
      <c r="G103" s="10"/>
      <c r="H103" s="10"/>
      <c r="J103" s="10"/>
      <c r="K103" s="10"/>
    </row>
    <row r="104" spans="1:11" x14ac:dyDescent="0.2">
      <c r="A104" s="158"/>
      <c r="D104" s="10"/>
      <c r="E104" s="10"/>
      <c r="F104" s="10"/>
      <c r="G104" s="10"/>
      <c r="H104" s="10"/>
      <c r="J104" s="10"/>
      <c r="K104" s="10"/>
    </row>
    <row r="105" spans="1:11" x14ac:dyDescent="0.2">
      <c r="A105" s="158"/>
      <c r="D105" s="10"/>
      <c r="E105" s="10"/>
      <c r="F105" s="10"/>
      <c r="G105" s="10"/>
      <c r="H105" s="10"/>
      <c r="J105" s="10"/>
      <c r="K105" s="10"/>
    </row>
    <row r="106" spans="1:11" x14ac:dyDescent="0.2">
      <c r="A106" s="158"/>
      <c r="D106" s="10"/>
      <c r="E106" s="10"/>
      <c r="F106" s="10"/>
      <c r="G106" s="10"/>
      <c r="H106" s="10"/>
      <c r="J106" s="10"/>
      <c r="K106" s="10"/>
    </row>
    <row r="107" spans="1:11" x14ac:dyDescent="0.2">
      <c r="A107" s="158"/>
      <c r="D107" s="10"/>
      <c r="E107" s="10"/>
      <c r="F107" s="10"/>
      <c r="G107" s="10"/>
      <c r="H107" s="10"/>
      <c r="J107" s="10"/>
      <c r="K107" s="10"/>
    </row>
    <row r="108" spans="1:11" x14ac:dyDescent="0.2">
      <c r="A108" s="158"/>
      <c r="D108" s="10"/>
      <c r="E108" s="10"/>
      <c r="F108" s="10"/>
      <c r="G108" s="10"/>
      <c r="H108" s="10"/>
      <c r="J108" s="10"/>
      <c r="K108" s="10"/>
    </row>
    <row r="109" spans="1:11" x14ac:dyDescent="0.2">
      <c r="A109" s="158"/>
      <c r="D109" s="10"/>
      <c r="E109" s="10"/>
      <c r="F109" s="10"/>
      <c r="G109" s="10"/>
      <c r="H109" s="10"/>
      <c r="J109" s="10"/>
      <c r="K109" s="10"/>
    </row>
    <row r="110" spans="1:11" x14ac:dyDescent="0.2">
      <c r="A110" s="158"/>
      <c r="D110" s="10"/>
      <c r="E110" s="10"/>
      <c r="F110" s="10"/>
      <c r="G110" s="10"/>
      <c r="H110" s="10"/>
      <c r="J110" s="10"/>
      <c r="K110" s="10"/>
    </row>
    <row r="111" spans="1:11" x14ac:dyDescent="0.2">
      <c r="A111" s="158"/>
      <c r="D111" s="10"/>
      <c r="E111" s="10"/>
      <c r="F111" s="10"/>
      <c r="G111" s="10"/>
      <c r="H111" s="10"/>
      <c r="J111" s="10"/>
      <c r="K111" s="10"/>
    </row>
    <row r="112" spans="1:11" x14ac:dyDescent="0.2">
      <c r="A112" s="158"/>
      <c r="D112" s="10"/>
      <c r="E112" s="10"/>
      <c r="F112" s="10"/>
      <c r="G112" s="10"/>
      <c r="H112" s="10"/>
      <c r="J112" s="10"/>
      <c r="K112" s="10"/>
    </row>
    <row r="113" spans="1:11" x14ac:dyDescent="0.2">
      <c r="A113" s="158"/>
      <c r="D113" s="10"/>
      <c r="E113" s="10"/>
      <c r="F113" s="10"/>
      <c r="G113" s="10"/>
      <c r="H113" s="10"/>
      <c r="J113" s="10"/>
      <c r="K113" s="10"/>
    </row>
    <row r="114" spans="1:11" x14ac:dyDescent="0.2">
      <c r="A114" s="158"/>
      <c r="D114" s="10"/>
      <c r="E114" s="10"/>
      <c r="F114" s="10"/>
      <c r="G114" s="10"/>
      <c r="H114" s="10"/>
      <c r="J114" s="10"/>
      <c r="K114" s="10"/>
    </row>
    <row r="115" spans="1:11" x14ac:dyDescent="0.2">
      <c r="A115" s="158"/>
      <c r="D115" s="10"/>
      <c r="E115" s="10"/>
      <c r="F115" s="10"/>
      <c r="G115" s="10"/>
      <c r="H115" s="10"/>
      <c r="J115" s="10"/>
      <c r="K115" s="10"/>
    </row>
    <row r="116" spans="1:11" x14ac:dyDescent="0.2">
      <c r="A116" s="158"/>
      <c r="D116" s="10"/>
      <c r="E116" s="10"/>
      <c r="F116" s="10"/>
      <c r="G116" s="10"/>
      <c r="H116" s="10"/>
      <c r="J116" s="10"/>
      <c r="K116" s="10"/>
    </row>
    <row r="117" spans="1:11" x14ac:dyDescent="0.2">
      <c r="A117" s="158"/>
      <c r="D117" s="10"/>
      <c r="E117" s="10"/>
      <c r="F117" s="10"/>
      <c r="G117" s="10"/>
      <c r="H117" s="10"/>
      <c r="J117" s="10"/>
      <c r="K117" s="10"/>
    </row>
    <row r="118" spans="1:11" x14ac:dyDescent="0.2">
      <c r="A118" s="158"/>
      <c r="D118" s="10"/>
      <c r="E118" s="10"/>
      <c r="F118" s="10"/>
      <c r="G118" s="10"/>
      <c r="H118" s="10"/>
      <c r="J118" s="10"/>
      <c r="K118" s="10"/>
    </row>
    <row r="119" spans="1:11" x14ac:dyDescent="0.2">
      <c r="A119" s="158"/>
      <c r="D119" s="10"/>
      <c r="E119" s="10"/>
      <c r="F119" s="10"/>
      <c r="G119" s="10"/>
      <c r="H119" s="10"/>
      <c r="J119" s="10"/>
      <c r="K119" s="10"/>
    </row>
    <row r="120" spans="1:11" x14ac:dyDescent="0.2">
      <c r="A120" s="158"/>
      <c r="D120" s="10"/>
      <c r="E120" s="10"/>
      <c r="F120" s="10"/>
      <c r="G120" s="10"/>
      <c r="H120" s="10"/>
      <c r="J120" s="10"/>
      <c r="K120" s="10"/>
    </row>
    <row r="121" spans="1:11" x14ac:dyDescent="0.2">
      <c r="A121" s="158"/>
      <c r="D121" s="10"/>
      <c r="E121" s="10"/>
      <c r="F121" s="10"/>
      <c r="G121" s="10"/>
      <c r="H121" s="10"/>
      <c r="J121" s="10"/>
      <c r="K121" s="10"/>
    </row>
    <row r="122" spans="1:11" x14ac:dyDescent="0.2">
      <c r="A122" s="158"/>
      <c r="D122" s="10"/>
      <c r="E122" s="10"/>
      <c r="F122" s="10"/>
      <c r="G122" s="10"/>
      <c r="H122" s="10"/>
      <c r="J122" s="10"/>
      <c r="K122" s="10"/>
    </row>
    <row r="123" spans="1:11" x14ac:dyDescent="0.2">
      <c r="A123" s="158"/>
      <c r="D123" s="10"/>
      <c r="E123" s="10"/>
      <c r="F123" s="10"/>
      <c r="G123" s="10"/>
      <c r="H123" s="10"/>
      <c r="J123" s="10"/>
      <c r="K123" s="10"/>
    </row>
    <row r="124" spans="1:11" x14ac:dyDescent="0.2">
      <c r="A124" s="158"/>
      <c r="D124" s="10"/>
      <c r="E124" s="10"/>
      <c r="F124" s="10"/>
      <c r="G124" s="10"/>
      <c r="H124" s="10"/>
      <c r="J124" s="10"/>
      <c r="K124" s="10"/>
    </row>
    <row r="125" spans="1:11" x14ac:dyDescent="0.2">
      <c r="A125" s="158"/>
      <c r="D125" s="10"/>
      <c r="E125" s="10"/>
      <c r="F125" s="10"/>
      <c r="G125" s="10"/>
      <c r="H125" s="10"/>
      <c r="J125" s="10"/>
      <c r="K125" s="10"/>
    </row>
    <row r="126" spans="1:11" x14ac:dyDescent="0.2">
      <c r="A126" s="158"/>
      <c r="D126" s="10"/>
      <c r="E126" s="10"/>
      <c r="F126" s="10"/>
      <c r="G126" s="10"/>
      <c r="H126" s="10"/>
      <c r="J126" s="10"/>
      <c r="K126" s="10"/>
    </row>
    <row r="127" spans="1:11" x14ac:dyDescent="0.2">
      <c r="A127" s="158"/>
      <c r="D127" s="10"/>
      <c r="E127" s="10"/>
      <c r="F127" s="10"/>
      <c r="G127" s="10"/>
      <c r="H127" s="10"/>
      <c r="J127" s="10"/>
      <c r="K127" s="10"/>
    </row>
    <row r="128" spans="1:11" x14ac:dyDescent="0.2">
      <c r="A128" s="158"/>
      <c r="D128" s="10"/>
      <c r="E128" s="10"/>
      <c r="F128" s="10"/>
      <c r="G128" s="10"/>
      <c r="H128" s="10"/>
      <c r="J128" s="10"/>
      <c r="K128" s="10"/>
    </row>
    <row r="129" spans="1:11" x14ac:dyDescent="0.2">
      <c r="A129" s="158"/>
      <c r="D129" s="10"/>
      <c r="E129" s="10"/>
      <c r="F129" s="10"/>
      <c r="G129" s="10"/>
      <c r="H129" s="10"/>
      <c r="J129" s="10"/>
      <c r="K129" s="10"/>
    </row>
    <row r="130" spans="1:11" x14ac:dyDescent="0.2">
      <c r="A130" s="158"/>
      <c r="D130" s="10"/>
      <c r="E130" s="10"/>
      <c r="F130" s="10"/>
      <c r="G130" s="10"/>
      <c r="H130" s="10"/>
      <c r="J130" s="10"/>
      <c r="K130" s="10"/>
    </row>
    <row r="131" spans="1:11" x14ac:dyDescent="0.2">
      <c r="A131" s="158"/>
      <c r="D131" s="10"/>
      <c r="E131" s="10"/>
      <c r="F131" s="10"/>
      <c r="G131" s="10"/>
      <c r="H131" s="10"/>
      <c r="J131" s="10"/>
      <c r="K131" s="10"/>
    </row>
    <row r="132" spans="1:11" x14ac:dyDescent="0.2">
      <c r="A132" s="158"/>
      <c r="D132" s="10"/>
      <c r="E132" s="10"/>
      <c r="F132" s="10"/>
      <c r="G132" s="10"/>
      <c r="H132" s="10"/>
      <c r="J132" s="10"/>
      <c r="K132" s="10"/>
    </row>
    <row r="133" spans="1:11" x14ac:dyDescent="0.2">
      <c r="A133" s="158"/>
      <c r="D133" s="10"/>
      <c r="E133" s="10"/>
      <c r="F133" s="10"/>
      <c r="G133" s="10"/>
      <c r="H133" s="10"/>
      <c r="J133" s="10"/>
      <c r="K133" s="10"/>
    </row>
    <row r="134" spans="1:11" x14ac:dyDescent="0.2">
      <c r="A134" s="158"/>
      <c r="D134" s="10"/>
      <c r="E134" s="10"/>
      <c r="F134" s="10"/>
      <c r="G134" s="10"/>
      <c r="H134" s="10"/>
      <c r="J134" s="10"/>
      <c r="K134" s="10"/>
    </row>
    <row r="135" spans="1:11" x14ac:dyDescent="0.2">
      <c r="A135" s="158"/>
      <c r="D135" s="10"/>
      <c r="E135" s="10"/>
      <c r="F135" s="10"/>
      <c r="G135" s="10"/>
      <c r="H135" s="10"/>
      <c r="J135" s="10"/>
      <c r="K135" s="10"/>
    </row>
    <row r="136" spans="1:11" x14ac:dyDescent="0.2">
      <c r="A136" s="158"/>
      <c r="D136" s="10"/>
      <c r="E136" s="10"/>
      <c r="F136" s="10"/>
      <c r="G136" s="10"/>
      <c r="H136" s="10"/>
      <c r="J136" s="10"/>
      <c r="K136" s="10"/>
    </row>
    <row r="137" spans="1:11" x14ac:dyDescent="0.2">
      <c r="A137" s="158"/>
      <c r="D137" s="10"/>
      <c r="E137" s="10"/>
      <c r="F137" s="10"/>
      <c r="G137" s="10"/>
      <c r="H137" s="10"/>
      <c r="J137" s="10"/>
      <c r="K137" s="10"/>
    </row>
    <row r="138" spans="1:11" x14ac:dyDescent="0.2">
      <c r="A138" s="158"/>
      <c r="D138" s="10"/>
      <c r="E138" s="10"/>
      <c r="F138" s="10"/>
      <c r="G138" s="10"/>
      <c r="H138" s="10"/>
      <c r="J138" s="10"/>
      <c r="K138" s="10"/>
    </row>
    <row r="139" spans="1:11" x14ac:dyDescent="0.2">
      <c r="A139" s="158"/>
      <c r="D139" s="10"/>
      <c r="E139" s="10"/>
      <c r="F139" s="10"/>
      <c r="G139" s="10"/>
      <c r="H139" s="10"/>
      <c r="J139" s="10"/>
      <c r="K139" s="10"/>
    </row>
    <row r="140" spans="1:11" x14ac:dyDescent="0.2">
      <c r="A140" s="158"/>
      <c r="D140" s="10"/>
      <c r="E140" s="10"/>
      <c r="F140" s="10"/>
      <c r="G140" s="10"/>
      <c r="H140" s="10"/>
      <c r="J140" s="10"/>
      <c r="K140" s="10"/>
    </row>
    <row r="141" spans="1:11" x14ac:dyDescent="0.2">
      <c r="A141" s="158"/>
      <c r="D141" s="10"/>
      <c r="E141" s="10"/>
      <c r="F141" s="10"/>
      <c r="G141" s="10"/>
      <c r="H141" s="10"/>
      <c r="J141" s="10"/>
      <c r="K141" s="10"/>
    </row>
    <row r="142" spans="1:11" x14ac:dyDescent="0.2">
      <c r="A142" s="158"/>
      <c r="D142" s="10"/>
      <c r="E142" s="10"/>
      <c r="F142" s="10"/>
      <c r="G142" s="10"/>
      <c r="H142" s="10"/>
      <c r="J142" s="10"/>
      <c r="K142" s="10"/>
    </row>
    <row r="143" spans="1:11" x14ac:dyDescent="0.2">
      <c r="A143" s="158"/>
      <c r="D143" s="10"/>
      <c r="E143" s="10"/>
      <c r="F143" s="10"/>
      <c r="G143" s="10"/>
      <c r="H143" s="10"/>
      <c r="J143" s="10"/>
      <c r="K143" s="10"/>
    </row>
    <row r="144" spans="1:11" x14ac:dyDescent="0.2">
      <c r="A144" s="158"/>
      <c r="D144" s="10"/>
      <c r="E144" s="10"/>
      <c r="F144" s="10"/>
      <c r="G144" s="10"/>
      <c r="H144" s="10"/>
      <c r="J144" s="10"/>
      <c r="K144" s="10"/>
    </row>
    <row r="145" spans="1:11" x14ac:dyDescent="0.2">
      <c r="A145" s="158"/>
      <c r="D145" s="10"/>
      <c r="E145" s="10"/>
      <c r="F145" s="10"/>
      <c r="G145" s="10"/>
      <c r="H145" s="10"/>
      <c r="J145" s="10"/>
      <c r="K145" s="10"/>
    </row>
    <row r="146" spans="1:11" x14ac:dyDescent="0.2">
      <c r="A146" s="158"/>
      <c r="D146" s="10"/>
      <c r="E146" s="10"/>
      <c r="F146" s="10"/>
      <c r="G146" s="10"/>
      <c r="H146" s="10"/>
      <c r="J146" s="10"/>
      <c r="K146" s="10"/>
    </row>
    <row r="147" spans="1:11" x14ac:dyDescent="0.2">
      <c r="A147" s="158"/>
      <c r="D147" s="10"/>
      <c r="E147" s="10"/>
      <c r="F147" s="10"/>
      <c r="G147" s="10"/>
      <c r="H147" s="10"/>
      <c r="J147" s="10"/>
      <c r="K147" s="10"/>
    </row>
    <row r="148" spans="1:11" x14ac:dyDescent="0.2">
      <c r="A148" s="158"/>
      <c r="D148" s="10"/>
      <c r="E148" s="10"/>
      <c r="F148" s="10"/>
      <c r="G148" s="10"/>
      <c r="H148" s="10"/>
      <c r="J148" s="10"/>
      <c r="K148" s="10"/>
    </row>
    <row r="149" spans="1:11" x14ac:dyDescent="0.2">
      <c r="A149" s="158"/>
      <c r="D149" s="10"/>
      <c r="E149" s="10"/>
      <c r="F149" s="10"/>
      <c r="G149" s="10"/>
      <c r="H149" s="10"/>
      <c r="J149" s="10"/>
      <c r="K149" s="10"/>
    </row>
    <row r="150" spans="1:11" x14ac:dyDescent="0.2">
      <c r="A150" s="158"/>
      <c r="D150" s="10"/>
      <c r="E150" s="10"/>
      <c r="F150" s="10"/>
      <c r="G150" s="10"/>
      <c r="H150" s="10"/>
      <c r="J150" s="10"/>
      <c r="K150" s="10"/>
    </row>
    <row r="151" spans="1:11" x14ac:dyDescent="0.2">
      <c r="A151" s="158"/>
      <c r="D151" s="10"/>
      <c r="E151" s="10"/>
      <c r="F151" s="10"/>
      <c r="G151" s="10"/>
      <c r="H151" s="10"/>
      <c r="J151" s="10"/>
      <c r="K151" s="10"/>
    </row>
    <row r="152" spans="1:11" x14ac:dyDescent="0.2">
      <c r="A152" s="158"/>
      <c r="D152" s="10"/>
      <c r="E152" s="10"/>
      <c r="F152" s="10"/>
      <c r="G152" s="10"/>
      <c r="H152" s="10"/>
      <c r="J152" s="10"/>
      <c r="K152" s="10"/>
    </row>
    <row r="153" spans="1:11" x14ac:dyDescent="0.2">
      <c r="A153" s="158"/>
      <c r="D153" s="10"/>
      <c r="E153" s="10"/>
      <c r="F153" s="10"/>
      <c r="G153" s="10"/>
      <c r="H153" s="10"/>
      <c r="J153" s="10"/>
      <c r="K153" s="10"/>
    </row>
    <row r="154" spans="1:11" x14ac:dyDescent="0.2">
      <c r="A154" s="158"/>
      <c r="D154" s="10"/>
      <c r="E154" s="10"/>
      <c r="F154" s="10"/>
      <c r="G154" s="10"/>
      <c r="H154" s="10"/>
      <c r="J154" s="10"/>
      <c r="K154" s="10"/>
    </row>
    <row r="155" spans="1:11" x14ac:dyDescent="0.2">
      <c r="A155" s="158"/>
      <c r="D155" s="10"/>
      <c r="E155" s="10"/>
      <c r="F155" s="10"/>
      <c r="G155" s="10"/>
      <c r="H155" s="10"/>
      <c r="J155" s="10"/>
      <c r="K155" s="10"/>
    </row>
    <row r="156" spans="1:11" x14ac:dyDescent="0.2">
      <c r="A156" s="158"/>
      <c r="D156" s="10"/>
      <c r="E156" s="10"/>
      <c r="F156" s="10"/>
      <c r="G156" s="10"/>
      <c r="H156" s="10"/>
      <c r="J156" s="10"/>
      <c r="K156" s="10"/>
    </row>
    <row r="157" spans="1:11" x14ac:dyDescent="0.2">
      <c r="A157" s="158"/>
      <c r="D157" s="10"/>
      <c r="E157" s="10"/>
      <c r="F157" s="10"/>
      <c r="G157" s="10"/>
      <c r="H157" s="10"/>
      <c r="J157" s="10"/>
      <c r="K157" s="10"/>
    </row>
    <row r="158" spans="1:11" x14ac:dyDescent="0.2">
      <c r="A158" s="158"/>
      <c r="D158" s="10"/>
      <c r="E158" s="10"/>
      <c r="F158" s="10"/>
      <c r="G158" s="10"/>
      <c r="H158" s="10"/>
      <c r="J158" s="10"/>
      <c r="K158" s="10"/>
    </row>
    <row r="159" spans="1:11" x14ac:dyDescent="0.2">
      <c r="A159" s="158"/>
      <c r="D159" s="10"/>
      <c r="E159" s="10"/>
      <c r="F159" s="10"/>
      <c r="G159" s="10"/>
      <c r="H159" s="10"/>
      <c r="J159" s="10"/>
      <c r="K159" s="10"/>
    </row>
    <row r="160" spans="1:11" x14ac:dyDescent="0.2">
      <c r="A160" s="158"/>
      <c r="D160" s="10"/>
      <c r="E160" s="10"/>
      <c r="F160" s="10"/>
      <c r="G160" s="10"/>
      <c r="H160" s="10"/>
      <c r="J160" s="10"/>
      <c r="K160" s="10"/>
    </row>
    <row r="161" spans="1:11" x14ac:dyDescent="0.2">
      <c r="A161" s="158"/>
      <c r="D161" s="10"/>
      <c r="E161" s="10"/>
      <c r="F161" s="10"/>
      <c r="G161" s="10"/>
      <c r="H161" s="10"/>
      <c r="J161" s="10"/>
      <c r="K161" s="10"/>
    </row>
    <row r="162" spans="1:11" x14ac:dyDescent="0.2">
      <c r="A162" s="158"/>
      <c r="D162" s="10"/>
      <c r="E162" s="10"/>
      <c r="F162" s="10"/>
      <c r="G162" s="10"/>
      <c r="H162" s="10"/>
      <c r="J162" s="10"/>
      <c r="K162" s="10"/>
    </row>
    <row r="163" spans="1:11" x14ac:dyDescent="0.2">
      <c r="A163" s="158"/>
      <c r="D163" s="10"/>
      <c r="E163" s="10"/>
      <c r="F163" s="10"/>
      <c r="G163" s="10"/>
      <c r="H163" s="10"/>
      <c r="J163" s="10"/>
      <c r="K163" s="10"/>
    </row>
    <row r="164" spans="1:11" x14ac:dyDescent="0.2">
      <c r="A164" s="158"/>
      <c r="D164" s="10"/>
      <c r="E164" s="10"/>
      <c r="F164" s="10"/>
      <c r="G164" s="10"/>
      <c r="H164" s="10"/>
      <c r="J164" s="10"/>
      <c r="K164" s="10"/>
    </row>
    <row r="165" spans="1:11" x14ac:dyDescent="0.2">
      <c r="A165" s="158"/>
      <c r="D165" s="10"/>
      <c r="E165" s="10"/>
      <c r="F165" s="10"/>
      <c r="G165" s="10"/>
      <c r="H165" s="10"/>
      <c r="J165" s="10"/>
      <c r="K165" s="10"/>
    </row>
    <row r="166" spans="1:11" x14ac:dyDescent="0.2">
      <c r="A166" s="158"/>
      <c r="D166" s="10"/>
      <c r="E166" s="10"/>
      <c r="F166" s="10"/>
      <c r="G166" s="10"/>
      <c r="H166" s="10"/>
      <c r="J166" s="10"/>
      <c r="K166" s="10"/>
    </row>
    <row r="167" spans="1:11" x14ac:dyDescent="0.2">
      <c r="A167" s="158"/>
      <c r="D167" s="10"/>
      <c r="E167" s="10"/>
      <c r="F167" s="10"/>
      <c r="G167" s="10"/>
      <c r="H167" s="10"/>
      <c r="J167" s="10"/>
      <c r="K167" s="10"/>
    </row>
    <row r="168" spans="1:11" x14ac:dyDescent="0.2">
      <c r="A168" s="158"/>
      <c r="D168" s="10"/>
      <c r="E168" s="10"/>
      <c r="F168" s="10"/>
      <c r="G168" s="10"/>
      <c r="H168" s="10"/>
      <c r="J168" s="10"/>
      <c r="K168" s="10"/>
    </row>
    <row r="169" spans="1:11" x14ac:dyDescent="0.2">
      <c r="A169" s="158"/>
      <c r="D169" s="10"/>
      <c r="E169" s="10"/>
      <c r="F169" s="10"/>
      <c r="G169" s="10"/>
      <c r="H169" s="10"/>
      <c r="J169" s="10"/>
      <c r="K169" s="10"/>
    </row>
    <row r="170" spans="1:11" x14ac:dyDescent="0.2">
      <c r="A170" s="158"/>
      <c r="D170" s="10"/>
      <c r="E170" s="10"/>
      <c r="F170" s="10"/>
      <c r="G170" s="10"/>
      <c r="H170" s="10"/>
      <c r="J170" s="10"/>
      <c r="K170" s="10"/>
    </row>
    <row r="171" spans="1:11" x14ac:dyDescent="0.2">
      <c r="A171" s="158"/>
      <c r="D171" s="10"/>
      <c r="E171" s="10"/>
      <c r="F171" s="10"/>
      <c r="G171" s="10"/>
      <c r="H171" s="10"/>
      <c r="J171" s="10"/>
      <c r="K171" s="10"/>
    </row>
    <row r="172" spans="1:11" x14ac:dyDescent="0.2">
      <c r="A172" s="158"/>
      <c r="D172" s="10"/>
      <c r="E172" s="10"/>
      <c r="F172" s="10"/>
      <c r="G172" s="10"/>
      <c r="H172" s="10"/>
      <c r="J172" s="10"/>
      <c r="K172" s="10"/>
    </row>
    <row r="173" spans="1:11" x14ac:dyDescent="0.2">
      <c r="A173" s="158"/>
      <c r="D173" s="10"/>
      <c r="E173" s="10"/>
      <c r="F173" s="10"/>
      <c r="G173" s="10"/>
      <c r="H173" s="10"/>
      <c r="J173" s="10"/>
      <c r="K173" s="10"/>
    </row>
    <row r="174" spans="1:11" x14ac:dyDescent="0.2">
      <c r="A174" s="158"/>
      <c r="D174" s="10"/>
      <c r="E174" s="10"/>
      <c r="F174" s="10"/>
      <c r="G174" s="10"/>
      <c r="H174" s="10"/>
      <c r="J174" s="10"/>
      <c r="K174" s="10"/>
    </row>
    <row r="175" spans="1:11" x14ac:dyDescent="0.2">
      <c r="A175" s="158"/>
      <c r="D175" s="10"/>
      <c r="E175" s="10"/>
      <c r="F175" s="10"/>
      <c r="G175" s="10"/>
      <c r="H175" s="10"/>
      <c r="J175" s="10"/>
      <c r="K175" s="10"/>
    </row>
    <row r="176" spans="1:11" x14ac:dyDescent="0.2">
      <c r="A176" s="158"/>
      <c r="D176" s="10"/>
      <c r="E176" s="10"/>
      <c r="F176" s="10"/>
      <c r="G176" s="10"/>
      <c r="H176" s="10"/>
      <c r="J176" s="10"/>
      <c r="K176" s="10"/>
    </row>
    <row r="177" spans="1:11" x14ac:dyDescent="0.2">
      <c r="A177" s="158"/>
      <c r="D177" s="10"/>
      <c r="E177" s="10"/>
      <c r="F177" s="10"/>
      <c r="G177" s="10"/>
      <c r="H177" s="10"/>
      <c r="J177" s="10"/>
      <c r="K177" s="10"/>
    </row>
    <row r="178" spans="1:11" x14ac:dyDescent="0.2">
      <c r="A178" s="158"/>
      <c r="D178" s="10"/>
      <c r="E178" s="10"/>
      <c r="F178" s="10"/>
      <c r="G178" s="10"/>
      <c r="H178" s="10"/>
      <c r="J178" s="10"/>
      <c r="K178" s="10"/>
    </row>
    <row r="179" spans="1:11" x14ac:dyDescent="0.2">
      <c r="A179" s="158"/>
      <c r="D179" s="10"/>
      <c r="E179" s="10"/>
      <c r="F179" s="10"/>
      <c r="G179" s="10"/>
      <c r="H179" s="10"/>
      <c r="J179" s="10"/>
      <c r="K179" s="10"/>
    </row>
    <row r="180" spans="1:11" x14ac:dyDescent="0.2">
      <c r="A180" s="158"/>
      <c r="D180" s="10"/>
      <c r="E180" s="10"/>
      <c r="F180" s="10"/>
      <c r="G180" s="10"/>
      <c r="H180" s="10"/>
      <c r="J180" s="10"/>
      <c r="K180" s="10"/>
    </row>
    <row r="181" spans="1:11" x14ac:dyDescent="0.2">
      <c r="A181" s="158"/>
      <c r="D181" s="10"/>
      <c r="E181" s="10"/>
      <c r="F181" s="10"/>
      <c r="G181" s="10"/>
      <c r="H181" s="10"/>
      <c r="J181" s="10"/>
      <c r="K181" s="10"/>
    </row>
    <row r="182" spans="1:11" x14ac:dyDescent="0.2">
      <c r="A182" s="158"/>
      <c r="D182" s="10"/>
      <c r="E182" s="10"/>
      <c r="F182" s="10"/>
      <c r="G182" s="10"/>
      <c r="H182" s="10"/>
      <c r="J182" s="10"/>
      <c r="K182" s="10"/>
    </row>
    <row r="183" spans="1:11" x14ac:dyDescent="0.2">
      <c r="A183" s="158"/>
      <c r="D183" s="10"/>
      <c r="E183" s="10"/>
      <c r="F183" s="10"/>
      <c r="G183" s="10"/>
      <c r="H183" s="10"/>
      <c r="J183" s="10"/>
      <c r="K183" s="10"/>
    </row>
    <row r="184" spans="1:11" x14ac:dyDescent="0.2">
      <c r="A184" s="158"/>
      <c r="D184" s="10"/>
      <c r="E184" s="10"/>
      <c r="F184" s="10"/>
      <c r="G184" s="10"/>
      <c r="H184" s="10"/>
      <c r="J184" s="10"/>
      <c r="K184" s="10"/>
    </row>
    <row r="185" spans="1:11" x14ac:dyDescent="0.2">
      <c r="A185" s="158"/>
      <c r="D185" s="10"/>
      <c r="E185" s="10"/>
      <c r="F185" s="10"/>
      <c r="G185" s="10"/>
      <c r="H185" s="10"/>
      <c r="J185" s="10"/>
      <c r="K185" s="10"/>
    </row>
    <row r="186" spans="1:11" x14ac:dyDescent="0.2">
      <c r="A186" s="158"/>
      <c r="D186" s="10"/>
      <c r="E186" s="10"/>
      <c r="F186" s="10"/>
      <c r="G186" s="10"/>
      <c r="H186" s="10"/>
      <c r="J186" s="10"/>
      <c r="K186" s="10"/>
    </row>
    <row r="187" spans="1:11" x14ac:dyDescent="0.2">
      <c r="A187" s="158"/>
      <c r="D187" s="10"/>
      <c r="E187" s="10"/>
      <c r="F187" s="10"/>
      <c r="G187" s="10"/>
      <c r="H187" s="10"/>
      <c r="J187" s="10"/>
      <c r="K187" s="10"/>
    </row>
    <row r="188" spans="1:11" x14ac:dyDescent="0.2">
      <c r="A188" s="158"/>
      <c r="D188" s="10"/>
      <c r="E188" s="10"/>
      <c r="F188" s="10"/>
      <c r="G188" s="10"/>
      <c r="H188" s="10"/>
      <c r="J188" s="10"/>
      <c r="K188" s="10"/>
    </row>
    <row r="189" spans="1:11" x14ac:dyDescent="0.2">
      <c r="A189" s="158"/>
      <c r="D189" s="10"/>
      <c r="E189" s="10"/>
      <c r="F189" s="10"/>
      <c r="G189" s="10"/>
      <c r="H189" s="10"/>
      <c r="J189" s="10"/>
      <c r="K189" s="10"/>
    </row>
    <row r="190" spans="1:11" x14ac:dyDescent="0.2">
      <c r="A190" s="158"/>
      <c r="D190" s="10"/>
      <c r="E190" s="10"/>
      <c r="F190" s="10"/>
      <c r="G190" s="10"/>
      <c r="H190" s="10"/>
      <c r="J190" s="10"/>
      <c r="K190" s="10"/>
    </row>
    <row r="191" spans="1:11" x14ac:dyDescent="0.2">
      <c r="A191" s="158"/>
      <c r="D191" s="10"/>
      <c r="E191" s="10"/>
      <c r="F191" s="10"/>
      <c r="G191" s="10"/>
      <c r="H191" s="10"/>
      <c r="J191" s="10"/>
      <c r="K191" s="10"/>
    </row>
    <row r="192" spans="1:11" x14ac:dyDescent="0.2">
      <c r="A192" s="158"/>
      <c r="D192" s="10"/>
      <c r="E192" s="10"/>
      <c r="F192" s="10"/>
      <c r="G192" s="10"/>
      <c r="H192" s="10"/>
      <c r="J192" s="10"/>
      <c r="K192" s="10"/>
    </row>
    <row r="193" spans="1:11" x14ac:dyDescent="0.2">
      <c r="A193" s="158"/>
      <c r="D193" s="10"/>
      <c r="E193" s="10"/>
      <c r="F193" s="10"/>
      <c r="G193" s="10"/>
      <c r="H193" s="10"/>
      <c r="J193" s="10"/>
      <c r="K193" s="10"/>
    </row>
    <row r="194" spans="1:11" x14ac:dyDescent="0.2">
      <c r="A194" s="158"/>
      <c r="D194" s="10"/>
      <c r="E194" s="10"/>
      <c r="F194" s="10"/>
      <c r="G194" s="10"/>
      <c r="H194" s="10"/>
      <c r="J194" s="10"/>
      <c r="K194" s="10"/>
    </row>
    <row r="195" spans="1:11" x14ac:dyDescent="0.2">
      <c r="A195" s="158"/>
      <c r="D195" s="10"/>
      <c r="E195" s="10"/>
      <c r="F195" s="10"/>
      <c r="G195" s="10"/>
      <c r="H195" s="10"/>
      <c r="J195" s="10"/>
      <c r="K195" s="10"/>
    </row>
    <row r="196" spans="1:11" x14ac:dyDescent="0.2">
      <c r="A196" s="158"/>
      <c r="D196" s="10"/>
      <c r="E196" s="10"/>
      <c r="F196" s="10"/>
      <c r="G196" s="10"/>
      <c r="H196" s="10"/>
      <c r="J196" s="10"/>
      <c r="K196" s="10"/>
    </row>
    <row r="197" spans="1:11" x14ac:dyDescent="0.2">
      <c r="A197" s="158"/>
      <c r="D197" s="10"/>
      <c r="E197" s="10"/>
      <c r="F197" s="10"/>
      <c r="G197" s="10"/>
      <c r="H197" s="10"/>
      <c r="J197" s="10"/>
      <c r="K197" s="10"/>
    </row>
    <row r="198" spans="1:11" x14ac:dyDescent="0.2">
      <c r="D198" s="10"/>
      <c r="E198" s="10"/>
      <c r="F198" s="10"/>
      <c r="G198" s="10"/>
      <c r="H198" s="10"/>
      <c r="J198" s="10"/>
      <c r="K198" s="10"/>
    </row>
  </sheetData>
  <mergeCells count="3">
    <mergeCell ref="B49:M49"/>
    <mergeCell ref="C35:F35"/>
    <mergeCell ref="C36:F36"/>
  </mergeCells>
  <printOptions horizontalCentered="1"/>
  <pageMargins left="0.7" right="0.7" top="0.75" bottom="0.75" header="0.3" footer="0.3"/>
  <pageSetup scale="7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8" sqref="B18"/>
    </sheetView>
  </sheetViews>
  <sheetFormatPr defaultRowHeight="12.75" x14ac:dyDescent="0.2"/>
  <cols>
    <col min="1" max="16384" width="9.140625" style="105"/>
  </cols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pane ySplit="8" topLeftCell="A9" activePane="bottomLeft" state="frozen"/>
      <selection activeCell="B18" sqref="B18"/>
      <selection pane="bottomLeft" activeCell="B18" sqref="B18"/>
    </sheetView>
  </sheetViews>
  <sheetFormatPr defaultColWidth="9.140625" defaultRowHeight="11.25" x14ac:dyDescent="0.2"/>
  <cols>
    <col min="1" max="1" width="6.140625" style="10" bestFit="1" customWidth="1"/>
    <col min="2" max="2" width="49.42578125" style="10" customWidth="1"/>
    <col min="3" max="3" width="14.42578125" style="4" bestFit="1" customWidth="1"/>
    <col min="4" max="5" width="14.42578125" style="4" customWidth="1"/>
    <col min="6" max="6" width="15.5703125" style="4" customWidth="1"/>
    <col min="7" max="7" width="12.42578125" style="25" customWidth="1"/>
    <col min="8" max="16384" width="9.140625" style="10"/>
  </cols>
  <sheetData>
    <row r="1" spans="1:9" s="16" customFormat="1" x14ac:dyDescent="0.2">
      <c r="A1" s="3" t="str">
        <f>'Rate Impacts'!A1</f>
        <v>PUGET SOUND ENERGY</v>
      </c>
      <c r="B1" s="3"/>
      <c r="C1" s="3"/>
      <c r="D1" s="3"/>
      <c r="E1" s="3"/>
      <c r="F1" s="3"/>
      <c r="G1" s="3"/>
    </row>
    <row r="2" spans="1:9" s="16" customFormat="1" x14ac:dyDescent="0.2">
      <c r="A2" s="3" t="str">
        <f>'Rate Impacts'!A2</f>
        <v xml:space="preserve">Schedule 129 - Low Income Program </v>
      </c>
      <c r="B2" s="3"/>
      <c r="C2" s="3"/>
      <c r="D2" s="3"/>
      <c r="E2" s="3"/>
      <c r="F2" s="3"/>
      <c r="G2" s="3"/>
    </row>
    <row r="3" spans="1:9" s="16" customFormat="1" x14ac:dyDescent="0.2">
      <c r="A3" s="3" t="str">
        <f>Inputs!B2&amp;" Forecasted Rate-Year Ended "&amp;TEXT(Inputs!B4,"mmmm d, yyyy")</f>
        <v>F2024 Forecasted Rate-Year Ended September 30, 2025</v>
      </c>
      <c r="B3" s="3"/>
      <c r="C3" s="3"/>
      <c r="D3" s="3"/>
      <c r="E3" s="3"/>
      <c r="F3" s="3"/>
      <c r="G3" s="3"/>
      <c r="I3" s="10"/>
    </row>
    <row r="4" spans="1:9" s="16" customFormat="1" x14ac:dyDescent="0.2">
      <c r="A4" s="3" t="str">
        <f>"Proposed Rate Effective "&amp;TEXT(Inputs!B1,"mmmm d, yyyy")</f>
        <v>Proposed Rate Effective May 1, 2025</v>
      </c>
      <c r="B4" s="3"/>
      <c r="C4" s="3"/>
      <c r="D4" s="3"/>
      <c r="E4" s="3"/>
      <c r="F4" s="3"/>
      <c r="G4" s="3"/>
      <c r="I4" s="10"/>
    </row>
    <row r="5" spans="1:9" s="16" customFormat="1" x14ac:dyDescent="0.2">
      <c r="A5" s="117" t="s">
        <v>156</v>
      </c>
      <c r="B5" s="3"/>
      <c r="C5" s="3"/>
      <c r="D5" s="3"/>
      <c r="E5" s="3"/>
      <c r="F5" s="3"/>
      <c r="G5" s="3"/>
    </row>
    <row r="7" spans="1:9" s="120" customFormat="1" ht="34.5" thickBot="1" x14ac:dyDescent="0.25">
      <c r="A7" s="118" t="s">
        <v>3</v>
      </c>
      <c r="B7" s="118" t="s">
        <v>19</v>
      </c>
      <c r="C7" s="118" t="s">
        <v>0</v>
      </c>
      <c r="D7" s="71" t="str">
        <f>'Rate Impacts'!G7</f>
        <v>F2024 Forecast Energy (kWh) 05/1/25-09/30/25</v>
      </c>
      <c r="E7" s="64" t="s">
        <v>191</v>
      </c>
      <c r="F7" s="64" t="s">
        <v>154</v>
      </c>
      <c r="G7" s="119" t="s">
        <v>155</v>
      </c>
    </row>
    <row r="8" spans="1:9" s="39" customFormat="1" x14ac:dyDescent="0.2">
      <c r="A8" s="4">
        <v>1</v>
      </c>
      <c r="B8" s="121"/>
      <c r="D8" s="65" t="s">
        <v>86</v>
      </c>
      <c r="E8" s="65" t="s">
        <v>85</v>
      </c>
      <c r="F8" s="122" t="s">
        <v>150</v>
      </c>
      <c r="G8" s="65" t="s">
        <v>151</v>
      </c>
    </row>
    <row r="9" spans="1:9" x14ac:dyDescent="0.2">
      <c r="A9" s="4">
        <f t="shared" ref="A9:A52" si="0">+A8+1</f>
        <v>2</v>
      </c>
      <c r="D9" s="66"/>
      <c r="E9" s="66"/>
      <c r="F9" s="66"/>
      <c r="G9" s="123"/>
    </row>
    <row r="10" spans="1:9" x14ac:dyDescent="0.2">
      <c r="A10" s="4">
        <f t="shared" si="0"/>
        <v>3</v>
      </c>
      <c r="B10" s="44" t="s">
        <v>1</v>
      </c>
      <c r="C10" s="27" t="str">
        <f>'Rate Impacts'!C10</f>
        <v>7 (307) (317) (327)</v>
      </c>
      <c r="D10" s="72">
        <f>VLOOKUP('Rate Spread &amp; Design'!C10,'Rate Impacts'!C10:G37,5,FALSE)</f>
        <v>3783783095.5344672</v>
      </c>
      <c r="E10" s="67">
        <v>1708547617.2223778</v>
      </c>
      <c r="F10" s="124">
        <f>(IF(D10&gt;0,E10*$E$47/D10,0))</f>
        <v>5.2731695356526718E-3</v>
      </c>
      <c r="G10" s="1">
        <f>+F10*D10</f>
        <v>19952529.748889916</v>
      </c>
    </row>
    <row r="11" spans="1:9" x14ac:dyDescent="0.2">
      <c r="A11" s="4">
        <f t="shared" si="0"/>
        <v>4</v>
      </c>
      <c r="B11" s="44"/>
      <c r="D11" s="66"/>
      <c r="E11" s="68"/>
      <c r="F11" s="125"/>
      <c r="G11" s="78"/>
    </row>
    <row r="12" spans="1:9" x14ac:dyDescent="0.2">
      <c r="A12" s="4">
        <f t="shared" si="0"/>
        <v>5</v>
      </c>
      <c r="B12" s="44" t="str">
        <f>'Rate Impacts'!B12</f>
        <v>Secondary Voltage:</v>
      </c>
      <c r="D12" s="66"/>
      <c r="E12" s="68"/>
      <c r="F12" s="125"/>
      <c r="G12" s="78"/>
    </row>
    <row r="13" spans="1:9" x14ac:dyDescent="0.2">
      <c r="A13" s="4">
        <f t="shared" si="0"/>
        <v>6</v>
      </c>
      <c r="B13" s="44" t="str">
        <f>'Rate Impacts'!B13</f>
        <v>General Service: Demand &lt;= 50 kW</v>
      </c>
      <c r="C13" s="27" t="str">
        <f>'Rate Impacts'!C13</f>
        <v>08 (24) (324)</v>
      </c>
      <c r="D13" s="72">
        <f>VLOOKUP('Rate Spread &amp; Design'!C13,'Rate Impacts'!C12:G39,5,FALSE)</f>
        <v>1058074622.8867624</v>
      </c>
      <c r="E13" s="67">
        <v>377200229.45335233</v>
      </c>
      <c r="F13" s="124">
        <f>(IF(D13&gt;0,E13*$E$47/D13,0))</f>
        <v>4.1631928582889673E-3</v>
      </c>
      <c r="G13" s="1">
        <f>+F13*D13</f>
        <v>4404968.7135389615</v>
      </c>
    </row>
    <row r="14" spans="1:9" x14ac:dyDescent="0.2">
      <c r="A14" s="4">
        <f t="shared" si="0"/>
        <v>7</v>
      </c>
      <c r="B14" s="44" t="s">
        <v>7</v>
      </c>
      <c r="C14" s="27" t="str">
        <f>'Rate Impacts'!C14</f>
        <v>7A (11) (25)</v>
      </c>
      <c r="D14" s="72">
        <f>VLOOKUP('Rate Spread &amp; Design'!C14,'Rate Impacts'!C13:G40,5,FALSE)</f>
        <v>1211993803.4059019</v>
      </c>
      <c r="E14" s="67">
        <v>383518041.73118204</v>
      </c>
      <c r="F14" s="124">
        <f t="shared" ref="F14:F16" si="1">(IF(D14&gt;0,E14*$E$47/D14,0))</f>
        <v>3.6953559679791764E-3</v>
      </c>
      <c r="G14" s="1">
        <f>+F14*D14</f>
        <v>4478748.5345697803</v>
      </c>
    </row>
    <row r="15" spans="1:9" x14ac:dyDescent="0.2">
      <c r="A15" s="4">
        <f t="shared" si="0"/>
        <v>8</v>
      </c>
      <c r="B15" s="44" t="s">
        <v>8</v>
      </c>
      <c r="C15" s="27" t="str">
        <f>'Rate Impacts'!C15</f>
        <v>12 (26) (26P)</v>
      </c>
      <c r="D15" s="72">
        <f>VLOOKUP('Rate Spread &amp; Design'!C15,'Rate Impacts'!C14:G41,5,FALSE)</f>
        <v>857066645.84407377</v>
      </c>
      <c r="E15" s="67">
        <v>239766770.89845967</v>
      </c>
      <c r="F15" s="124">
        <f t="shared" si="1"/>
        <v>3.2669710057609473E-3</v>
      </c>
      <c r="G15" s="1">
        <f>+F15*D15</f>
        <v>2800011.8819773751</v>
      </c>
    </row>
    <row r="16" spans="1:9" x14ac:dyDescent="0.2">
      <c r="A16" s="4">
        <f t="shared" si="0"/>
        <v>9</v>
      </c>
      <c r="B16" s="44" t="s">
        <v>9</v>
      </c>
      <c r="C16" s="27">
        <f>'Rate Impacts'!C16</f>
        <v>29</v>
      </c>
      <c r="D16" s="72">
        <f>VLOOKUP('Rate Spread &amp; Design'!C16,'Rate Impacts'!C15:G42,5,FALSE)</f>
        <v>11538751.751954857</v>
      </c>
      <c r="E16" s="67">
        <v>1682608.6327870709</v>
      </c>
      <c r="F16" s="124">
        <f t="shared" si="1"/>
        <v>1.7029235944061366E-3</v>
      </c>
      <c r="G16" s="1">
        <f>+F16*D16</f>
        <v>19649.612608399071</v>
      </c>
    </row>
    <row r="17" spans="1:7" x14ac:dyDescent="0.2">
      <c r="A17" s="4">
        <f t="shared" si="0"/>
        <v>10</v>
      </c>
      <c r="B17" s="44"/>
      <c r="D17" s="66"/>
      <c r="E17" s="68"/>
      <c r="F17" s="125"/>
      <c r="G17" s="78"/>
    </row>
    <row r="18" spans="1:7" x14ac:dyDescent="0.2">
      <c r="A18" s="4">
        <f t="shared" si="0"/>
        <v>11</v>
      </c>
      <c r="B18" s="44" t="s">
        <v>10</v>
      </c>
      <c r="D18" s="66"/>
      <c r="E18" s="68"/>
      <c r="F18" s="125"/>
      <c r="G18" s="78"/>
    </row>
    <row r="19" spans="1:7" x14ac:dyDescent="0.2">
      <c r="A19" s="4">
        <f t="shared" si="0"/>
        <v>12</v>
      </c>
      <c r="B19" s="44" t="s">
        <v>10</v>
      </c>
      <c r="C19" s="27" t="str">
        <f>'Rate Impacts'!C20</f>
        <v>10 (31)</v>
      </c>
      <c r="D19" s="72">
        <f>VLOOKUP('Rate Spread &amp; Design'!C19,'Rate Impacts'!C17:G44,5,FALSE)</f>
        <v>575362661.54389918</v>
      </c>
      <c r="E19" s="67">
        <v>157791759.32180145</v>
      </c>
      <c r="F19" s="124">
        <f t="shared" ref="F19:F21" si="2">(IF(D19&gt;0,E19*$E$47/D19,0))</f>
        <v>3.2026798223699208E-3</v>
      </c>
      <c r="G19" s="1">
        <f>+F19*D19</f>
        <v>1842702.3866716998</v>
      </c>
    </row>
    <row r="20" spans="1:7" x14ac:dyDescent="0.2">
      <c r="A20" s="4">
        <f t="shared" si="0"/>
        <v>13</v>
      </c>
      <c r="B20" s="44" t="s">
        <v>11</v>
      </c>
      <c r="C20" s="27">
        <f>'Rate Impacts'!C21</f>
        <v>35</v>
      </c>
      <c r="D20" s="72">
        <f>VLOOKUP('Rate Spread &amp; Design'!C20,'Rate Impacts'!C18:G45,5,FALSE)</f>
        <v>4460271.1529247649</v>
      </c>
      <c r="E20" s="67">
        <v>616827.3638367533</v>
      </c>
      <c r="F20" s="124">
        <f t="shared" si="2"/>
        <v>1.6150026902567822E-3</v>
      </c>
      <c r="G20" s="1">
        <f>+F20*D20</f>
        <v>7203.349911248215</v>
      </c>
    </row>
    <row r="21" spans="1:7" x14ac:dyDescent="0.2">
      <c r="A21" s="4">
        <f t="shared" si="0"/>
        <v>14</v>
      </c>
      <c r="B21" s="44" t="s">
        <v>12</v>
      </c>
      <c r="C21" s="27">
        <f>'Rate Impacts'!C22</f>
        <v>43</v>
      </c>
      <c r="D21" s="72">
        <f>VLOOKUP('Rate Spread &amp; Design'!C21,'Rate Impacts'!C19:G46,5,FALSE)</f>
        <v>31525749.195176683</v>
      </c>
      <c r="E21" s="67">
        <v>13265868.153070422</v>
      </c>
      <c r="F21" s="124">
        <f t="shared" si="2"/>
        <v>4.9140677564400185E-3</v>
      </c>
      <c r="G21" s="1">
        <f>+F21*D21</f>
        <v>154919.6676176326</v>
      </c>
    </row>
    <row r="22" spans="1:7" x14ac:dyDescent="0.2">
      <c r="A22" s="4">
        <f t="shared" si="0"/>
        <v>15</v>
      </c>
      <c r="B22" s="22"/>
      <c r="D22" s="66"/>
      <c r="E22" s="68"/>
      <c r="F22" s="125"/>
      <c r="G22" s="78"/>
    </row>
    <row r="23" spans="1:7" x14ac:dyDescent="0.2">
      <c r="A23" s="4">
        <f t="shared" si="0"/>
        <v>16</v>
      </c>
      <c r="B23" s="44" t="s">
        <v>13</v>
      </c>
      <c r="D23" s="66"/>
      <c r="E23" s="68"/>
      <c r="F23" s="125"/>
      <c r="G23" s="78"/>
    </row>
    <row r="24" spans="1:7" x14ac:dyDescent="0.2">
      <c r="A24" s="4">
        <f t="shared" si="0"/>
        <v>17</v>
      </c>
      <c r="B24" s="44" t="s">
        <v>13</v>
      </c>
      <c r="C24" s="27">
        <f>'Rate Impacts'!C26</f>
        <v>46</v>
      </c>
      <c r="D24" s="72">
        <f>VLOOKUP('Rate Spread &amp; Design'!C24,'Rate Impacts'!C21:G48,5,FALSE)</f>
        <v>42724171.744651601</v>
      </c>
      <c r="E24" s="67">
        <v>8255579.4233012218</v>
      </c>
      <c r="F24" s="124">
        <f>(IF(D24&gt;0,E24*$E$47/D24,0))</f>
        <v>2.2565490995357985E-3</v>
      </c>
      <c r="G24" s="1">
        <f>+F24*D24</f>
        <v>96409.191278806378</v>
      </c>
    </row>
    <row r="25" spans="1:7" x14ac:dyDescent="0.2">
      <c r="A25" s="4">
        <f t="shared" si="0"/>
        <v>18</v>
      </c>
      <c r="B25" s="22" t="s">
        <v>14</v>
      </c>
      <c r="C25" s="27">
        <f>'Rate Impacts'!C27</f>
        <v>49</v>
      </c>
      <c r="D25" s="72">
        <f>VLOOKUP('Rate Spread &amp; Design'!C25,'Rate Impacts'!C22:G48,5,FALSE)</f>
        <v>222144806.97393036</v>
      </c>
      <c r="E25" s="67">
        <v>46514795.464884266</v>
      </c>
      <c r="F25" s="124">
        <f>(IF(D25&gt;0,E25*$E$47/D25,0))</f>
        <v>2.4452644288095473E-3</v>
      </c>
      <c r="G25" s="1">
        <f>+F25*D25</f>
        <v>543202.79453811492</v>
      </c>
    </row>
    <row r="26" spans="1:7" x14ac:dyDescent="0.2">
      <c r="A26" s="4">
        <f t="shared" si="0"/>
        <v>19</v>
      </c>
      <c r="D26" s="66"/>
      <c r="E26" s="68"/>
      <c r="F26" s="125"/>
      <c r="G26" s="78"/>
    </row>
    <row r="27" spans="1:7" x14ac:dyDescent="0.2">
      <c r="A27" s="4">
        <f t="shared" si="0"/>
        <v>20</v>
      </c>
      <c r="B27" s="10" t="s">
        <v>122</v>
      </c>
      <c r="C27" s="27" t="str">
        <f>'Rate Impacts'!C30</f>
        <v>448 - 459</v>
      </c>
      <c r="D27" s="72">
        <f>VLOOKUP('Rate Spread &amp; Design'!C27,'Rate Impacts'!C24:G49,5,FALSE)</f>
        <v>830778349.69033718</v>
      </c>
      <c r="E27" s="67">
        <v>14015499.97975852</v>
      </c>
      <c r="F27" s="124">
        <f>(IF(D27&gt;0,E27*$E$47/D27,0))</f>
        <v>1.9701273716361337E-4</v>
      </c>
      <c r="G27" s="1">
        <f>+F27*D27</f>
        <v>163673.91664876288</v>
      </c>
    </row>
    <row r="28" spans="1:7" x14ac:dyDescent="0.2">
      <c r="A28" s="4">
        <f t="shared" si="0"/>
        <v>21</v>
      </c>
      <c r="D28" s="66"/>
      <c r="E28" s="68"/>
      <c r="F28" s="125"/>
      <c r="G28" s="78"/>
    </row>
    <row r="29" spans="1:7" x14ac:dyDescent="0.2">
      <c r="A29" s="4">
        <f t="shared" si="0"/>
        <v>22</v>
      </c>
      <c r="B29" s="44" t="s">
        <v>158</v>
      </c>
      <c r="C29" s="27" t="str">
        <f>'Rate Impacts'!C32</f>
        <v>Special Contract</v>
      </c>
      <c r="D29" s="72">
        <f>VLOOKUP('Rate Spread &amp; Design'!C29,'Rate Impacts'!C24:G49,5,FALSE)</f>
        <v>130794112.12300001</v>
      </c>
      <c r="E29" s="67">
        <v>7774216.0750204166</v>
      </c>
      <c r="F29" s="21">
        <v>6.1399999999999996E-4</v>
      </c>
      <c r="G29" s="1">
        <f>+F29*D29</f>
        <v>80307.584843521996</v>
      </c>
    </row>
    <row r="30" spans="1:7" x14ac:dyDescent="0.2">
      <c r="A30" s="4">
        <f t="shared" si="0"/>
        <v>23</v>
      </c>
      <c r="D30" s="72"/>
      <c r="E30" s="67"/>
      <c r="F30" s="125"/>
      <c r="G30" s="78"/>
    </row>
    <row r="31" spans="1:7" x14ac:dyDescent="0.2">
      <c r="A31" s="4">
        <f t="shared" si="0"/>
        <v>24</v>
      </c>
      <c r="B31" s="10" t="s">
        <v>15</v>
      </c>
      <c r="C31" s="27" t="str">
        <f>'Rate Impacts'!C34</f>
        <v>50 - 59</v>
      </c>
      <c r="D31" s="72">
        <f>VLOOKUP('Rate Spread &amp; Design'!C31,'Rate Impacts'!C26:G51,5,FALSE)</f>
        <v>26138029.333528299</v>
      </c>
      <c r="E31" s="67">
        <v>22492820.678484775</v>
      </c>
      <c r="F31" s="124">
        <f>(IF(D31&gt;0,E31*$E$47/D31,0))</f>
        <v>1.0049442272559767E-2</v>
      </c>
      <c r="G31" s="1">
        <f>+F31*D31</f>
        <v>262672.61690576648</v>
      </c>
    </row>
    <row r="32" spans="1:7" x14ac:dyDescent="0.2">
      <c r="A32" s="4">
        <f t="shared" si="0"/>
        <v>25</v>
      </c>
      <c r="C32" s="27"/>
      <c r="D32" s="72"/>
      <c r="E32" s="67"/>
      <c r="F32" s="124"/>
      <c r="G32" s="1"/>
    </row>
    <row r="33" spans="1:7" x14ac:dyDescent="0.2">
      <c r="A33" s="4">
        <f t="shared" si="0"/>
        <v>26</v>
      </c>
      <c r="B33" s="10" t="s">
        <v>179</v>
      </c>
      <c r="C33" s="27">
        <f>'Rate Impacts'!C36</f>
        <v>558</v>
      </c>
      <c r="D33" s="72">
        <v>0</v>
      </c>
      <c r="E33" s="67">
        <v>0</v>
      </c>
      <c r="F33" s="124">
        <f>SUM(G13:G15)/SUM(E13:E15)</f>
        <v>1.1678064777221234E-2</v>
      </c>
      <c r="G33" s="68" t="s">
        <v>181</v>
      </c>
    </row>
    <row r="34" spans="1:7" x14ac:dyDescent="0.2">
      <c r="A34" s="4">
        <f t="shared" si="0"/>
        <v>27</v>
      </c>
      <c r="D34" s="66"/>
      <c r="E34" s="68"/>
      <c r="F34" s="126"/>
      <c r="G34" s="78"/>
    </row>
    <row r="35" spans="1:7" ht="12" thickBot="1" x14ac:dyDescent="0.25">
      <c r="A35" s="4">
        <f t="shared" si="0"/>
        <v>28</v>
      </c>
      <c r="D35" s="73">
        <f>SUM(D10:D34)</f>
        <v>8786385071.1806087</v>
      </c>
      <c r="E35" s="69">
        <f>SUM(E10:E34)</f>
        <v>2981442634.3983178</v>
      </c>
      <c r="F35" s="127"/>
      <c r="G35" s="69">
        <f>SUM(G10:G34)</f>
        <v>34806999.999999985</v>
      </c>
    </row>
    <row r="36" spans="1:7" ht="12" thickTop="1" x14ac:dyDescent="0.2">
      <c r="A36" s="4">
        <f t="shared" si="0"/>
        <v>29</v>
      </c>
      <c r="B36" s="128"/>
      <c r="C36" s="128" t="s">
        <v>149</v>
      </c>
      <c r="D36" s="70">
        <f>'Rate Impacts'!G38-SUM(D10:D31)</f>
        <v>0</v>
      </c>
      <c r="E36" s="70">
        <v>0</v>
      </c>
      <c r="F36" s="129"/>
      <c r="G36" s="130">
        <f>G35-E41</f>
        <v>0</v>
      </c>
    </row>
    <row r="37" spans="1:7" x14ac:dyDescent="0.2">
      <c r="A37" s="4">
        <f t="shared" si="0"/>
        <v>30</v>
      </c>
      <c r="B37" s="131"/>
      <c r="C37" s="132"/>
      <c r="D37" s="132"/>
      <c r="E37" s="132"/>
      <c r="F37" s="133"/>
      <c r="G37" s="134"/>
    </row>
    <row r="38" spans="1:7" x14ac:dyDescent="0.2">
      <c r="A38" s="4">
        <f t="shared" si="0"/>
        <v>31</v>
      </c>
      <c r="B38" s="10" t="s">
        <v>17</v>
      </c>
      <c r="C38" s="135">
        <v>5</v>
      </c>
      <c r="D38" s="23">
        <v>1896927.1457855278</v>
      </c>
      <c r="E38" s="24">
        <v>1272738.0982693159</v>
      </c>
      <c r="F38" s="136"/>
      <c r="G38" s="43"/>
    </row>
    <row r="39" spans="1:7" ht="12" thickBot="1" x14ac:dyDescent="0.25">
      <c r="A39" s="4">
        <f t="shared" si="0"/>
        <v>32</v>
      </c>
      <c r="B39" s="10" t="s">
        <v>18</v>
      </c>
      <c r="D39" s="137">
        <f>D35+D38</f>
        <v>8788281998.326395</v>
      </c>
      <c r="E39" s="138">
        <f>E35+E38</f>
        <v>2982715372.4965873</v>
      </c>
      <c r="F39" s="136"/>
      <c r="G39" s="8"/>
    </row>
    <row r="40" spans="1:7" ht="12" thickTop="1" x14ac:dyDescent="0.2">
      <c r="A40" s="4">
        <f t="shared" si="0"/>
        <v>33</v>
      </c>
      <c r="D40" s="25"/>
      <c r="E40" s="1"/>
      <c r="F40" s="136"/>
      <c r="G40" s="8"/>
    </row>
    <row r="41" spans="1:7" x14ac:dyDescent="0.2">
      <c r="A41" s="4">
        <f t="shared" si="0"/>
        <v>34</v>
      </c>
      <c r="B41" s="22" t="s">
        <v>169</v>
      </c>
      <c r="D41" s="10"/>
      <c r="E41" s="139">
        <v>34807000</v>
      </c>
      <c r="F41" s="136"/>
      <c r="G41" s="8"/>
    </row>
    <row r="42" spans="1:7" ht="10.9" customHeight="1" x14ac:dyDescent="0.2">
      <c r="A42" s="4">
        <f t="shared" si="0"/>
        <v>35</v>
      </c>
      <c r="B42" s="22" t="s">
        <v>76</v>
      </c>
      <c r="D42" s="25"/>
      <c r="E42" s="20">
        <f>-G29</f>
        <v>-80307.584843521996</v>
      </c>
      <c r="F42" s="136"/>
      <c r="G42" s="140"/>
    </row>
    <row r="43" spans="1:7" ht="12.6" customHeight="1" x14ac:dyDescent="0.2">
      <c r="A43" s="4">
        <f t="shared" si="0"/>
        <v>36</v>
      </c>
      <c r="B43" s="22" t="s">
        <v>61</v>
      </c>
      <c r="D43" s="25"/>
      <c r="E43" s="141">
        <f>SUM(E41:E42)</f>
        <v>34726692.415156476</v>
      </c>
      <c r="F43" s="136"/>
      <c r="G43" s="8"/>
    </row>
    <row r="44" spans="1:7" x14ac:dyDescent="0.2">
      <c r="A44" s="4">
        <f t="shared" si="0"/>
        <v>37</v>
      </c>
      <c r="B44" s="22"/>
      <c r="D44" s="25"/>
      <c r="E44" s="20"/>
      <c r="F44" s="136"/>
      <c r="G44" s="43"/>
    </row>
    <row r="45" spans="1:7" x14ac:dyDescent="0.2">
      <c r="A45" s="4">
        <f t="shared" si="0"/>
        <v>38</v>
      </c>
      <c r="B45" s="10" t="s">
        <v>60</v>
      </c>
      <c r="D45" s="25"/>
      <c r="E45" s="1">
        <f>E35-E29</f>
        <v>2973668418.3232975</v>
      </c>
      <c r="F45" s="136"/>
      <c r="G45" s="43"/>
    </row>
    <row r="46" spans="1:7" ht="12" thickBot="1" x14ac:dyDescent="0.25">
      <c r="A46" s="4">
        <f t="shared" si="0"/>
        <v>39</v>
      </c>
      <c r="D46" s="25"/>
      <c r="E46" s="25"/>
      <c r="F46" s="136"/>
      <c r="G46" s="43"/>
    </row>
    <row r="47" spans="1:7" ht="12" thickBot="1" x14ac:dyDescent="0.25">
      <c r="A47" s="4">
        <f t="shared" si="0"/>
        <v>40</v>
      </c>
      <c r="B47" s="142" t="s">
        <v>62</v>
      </c>
      <c r="C47" s="143"/>
      <c r="D47" s="144"/>
      <c r="E47" s="2">
        <f>+E43/E45</f>
        <v>1.1678064777221234E-2</v>
      </c>
      <c r="F47" s="145" t="s">
        <v>20</v>
      </c>
      <c r="G47" s="43"/>
    </row>
    <row r="48" spans="1:7" ht="12" thickBot="1" x14ac:dyDescent="0.25">
      <c r="A48" s="4">
        <f t="shared" si="0"/>
        <v>41</v>
      </c>
      <c r="B48" s="146"/>
      <c r="C48" s="147"/>
      <c r="D48" s="147"/>
      <c r="E48" s="147"/>
      <c r="F48" s="148"/>
      <c r="G48" s="149"/>
    </row>
    <row r="49" spans="1:7" ht="12" thickTop="1" x14ac:dyDescent="0.2">
      <c r="A49" s="4">
        <f t="shared" si="0"/>
        <v>42</v>
      </c>
    </row>
    <row r="50" spans="1:7" x14ac:dyDescent="0.2">
      <c r="A50" s="4">
        <f t="shared" si="0"/>
        <v>43</v>
      </c>
      <c r="B50" s="100" t="s">
        <v>192</v>
      </c>
      <c r="C50" s="100"/>
      <c r="D50" s="100"/>
      <c r="E50" s="100"/>
      <c r="F50" s="100"/>
      <c r="G50" s="100"/>
    </row>
    <row r="51" spans="1:7" x14ac:dyDescent="0.2">
      <c r="A51" s="4">
        <f t="shared" si="0"/>
        <v>44</v>
      </c>
      <c r="B51" s="22" t="s">
        <v>170</v>
      </c>
    </row>
    <row r="52" spans="1:7" x14ac:dyDescent="0.2">
      <c r="A52" s="4">
        <f t="shared" si="0"/>
        <v>45</v>
      </c>
      <c r="B52" s="10" t="s">
        <v>180</v>
      </c>
    </row>
  </sheetData>
  <mergeCells count="1">
    <mergeCell ref="B50:G50"/>
  </mergeCells>
  <printOptions horizontalCentered="1"/>
  <pageMargins left="0.7" right="0.7" top="0.75" bottom="0.75" header="0.3" footer="0.3"/>
  <pageSetup scale="55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workbookViewId="0">
      <pane ySplit="8" topLeftCell="A152" activePane="bottomLeft" state="frozen"/>
      <selection activeCell="B18" sqref="B18"/>
      <selection pane="bottomLeft" activeCell="B18" sqref="B18"/>
    </sheetView>
  </sheetViews>
  <sheetFormatPr defaultColWidth="8.85546875" defaultRowHeight="11.25" x14ac:dyDescent="0.2"/>
  <cols>
    <col min="1" max="1" width="6.7109375" style="10" bestFit="1" customWidth="1"/>
    <col min="2" max="2" width="20.140625" style="10" customWidth="1"/>
    <col min="3" max="3" width="16.42578125" style="10" customWidth="1"/>
    <col min="4" max="4" width="16.7109375" style="10" customWidth="1"/>
    <col min="5" max="5" width="15" style="10" customWidth="1"/>
    <col min="6" max="6" width="11.42578125" style="10" customWidth="1"/>
    <col min="7" max="7" width="11.140625" style="10" customWidth="1"/>
    <col min="8" max="8" width="12.28515625" style="10" customWidth="1"/>
    <col min="9" max="9" width="1.28515625" style="10" customWidth="1"/>
    <col min="10" max="11" width="11.42578125" style="10" customWidth="1"/>
    <col min="12" max="16384" width="8.85546875" style="10"/>
  </cols>
  <sheetData>
    <row r="1" spans="1:11" s="16" customFormat="1" x14ac:dyDescent="0.2">
      <c r="A1" s="3" t="str">
        <f>'Sch 129 Rates'!A1</f>
        <v>PUGET SOUND ENERGY</v>
      </c>
      <c r="B1" s="3"/>
      <c r="C1" s="3"/>
      <c r="D1" s="3"/>
      <c r="E1" s="3"/>
      <c r="F1" s="3"/>
      <c r="G1" s="3"/>
      <c r="H1" s="3"/>
      <c r="J1" s="3"/>
      <c r="K1" s="3"/>
    </row>
    <row r="2" spans="1:11" s="16" customFormat="1" x14ac:dyDescent="0.2">
      <c r="A2" s="3" t="str">
        <f>'Sch 129 Rates'!A2</f>
        <v xml:space="preserve">Schedule 129 - Low Income Program </v>
      </c>
      <c r="B2" s="3"/>
      <c r="C2" s="3"/>
      <c r="D2" s="3"/>
      <c r="E2" s="3"/>
      <c r="F2" s="3"/>
      <c r="G2" s="3"/>
      <c r="H2" s="3"/>
      <c r="J2" s="3"/>
      <c r="K2" s="3"/>
    </row>
    <row r="3" spans="1:11" s="16" customFormat="1" x14ac:dyDescent="0.2">
      <c r="A3" s="3" t="str">
        <f>Inputs!B2&amp;" Forecasted Rate-Year Ended "&amp;TEXT(Inputs!B4,"mmmm d, yyyy")</f>
        <v>F2024 Forecasted Rate-Year Ended September 30, 2025</v>
      </c>
      <c r="B3" s="3"/>
      <c r="C3" s="3"/>
      <c r="D3" s="3"/>
      <c r="E3" s="3"/>
      <c r="F3" s="3"/>
      <c r="G3" s="3"/>
      <c r="H3" s="3"/>
      <c r="J3" s="3"/>
      <c r="K3" s="3"/>
    </row>
    <row r="4" spans="1:11" s="16" customFormat="1" x14ac:dyDescent="0.2">
      <c r="A4" s="3" t="str">
        <f>"Proposed Rate Effective "&amp;TEXT(Inputs!B1,"mmmm d, yyyy")</f>
        <v>Proposed Rate Effective May 1, 2025</v>
      </c>
      <c r="B4" s="3"/>
      <c r="C4" s="3"/>
      <c r="D4" s="3"/>
      <c r="E4" s="3"/>
      <c r="F4" s="3"/>
      <c r="G4" s="3"/>
      <c r="H4" s="3"/>
      <c r="J4" s="3"/>
      <c r="K4" s="3"/>
    </row>
    <row r="5" spans="1:11" s="16" customFormat="1" x14ac:dyDescent="0.2">
      <c r="A5" s="32" t="s">
        <v>134</v>
      </c>
      <c r="B5" s="3"/>
      <c r="C5" s="3"/>
      <c r="D5" s="3"/>
      <c r="E5" s="3"/>
      <c r="F5" s="3"/>
      <c r="G5" s="3"/>
      <c r="H5" s="3"/>
      <c r="J5" s="3"/>
      <c r="K5" s="3"/>
    </row>
    <row r="6" spans="1:11" s="16" customFormat="1" x14ac:dyDescent="0.2">
      <c r="A6" s="33"/>
    </row>
    <row r="7" spans="1:11" s="33" customFormat="1" ht="45" x14ac:dyDescent="0.2">
      <c r="A7" s="5" t="s">
        <v>3</v>
      </c>
      <c r="B7" s="5" t="s">
        <v>0</v>
      </c>
      <c r="C7" s="5" t="s">
        <v>4</v>
      </c>
      <c r="D7" s="5" t="s">
        <v>58</v>
      </c>
      <c r="E7" s="12" t="s">
        <v>182</v>
      </c>
      <c r="F7" s="12" t="s">
        <v>152</v>
      </c>
      <c r="G7" s="12" t="s">
        <v>185</v>
      </c>
      <c r="H7" s="12" t="s">
        <v>153</v>
      </c>
      <c r="J7" s="12" t="s">
        <v>187</v>
      </c>
      <c r="K7" s="12" t="s">
        <v>189</v>
      </c>
    </row>
    <row r="8" spans="1:11" s="9" customFormat="1" x14ac:dyDescent="0.2">
      <c r="A8" s="34"/>
      <c r="B8" s="35" t="s">
        <v>86</v>
      </c>
      <c r="C8" s="35" t="s">
        <v>85</v>
      </c>
      <c r="D8" s="15" t="s">
        <v>84</v>
      </c>
      <c r="E8" s="15" t="s">
        <v>83</v>
      </c>
      <c r="F8" s="15" t="s">
        <v>82</v>
      </c>
      <c r="G8" s="15" t="s">
        <v>81</v>
      </c>
      <c r="H8" s="15" t="s">
        <v>133</v>
      </c>
      <c r="J8" s="15" t="s">
        <v>183</v>
      </c>
      <c r="K8" s="15" t="s">
        <v>188</v>
      </c>
    </row>
    <row r="9" spans="1:11" x14ac:dyDescent="0.2">
      <c r="A9" s="4">
        <v>1</v>
      </c>
      <c r="B9" s="4"/>
      <c r="C9" s="4"/>
      <c r="D9" s="6"/>
      <c r="F9" s="17"/>
      <c r="G9" s="8"/>
      <c r="H9" s="17"/>
      <c r="J9" s="17"/>
      <c r="K9" s="109"/>
    </row>
    <row r="10" spans="1:11" ht="35.25" customHeight="1" x14ac:dyDescent="0.35">
      <c r="A10" s="4">
        <f t="shared" ref="A10:A41" si="0">+A9+1</f>
        <v>2</v>
      </c>
      <c r="B10" s="36" t="s">
        <v>115</v>
      </c>
      <c r="K10" s="16"/>
    </row>
    <row r="11" spans="1:11" x14ac:dyDescent="0.2">
      <c r="A11" s="4">
        <f t="shared" si="0"/>
        <v>3</v>
      </c>
      <c r="B11" s="37" t="s">
        <v>57</v>
      </c>
      <c r="C11" s="22" t="s">
        <v>56</v>
      </c>
      <c r="D11" s="38">
        <v>22</v>
      </c>
      <c r="E11" s="110">
        <v>1.98</v>
      </c>
      <c r="F11" s="18">
        <f>E11*$H$168</f>
        <v>6.971514224713278E-2</v>
      </c>
      <c r="G11" s="111">
        <v>295</v>
      </c>
      <c r="H11" s="20">
        <f>F11*G11</f>
        <v>20.56596696290417</v>
      </c>
      <c r="J11" s="110">
        <v>7.0000000000000007E-2</v>
      </c>
      <c r="K11" s="112">
        <f>F11+J11</f>
        <v>0.13971514224713277</v>
      </c>
    </row>
    <row r="12" spans="1:11" x14ac:dyDescent="0.2">
      <c r="A12" s="4">
        <f t="shared" si="0"/>
        <v>4</v>
      </c>
      <c r="B12" s="39"/>
      <c r="C12" s="6"/>
      <c r="D12" s="38"/>
      <c r="E12" s="110"/>
      <c r="F12" s="18"/>
      <c r="G12" s="111"/>
      <c r="H12" s="25"/>
      <c r="J12" s="18"/>
      <c r="K12" s="112"/>
    </row>
    <row r="13" spans="1:11" x14ac:dyDescent="0.2">
      <c r="A13" s="4">
        <f t="shared" si="0"/>
        <v>5</v>
      </c>
      <c r="B13" s="37" t="s">
        <v>75</v>
      </c>
      <c r="C13" s="25" t="s">
        <v>5</v>
      </c>
      <c r="D13" s="40">
        <v>100</v>
      </c>
      <c r="E13" s="110">
        <v>10.56</v>
      </c>
      <c r="F13" s="18">
        <f t="shared" ref="F13:F16" si="1">E13*$H$168</f>
        <v>0.37181409198470816</v>
      </c>
      <c r="G13" s="111">
        <v>15</v>
      </c>
      <c r="H13" s="20">
        <f>F13*G13</f>
        <v>5.5772113797706222</v>
      </c>
      <c r="J13" s="110">
        <v>0.34</v>
      </c>
      <c r="K13" s="112">
        <f t="shared" ref="K13:K16" si="2">F13+J13</f>
        <v>0.71181409198470824</v>
      </c>
    </row>
    <row r="14" spans="1:11" x14ac:dyDescent="0.2">
      <c r="A14" s="4">
        <f t="shared" si="0"/>
        <v>6</v>
      </c>
      <c r="B14" s="37" t="str">
        <f>+B13</f>
        <v>50E</v>
      </c>
      <c r="C14" s="25" t="s">
        <v>5</v>
      </c>
      <c r="D14" s="40">
        <v>175</v>
      </c>
      <c r="E14" s="110">
        <v>18.5</v>
      </c>
      <c r="F14" s="18">
        <f t="shared" si="1"/>
        <v>0.6513788543292709</v>
      </c>
      <c r="G14" s="111">
        <v>100.41666666666666</v>
      </c>
      <c r="H14" s="20">
        <f>F14*G14</f>
        <v>65.409293288897615</v>
      </c>
      <c r="J14" s="110">
        <v>0.59</v>
      </c>
      <c r="K14" s="112">
        <f t="shared" si="2"/>
        <v>1.241378854329271</v>
      </c>
    </row>
    <row r="15" spans="1:11" x14ac:dyDescent="0.2">
      <c r="A15" s="4">
        <f t="shared" si="0"/>
        <v>7</v>
      </c>
      <c r="B15" s="37" t="str">
        <f>+B14</f>
        <v>50E</v>
      </c>
      <c r="C15" s="25" t="s">
        <v>5</v>
      </c>
      <c r="D15" s="40">
        <v>400</v>
      </c>
      <c r="E15" s="110">
        <v>38.409999999999997</v>
      </c>
      <c r="F15" s="18">
        <f t="shared" si="1"/>
        <v>1.3524033402587725</v>
      </c>
      <c r="G15" s="111">
        <v>90</v>
      </c>
      <c r="H15" s="20">
        <f>F15*G15</f>
        <v>121.71630062328953</v>
      </c>
      <c r="J15" s="110">
        <v>1.35</v>
      </c>
      <c r="K15" s="112">
        <f t="shared" si="2"/>
        <v>2.7024033402587726</v>
      </c>
    </row>
    <row r="16" spans="1:11" x14ac:dyDescent="0.2">
      <c r="A16" s="4">
        <f t="shared" si="0"/>
        <v>8</v>
      </c>
      <c r="B16" s="37" t="str">
        <f>+B15</f>
        <v>50E</v>
      </c>
      <c r="C16" s="25" t="s">
        <v>5</v>
      </c>
      <c r="D16" s="40">
        <v>700</v>
      </c>
      <c r="E16" s="110">
        <v>96.03</v>
      </c>
      <c r="F16" s="18">
        <f t="shared" si="1"/>
        <v>3.3811843989859396</v>
      </c>
      <c r="G16" s="111">
        <v>0</v>
      </c>
      <c r="H16" s="20">
        <f>F16*G16</f>
        <v>0</v>
      </c>
      <c r="J16" s="110">
        <v>2.36</v>
      </c>
      <c r="K16" s="112">
        <f t="shared" si="2"/>
        <v>5.7411843989859399</v>
      </c>
    </row>
    <row r="17" spans="1:11" x14ac:dyDescent="0.2">
      <c r="A17" s="4">
        <f t="shared" si="0"/>
        <v>9</v>
      </c>
      <c r="D17" s="41"/>
      <c r="E17" s="110"/>
      <c r="F17" s="18"/>
      <c r="G17" s="111"/>
      <c r="H17" s="25"/>
      <c r="J17" s="18"/>
      <c r="K17" s="112"/>
    </row>
    <row r="18" spans="1:11" ht="13.5" x14ac:dyDescent="0.35">
      <c r="A18" s="4">
        <f t="shared" si="0"/>
        <v>10</v>
      </c>
      <c r="B18" s="36" t="s">
        <v>55</v>
      </c>
      <c r="D18" s="41"/>
      <c r="E18" s="110"/>
      <c r="F18" s="18"/>
      <c r="G18" s="111"/>
      <c r="H18" s="25"/>
      <c r="J18" s="18"/>
      <c r="K18" s="112"/>
    </row>
    <row r="19" spans="1:11" x14ac:dyDescent="0.2">
      <c r="A19" s="4">
        <f t="shared" si="0"/>
        <v>11</v>
      </c>
      <c r="B19" s="37" t="s">
        <v>54</v>
      </c>
      <c r="C19" s="25" t="s">
        <v>30</v>
      </c>
      <c r="D19" s="41" t="s">
        <v>72</v>
      </c>
      <c r="E19" s="110">
        <v>1.98</v>
      </c>
      <c r="F19" s="18">
        <f t="shared" ref="F19:F28" si="3">E19*$H$168</f>
        <v>6.971514224713278E-2</v>
      </c>
      <c r="G19" s="111">
        <v>1.25</v>
      </c>
      <c r="H19" s="20">
        <f t="shared" ref="H19:H29" si="4">F19*G19</f>
        <v>8.7143927808915972E-2</v>
      </c>
      <c r="J19" s="110">
        <v>0.05</v>
      </c>
      <c r="K19" s="112">
        <f t="shared" ref="K19:K29" si="5">F19+J19</f>
        <v>0.11971514224713278</v>
      </c>
    </row>
    <row r="20" spans="1:11" x14ac:dyDescent="0.2">
      <c r="A20" s="4">
        <f t="shared" si="0"/>
        <v>12</v>
      </c>
      <c r="B20" s="37" t="s">
        <v>54</v>
      </c>
      <c r="C20" s="25" t="s">
        <v>30</v>
      </c>
      <c r="D20" s="42" t="s">
        <v>71</v>
      </c>
      <c r="E20" s="110">
        <v>4.32</v>
      </c>
      <c r="F20" s="18">
        <f t="shared" si="3"/>
        <v>0.15210576490283517</v>
      </c>
      <c r="G20" s="111">
        <v>26013.333333333336</v>
      </c>
      <c r="H20" s="20">
        <f t="shared" si="4"/>
        <v>3956.7779643390859</v>
      </c>
      <c r="J20" s="110">
        <v>0.15</v>
      </c>
      <c r="K20" s="112">
        <f t="shared" si="5"/>
        <v>0.30210576490283514</v>
      </c>
    </row>
    <row r="21" spans="1:11" x14ac:dyDescent="0.2">
      <c r="A21" s="4">
        <f t="shared" si="0"/>
        <v>13</v>
      </c>
      <c r="B21" s="37" t="s">
        <v>54</v>
      </c>
      <c r="C21" s="25" t="s">
        <v>30</v>
      </c>
      <c r="D21" s="40" t="s">
        <v>43</v>
      </c>
      <c r="E21" s="110">
        <v>6.97</v>
      </c>
      <c r="F21" s="18">
        <f t="shared" si="3"/>
        <v>0.24541138457702799</v>
      </c>
      <c r="G21" s="111">
        <v>14681.25</v>
      </c>
      <c r="H21" s="20">
        <f t="shared" si="4"/>
        <v>3602.9458898214921</v>
      </c>
      <c r="J21" s="110">
        <v>0.25</v>
      </c>
      <c r="K21" s="112">
        <f t="shared" si="5"/>
        <v>0.49541138457702799</v>
      </c>
    </row>
    <row r="22" spans="1:11" x14ac:dyDescent="0.2">
      <c r="A22" s="4">
        <f t="shared" si="0"/>
        <v>14</v>
      </c>
      <c r="B22" s="37" t="s">
        <v>54</v>
      </c>
      <c r="C22" s="25" t="s">
        <v>30</v>
      </c>
      <c r="D22" s="40" t="s">
        <v>42</v>
      </c>
      <c r="E22" s="110">
        <v>10.56</v>
      </c>
      <c r="F22" s="18">
        <f t="shared" si="3"/>
        <v>0.37181409198470816</v>
      </c>
      <c r="G22" s="111">
        <v>6367.0833333333339</v>
      </c>
      <c r="H22" s="20">
        <f t="shared" si="4"/>
        <v>2367.3713081743026</v>
      </c>
      <c r="J22" s="110">
        <v>0.35</v>
      </c>
      <c r="K22" s="112">
        <f t="shared" si="5"/>
        <v>0.72181409198470814</v>
      </c>
    </row>
    <row r="23" spans="1:11" x14ac:dyDescent="0.2">
      <c r="A23" s="4">
        <f t="shared" si="0"/>
        <v>15</v>
      </c>
      <c r="B23" s="37" t="s">
        <v>54</v>
      </c>
      <c r="C23" s="25" t="s">
        <v>30</v>
      </c>
      <c r="D23" s="40" t="s">
        <v>41</v>
      </c>
      <c r="E23" s="110">
        <v>10.56</v>
      </c>
      <c r="F23" s="18">
        <f t="shared" si="3"/>
        <v>0.37181409198470816</v>
      </c>
      <c r="G23" s="111">
        <v>2900.416666666667</v>
      </c>
      <c r="H23" s="20">
        <f t="shared" si="4"/>
        <v>1078.4157892939807</v>
      </c>
      <c r="J23" s="110">
        <v>0.45</v>
      </c>
      <c r="K23" s="112">
        <f t="shared" si="5"/>
        <v>0.82181409198470812</v>
      </c>
    </row>
    <row r="24" spans="1:11" x14ac:dyDescent="0.2">
      <c r="A24" s="4">
        <f t="shared" si="0"/>
        <v>16</v>
      </c>
      <c r="B24" s="37" t="s">
        <v>54</v>
      </c>
      <c r="C24" s="25" t="s">
        <v>30</v>
      </c>
      <c r="D24" s="40" t="s">
        <v>40</v>
      </c>
      <c r="E24" s="110">
        <v>18.5</v>
      </c>
      <c r="F24" s="18">
        <f t="shared" si="3"/>
        <v>0.6513788543292709</v>
      </c>
      <c r="G24" s="111">
        <v>378.33333333333337</v>
      </c>
      <c r="H24" s="20">
        <f t="shared" si="4"/>
        <v>246.43833322124084</v>
      </c>
      <c r="J24" s="110">
        <v>0.55000000000000004</v>
      </c>
      <c r="K24" s="112">
        <f t="shared" si="5"/>
        <v>1.2013788543292709</v>
      </c>
    </row>
    <row r="25" spans="1:11" x14ac:dyDescent="0.2">
      <c r="A25" s="4">
        <f t="shared" si="0"/>
        <v>17</v>
      </c>
      <c r="B25" s="37" t="s">
        <v>54</v>
      </c>
      <c r="C25" s="25" t="s">
        <v>30</v>
      </c>
      <c r="D25" s="40" t="s">
        <v>39</v>
      </c>
      <c r="E25" s="110">
        <v>18.5</v>
      </c>
      <c r="F25" s="18">
        <f t="shared" si="3"/>
        <v>0.6513788543292709</v>
      </c>
      <c r="G25" s="111">
        <v>1005</v>
      </c>
      <c r="H25" s="20">
        <f t="shared" si="4"/>
        <v>654.63574860091728</v>
      </c>
      <c r="J25" s="110">
        <v>0.66</v>
      </c>
      <c r="K25" s="112">
        <f t="shared" si="5"/>
        <v>1.3113788543292708</v>
      </c>
    </row>
    <row r="26" spans="1:11" x14ac:dyDescent="0.2">
      <c r="A26" s="4">
        <f t="shared" si="0"/>
        <v>18</v>
      </c>
      <c r="B26" s="37" t="s">
        <v>54</v>
      </c>
      <c r="C26" s="25" t="s">
        <v>30</v>
      </c>
      <c r="D26" s="40" t="s">
        <v>38</v>
      </c>
      <c r="E26" s="110">
        <v>18.5</v>
      </c>
      <c r="F26" s="18">
        <f t="shared" si="3"/>
        <v>0.6513788543292709</v>
      </c>
      <c r="G26" s="111">
        <v>390.83333333333337</v>
      </c>
      <c r="H26" s="20">
        <f t="shared" si="4"/>
        <v>254.58056890035672</v>
      </c>
      <c r="J26" s="110">
        <v>0.76</v>
      </c>
      <c r="K26" s="112">
        <f t="shared" si="5"/>
        <v>1.4113788543292709</v>
      </c>
    </row>
    <row r="27" spans="1:11" x14ac:dyDescent="0.2">
      <c r="A27" s="4">
        <f t="shared" si="0"/>
        <v>19</v>
      </c>
      <c r="B27" s="37" t="s">
        <v>54</v>
      </c>
      <c r="C27" s="25" t="s">
        <v>30</v>
      </c>
      <c r="D27" s="40" t="s">
        <v>37</v>
      </c>
      <c r="E27" s="110">
        <v>24.5</v>
      </c>
      <c r="F27" s="18">
        <f t="shared" si="3"/>
        <v>0.86263686113876414</v>
      </c>
      <c r="G27" s="111">
        <v>40</v>
      </c>
      <c r="H27" s="20">
        <f t="shared" si="4"/>
        <v>34.505474445550568</v>
      </c>
      <c r="J27" s="110">
        <v>0.86</v>
      </c>
      <c r="K27" s="112">
        <f t="shared" si="5"/>
        <v>1.7226368611387641</v>
      </c>
    </row>
    <row r="28" spans="1:11" x14ac:dyDescent="0.2">
      <c r="A28" s="4">
        <f t="shared" si="0"/>
        <v>20</v>
      </c>
      <c r="B28" s="37" t="s">
        <v>54</v>
      </c>
      <c r="C28" s="25" t="s">
        <v>30</v>
      </c>
      <c r="D28" s="40" t="s">
        <v>36</v>
      </c>
      <c r="E28" s="110">
        <v>24.5</v>
      </c>
      <c r="F28" s="18">
        <f t="shared" si="3"/>
        <v>0.86263686113876414</v>
      </c>
      <c r="G28" s="111">
        <v>415</v>
      </c>
      <c r="H28" s="20">
        <f t="shared" si="4"/>
        <v>357.99429737258714</v>
      </c>
      <c r="J28" s="110">
        <v>0.96</v>
      </c>
      <c r="K28" s="112">
        <f t="shared" si="5"/>
        <v>1.822636861138764</v>
      </c>
    </row>
    <row r="29" spans="1:11" x14ac:dyDescent="0.2">
      <c r="A29" s="4">
        <f t="shared" si="0"/>
        <v>21</v>
      </c>
      <c r="B29" s="37" t="s">
        <v>132</v>
      </c>
      <c r="C29" s="25" t="s">
        <v>69</v>
      </c>
      <c r="D29" s="43" t="s">
        <v>70</v>
      </c>
      <c r="E29" s="31"/>
      <c r="F29" s="62">
        <f>'Rate Impacts'!I34</f>
        <v>1.8856000000000001E-2</v>
      </c>
      <c r="G29" s="111">
        <v>151896.83577047306</v>
      </c>
      <c r="H29" s="20">
        <f t="shared" si="4"/>
        <v>2864.1667352880404</v>
      </c>
      <c r="J29" s="113">
        <v>8.8070000000000006E-3</v>
      </c>
      <c r="K29" s="114">
        <f t="shared" si="5"/>
        <v>2.7663E-2</v>
      </c>
    </row>
    <row r="30" spans="1:11" x14ac:dyDescent="0.2">
      <c r="A30" s="4">
        <f t="shared" si="0"/>
        <v>22</v>
      </c>
      <c r="D30" s="41"/>
      <c r="E30" s="110"/>
      <c r="F30" s="18"/>
      <c r="G30" s="111"/>
      <c r="H30" s="25"/>
      <c r="J30" s="18"/>
      <c r="K30" s="112"/>
    </row>
    <row r="31" spans="1:11" ht="13.5" x14ac:dyDescent="0.35">
      <c r="A31" s="4">
        <f t="shared" si="0"/>
        <v>23</v>
      </c>
      <c r="B31" s="36" t="s">
        <v>109</v>
      </c>
      <c r="D31" s="41"/>
      <c r="E31" s="110"/>
      <c r="F31" s="18"/>
      <c r="G31" s="111"/>
      <c r="H31" s="25"/>
      <c r="J31" s="18"/>
      <c r="K31" s="112"/>
    </row>
    <row r="32" spans="1:11" x14ac:dyDescent="0.2">
      <c r="A32" s="4">
        <f t="shared" si="0"/>
        <v>24</v>
      </c>
      <c r="B32" s="37" t="s">
        <v>53</v>
      </c>
      <c r="C32" s="25" t="s">
        <v>6</v>
      </c>
      <c r="D32" s="40">
        <v>50</v>
      </c>
      <c r="E32" s="110">
        <v>4.32</v>
      </c>
      <c r="F32" s="18">
        <f t="shared" ref="F32:F39" si="6">E32*$H$168</f>
        <v>0.15210576490283517</v>
      </c>
      <c r="G32" s="111">
        <v>0</v>
      </c>
      <c r="H32" s="20">
        <f t="shared" ref="H32:H39" si="7">F32*G32</f>
        <v>0</v>
      </c>
      <c r="J32" s="110">
        <v>0.17</v>
      </c>
      <c r="K32" s="112">
        <f t="shared" ref="K32:K39" si="8">F32+J32</f>
        <v>0.32210576490283516</v>
      </c>
    </row>
    <row r="33" spans="1:11" x14ac:dyDescent="0.2">
      <c r="A33" s="4">
        <f t="shared" si="0"/>
        <v>25</v>
      </c>
      <c r="B33" s="37" t="str">
        <f t="shared" ref="B33:B39" si="9">+B32</f>
        <v xml:space="preserve">52E </v>
      </c>
      <c r="C33" s="25" t="s">
        <v>6</v>
      </c>
      <c r="D33" s="40">
        <v>70</v>
      </c>
      <c r="E33" s="110">
        <v>6.97</v>
      </c>
      <c r="F33" s="18">
        <f t="shared" si="6"/>
        <v>0.24541138457702799</v>
      </c>
      <c r="G33" s="111">
        <v>3289.166666666667</v>
      </c>
      <c r="H33" s="20">
        <f t="shared" si="7"/>
        <v>807.19894577127468</v>
      </c>
      <c r="J33" s="110">
        <v>0.24</v>
      </c>
      <c r="K33" s="112">
        <f t="shared" si="8"/>
        <v>0.48541138457702798</v>
      </c>
    </row>
    <row r="34" spans="1:11" x14ac:dyDescent="0.2">
      <c r="A34" s="4">
        <f t="shared" si="0"/>
        <v>26</v>
      </c>
      <c r="B34" s="37" t="str">
        <f t="shared" si="9"/>
        <v xml:space="preserve">52E </v>
      </c>
      <c r="C34" s="25" t="s">
        <v>6</v>
      </c>
      <c r="D34" s="40">
        <v>100</v>
      </c>
      <c r="E34" s="110">
        <v>10.56</v>
      </c>
      <c r="F34" s="18">
        <f t="shared" si="6"/>
        <v>0.37181409198470816</v>
      </c>
      <c r="G34" s="111">
        <v>47545.833333333328</v>
      </c>
      <c r="H34" s="20">
        <f t="shared" si="7"/>
        <v>17678.210848489602</v>
      </c>
      <c r="J34" s="110">
        <v>0.34</v>
      </c>
      <c r="K34" s="112">
        <f t="shared" si="8"/>
        <v>0.71181409198470824</v>
      </c>
    </row>
    <row r="35" spans="1:11" x14ac:dyDescent="0.2">
      <c r="A35" s="4">
        <f t="shared" si="0"/>
        <v>27</v>
      </c>
      <c r="B35" s="37" t="str">
        <f t="shared" si="9"/>
        <v xml:space="preserve">52E </v>
      </c>
      <c r="C35" s="25" t="s">
        <v>6</v>
      </c>
      <c r="D35" s="40">
        <v>150</v>
      </c>
      <c r="E35" s="110">
        <v>10.56</v>
      </c>
      <c r="F35" s="18">
        <f t="shared" si="6"/>
        <v>0.37181409198470816</v>
      </c>
      <c r="G35" s="111">
        <v>22140.833333333336</v>
      </c>
      <c r="H35" s="20">
        <f t="shared" si="7"/>
        <v>8232.2738416180928</v>
      </c>
      <c r="J35" s="110">
        <v>0.5</v>
      </c>
      <c r="K35" s="112">
        <f t="shared" si="8"/>
        <v>0.87181409198470816</v>
      </c>
    </row>
    <row r="36" spans="1:11" x14ac:dyDescent="0.2">
      <c r="A36" s="4">
        <f t="shared" si="0"/>
        <v>28</v>
      </c>
      <c r="B36" s="37" t="str">
        <f t="shared" si="9"/>
        <v xml:space="preserve">52E </v>
      </c>
      <c r="C36" s="25" t="s">
        <v>6</v>
      </c>
      <c r="D36" s="40">
        <v>200</v>
      </c>
      <c r="E36" s="110">
        <v>18.5</v>
      </c>
      <c r="F36" s="18">
        <f t="shared" si="6"/>
        <v>0.6513788543292709</v>
      </c>
      <c r="G36" s="111">
        <v>4654.583333333333</v>
      </c>
      <c r="H36" s="20">
        <f t="shared" si="7"/>
        <v>3031.8971590467854</v>
      </c>
      <c r="J36" s="110">
        <v>0.67</v>
      </c>
      <c r="K36" s="112">
        <f t="shared" si="8"/>
        <v>1.321378854329271</v>
      </c>
    </row>
    <row r="37" spans="1:11" x14ac:dyDescent="0.2">
      <c r="A37" s="4">
        <f t="shared" si="0"/>
        <v>29</v>
      </c>
      <c r="B37" s="37" t="str">
        <f t="shared" si="9"/>
        <v xml:space="preserve">52E </v>
      </c>
      <c r="C37" s="25" t="s">
        <v>6</v>
      </c>
      <c r="D37" s="40">
        <v>250</v>
      </c>
      <c r="E37" s="110">
        <v>24.5</v>
      </c>
      <c r="F37" s="18">
        <f t="shared" si="6"/>
        <v>0.86263686113876414</v>
      </c>
      <c r="G37" s="111">
        <v>6887.5</v>
      </c>
      <c r="H37" s="20">
        <f t="shared" si="7"/>
        <v>5941.4113810932377</v>
      </c>
      <c r="J37" s="110">
        <v>0.84</v>
      </c>
      <c r="K37" s="112">
        <f t="shared" si="8"/>
        <v>1.7026368611387641</v>
      </c>
    </row>
    <row r="38" spans="1:11" x14ac:dyDescent="0.2">
      <c r="A38" s="4">
        <f t="shared" si="0"/>
        <v>30</v>
      </c>
      <c r="B38" s="37" t="str">
        <f t="shared" si="9"/>
        <v xml:space="preserve">52E </v>
      </c>
      <c r="C38" s="25" t="s">
        <v>6</v>
      </c>
      <c r="D38" s="40">
        <v>310</v>
      </c>
      <c r="E38" s="110">
        <v>24.5</v>
      </c>
      <c r="F38" s="18">
        <f t="shared" si="6"/>
        <v>0.86263686113876414</v>
      </c>
      <c r="G38" s="111">
        <v>717.08333333333326</v>
      </c>
      <c r="H38" s="20">
        <f t="shared" si="7"/>
        <v>618.5825158415887</v>
      </c>
      <c r="J38" s="110">
        <v>1.04</v>
      </c>
      <c r="K38" s="112">
        <f t="shared" si="8"/>
        <v>1.9026368611387641</v>
      </c>
    </row>
    <row r="39" spans="1:11" x14ac:dyDescent="0.2">
      <c r="A39" s="4">
        <f t="shared" si="0"/>
        <v>31</v>
      </c>
      <c r="B39" s="37" t="str">
        <f t="shared" si="9"/>
        <v xml:space="preserve">52E </v>
      </c>
      <c r="C39" s="25" t="s">
        <v>6</v>
      </c>
      <c r="D39" s="40">
        <v>400</v>
      </c>
      <c r="E39" s="110">
        <v>38.409999999999997</v>
      </c>
      <c r="F39" s="18">
        <f t="shared" si="6"/>
        <v>1.3524033402587725</v>
      </c>
      <c r="G39" s="111">
        <v>2902.5</v>
      </c>
      <c r="H39" s="20">
        <f t="shared" si="7"/>
        <v>3925.3506951010872</v>
      </c>
      <c r="J39" s="110">
        <v>1.35</v>
      </c>
      <c r="K39" s="112">
        <f t="shared" si="8"/>
        <v>2.7024033402587726</v>
      </c>
    </row>
    <row r="40" spans="1:11" x14ac:dyDescent="0.2">
      <c r="A40" s="4">
        <f t="shared" si="0"/>
        <v>32</v>
      </c>
      <c r="B40" s="44"/>
      <c r="C40" s="25"/>
      <c r="D40" s="40"/>
      <c r="E40" s="110"/>
      <c r="F40" s="18"/>
      <c r="G40" s="111"/>
      <c r="H40" s="25"/>
      <c r="J40" s="18"/>
      <c r="K40" s="112"/>
    </row>
    <row r="41" spans="1:11" x14ac:dyDescent="0.2">
      <c r="A41" s="4">
        <f t="shared" si="0"/>
        <v>33</v>
      </c>
      <c r="B41" s="37" t="str">
        <f>+B36</f>
        <v xml:space="preserve">52E </v>
      </c>
      <c r="C41" s="25" t="s">
        <v>46</v>
      </c>
      <c r="D41" s="40">
        <v>70</v>
      </c>
      <c r="E41" s="110">
        <v>6.97</v>
      </c>
      <c r="F41" s="18">
        <f t="shared" ref="F41:F47" si="10">E41*$H$168</f>
        <v>0.24541138457702799</v>
      </c>
      <c r="G41" s="111">
        <v>350.41666666666663</v>
      </c>
      <c r="H41" s="20">
        <f t="shared" ref="H41:H47" si="11">F41*G41</f>
        <v>85.996239345533553</v>
      </c>
      <c r="J41" s="110">
        <v>0.24</v>
      </c>
      <c r="K41" s="112">
        <f t="shared" ref="K41:K47" si="12">F41+J41</f>
        <v>0.48541138457702798</v>
      </c>
    </row>
    <row r="42" spans="1:11" x14ac:dyDescent="0.2">
      <c r="A42" s="4">
        <f t="shared" ref="A42:A73" si="13">+A41+1</f>
        <v>34</v>
      </c>
      <c r="B42" s="37" t="str">
        <f>+B37</f>
        <v xml:space="preserve">52E </v>
      </c>
      <c r="C42" s="25" t="s">
        <v>46</v>
      </c>
      <c r="D42" s="40">
        <v>100</v>
      </c>
      <c r="E42" s="110">
        <v>10.56</v>
      </c>
      <c r="F42" s="18">
        <f t="shared" si="10"/>
        <v>0.37181409198470816</v>
      </c>
      <c r="G42" s="111">
        <v>19.166666666666668</v>
      </c>
      <c r="H42" s="20">
        <f t="shared" si="11"/>
        <v>7.1264367630402399</v>
      </c>
      <c r="J42" s="110">
        <v>0.34</v>
      </c>
      <c r="K42" s="112">
        <f t="shared" si="12"/>
        <v>0.71181409198470824</v>
      </c>
    </row>
    <row r="43" spans="1:11" x14ac:dyDescent="0.2">
      <c r="A43" s="4">
        <f t="shared" si="13"/>
        <v>35</v>
      </c>
      <c r="B43" s="37" t="str">
        <f>+B38</f>
        <v xml:space="preserve">52E </v>
      </c>
      <c r="C43" s="25" t="s">
        <v>46</v>
      </c>
      <c r="D43" s="40">
        <v>150</v>
      </c>
      <c r="E43" s="110">
        <v>10.56</v>
      </c>
      <c r="F43" s="18">
        <f t="shared" si="10"/>
        <v>0.37181409198470816</v>
      </c>
      <c r="G43" s="111">
        <v>990</v>
      </c>
      <c r="H43" s="20">
        <f t="shared" si="11"/>
        <v>368.09595106486108</v>
      </c>
      <c r="J43" s="110">
        <v>0.5</v>
      </c>
      <c r="K43" s="112">
        <f t="shared" si="12"/>
        <v>0.87181409198470816</v>
      </c>
    </row>
    <row r="44" spans="1:11" x14ac:dyDescent="0.2">
      <c r="A44" s="4">
        <f t="shared" si="13"/>
        <v>36</v>
      </c>
      <c r="B44" s="37" t="str">
        <f>+B39</f>
        <v xml:space="preserve">52E </v>
      </c>
      <c r="C44" s="25" t="s">
        <v>46</v>
      </c>
      <c r="D44" s="40">
        <v>175</v>
      </c>
      <c r="E44" s="110">
        <v>18.5</v>
      </c>
      <c r="F44" s="18">
        <f t="shared" si="10"/>
        <v>0.6513788543292709</v>
      </c>
      <c r="G44" s="111">
        <v>1047.5</v>
      </c>
      <c r="H44" s="20">
        <f t="shared" si="11"/>
        <v>682.31934990991124</v>
      </c>
      <c r="J44" s="110">
        <v>0.59</v>
      </c>
      <c r="K44" s="112">
        <f t="shared" si="12"/>
        <v>1.241378854329271</v>
      </c>
    </row>
    <row r="45" spans="1:11" x14ac:dyDescent="0.2">
      <c r="A45" s="4">
        <f t="shared" si="13"/>
        <v>37</v>
      </c>
      <c r="B45" s="37" t="str">
        <f t="shared" ref="B45:C47" si="14">+B44</f>
        <v xml:space="preserve">52E </v>
      </c>
      <c r="C45" s="25" t="str">
        <f t="shared" si="14"/>
        <v>Metal Halide</v>
      </c>
      <c r="D45" s="40">
        <v>250</v>
      </c>
      <c r="E45" s="110">
        <v>24.5</v>
      </c>
      <c r="F45" s="18">
        <f t="shared" si="10"/>
        <v>0.86263686113876414</v>
      </c>
      <c r="G45" s="111">
        <v>178.33333333333331</v>
      </c>
      <c r="H45" s="20">
        <f t="shared" si="11"/>
        <v>153.83690690307958</v>
      </c>
      <c r="J45" s="110">
        <v>0.84</v>
      </c>
      <c r="K45" s="112">
        <f t="shared" si="12"/>
        <v>1.7026368611387641</v>
      </c>
    </row>
    <row r="46" spans="1:11" x14ac:dyDescent="0.2">
      <c r="A46" s="4">
        <f t="shared" si="13"/>
        <v>38</v>
      </c>
      <c r="B46" s="37" t="str">
        <f t="shared" si="14"/>
        <v xml:space="preserve">52E </v>
      </c>
      <c r="C46" s="25" t="str">
        <f t="shared" si="14"/>
        <v>Metal Halide</v>
      </c>
      <c r="D46" s="40">
        <v>400</v>
      </c>
      <c r="E46" s="110">
        <v>38.409999999999997</v>
      </c>
      <c r="F46" s="18">
        <f t="shared" si="10"/>
        <v>1.3524033402587725</v>
      </c>
      <c r="G46" s="111">
        <v>285</v>
      </c>
      <c r="H46" s="20">
        <f t="shared" si="11"/>
        <v>385.43495197375017</v>
      </c>
      <c r="J46" s="110">
        <v>1.35</v>
      </c>
      <c r="K46" s="112">
        <f t="shared" si="12"/>
        <v>2.7024033402587726</v>
      </c>
    </row>
    <row r="47" spans="1:11" x14ac:dyDescent="0.2">
      <c r="A47" s="4">
        <f t="shared" si="13"/>
        <v>39</v>
      </c>
      <c r="B47" s="37" t="str">
        <f t="shared" si="14"/>
        <v xml:space="preserve">52E </v>
      </c>
      <c r="C47" s="25" t="str">
        <f t="shared" si="14"/>
        <v>Metal Halide</v>
      </c>
      <c r="D47" s="40">
        <v>1000</v>
      </c>
      <c r="E47" s="110">
        <v>96.03</v>
      </c>
      <c r="F47" s="18">
        <f t="shared" si="10"/>
        <v>3.3811843989859396</v>
      </c>
      <c r="G47" s="111">
        <v>90</v>
      </c>
      <c r="H47" s="20">
        <f t="shared" si="11"/>
        <v>304.30659590873455</v>
      </c>
      <c r="J47" s="110">
        <v>3.36</v>
      </c>
      <c r="K47" s="112">
        <f t="shared" si="12"/>
        <v>6.7411843989859399</v>
      </c>
    </row>
    <row r="48" spans="1:11" x14ac:dyDescent="0.2">
      <c r="A48" s="4">
        <f t="shared" si="13"/>
        <v>40</v>
      </c>
      <c r="D48" s="41"/>
      <c r="E48" s="110"/>
      <c r="F48" s="18"/>
      <c r="G48" s="111"/>
      <c r="H48" s="25"/>
      <c r="J48" s="18"/>
      <c r="K48" s="112"/>
    </row>
    <row r="49" spans="1:11" ht="13.5" x14ac:dyDescent="0.35">
      <c r="A49" s="4">
        <f t="shared" si="13"/>
        <v>41</v>
      </c>
      <c r="B49" s="36" t="s">
        <v>106</v>
      </c>
      <c r="D49" s="41"/>
      <c r="E49" s="110"/>
      <c r="F49" s="18"/>
      <c r="G49" s="111"/>
      <c r="H49" s="25"/>
      <c r="J49" s="18"/>
      <c r="K49" s="112"/>
    </row>
    <row r="50" spans="1:11" x14ac:dyDescent="0.2">
      <c r="A50" s="4">
        <f t="shared" si="13"/>
        <v>42</v>
      </c>
      <c r="B50" s="37" t="s">
        <v>74</v>
      </c>
      <c r="C50" s="25" t="s">
        <v>6</v>
      </c>
      <c r="D50" s="40">
        <v>50</v>
      </c>
      <c r="E50" s="110">
        <v>4.32</v>
      </c>
      <c r="F50" s="18">
        <f t="shared" ref="F50:F58" si="15">E50*$H$168</f>
        <v>0.15210576490283517</v>
      </c>
      <c r="G50" s="111">
        <v>0</v>
      </c>
      <c r="H50" s="20">
        <f t="shared" ref="H50:H58" si="16">F50*G50</f>
        <v>0</v>
      </c>
      <c r="J50" s="110">
        <v>0.17</v>
      </c>
      <c r="K50" s="112">
        <f t="shared" ref="K50:K58" si="17">F50+J50</f>
        <v>0.32210576490283516</v>
      </c>
    </row>
    <row r="51" spans="1:11" x14ac:dyDescent="0.2">
      <c r="A51" s="4">
        <f t="shared" si="13"/>
        <v>43</v>
      </c>
      <c r="B51" s="37" t="str">
        <f t="shared" ref="B51:B58" si="18">+B50</f>
        <v>53E</v>
      </c>
      <c r="C51" s="25" t="s">
        <v>6</v>
      </c>
      <c r="D51" s="40">
        <v>70</v>
      </c>
      <c r="E51" s="110">
        <v>6.97</v>
      </c>
      <c r="F51" s="18">
        <f t="shared" si="15"/>
        <v>0.24541138457702799</v>
      </c>
      <c r="G51" s="111">
        <v>18868.75</v>
      </c>
      <c r="H51" s="20">
        <f t="shared" si="16"/>
        <v>4630.6060627377965</v>
      </c>
      <c r="J51" s="110">
        <v>0.24</v>
      </c>
      <c r="K51" s="112">
        <f t="shared" si="17"/>
        <v>0.48541138457702798</v>
      </c>
    </row>
    <row r="52" spans="1:11" x14ac:dyDescent="0.2">
      <c r="A52" s="4">
        <f t="shared" si="13"/>
        <v>44</v>
      </c>
      <c r="B52" s="37" t="str">
        <f t="shared" si="18"/>
        <v>53E</v>
      </c>
      <c r="C52" s="25" t="s">
        <v>6</v>
      </c>
      <c r="D52" s="40">
        <v>100</v>
      </c>
      <c r="E52" s="110">
        <v>10.56</v>
      </c>
      <c r="F52" s="18">
        <f t="shared" si="15"/>
        <v>0.37181409198470816</v>
      </c>
      <c r="G52" s="111">
        <v>139563.75</v>
      </c>
      <c r="H52" s="20">
        <f t="shared" si="16"/>
        <v>51891.768980230816</v>
      </c>
      <c r="J52" s="110">
        <v>0.34</v>
      </c>
      <c r="K52" s="112">
        <f t="shared" si="17"/>
        <v>0.71181409198470824</v>
      </c>
    </row>
    <row r="53" spans="1:11" x14ac:dyDescent="0.2">
      <c r="A53" s="4">
        <f t="shared" si="13"/>
        <v>45</v>
      </c>
      <c r="B53" s="37" t="str">
        <f t="shared" si="18"/>
        <v>53E</v>
      </c>
      <c r="C53" s="25" t="s">
        <v>6</v>
      </c>
      <c r="D53" s="40">
        <v>150</v>
      </c>
      <c r="E53" s="110">
        <v>10.56</v>
      </c>
      <c r="F53" s="18">
        <f t="shared" si="15"/>
        <v>0.37181409198470816</v>
      </c>
      <c r="G53" s="111">
        <v>17089.166666666668</v>
      </c>
      <c r="H53" s="20">
        <f t="shared" si="16"/>
        <v>6353.9929869420093</v>
      </c>
      <c r="J53" s="110">
        <v>0.5</v>
      </c>
      <c r="K53" s="112">
        <f t="shared" si="17"/>
        <v>0.87181409198470816</v>
      </c>
    </row>
    <row r="54" spans="1:11" x14ac:dyDescent="0.2">
      <c r="A54" s="4">
        <f t="shared" si="13"/>
        <v>46</v>
      </c>
      <c r="B54" s="37" t="str">
        <f t="shared" si="18"/>
        <v>53E</v>
      </c>
      <c r="C54" s="25" t="s">
        <v>6</v>
      </c>
      <c r="D54" s="40">
        <v>200</v>
      </c>
      <c r="E54" s="110">
        <v>18.5</v>
      </c>
      <c r="F54" s="18">
        <f t="shared" si="15"/>
        <v>0.6513788543292709</v>
      </c>
      <c r="G54" s="111">
        <v>22786.666666666664</v>
      </c>
      <c r="H54" s="20">
        <f t="shared" si="16"/>
        <v>14842.752827316317</v>
      </c>
      <c r="J54" s="110">
        <v>0.67</v>
      </c>
      <c r="K54" s="112">
        <f t="shared" si="17"/>
        <v>1.321378854329271</v>
      </c>
    </row>
    <row r="55" spans="1:11" x14ac:dyDescent="0.2">
      <c r="A55" s="4">
        <f t="shared" si="13"/>
        <v>47</v>
      </c>
      <c r="B55" s="37" t="str">
        <f t="shared" si="18"/>
        <v>53E</v>
      </c>
      <c r="C55" s="25" t="s">
        <v>6</v>
      </c>
      <c r="D55" s="40">
        <v>250</v>
      </c>
      <c r="E55" s="110">
        <v>24.5</v>
      </c>
      <c r="F55" s="18">
        <f t="shared" si="15"/>
        <v>0.86263686113876414</v>
      </c>
      <c r="G55" s="111">
        <v>8927.0833333333339</v>
      </c>
      <c r="H55" s="20">
        <f t="shared" si="16"/>
        <v>7700.831145790843</v>
      </c>
      <c r="J55" s="110">
        <v>0.84</v>
      </c>
      <c r="K55" s="112">
        <f t="shared" si="17"/>
        <v>1.7026368611387641</v>
      </c>
    </row>
    <row r="56" spans="1:11" x14ac:dyDescent="0.2">
      <c r="A56" s="4">
        <f t="shared" si="13"/>
        <v>48</v>
      </c>
      <c r="B56" s="37" t="str">
        <f t="shared" si="18"/>
        <v>53E</v>
      </c>
      <c r="C56" s="25" t="s">
        <v>6</v>
      </c>
      <c r="D56" s="40">
        <v>310</v>
      </c>
      <c r="E56" s="110">
        <v>24.5</v>
      </c>
      <c r="F56" s="18">
        <f t="shared" si="15"/>
        <v>0.86263686113876414</v>
      </c>
      <c r="G56" s="111">
        <v>98.75</v>
      </c>
      <c r="H56" s="20">
        <f t="shared" si="16"/>
        <v>85.185390037452962</v>
      </c>
      <c r="J56" s="110">
        <v>1.04</v>
      </c>
      <c r="K56" s="112">
        <f t="shared" si="17"/>
        <v>1.9026368611387641</v>
      </c>
    </row>
    <row r="57" spans="1:11" x14ac:dyDescent="0.2">
      <c r="A57" s="4">
        <f t="shared" si="13"/>
        <v>49</v>
      </c>
      <c r="B57" s="37" t="str">
        <f t="shared" si="18"/>
        <v>53E</v>
      </c>
      <c r="C57" s="25" t="s">
        <v>6</v>
      </c>
      <c r="D57" s="40">
        <v>400</v>
      </c>
      <c r="E57" s="110">
        <v>38.409999999999997</v>
      </c>
      <c r="F57" s="18">
        <f t="shared" si="15"/>
        <v>1.3524033402587725</v>
      </c>
      <c r="G57" s="111">
        <v>6073.3333333333339</v>
      </c>
      <c r="H57" s="20">
        <f t="shared" si="16"/>
        <v>8213.596286504946</v>
      </c>
      <c r="J57" s="110">
        <v>1.35</v>
      </c>
      <c r="K57" s="112">
        <f t="shared" si="17"/>
        <v>2.7024033402587726</v>
      </c>
    </row>
    <row r="58" spans="1:11" x14ac:dyDescent="0.2">
      <c r="A58" s="4">
        <f t="shared" si="13"/>
        <v>50</v>
      </c>
      <c r="B58" s="37" t="str">
        <f t="shared" si="18"/>
        <v>53E</v>
      </c>
      <c r="C58" s="25" t="s">
        <v>6</v>
      </c>
      <c r="D58" s="40">
        <v>1000</v>
      </c>
      <c r="E58" s="110">
        <v>96.03</v>
      </c>
      <c r="F58" s="18">
        <f t="shared" si="15"/>
        <v>3.3811843989859396</v>
      </c>
      <c r="G58" s="111">
        <v>0</v>
      </c>
      <c r="H58" s="20">
        <f t="shared" si="16"/>
        <v>0</v>
      </c>
      <c r="J58" s="110">
        <v>3.36</v>
      </c>
      <c r="K58" s="112">
        <f t="shared" si="17"/>
        <v>6.7411843989859399</v>
      </c>
    </row>
    <row r="59" spans="1:11" x14ac:dyDescent="0.2">
      <c r="A59" s="4">
        <f t="shared" si="13"/>
        <v>51</v>
      </c>
      <c r="B59" s="37"/>
      <c r="C59" s="25"/>
      <c r="D59" s="40"/>
      <c r="E59" s="110"/>
      <c r="F59" s="18"/>
      <c r="G59" s="111"/>
      <c r="H59" s="25"/>
      <c r="J59" s="18"/>
      <c r="K59" s="112"/>
    </row>
    <row r="60" spans="1:11" x14ac:dyDescent="0.2">
      <c r="A60" s="4">
        <f t="shared" si="13"/>
        <v>52</v>
      </c>
      <c r="B60" s="37" t="str">
        <f>+B58</f>
        <v>53E</v>
      </c>
      <c r="C60" s="25" t="s">
        <v>46</v>
      </c>
      <c r="D60" s="40">
        <v>70</v>
      </c>
      <c r="E60" s="110">
        <v>6.97</v>
      </c>
      <c r="F60" s="18">
        <f t="shared" ref="F60:F65" si="19">E60*$H$168</f>
        <v>0.24541138457702799</v>
      </c>
      <c r="G60" s="111">
        <v>0</v>
      </c>
      <c r="H60" s="20">
        <f t="shared" ref="H60:H65" si="20">F60*G60</f>
        <v>0</v>
      </c>
      <c r="J60" s="110">
        <v>0.24</v>
      </c>
      <c r="K60" s="112">
        <f t="shared" ref="K60:K65" si="21">F60+J60</f>
        <v>0.48541138457702798</v>
      </c>
    </row>
    <row r="61" spans="1:11" x14ac:dyDescent="0.2">
      <c r="A61" s="4">
        <f t="shared" si="13"/>
        <v>53</v>
      </c>
      <c r="B61" s="37" t="str">
        <f>+B60</f>
        <v>53E</v>
      </c>
      <c r="C61" s="25" t="s">
        <v>46</v>
      </c>
      <c r="D61" s="40">
        <v>100</v>
      </c>
      <c r="E61" s="110">
        <v>10.56</v>
      </c>
      <c r="F61" s="18">
        <f t="shared" si="19"/>
        <v>0.37181409198470816</v>
      </c>
      <c r="G61" s="111">
        <v>0</v>
      </c>
      <c r="H61" s="20">
        <f t="shared" si="20"/>
        <v>0</v>
      </c>
      <c r="J61" s="110">
        <v>0.34</v>
      </c>
      <c r="K61" s="112">
        <f t="shared" si="21"/>
        <v>0.71181409198470824</v>
      </c>
    </row>
    <row r="62" spans="1:11" x14ac:dyDescent="0.2">
      <c r="A62" s="4">
        <f t="shared" si="13"/>
        <v>54</v>
      </c>
      <c r="B62" s="37" t="str">
        <f>+B61</f>
        <v>53E</v>
      </c>
      <c r="C62" s="25" t="s">
        <v>46</v>
      </c>
      <c r="D62" s="40">
        <v>150</v>
      </c>
      <c r="E62" s="110">
        <v>10.56</v>
      </c>
      <c r="F62" s="18">
        <f t="shared" si="19"/>
        <v>0.37181409198470816</v>
      </c>
      <c r="G62" s="111">
        <v>0</v>
      </c>
      <c r="H62" s="20">
        <f t="shared" si="20"/>
        <v>0</v>
      </c>
      <c r="J62" s="110">
        <v>0.5</v>
      </c>
      <c r="K62" s="112">
        <f t="shared" si="21"/>
        <v>0.87181409198470816</v>
      </c>
    </row>
    <row r="63" spans="1:11" x14ac:dyDescent="0.2">
      <c r="A63" s="4">
        <f t="shared" si="13"/>
        <v>55</v>
      </c>
      <c r="B63" s="37" t="str">
        <f>+B62</f>
        <v>53E</v>
      </c>
      <c r="C63" s="25" t="s">
        <v>46</v>
      </c>
      <c r="D63" s="40">
        <v>175</v>
      </c>
      <c r="E63" s="110">
        <v>18.5</v>
      </c>
      <c r="F63" s="18">
        <f t="shared" si="19"/>
        <v>0.6513788543292709</v>
      </c>
      <c r="G63" s="111">
        <v>20</v>
      </c>
      <c r="H63" s="20">
        <f t="shared" si="20"/>
        <v>13.027577086585417</v>
      </c>
      <c r="J63" s="110">
        <v>0.59</v>
      </c>
      <c r="K63" s="112">
        <f t="shared" si="21"/>
        <v>1.241378854329271</v>
      </c>
    </row>
    <row r="64" spans="1:11" x14ac:dyDescent="0.2">
      <c r="A64" s="4">
        <f t="shared" si="13"/>
        <v>56</v>
      </c>
      <c r="B64" s="37" t="str">
        <f>+B63</f>
        <v>53E</v>
      </c>
      <c r="C64" s="25" t="s">
        <v>46</v>
      </c>
      <c r="D64" s="40">
        <v>250</v>
      </c>
      <c r="E64" s="110">
        <v>24.5</v>
      </c>
      <c r="F64" s="18">
        <f t="shared" si="19"/>
        <v>0.86263686113876414</v>
      </c>
      <c r="G64" s="111">
        <v>0</v>
      </c>
      <c r="H64" s="20">
        <f t="shared" si="20"/>
        <v>0</v>
      </c>
      <c r="J64" s="110">
        <v>0.84</v>
      </c>
      <c r="K64" s="112">
        <f t="shared" si="21"/>
        <v>1.7026368611387641</v>
      </c>
    </row>
    <row r="65" spans="1:11" x14ac:dyDescent="0.2">
      <c r="A65" s="4">
        <f t="shared" si="13"/>
        <v>57</v>
      </c>
      <c r="B65" s="37" t="str">
        <f>+B64</f>
        <v>53E</v>
      </c>
      <c r="C65" s="25" t="s">
        <v>46</v>
      </c>
      <c r="D65" s="40">
        <v>400</v>
      </c>
      <c r="E65" s="110">
        <v>38.409999999999997</v>
      </c>
      <c r="F65" s="18">
        <f t="shared" si="19"/>
        <v>1.3524033402587725</v>
      </c>
      <c r="G65" s="111">
        <v>0</v>
      </c>
      <c r="H65" s="20">
        <f t="shared" si="20"/>
        <v>0</v>
      </c>
      <c r="J65" s="110">
        <v>1.35</v>
      </c>
      <c r="K65" s="112">
        <f t="shared" si="21"/>
        <v>2.7024033402587726</v>
      </c>
    </row>
    <row r="66" spans="1:11" x14ac:dyDescent="0.2">
      <c r="A66" s="4">
        <f t="shared" si="13"/>
        <v>58</v>
      </c>
      <c r="B66" s="37"/>
      <c r="C66" s="25"/>
      <c r="D66" s="40"/>
      <c r="E66" s="110"/>
      <c r="F66" s="18"/>
      <c r="G66" s="111"/>
      <c r="H66" s="25"/>
      <c r="J66" s="18"/>
      <c r="K66" s="112"/>
    </row>
    <row r="67" spans="1:11" x14ac:dyDescent="0.2">
      <c r="A67" s="4">
        <f t="shared" si="13"/>
        <v>59</v>
      </c>
      <c r="B67" s="37" t="str">
        <f>+B64</f>
        <v>53E</v>
      </c>
      <c r="C67" s="25" t="s">
        <v>30</v>
      </c>
      <c r="D67" s="41" t="s">
        <v>72</v>
      </c>
      <c r="E67" s="110">
        <v>1.98</v>
      </c>
      <c r="F67" s="18">
        <f t="shared" ref="F67:F76" si="22">E67*$H$168</f>
        <v>6.971514224713278E-2</v>
      </c>
      <c r="G67" s="111">
        <v>0.83333333333333326</v>
      </c>
      <c r="H67" s="20">
        <f t="shared" ref="H67:H77" si="23">F67*G67</f>
        <v>5.8095951872610643E-2</v>
      </c>
      <c r="J67" s="110">
        <v>0.05</v>
      </c>
      <c r="K67" s="112">
        <f t="shared" ref="K67:K77" si="24">F67+J67</f>
        <v>0.11971514224713278</v>
      </c>
    </row>
    <row r="68" spans="1:11" x14ac:dyDescent="0.2">
      <c r="A68" s="4">
        <f t="shared" si="13"/>
        <v>60</v>
      </c>
      <c r="B68" s="37" t="str">
        <f>+B65</f>
        <v>53E</v>
      </c>
      <c r="C68" s="25" t="s">
        <v>30</v>
      </c>
      <c r="D68" s="42" t="s">
        <v>71</v>
      </c>
      <c r="E68" s="110">
        <v>4.32</v>
      </c>
      <c r="F68" s="18">
        <f t="shared" si="22"/>
        <v>0.15210576490283517</v>
      </c>
      <c r="G68" s="111">
        <v>118569.58333333334</v>
      </c>
      <c r="H68" s="20">
        <f t="shared" si="23"/>
        <v>18035.117167127126</v>
      </c>
      <c r="J68" s="110">
        <v>0.15</v>
      </c>
      <c r="K68" s="112">
        <f t="shared" si="24"/>
        <v>0.30210576490283514</v>
      </c>
    </row>
    <row r="69" spans="1:11" x14ac:dyDescent="0.2">
      <c r="A69" s="4">
        <f t="shared" si="13"/>
        <v>61</v>
      </c>
      <c r="B69" s="37" t="str">
        <f t="shared" ref="B69:B76" si="25">B68</f>
        <v>53E</v>
      </c>
      <c r="C69" s="25" t="s">
        <v>30</v>
      </c>
      <c r="D69" s="40" t="s">
        <v>43</v>
      </c>
      <c r="E69" s="110">
        <v>6.97</v>
      </c>
      <c r="F69" s="18">
        <f t="shared" si="22"/>
        <v>0.24541138457702799</v>
      </c>
      <c r="G69" s="111">
        <v>6831.25</v>
      </c>
      <c r="H69" s="20">
        <f t="shared" si="23"/>
        <v>1676.4665208918225</v>
      </c>
      <c r="J69" s="110">
        <v>0.25</v>
      </c>
      <c r="K69" s="112">
        <f t="shared" si="24"/>
        <v>0.49541138457702799</v>
      </c>
    </row>
    <row r="70" spans="1:11" x14ac:dyDescent="0.2">
      <c r="A70" s="4">
        <f t="shared" si="13"/>
        <v>62</v>
      </c>
      <c r="B70" s="37" t="str">
        <f t="shared" si="25"/>
        <v>53E</v>
      </c>
      <c r="C70" s="25" t="s">
        <v>30</v>
      </c>
      <c r="D70" s="40" t="s">
        <v>42</v>
      </c>
      <c r="E70" s="110">
        <v>10.56</v>
      </c>
      <c r="F70" s="18">
        <f t="shared" si="22"/>
        <v>0.37181409198470816</v>
      </c>
      <c r="G70" s="111">
        <v>18250.416666666668</v>
      </c>
      <c r="H70" s="20">
        <f t="shared" si="23"/>
        <v>6785.7621012592517</v>
      </c>
      <c r="J70" s="110">
        <v>0.35</v>
      </c>
      <c r="K70" s="112">
        <f t="shared" si="24"/>
        <v>0.72181409198470814</v>
      </c>
    </row>
    <row r="71" spans="1:11" x14ac:dyDescent="0.2">
      <c r="A71" s="4">
        <f t="shared" si="13"/>
        <v>63</v>
      </c>
      <c r="B71" s="37" t="str">
        <f t="shared" si="25"/>
        <v>53E</v>
      </c>
      <c r="C71" s="25" t="s">
        <v>30</v>
      </c>
      <c r="D71" s="40" t="s">
        <v>41</v>
      </c>
      <c r="E71" s="110">
        <v>10.56</v>
      </c>
      <c r="F71" s="18">
        <f t="shared" si="22"/>
        <v>0.37181409198470816</v>
      </c>
      <c r="G71" s="111">
        <v>9916.25</v>
      </c>
      <c r="H71" s="20">
        <f t="shared" si="23"/>
        <v>3687.0014896433622</v>
      </c>
      <c r="J71" s="110">
        <v>0.45</v>
      </c>
      <c r="K71" s="112">
        <f t="shared" si="24"/>
        <v>0.82181409198470812</v>
      </c>
    </row>
    <row r="72" spans="1:11" x14ac:dyDescent="0.2">
      <c r="A72" s="4">
        <f t="shared" si="13"/>
        <v>64</v>
      </c>
      <c r="B72" s="37" t="str">
        <f t="shared" si="25"/>
        <v>53E</v>
      </c>
      <c r="C72" s="25" t="s">
        <v>30</v>
      </c>
      <c r="D72" s="40" t="s">
        <v>40</v>
      </c>
      <c r="E72" s="110">
        <v>18.5</v>
      </c>
      <c r="F72" s="18">
        <f t="shared" si="22"/>
        <v>0.6513788543292709</v>
      </c>
      <c r="G72" s="111">
        <v>7742.0833333333339</v>
      </c>
      <c r="H72" s="20">
        <f t="shared" si="23"/>
        <v>5043.0293717884097</v>
      </c>
      <c r="J72" s="110">
        <v>0.55000000000000004</v>
      </c>
      <c r="K72" s="112">
        <f t="shared" si="24"/>
        <v>1.2013788543292709</v>
      </c>
    </row>
    <row r="73" spans="1:11" x14ac:dyDescent="0.2">
      <c r="A73" s="4">
        <f t="shared" si="13"/>
        <v>65</v>
      </c>
      <c r="B73" s="37" t="str">
        <f t="shared" si="25"/>
        <v>53E</v>
      </c>
      <c r="C73" s="25" t="s">
        <v>30</v>
      </c>
      <c r="D73" s="40" t="s">
        <v>39</v>
      </c>
      <c r="E73" s="110">
        <v>18.5</v>
      </c>
      <c r="F73" s="18">
        <f t="shared" si="22"/>
        <v>0.6513788543292709</v>
      </c>
      <c r="G73" s="111">
        <v>2640</v>
      </c>
      <c r="H73" s="20">
        <f t="shared" si="23"/>
        <v>1719.6401754292751</v>
      </c>
      <c r="J73" s="110">
        <v>0.66</v>
      </c>
      <c r="K73" s="112">
        <f t="shared" si="24"/>
        <v>1.3113788543292708</v>
      </c>
    </row>
    <row r="74" spans="1:11" x14ac:dyDescent="0.2">
      <c r="A74" s="4">
        <f t="shared" ref="A74:A105" si="26">+A73+1</f>
        <v>66</v>
      </c>
      <c r="B74" s="37" t="str">
        <f t="shared" si="25"/>
        <v>53E</v>
      </c>
      <c r="C74" s="25" t="s">
        <v>30</v>
      </c>
      <c r="D74" s="40" t="s">
        <v>38</v>
      </c>
      <c r="E74" s="110">
        <v>18.5</v>
      </c>
      <c r="F74" s="18">
        <f t="shared" si="22"/>
        <v>0.6513788543292709</v>
      </c>
      <c r="G74" s="111">
        <v>426.66666666666663</v>
      </c>
      <c r="H74" s="20">
        <f t="shared" si="23"/>
        <v>277.92164451382223</v>
      </c>
      <c r="J74" s="110">
        <v>0.76</v>
      </c>
      <c r="K74" s="112">
        <f t="shared" si="24"/>
        <v>1.4113788543292709</v>
      </c>
    </row>
    <row r="75" spans="1:11" x14ac:dyDescent="0.2">
      <c r="A75" s="4">
        <f t="shared" si="26"/>
        <v>67</v>
      </c>
      <c r="B75" s="37" t="str">
        <f t="shared" si="25"/>
        <v>53E</v>
      </c>
      <c r="C75" s="25" t="s">
        <v>30</v>
      </c>
      <c r="D75" s="40" t="s">
        <v>37</v>
      </c>
      <c r="E75" s="110">
        <v>24.5</v>
      </c>
      <c r="F75" s="18">
        <f t="shared" si="22"/>
        <v>0.86263686113876414</v>
      </c>
      <c r="G75" s="111">
        <v>130</v>
      </c>
      <c r="H75" s="20">
        <f t="shared" si="23"/>
        <v>112.14279194803935</v>
      </c>
      <c r="J75" s="110">
        <v>0.86</v>
      </c>
      <c r="K75" s="112">
        <f t="shared" si="24"/>
        <v>1.7226368611387641</v>
      </c>
    </row>
    <row r="76" spans="1:11" x14ac:dyDescent="0.2">
      <c r="A76" s="4">
        <f t="shared" si="26"/>
        <v>68</v>
      </c>
      <c r="B76" s="37" t="str">
        <f t="shared" si="25"/>
        <v>53E</v>
      </c>
      <c r="C76" s="25" t="s">
        <v>30</v>
      </c>
      <c r="D76" s="40" t="s">
        <v>36</v>
      </c>
      <c r="E76" s="110">
        <v>24.5</v>
      </c>
      <c r="F76" s="18">
        <f t="shared" si="22"/>
        <v>0.86263686113876414</v>
      </c>
      <c r="G76" s="111">
        <v>791.25</v>
      </c>
      <c r="H76" s="20">
        <f t="shared" si="23"/>
        <v>682.56141637604708</v>
      </c>
      <c r="J76" s="110">
        <v>0.96</v>
      </c>
      <c r="K76" s="112">
        <f t="shared" si="24"/>
        <v>1.822636861138764</v>
      </c>
    </row>
    <row r="77" spans="1:11" x14ac:dyDescent="0.2">
      <c r="A77" s="4">
        <f t="shared" si="26"/>
        <v>69</v>
      </c>
      <c r="B77" s="37" t="s">
        <v>131</v>
      </c>
      <c r="C77" s="25" t="s">
        <v>69</v>
      </c>
      <c r="D77" s="43" t="s">
        <v>70</v>
      </c>
      <c r="E77" s="31"/>
      <c r="F77" s="62">
        <f>'Rate Impacts'!I34</f>
        <v>1.8856000000000001E-2</v>
      </c>
      <c r="G77" s="111">
        <v>967064.9460899696</v>
      </c>
      <c r="H77" s="20">
        <f t="shared" si="23"/>
        <v>18234.976623472467</v>
      </c>
      <c r="J77" s="113">
        <v>8.8070000000000006E-3</v>
      </c>
      <c r="K77" s="114">
        <f t="shared" si="24"/>
        <v>2.7663E-2</v>
      </c>
    </row>
    <row r="78" spans="1:11" x14ac:dyDescent="0.2">
      <c r="A78" s="4">
        <f t="shared" si="26"/>
        <v>70</v>
      </c>
      <c r="B78" s="45"/>
      <c r="C78" s="25"/>
      <c r="D78" s="40"/>
      <c r="E78" s="110"/>
      <c r="F78" s="18"/>
      <c r="G78" s="111"/>
      <c r="H78" s="25"/>
      <c r="J78" s="18"/>
      <c r="K78" s="112"/>
    </row>
    <row r="79" spans="1:11" ht="13.5" x14ac:dyDescent="0.35">
      <c r="A79" s="4">
        <f t="shared" si="26"/>
        <v>71</v>
      </c>
      <c r="B79" s="36" t="s">
        <v>100</v>
      </c>
      <c r="D79" s="41"/>
      <c r="E79" s="110"/>
      <c r="F79" s="18"/>
      <c r="G79" s="111"/>
      <c r="H79" s="25"/>
      <c r="J79" s="18"/>
      <c r="K79" s="112"/>
    </row>
    <row r="80" spans="1:11" x14ac:dyDescent="0.2">
      <c r="A80" s="4">
        <f t="shared" si="26"/>
        <v>72</v>
      </c>
      <c r="B80" s="37" t="s">
        <v>52</v>
      </c>
      <c r="C80" s="25" t="s">
        <v>6</v>
      </c>
      <c r="D80" s="40">
        <v>50</v>
      </c>
      <c r="E80" s="110">
        <v>4.32</v>
      </c>
      <c r="F80" s="18">
        <f t="shared" ref="F80:F88" si="27">E80*$H$168</f>
        <v>0.15210576490283517</v>
      </c>
      <c r="G80" s="111">
        <v>190</v>
      </c>
      <c r="H80" s="20">
        <f t="shared" ref="H80:H88" si="28">F80*G80</f>
        <v>28.900095331538683</v>
      </c>
      <c r="J80" s="110">
        <v>0.17</v>
      </c>
      <c r="K80" s="112">
        <f t="shared" ref="K80:K88" si="29">F80+J80</f>
        <v>0.32210576490283516</v>
      </c>
    </row>
    <row r="81" spans="1:11" x14ac:dyDescent="0.2">
      <c r="A81" s="4">
        <f t="shared" si="26"/>
        <v>73</v>
      </c>
      <c r="B81" s="37" t="str">
        <f t="shared" ref="B81:B88" si="30">+B80</f>
        <v>54E</v>
      </c>
      <c r="C81" s="25" t="s">
        <v>6</v>
      </c>
      <c r="D81" s="40">
        <v>70</v>
      </c>
      <c r="E81" s="110">
        <v>6.97</v>
      </c>
      <c r="F81" s="18">
        <f t="shared" si="27"/>
        <v>0.24541138457702799</v>
      </c>
      <c r="G81" s="111">
        <v>767.91666666666674</v>
      </c>
      <c r="H81" s="20">
        <f t="shared" si="28"/>
        <v>188.45549240644277</v>
      </c>
      <c r="J81" s="110">
        <v>0.24</v>
      </c>
      <c r="K81" s="112">
        <f t="shared" si="29"/>
        <v>0.48541138457702798</v>
      </c>
    </row>
    <row r="82" spans="1:11" x14ac:dyDescent="0.2">
      <c r="A82" s="4">
        <f t="shared" si="26"/>
        <v>74</v>
      </c>
      <c r="B82" s="37" t="str">
        <f t="shared" si="30"/>
        <v>54E</v>
      </c>
      <c r="C82" s="25" t="s">
        <v>6</v>
      </c>
      <c r="D82" s="40">
        <v>100</v>
      </c>
      <c r="E82" s="110">
        <v>10.56</v>
      </c>
      <c r="F82" s="18">
        <f t="shared" si="27"/>
        <v>0.37181409198470816</v>
      </c>
      <c r="G82" s="111">
        <v>3999.583333333333</v>
      </c>
      <c r="H82" s="20">
        <f t="shared" si="28"/>
        <v>1487.1014454005056</v>
      </c>
      <c r="J82" s="110">
        <v>0.34</v>
      </c>
      <c r="K82" s="112">
        <f t="shared" si="29"/>
        <v>0.71181409198470824</v>
      </c>
    </row>
    <row r="83" spans="1:11" x14ac:dyDescent="0.2">
      <c r="A83" s="4">
        <f t="shared" si="26"/>
        <v>75</v>
      </c>
      <c r="B83" s="37" t="str">
        <f t="shared" si="30"/>
        <v>54E</v>
      </c>
      <c r="C83" s="25" t="s">
        <v>6</v>
      </c>
      <c r="D83" s="40">
        <v>150</v>
      </c>
      <c r="E83" s="110">
        <v>10.56</v>
      </c>
      <c r="F83" s="18">
        <f t="shared" si="27"/>
        <v>0.37181409198470816</v>
      </c>
      <c r="G83" s="111">
        <v>1402.0833333333335</v>
      </c>
      <c r="H83" s="20">
        <f t="shared" si="28"/>
        <v>521.31434147022628</v>
      </c>
      <c r="J83" s="110">
        <v>0.5</v>
      </c>
      <c r="K83" s="112">
        <f t="shared" si="29"/>
        <v>0.87181409198470816</v>
      </c>
    </row>
    <row r="84" spans="1:11" x14ac:dyDescent="0.2">
      <c r="A84" s="4">
        <f t="shared" si="26"/>
        <v>76</v>
      </c>
      <c r="B84" s="37" t="str">
        <f t="shared" si="30"/>
        <v>54E</v>
      </c>
      <c r="C84" s="25" t="s">
        <v>6</v>
      </c>
      <c r="D84" s="40">
        <v>200</v>
      </c>
      <c r="E84" s="110">
        <v>18.5</v>
      </c>
      <c r="F84" s="18">
        <f t="shared" si="27"/>
        <v>0.6513788543292709</v>
      </c>
      <c r="G84" s="111">
        <v>1391.6666666666665</v>
      </c>
      <c r="H84" s="20">
        <f t="shared" si="28"/>
        <v>906.50223894156852</v>
      </c>
      <c r="J84" s="110">
        <v>0.67</v>
      </c>
      <c r="K84" s="112">
        <f t="shared" si="29"/>
        <v>1.321378854329271</v>
      </c>
    </row>
    <row r="85" spans="1:11" x14ac:dyDescent="0.2">
      <c r="A85" s="4">
        <f t="shared" si="26"/>
        <v>77</v>
      </c>
      <c r="B85" s="37" t="str">
        <f t="shared" si="30"/>
        <v>54E</v>
      </c>
      <c r="C85" s="25" t="s">
        <v>6</v>
      </c>
      <c r="D85" s="40">
        <v>250</v>
      </c>
      <c r="E85" s="110">
        <v>24.5</v>
      </c>
      <c r="F85" s="18">
        <f t="shared" si="27"/>
        <v>0.86263686113876414</v>
      </c>
      <c r="G85" s="111">
        <v>1500.4166666666665</v>
      </c>
      <c r="H85" s="20">
        <f t="shared" si="28"/>
        <v>1294.3147237336207</v>
      </c>
      <c r="J85" s="110">
        <v>0.84</v>
      </c>
      <c r="K85" s="112">
        <f t="shared" si="29"/>
        <v>1.7026368611387641</v>
      </c>
    </row>
    <row r="86" spans="1:11" x14ac:dyDescent="0.2">
      <c r="A86" s="4">
        <f t="shared" si="26"/>
        <v>78</v>
      </c>
      <c r="B86" s="37" t="str">
        <f t="shared" si="30"/>
        <v>54E</v>
      </c>
      <c r="C86" s="25" t="s">
        <v>6</v>
      </c>
      <c r="D86" s="40">
        <v>310</v>
      </c>
      <c r="E86" s="110">
        <v>24.5</v>
      </c>
      <c r="F86" s="18">
        <f t="shared" si="27"/>
        <v>0.86263686113876414</v>
      </c>
      <c r="G86" s="111">
        <v>278.75</v>
      </c>
      <c r="H86" s="20">
        <f t="shared" si="28"/>
        <v>240.46002504243052</v>
      </c>
      <c r="J86" s="110">
        <v>1.04</v>
      </c>
      <c r="K86" s="112">
        <f t="shared" si="29"/>
        <v>1.9026368611387641</v>
      </c>
    </row>
    <row r="87" spans="1:11" x14ac:dyDescent="0.2">
      <c r="A87" s="4">
        <f t="shared" si="26"/>
        <v>79</v>
      </c>
      <c r="B87" s="37" t="str">
        <f t="shared" si="30"/>
        <v>54E</v>
      </c>
      <c r="C87" s="25" t="s">
        <v>6</v>
      </c>
      <c r="D87" s="40">
        <v>400</v>
      </c>
      <c r="E87" s="110">
        <v>38.409999999999997</v>
      </c>
      <c r="F87" s="18">
        <f t="shared" si="27"/>
        <v>1.3524033402587725</v>
      </c>
      <c r="G87" s="111">
        <v>2830</v>
      </c>
      <c r="H87" s="20">
        <f t="shared" si="28"/>
        <v>3827.3014529323264</v>
      </c>
      <c r="J87" s="110">
        <v>1.35</v>
      </c>
      <c r="K87" s="112">
        <f t="shared" si="29"/>
        <v>2.7024033402587726</v>
      </c>
    </row>
    <row r="88" spans="1:11" x14ac:dyDescent="0.2">
      <c r="A88" s="4">
        <f t="shared" si="26"/>
        <v>80</v>
      </c>
      <c r="B88" s="37" t="str">
        <f t="shared" si="30"/>
        <v>54E</v>
      </c>
      <c r="C88" s="25" t="s">
        <v>6</v>
      </c>
      <c r="D88" s="40">
        <v>1000</v>
      </c>
      <c r="E88" s="110">
        <v>96.03</v>
      </c>
      <c r="F88" s="18">
        <f t="shared" si="27"/>
        <v>3.3811843989859396</v>
      </c>
      <c r="G88" s="111">
        <v>0</v>
      </c>
      <c r="H88" s="20">
        <f t="shared" si="28"/>
        <v>0</v>
      </c>
      <c r="J88" s="110">
        <v>3.36</v>
      </c>
      <c r="K88" s="112">
        <f t="shared" si="29"/>
        <v>6.7411843989859399</v>
      </c>
    </row>
    <row r="89" spans="1:11" x14ac:dyDescent="0.2">
      <c r="A89" s="4">
        <f t="shared" si="26"/>
        <v>81</v>
      </c>
      <c r="B89" s="45"/>
      <c r="C89" s="25"/>
      <c r="D89" s="40"/>
      <c r="E89" s="110"/>
      <c r="F89" s="18"/>
      <c r="G89" s="111"/>
      <c r="H89" s="25"/>
      <c r="J89" s="18"/>
      <c r="K89" s="112"/>
    </row>
    <row r="90" spans="1:11" x14ac:dyDescent="0.2">
      <c r="A90" s="4">
        <f t="shared" si="26"/>
        <v>82</v>
      </c>
      <c r="B90" s="37" t="str">
        <f>+B87</f>
        <v>54E</v>
      </c>
      <c r="C90" s="25" t="s">
        <v>30</v>
      </c>
      <c r="D90" s="42" t="s">
        <v>73</v>
      </c>
      <c r="E90" s="110">
        <v>1.98</v>
      </c>
      <c r="F90" s="18">
        <f t="shared" ref="F90:F99" si="31">E90*$H$168</f>
        <v>6.971514224713278E-2</v>
      </c>
      <c r="G90" s="111">
        <v>0</v>
      </c>
      <c r="H90" s="20">
        <f t="shared" ref="H90:H99" si="32">F90*G90</f>
        <v>0</v>
      </c>
      <c r="J90" s="110">
        <v>0.05</v>
      </c>
      <c r="K90" s="112">
        <f t="shared" ref="K90:K99" si="33">F90+J90</f>
        <v>0.11971514224713278</v>
      </c>
    </row>
    <row r="91" spans="1:11" x14ac:dyDescent="0.2">
      <c r="A91" s="4">
        <f t="shared" si="26"/>
        <v>83</v>
      </c>
      <c r="B91" s="37" t="str">
        <f>+B88</f>
        <v>54E</v>
      </c>
      <c r="C91" s="25" t="s">
        <v>30</v>
      </c>
      <c r="D91" s="42" t="s">
        <v>44</v>
      </c>
      <c r="E91" s="110">
        <v>4.32</v>
      </c>
      <c r="F91" s="18">
        <f t="shared" si="31"/>
        <v>0.15210576490283517</v>
      </c>
      <c r="G91" s="111">
        <v>14455.833333333332</v>
      </c>
      <c r="H91" s="20">
        <f t="shared" si="32"/>
        <v>2198.8155864745681</v>
      </c>
      <c r="J91" s="110">
        <v>0.15</v>
      </c>
      <c r="K91" s="112">
        <f t="shared" si="33"/>
        <v>0.30210576490283514</v>
      </c>
    </row>
    <row r="92" spans="1:11" x14ac:dyDescent="0.2">
      <c r="A92" s="4">
        <f t="shared" si="26"/>
        <v>84</v>
      </c>
      <c r="B92" s="37" t="str">
        <f t="shared" ref="B92:B99" si="34">+B91</f>
        <v>54E</v>
      </c>
      <c r="C92" s="25" t="s">
        <v>30</v>
      </c>
      <c r="D92" s="40" t="s">
        <v>43</v>
      </c>
      <c r="E92" s="110">
        <v>6.97</v>
      </c>
      <c r="F92" s="18">
        <f t="shared" si="31"/>
        <v>0.24541138457702799</v>
      </c>
      <c r="G92" s="111">
        <v>1217.9166666666667</v>
      </c>
      <c r="H92" s="20">
        <f t="shared" si="32"/>
        <v>298.89061546610537</v>
      </c>
      <c r="J92" s="110">
        <v>0.25</v>
      </c>
      <c r="K92" s="112">
        <f t="shared" si="33"/>
        <v>0.49541138457702799</v>
      </c>
    </row>
    <row r="93" spans="1:11" x14ac:dyDescent="0.2">
      <c r="A93" s="4">
        <f t="shared" si="26"/>
        <v>85</v>
      </c>
      <c r="B93" s="37" t="str">
        <f t="shared" si="34"/>
        <v>54E</v>
      </c>
      <c r="C93" s="25" t="s">
        <v>30</v>
      </c>
      <c r="D93" s="40" t="s">
        <v>42</v>
      </c>
      <c r="E93" s="110">
        <v>10.56</v>
      </c>
      <c r="F93" s="18">
        <f t="shared" si="31"/>
        <v>0.37181409198470816</v>
      </c>
      <c r="G93" s="111">
        <v>14651.666666666668</v>
      </c>
      <c r="H93" s="20">
        <f t="shared" si="32"/>
        <v>5447.6961377292828</v>
      </c>
      <c r="J93" s="110">
        <v>0.35</v>
      </c>
      <c r="K93" s="112">
        <f t="shared" si="33"/>
        <v>0.72181409198470814</v>
      </c>
    </row>
    <row r="94" spans="1:11" x14ac:dyDescent="0.2">
      <c r="A94" s="4">
        <f t="shared" si="26"/>
        <v>86</v>
      </c>
      <c r="B94" s="37" t="str">
        <f t="shared" si="34"/>
        <v>54E</v>
      </c>
      <c r="C94" s="25" t="s">
        <v>30</v>
      </c>
      <c r="D94" s="40" t="s">
        <v>41</v>
      </c>
      <c r="E94" s="110">
        <v>10.56</v>
      </c>
      <c r="F94" s="18">
        <f t="shared" si="31"/>
        <v>0.37181409198470816</v>
      </c>
      <c r="G94" s="111">
        <v>5230.4166666666661</v>
      </c>
      <c r="H94" s="20">
        <f t="shared" si="32"/>
        <v>1944.7426236183503</v>
      </c>
      <c r="J94" s="110">
        <v>0.45</v>
      </c>
      <c r="K94" s="112">
        <f t="shared" si="33"/>
        <v>0.82181409198470812</v>
      </c>
    </row>
    <row r="95" spans="1:11" x14ac:dyDescent="0.2">
      <c r="A95" s="4">
        <f t="shared" si="26"/>
        <v>87</v>
      </c>
      <c r="B95" s="37" t="str">
        <f t="shared" si="34"/>
        <v>54E</v>
      </c>
      <c r="C95" s="25" t="s">
        <v>30</v>
      </c>
      <c r="D95" s="40" t="s">
        <v>40</v>
      </c>
      <c r="E95" s="110">
        <v>18.5</v>
      </c>
      <c r="F95" s="18">
        <f t="shared" si="31"/>
        <v>0.6513788543292709</v>
      </c>
      <c r="G95" s="111">
        <v>2098.3333333333335</v>
      </c>
      <c r="H95" s="20">
        <f t="shared" si="32"/>
        <v>1366.8099626675869</v>
      </c>
      <c r="J95" s="110">
        <v>0.55000000000000004</v>
      </c>
      <c r="K95" s="112">
        <f t="shared" si="33"/>
        <v>1.2013788543292709</v>
      </c>
    </row>
    <row r="96" spans="1:11" x14ac:dyDescent="0.2">
      <c r="A96" s="4">
        <f t="shared" si="26"/>
        <v>88</v>
      </c>
      <c r="B96" s="37" t="str">
        <f t="shared" si="34"/>
        <v>54E</v>
      </c>
      <c r="C96" s="25" t="s">
        <v>30</v>
      </c>
      <c r="D96" s="40" t="s">
        <v>39</v>
      </c>
      <c r="E96" s="110">
        <v>18.5</v>
      </c>
      <c r="F96" s="18">
        <f t="shared" si="31"/>
        <v>0.6513788543292709</v>
      </c>
      <c r="G96" s="111">
        <v>902.08333333333326</v>
      </c>
      <c r="H96" s="20">
        <f t="shared" si="32"/>
        <v>587.59800817619646</v>
      </c>
      <c r="J96" s="110">
        <v>0.66</v>
      </c>
      <c r="K96" s="112">
        <f t="shared" si="33"/>
        <v>1.3113788543292708</v>
      </c>
    </row>
    <row r="97" spans="1:11" x14ac:dyDescent="0.2">
      <c r="A97" s="4">
        <f t="shared" si="26"/>
        <v>89</v>
      </c>
      <c r="B97" s="37" t="str">
        <f t="shared" si="34"/>
        <v>54E</v>
      </c>
      <c r="C97" s="25" t="s">
        <v>30</v>
      </c>
      <c r="D97" s="40" t="s">
        <v>38</v>
      </c>
      <c r="E97" s="110">
        <v>18.5</v>
      </c>
      <c r="F97" s="18">
        <f t="shared" si="31"/>
        <v>0.6513788543292709</v>
      </c>
      <c r="G97" s="111">
        <v>195</v>
      </c>
      <c r="H97" s="20">
        <f t="shared" si="32"/>
        <v>127.01887659420782</v>
      </c>
      <c r="J97" s="110">
        <v>0.76</v>
      </c>
      <c r="K97" s="112">
        <f t="shared" si="33"/>
        <v>1.4113788543292709</v>
      </c>
    </row>
    <row r="98" spans="1:11" x14ac:dyDescent="0.2">
      <c r="A98" s="4">
        <f t="shared" si="26"/>
        <v>90</v>
      </c>
      <c r="B98" s="37" t="str">
        <f t="shared" si="34"/>
        <v>54E</v>
      </c>
      <c r="C98" s="25" t="s">
        <v>30</v>
      </c>
      <c r="D98" s="40" t="s">
        <v>37</v>
      </c>
      <c r="E98" s="110">
        <v>24.5</v>
      </c>
      <c r="F98" s="18">
        <f t="shared" si="31"/>
        <v>0.86263686113876414</v>
      </c>
      <c r="G98" s="111">
        <v>20</v>
      </c>
      <c r="H98" s="20">
        <f t="shared" si="32"/>
        <v>17.252737222775284</v>
      </c>
      <c r="J98" s="110">
        <v>0.86</v>
      </c>
      <c r="K98" s="112">
        <f t="shared" si="33"/>
        <v>1.7226368611387641</v>
      </c>
    </row>
    <row r="99" spans="1:11" x14ac:dyDescent="0.2">
      <c r="A99" s="4">
        <f t="shared" si="26"/>
        <v>91</v>
      </c>
      <c r="B99" s="37" t="str">
        <f t="shared" si="34"/>
        <v>54E</v>
      </c>
      <c r="C99" s="25" t="s">
        <v>30</v>
      </c>
      <c r="D99" s="40" t="s">
        <v>36</v>
      </c>
      <c r="E99" s="110">
        <v>24.5</v>
      </c>
      <c r="F99" s="18">
        <f t="shared" si="31"/>
        <v>0.86263686113876414</v>
      </c>
      <c r="G99" s="111">
        <v>0</v>
      </c>
      <c r="H99" s="20">
        <f t="shared" si="32"/>
        <v>0</v>
      </c>
      <c r="J99" s="110">
        <v>0.96</v>
      </c>
      <c r="K99" s="112">
        <f t="shared" si="33"/>
        <v>1.822636861138764</v>
      </c>
    </row>
    <row r="100" spans="1:11" x14ac:dyDescent="0.2">
      <c r="A100" s="4">
        <f t="shared" si="26"/>
        <v>92</v>
      </c>
      <c r="B100" s="45"/>
      <c r="C100" s="25"/>
      <c r="D100" s="40"/>
      <c r="E100" s="110"/>
      <c r="F100" s="18"/>
      <c r="G100" s="111"/>
      <c r="H100" s="25"/>
      <c r="J100" s="18"/>
      <c r="K100" s="112"/>
    </row>
    <row r="101" spans="1:11" ht="13.5" x14ac:dyDescent="0.35">
      <c r="A101" s="4">
        <f t="shared" si="26"/>
        <v>93</v>
      </c>
      <c r="B101" s="36" t="s">
        <v>51</v>
      </c>
      <c r="C101" s="25"/>
      <c r="D101" s="40"/>
      <c r="E101" s="110"/>
      <c r="F101" s="18"/>
      <c r="G101" s="111"/>
      <c r="H101" s="25"/>
      <c r="J101" s="18"/>
      <c r="K101" s="112"/>
    </row>
    <row r="102" spans="1:11" x14ac:dyDescent="0.2">
      <c r="A102" s="4">
        <f t="shared" si="26"/>
        <v>94</v>
      </c>
      <c r="B102" s="37" t="s">
        <v>50</v>
      </c>
      <c r="C102" s="25" t="s">
        <v>6</v>
      </c>
      <c r="D102" s="40">
        <v>70</v>
      </c>
      <c r="E102" s="110">
        <v>14.06</v>
      </c>
      <c r="F102" s="18">
        <f t="shared" ref="F102:F107" si="35">E102*$H$168</f>
        <v>0.49504792929024588</v>
      </c>
      <c r="G102" s="111">
        <v>70.833333333333329</v>
      </c>
      <c r="H102" s="20">
        <f t="shared" ref="H102:H107" si="36">F102*G102</f>
        <v>35.065894991392412</v>
      </c>
      <c r="J102" s="110">
        <v>0.24</v>
      </c>
      <c r="K102" s="112">
        <f t="shared" ref="K102:K107" si="37">F102+J102</f>
        <v>0.73504792929024587</v>
      </c>
    </row>
    <row r="103" spans="1:11" x14ac:dyDescent="0.2">
      <c r="A103" s="4">
        <f t="shared" si="26"/>
        <v>95</v>
      </c>
      <c r="B103" s="45" t="str">
        <f>+B102</f>
        <v>55E &amp; 56E</v>
      </c>
      <c r="C103" s="25" t="s">
        <v>6</v>
      </c>
      <c r="D103" s="40">
        <v>100</v>
      </c>
      <c r="E103" s="110">
        <v>17.170000000000002</v>
      </c>
      <c r="F103" s="18">
        <f t="shared" si="35"/>
        <v>0.60454999615316662</v>
      </c>
      <c r="G103" s="111">
        <v>17575.833333333332</v>
      </c>
      <c r="H103" s="20">
        <f t="shared" si="36"/>
        <v>10625.469974055364</v>
      </c>
      <c r="J103" s="110">
        <v>0.34</v>
      </c>
      <c r="K103" s="112">
        <f t="shared" si="37"/>
        <v>0.9445499961531667</v>
      </c>
    </row>
    <row r="104" spans="1:11" x14ac:dyDescent="0.2">
      <c r="A104" s="4">
        <f t="shared" si="26"/>
        <v>96</v>
      </c>
      <c r="B104" s="45" t="str">
        <f>+B103</f>
        <v>55E &amp; 56E</v>
      </c>
      <c r="C104" s="25" t="s">
        <v>6</v>
      </c>
      <c r="D104" s="40">
        <v>150</v>
      </c>
      <c r="E104" s="110">
        <v>17.170000000000002</v>
      </c>
      <c r="F104" s="18">
        <f t="shared" si="35"/>
        <v>0.60454999615316662</v>
      </c>
      <c r="G104" s="111">
        <v>2341.6666666666665</v>
      </c>
      <c r="H104" s="20">
        <f t="shared" si="36"/>
        <v>1415.6545743253319</v>
      </c>
      <c r="J104" s="110">
        <v>0.51</v>
      </c>
      <c r="K104" s="112">
        <f t="shared" si="37"/>
        <v>1.1145499961531666</v>
      </c>
    </row>
    <row r="105" spans="1:11" x14ac:dyDescent="0.2">
      <c r="A105" s="4">
        <f t="shared" si="26"/>
        <v>97</v>
      </c>
      <c r="B105" s="45" t="str">
        <f>+B104</f>
        <v>55E &amp; 56E</v>
      </c>
      <c r="C105" s="25" t="s">
        <v>6</v>
      </c>
      <c r="D105" s="40">
        <v>200</v>
      </c>
      <c r="E105" s="110">
        <v>25.65</v>
      </c>
      <c r="F105" s="18">
        <f t="shared" si="35"/>
        <v>0.90312797911058362</v>
      </c>
      <c r="G105" s="111">
        <v>4922.5</v>
      </c>
      <c r="H105" s="20">
        <f t="shared" si="36"/>
        <v>4445.6474771718476</v>
      </c>
      <c r="J105" s="110">
        <v>0.67</v>
      </c>
      <c r="K105" s="112">
        <f t="shared" si="37"/>
        <v>1.5731279791105837</v>
      </c>
    </row>
    <row r="106" spans="1:11" x14ac:dyDescent="0.2">
      <c r="A106" s="4">
        <f t="shared" ref="A106:A137" si="38">+A105+1</f>
        <v>98</v>
      </c>
      <c r="B106" s="45" t="str">
        <f>+B105</f>
        <v>55E &amp; 56E</v>
      </c>
      <c r="C106" s="25" t="s">
        <v>6</v>
      </c>
      <c r="D106" s="40">
        <v>250</v>
      </c>
      <c r="E106" s="110">
        <v>31.78</v>
      </c>
      <c r="F106" s="18">
        <f t="shared" si="35"/>
        <v>1.1189632427342826</v>
      </c>
      <c r="G106" s="111">
        <v>520.41666666666663</v>
      </c>
      <c r="H106" s="20">
        <f t="shared" si="36"/>
        <v>582.32712090629957</v>
      </c>
      <c r="J106" s="110">
        <v>0.84</v>
      </c>
      <c r="K106" s="112">
        <f t="shared" si="37"/>
        <v>1.9589632427342827</v>
      </c>
    </row>
    <row r="107" spans="1:11" x14ac:dyDescent="0.2">
      <c r="A107" s="4">
        <f t="shared" si="38"/>
        <v>99</v>
      </c>
      <c r="B107" s="45" t="str">
        <f>+B106</f>
        <v>55E &amp; 56E</v>
      </c>
      <c r="C107" s="25" t="s">
        <v>6</v>
      </c>
      <c r="D107" s="40">
        <v>400</v>
      </c>
      <c r="E107" s="110">
        <v>44.71</v>
      </c>
      <c r="F107" s="18">
        <f t="shared" si="35"/>
        <v>1.5742242474087407</v>
      </c>
      <c r="G107" s="111">
        <v>195</v>
      </c>
      <c r="H107" s="20">
        <f t="shared" si="36"/>
        <v>306.97372824470443</v>
      </c>
      <c r="J107" s="110">
        <v>1.35</v>
      </c>
      <c r="K107" s="112">
        <f t="shared" si="37"/>
        <v>2.9242242474087408</v>
      </c>
    </row>
    <row r="108" spans="1:11" x14ac:dyDescent="0.2">
      <c r="A108" s="4">
        <f t="shared" si="38"/>
        <v>100</v>
      </c>
      <c r="B108" s="45"/>
      <c r="C108" s="25"/>
      <c r="D108" s="40"/>
      <c r="E108" s="110"/>
      <c r="F108" s="18"/>
      <c r="G108" s="111"/>
      <c r="H108" s="25"/>
      <c r="J108" s="18"/>
      <c r="K108" s="112"/>
    </row>
    <row r="109" spans="1:11" x14ac:dyDescent="0.2">
      <c r="A109" s="4">
        <f t="shared" si="38"/>
        <v>101</v>
      </c>
      <c r="B109" s="45" t="str">
        <f>+B107</f>
        <v>55E &amp; 56E</v>
      </c>
      <c r="C109" s="25" t="s">
        <v>46</v>
      </c>
      <c r="D109" s="40">
        <v>250</v>
      </c>
      <c r="E109" s="110">
        <v>31.78</v>
      </c>
      <c r="F109" s="18">
        <f>E109*$H$168</f>
        <v>1.1189632427342826</v>
      </c>
      <c r="G109" s="111">
        <v>33.333333333333336</v>
      </c>
      <c r="H109" s="20">
        <f>F109*G109</f>
        <v>37.298774757809426</v>
      </c>
      <c r="J109" s="110">
        <v>0.84</v>
      </c>
      <c r="K109" s="112">
        <f>F109+J109</f>
        <v>1.9589632427342827</v>
      </c>
    </row>
    <row r="110" spans="1:11" x14ac:dyDescent="0.2">
      <c r="A110" s="4">
        <f t="shared" si="38"/>
        <v>102</v>
      </c>
      <c r="B110" s="45"/>
      <c r="C110" s="25"/>
      <c r="D110" s="40"/>
      <c r="E110" s="110"/>
      <c r="F110" s="18"/>
      <c r="G110" s="111"/>
      <c r="H110" s="25"/>
      <c r="J110" s="18"/>
      <c r="K110" s="112"/>
    </row>
    <row r="111" spans="1:11" x14ac:dyDescent="0.2">
      <c r="A111" s="4">
        <f t="shared" si="38"/>
        <v>103</v>
      </c>
      <c r="B111" s="45" t="s">
        <v>50</v>
      </c>
      <c r="C111" s="25" t="s">
        <v>30</v>
      </c>
      <c r="D111" s="41" t="s">
        <v>72</v>
      </c>
      <c r="E111" s="110">
        <v>8.4499999999999993</v>
      </c>
      <c r="F111" s="18">
        <f t="shared" ref="F111:F120" si="39">E111*$H$168</f>
        <v>0.29752169292336966</v>
      </c>
      <c r="G111" s="111">
        <v>0</v>
      </c>
      <c r="H111" s="20">
        <f t="shared" ref="H111:H120" si="40">F111*G111</f>
        <v>0</v>
      </c>
      <c r="J111" s="110">
        <v>0.05</v>
      </c>
      <c r="K111" s="112">
        <f t="shared" ref="K111:K120" si="41">F111+J111</f>
        <v>0.34752169292336965</v>
      </c>
    </row>
    <row r="112" spans="1:11" x14ac:dyDescent="0.2">
      <c r="A112" s="4">
        <f t="shared" si="38"/>
        <v>104</v>
      </c>
      <c r="B112" s="45" t="s">
        <v>50</v>
      </c>
      <c r="C112" s="25" t="s">
        <v>30</v>
      </c>
      <c r="D112" s="42" t="s">
        <v>44</v>
      </c>
      <c r="E112" s="110">
        <v>10.68</v>
      </c>
      <c r="F112" s="18">
        <f t="shared" si="39"/>
        <v>0.376039252120898</v>
      </c>
      <c r="G112" s="111">
        <v>3931.25</v>
      </c>
      <c r="H112" s="20">
        <f t="shared" si="40"/>
        <v>1478.3043099002803</v>
      </c>
      <c r="J112" s="110">
        <v>0.15</v>
      </c>
      <c r="K112" s="112">
        <f t="shared" si="41"/>
        <v>0.52603925212089797</v>
      </c>
    </row>
    <row r="113" spans="1:11" x14ac:dyDescent="0.2">
      <c r="A113" s="4">
        <f t="shared" si="38"/>
        <v>105</v>
      </c>
      <c r="B113" s="45" t="s">
        <v>50</v>
      </c>
      <c r="C113" s="25" t="s">
        <v>30</v>
      </c>
      <c r="D113" s="40" t="s">
        <v>43</v>
      </c>
      <c r="E113" s="110">
        <v>14.06</v>
      </c>
      <c r="F113" s="18">
        <f t="shared" si="39"/>
        <v>0.49504792929024588</v>
      </c>
      <c r="G113" s="111">
        <v>137.5</v>
      </c>
      <c r="H113" s="20">
        <f t="shared" si="40"/>
        <v>68.069090277408804</v>
      </c>
      <c r="J113" s="110">
        <v>0.25</v>
      </c>
      <c r="K113" s="112">
        <f t="shared" si="41"/>
        <v>0.74504792929024588</v>
      </c>
    </row>
    <row r="114" spans="1:11" x14ac:dyDescent="0.2">
      <c r="A114" s="4">
        <f t="shared" si="38"/>
        <v>106</v>
      </c>
      <c r="B114" s="45" t="s">
        <v>50</v>
      </c>
      <c r="C114" s="25" t="s">
        <v>30</v>
      </c>
      <c r="D114" s="40" t="s">
        <v>42</v>
      </c>
      <c r="E114" s="110">
        <v>17.170000000000002</v>
      </c>
      <c r="F114" s="18">
        <f t="shared" si="39"/>
        <v>0.60454999615316662</v>
      </c>
      <c r="G114" s="111">
        <v>820</v>
      </c>
      <c r="H114" s="20">
        <f t="shared" si="40"/>
        <v>495.73099684559662</v>
      </c>
      <c r="J114" s="110">
        <v>0.35</v>
      </c>
      <c r="K114" s="112">
        <f t="shared" si="41"/>
        <v>0.9545499961531666</v>
      </c>
    </row>
    <row r="115" spans="1:11" x14ac:dyDescent="0.2">
      <c r="A115" s="4">
        <f t="shared" si="38"/>
        <v>107</v>
      </c>
      <c r="B115" s="45" t="s">
        <v>50</v>
      </c>
      <c r="C115" s="25" t="s">
        <v>30</v>
      </c>
      <c r="D115" s="40" t="s">
        <v>41</v>
      </c>
      <c r="E115" s="110">
        <v>17.170000000000002</v>
      </c>
      <c r="F115" s="18">
        <f t="shared" si="39"/>
        <v>0.60454999615316662</v>
      </c>
      <c r="G115" s="111">
        <v>0</v>
      </c>
      <c r="H115" s="20">
        <f t="shared" si="40"/>
        <v>0</v>
      </c>
      <c r="J115" s="110">
        <v>0.46</v>
      </c>
      <c r="K115" s="112">
        <f t="shared" si="41"/>
        <v>1.0645499961531666</v>
      </c>
    </row>
    <row r="116" spans="1:11" x14ac:dyDescent="0.2">
      <c r="A116" s="4">
        <f t="shared" si="38"/>
        <v>108</v>
      </c>
      <c r="B116" s="45" t="s">
        <v>50</v>
      </c>
      <c r="C116" s="25" t="s">
        <v>30</v>
      </c>
      <c r="D116" s="40" t="s">
        <v>40</v>
      </c>
      <c r="E116" s="110">
        <v>25.65</v>
      </c>
      <c r="F116" s="18">
        <f t="shared" si="39"/>
        <v>0.90312797911058362</v>
      </c>
      <c r="G116" s="111">
        <v>0</v>
      </c>
      <c r="H116" s="20">
        <f t="shared" si="40"/>
        <v>0</v>
      </c>
      <c r="J116" s="110">
        <v>0.56000000000000005</v>
      </c>
      <c r="K116" s="112">
        <f t="shared" si="41"/>
        <v>1.4631279791105838</v>
      </c>
    </row>
    <row r="117" spans="1:11" x14ac:dyDescent="0.2">
      <c r="A117" s="4">
        <f t="shared" si="38"/>
        <v>109</v>
      </c>
      <c r="B117" s="45" t="s">
        <v>50</v>
      </c>
      <c r="C117" s="25" t="s">
        <v>30</v>
      </c>
      <c r="D117" s="40" t="s">
        <v>39</v>
      </c>
      <c r="E117" s="110">
        <v>25.65</v>
      </c>
      <c r="F117" s="18">
        <f t="shared" si="39"/>
        <v>0.90312797911058362</v>
      </c>
      <c r="G117" s="111">
        <v>0</v>
      </c>
      <c r="H117" s="20">
        <f t="shared" si="40"/>
        <v>0</v>
      </c>
      <c r="J117" s="110">
        <v>0.66</v>
      </c>
      <c r="K117" s="112">
        <f t="shared" si="41"/>
        <v>1.5631279791105837</v>
      </c>
    </row>
    <row r="118" spans="1:11" x14ac:dyDescent="0.2">
      <c r="A118" s="4">
        <f t="shared" si="38"/>
        <v>110</v>
      </c>
      <c r="B118" s="45" t="s">
        <v>50</v>
      </c>
      <c r="C118" s="25" t="s">
        <v>30</v>
      </c>
      <c r="D118" s="40" t="s">
        <v>38</v>
      </c>
      <c r="E118" s="110">
        <v>25.65</v>
      </c>
      <c r="F118" s="18">
        <f t="shared" si="39"/>
        <v>0.90312797911058362</v>
      </c>
      <c r="G118" s="111">
        <v>0</v>
      </c>
      <c r="H118" s="20">
        <f t="shared" si="40"/>
        <v>0</v>
      </c>
      <c r="J118" s="110">
        <v>0.76</v>
      </c>
      <c r="K118" s="112">
        <f t="shared" si="41"/>
        <v>1.6631279791105835</v>
      </c>
    </row>
    <row r="119" spans="1:11" x14ac:dyDescent="0.2">
      <c r="A119" s="4">
        <f t="shared" si="38"/>
        <v>111</v>
      </c>
      <c r="B119" s="45" t="s">
        <v>50</v>
      </c>
      <c r="C119" s="25" t="s">
        <v>30</v>
      </c>
      <c r="D119" s="40" t="s">
        <v>37</v>
      </c>
      <c r="E119" s="110">
        <v>31.78</v>
      </c>
      <c r="F119" s="18">
        <f t="shared" si="39"/>
        <v>1.1189632427342826</v>
      </c>
      <c r="G119" s="111">
        <v>0</v>
      </c>
      <c r="H119" s="20">
        <f>F119*G119</f>
        <v>0</v>
      </c>
      <c r="J119" s="110">
        <v>0.86</v>
      </c>
      <c r="K119" s="112">
        <f t="shared" si="41"/>
        <v>1.9789632427342827</v>
      </c>
    </row>
    <row r="120" spans="1:11" x14ac:dyDescent="0.2">
      <c r="A120" s="4">
        <f t="shared" si="38"/>
        <v>112</v>
      </c>
      <c r="B120" s="45" t="s">
        <v>50</v>
      </c>
      <c r="C120" s="25" t="s">
        <v>30</v>
      </c>
      <c r="D120" s="40" t="s">
        <v>36</v>
      </c>
      <c r="E120" s="110">
        <v>31.78</v>
      </c>
      <c r="F120" s="18">
        <f t="shared" si="39"/>
        <v>1.1189632427342826</v>
      </c>
      <c r="G120" s="111">
        <v>0</v>
      </c>
      <c r="H120" s="20">
        <f t="shared" si="40"/>
        <v>0</v>
      </c>
      <c r="J120" s="110">
        <v>0.96</v>
      </c>
      <c r="K120" s="112">
        <f t="shared" si="41"/>
        <v>2.0789632427342823</v>
      </c>
    </row>
    <row r="121" spans="1:11" x14ac:dyDescent="0.2">
      <c r="A121" s="4">
        <f t="shared" si="38"/>
        <v>113</v>
      </c>
      <c r="B121" s="45"/>
      <c r="C121" s="25"/>
      <c r="D121" s="40"/>
      <c r="E121" s="110"/>
      <c r="F121" s="18"/>
      <c r="G121" s="111"/>
      <c r="H121" s="25"/>
      <c r="J121" s="18"/>
      <c r="K121" s="112"/>
    </row>
    <row r="122" spans="1:11" ht="13.5" x14ac:dyDescent="0.35">
      <c r="A122" s="4">
        <f t="shared" si="38"/>
        <v>114</v>
      </c>
      <c r="B122" s="36" t="s">
        <v>28</v>
      </c>
      <c r="C122" s="25"/>
      <c r="D122" s="40"/>
      <c r="E122" s="110"/>
      <c r="F122" s="18"/>
      <c r="G122" s="111"/>
      <c r="H122" s="25"/>
      <c r="J122" s="18"/>
      <c r="K122" s="112"/>
    </row>
    <row r="123" spans="1:11" x14ac:dyDescent="0.2">
      <c r="A123" s="4">
        <f t="shared" si="38"/>
        <v>115</v>
      </c>
      <c r="B123" s="45" t="s">
        <v>27</v>
      </c>
      <c r="C123" s="25" t="s">
        <v>26</v>
      </c>
      <c r="D123" s="46">
        <v>0</v>
      </c>
      <c r="E123" s="115">
        <v>6.8820000000000006E-2</v>
      </c>
      <c r="F123" s="19">
        <f t="shared" ref="F123" si="42">E123*$H$168</f>
        <v>2.4231293381048878E-3</v>
      </c>
      <c r="G123" s="111">
        <v>2287010.0041666664</v>
      </c>
      <c r="H123" s="20">
        <f>F123*G123</f>
        <v>5541.7210376356315</v>
      </c>
      <c r="J123" s="115">
        <v>6.3099999999999996E-3</v>
      </c>
      <c r="K123" s="116">
        <f>F123+J123</f>
        <v>8.733129338104887E-3</v>
      </c>
    </row>
    <row r="124" spans="1:11" x14ac:dyDescent="0.2">
      <c r="A124" s="4">
        <f t="shared" si="38"/>
        <v>116</v>
      </c>
      <c r="B124" s="45"/>
      <c r="C124" s="25"/>
      <c r="D124" s="40"/>
      <c r="E124" s="110"/>
      <c r="F124" s="18"/>
      <c r="G124" s="111"/>
      <c r="H124" s="25"/>
      <c r="J124" s="18"/>
      <c r="K124" s="112"/>
    </row>
    <row r="125" spans="1:11" ht="13.5" x14ac:dyDescent="0.35">
      <c r="A125" s="4">
        <f t="shared" si="38"/>
        <v>117</v>
      </c>
      <c r="B125" s="36" t="s">
        <v>49</v>
      </c>
      <c r="C125" s="25"/>
      <c r="D125" s="40"/>
      <c r="E125" s="110"/>
      <c r="F125" s="18"/>
      <c r="G125" s="111"/>
      <c r="H125" s="25"/>
      <c r="J125" s="18"/>
      <c r="K125" s="112"/>
    </row>
    <row r="126" spans="1:11" x14ac:dyDescent="0.2">
      <c r="A126" s="4">
        <f t="shared" si="38"/>
        <v>118</v>
      </c>
      <c r="B126" s="37" t="s">
        <v>48</v>
      </c>
      <c r="C126" s="25" t="s">
        <v>6</v>
      </c>
      <c r="D126" s="40">
        <v>70</v>
      </c>
      <c r="E126" s="110">
        <v>14.06</v>
      </c>
      <c r="F126" s="18">
        <f t="shared" ref="F126:F131" si="43">E126*$H$168</f>
        <v>0.49504792929024588</v>
      </c>
      <c r="G126" s="111">
        <v>255.83333333333331</v>
      </c>
      <c r="H126" s="20">
        <f t="shared" ref="H126:H131" si="44">F126*G126</f>
        <v>126.64976191008789</v>
      </c>
      <c r="J126" s="110">
        <v>0.24</v>
      </c>
      <c r="K126" s="112">
        <f t="shared" ref="K126:K131" si="45">F126+J126</f>
        <v>0.73504792929024587</v>
      </c>
    </row>
    <row r="127" spans="1:11" x14ac:dyDescent="0.2">
      <c r="A127" s="4">
        <f t="shared" si="38"/>
        <v>119</v>
      </c>
      <c r="B127" s="45" t="str">
        <f>+B126</f>
        <v>58E &amp; 59E - Directional</v>
      </c>
      <c r="C127" s="25" t="s">
        <v>6</v>
      </c>
      <c r="D127" s="40">
        <v>100</v>
      </c>
      <c r="E127" s="110">
        <v>17.170000000000002</v>
      </c>
      <c r="F127" s="18">
        <f t="shared" si="43"/>
        <v>0.60454999615316662</v>
      </c>
      <c r="G127" s="111">
        <v>50.416666666666671</v>
      </c>
      <c r="H127" s="20">
        <f t="shared" si="44"/>
        <v>30.479395639388819</v>
      </c>
      <c r="J127" s="110">
        <v>0.34</v>
      </c>
      <c r="K127" s="112">
        <f t="shared" si="45"/>
        <v>0.9445499961531667</v>
      </c>
    </row>
    <row r="128" spans="1:11" x14ac:dyDescent="0.2">
      <c r="A128" s="4">
        <f t="shared" si="38"/>
        <v>120</v>
      </c>
      <c r="B128" s="45" t="str">
        <f>+B127</f>
        <v>58E &amp; 59E - Directional</v>
      </c>
      <c r="C128" s="25" t="s">
        <v>6</v>
      </c>
      <c r="D128" s="40">
        <v>150</v>
      </c>
      <c r="E128" s="110">
        <v>17.170000000000002</v>
      </c>
      <c r="F128" s="18">
        <f t="shared" si="43"/>
        <v>0.60454999615316662</v>
      </c>
      <c r="G128" s="111">
        <v>708.75</v>
      </c>
      <c r="H128" s="20">
        <f t="shared" si="44"/>
        <v>428.47480977355684</v>
      </c>
      <c r="J128" s="110">
        <v>0.51</v>
      </c>
      <c r="K128" s="112">
        <f t="shared" si="45"/>
        <v>1.1145499961531666</v>
      </c>
    </row>
    <row r="129" spans="1:11" x14ac:dyDescent="0.2">
      <c r="A129" s="4">
        <f t="shared" si="38"/>
        <v>121</v>
      </c>
      <c r="B129" s="45" t="str">
        <f>+B128</f>
        <v>58E &amp; 59E - Directional</v>
      </c>
      <c r="C129" s="25" t="s">
        <v>6</v>
      </c>
      <c r="D129" s="40">
        <v>200</v>
      </c>
      <c r="E129" s="110">
        <v>25.65</v>
      </c>
      <c r="F129" s="18">
        <f t="shared" si="43"/>
        <v>0.90312797911058362</v>
      </c>
      <c r="G129" s="111">
        <v>1280</v>
      </c>
      <c r="H129" s="20">
        <f t="shared" si="44"/>
        <v>1156.0038132615471</v>
      </c>
      <c r="J129" s="110">
        <v>0.67</v>
      </c>
      <c r="K129" s="112">
        <f t="shared" si="45"/>
        <v>1.5731279791105837</v>
      </c>
    </row>
    <row r="130" spans="1:11" x14ac:dyDescent="0.2">
      <c r="A130" s="4">
        <f t="shared" si="38"/>
        <v>122</v>
      </c>
      <c r="B130" s="45" t="str">
        <f>+B129</f>
        <v>58E &amp; 59E - Directional</v>
      </c>
      <c r="C130" s="25" t="s">
        <v>6</v>
      </c>
      <c r="D130" s="40">
        <v>250</v>
      </c>
      <c r="E130" s="110">
        <v>31.78</v>
      </c>
      <c r="F130" s="18">
        <f t="shared" si="43"/>
        <v>1.1189632427342826</v>
      </c>
      <c r="G130" s="111">
        <v>191.25</v>
      </c>
      <c r="H130" s="20">
        <f t="shared" si="44"/>
        <v>214.00172017293156</v>
      </c>
      <c r="J130" s="110">
        <v>0.84</v>
      </c>
      <c r="K130" s="112">
        <f t="shared" si="45"/>
        <v>1.9589632427342827</v>
      </c>
    </row>
    <row r="131" spans="1:11" x14ac:dyDescent="0.2">
      <c r="A131" s="4">
        <f t="shared" si="38"/>
        <v>123</v>
      </c>
      <c r="B131" s="45" t="str">
        <f>+B130</f>
        <v>58E &amp; 59E - Directional</v>
      </c>
      <c r="C131" s="25" t="s">
        <v>6</v>
      </c>
      <c r="D131" s="40">
        <v>400</v>
      </c>
      <c r="E131" s="110">
        <v>44.71</v>
      </c>
      <c r="F131" s="18">
        <f t="shared" si="43"/>
        <v>1.5742242474087407</v>
      </c>
      <c r="G131" s="111">
        <v>1670.4166666666665</v>
      </c>
      <c r="H131" s="20">
        <f t="shared" si="44"/>
        <v>2629.6104199423503</v>
      </c>
      <c r="J131" s="110">
        <v>1.35</v>
      </c>
      <c r="K131" s="112">
        <f t="shared" si="45"/>
        <v>2.9242242474087408</v>
      </c>
    </row>
    <row r="132" spans="1:11" x14ac:dyDescent="0.2">
      <c r="A132" s="4">
        <f t="shared" si="38"/>
        <v>124</v>
      </c>
      <c r="B132" s="45"/>
      <c r="C132" s="25"/>
      <c r="D132" s="40"/>
      <c r="E132" s="110"/>
      <c r="F132" s="18"/>
      <c r="G132" s="111"/>
      <c r="H132" s="25"/>
      <c r="J132" s="18"/>
      <c r="K132" s="112"/>
    </row>
    <row r="133" spans="1:11" x14ac:dyDescent="0.2">
      <c r="A133" s="4">
        <f t="shared" si="38"/>
        <v>125</v>
      </c>
      <c r="B133" s="37" t="s">
        <v>47</v>
      </c>
      <c r="C133" s="25" t="s">
        <v>6</v>
      </c>
      <c r="D133" s="40">
        <v>100</v>
      </c>
      <c r="E133" s="110">
        <v>17.170000000000002</v>
      </c>
      <c r="F133" s="18">
        <f t="shared" ref="F133:F137" si="46">E133*$H$168</f>
        <v>0.60454999615316662</v>
      </c>
      <c r="G133" s="111">
        <v>0</v>
      </c>
      <c r="H133" s="20">
        <f>F133*G133</f>
        <v>0</v>
      </c>
      <c r="J133" s="110">
        <v>0.34</v>
      </c>
      <c r="K133" s="112">
        <f t="shared" ref="K133:K137" si="47">F133+J133</f>
        <v>0.9445499961531667</v>
      </c>
    </row>
    <row r="134" spans="1:11" x14ac:dyDescent="0.2">
      <c r="A134" s="4">
        <f t="shared" si="38"/>
        <v>126</v>
      </c>
      <c r="B134" s="45" t="str">
        <f>B133</f>
        <v>58E &amp; 59E - Horizontal</v>
      </c>
      <c r="C134" s="25" t="s">
        <v>6</v>
      </c>
      <c r="D134" s="40">
        <v>150</v>
      </c>
      <c r="E134" s="110">
        <v>17.170000000000002</v>
      </c>
      <c r="F134" s="18">
        <f t="shared" si="46"/>
        <v>0.60454999615316662</v>
      </c>
      <c r="G134" s="111">
        <v>69.166666666666671</v>
      </c>
      <c r="H134" s="20">
        <f>F134*G134</f>
        <v>41.814708067260696</v>
      </c>
      <c r="J134" s="110">
        <v>0.51</v>
      </c>
      <c r="K134" s="112">
        <f t="shared" si="47"/>
        <v>1.1145499961531666</v>
      </c>
    </row>
    <row r="135" spans="1:11" x14ac:dyDescent="0.2">
      <c r="A135" s="4">
        <f t="shared" si="38"/>
        <v>127</v>
      </c>
      <c r="B135" s="45" t="str">
        <f>B134</f>
        <v>58E &amp; 59E - Horizontal</v>
      </c>
      <c r="C135" s="25" t="s">
        <v>6</v>
      </c>
      <c r="D135" s="40">
        <v>200</v>
      </c>
      <c r="E135" s="110">
        <v>25.65</v>
      </c>
      <c r="F135" s="18">
        <f t="shared" si="46"/>
        <v>0.90312797911058362</v>
      </c>
      <c r="G135" s="111">
        <v>41.25</v>
      </c>
      <c r="H135" s="20">
        <f>F135*G135</f>
        <v>37.254029138311573</v>
      </c>
      <c r="J135" s="110">
        <v>0.67</v>
      </c>
      <c r="K135" s="112">
        <f t="shared" si="47"/>
        <v>1.5731279791105837</v>
      </c>
    </row>
    <row r="136" spans="1:11" x14ac:dyDescent="0.2">
      <c r="A136" s="4">
        <f t="shared" si="38"/>
        <v>128</v>
      </c>
      <c r="B136" s="45" t="str">
        <f>B135</f>
        <v>58E &amp; 59E - Horizontal</v>
      </c>
      <c r="C136" s="25" t="s">
        <v>6</v>
      </c>
      <c r="D136" s="40">
        <v>250</v>
      </c>
      <c r="E136" s="110">
        <v>31.78</v>
      </c>
      <c r="F136" s="18">
        <f t="shared" si="46"/>
        <v>1.1189632427342826</v>
      </c>
      <c r="G136" s="111">
        <v>158.75</v>
      </c>
      <c r="H136" s="20">
        <f>F136*G136</f>
        <v>177.63541478406736</v>
      </c>
      <c r="J136" s="110">
        <v>0.84</v>
      </c>
      <c r="K136" s="112">
        <f t="shared" si="47"/>
        <v>1.9589632427342827</v>
      </c>
    </row>
    <row r="137" spans="1:11" x14ac:dyDescent="0.2">
      <c r="A137" s="4">
        <f t="shared" si="38"/>
        <v>129</v>
      </c>
      <c r="B137" s="45" t="str">
        <f>B136</f>
        <v>58E &amp; 59E - Horizontal</v>
      </c>
      <c r="C137" s="25" t="s">
        <v>6</v>
      </c>
      <c r="D137" s="40">
        <v>400</v>
      </c>
      <c r="E137" s="110">
        <v>44.71</v>
      </c>
      <c r="F137" s="18">
        <f t="shared" si="46"/>
        <v>1.5742242474087407</v>
      </c>
      <c r="G137" s="111">
        <v>212.5</v>
      </c>
      <c r="H137" s="20">
        <f>F137*G137</f>
        <v>334.52265257435738</v>
      </c>
      <c r="J137" s="110">
        <v>1.35</v>
      </c>
      <c r="K137" s="112">
        <f t="shared" si="47"/>
        <v>2.9242242474087408</v>
      </c>
    </row>
    <row r="138" spans="1:11" x14ac:dyDescent="0.2">
      <c r="A138" s="4">
        <f t="shared" ref="A138:A172" si="48">+A137+1</f>
        <v>130</v>
      </c>
      <c r="B138" s="45"/>
      <c r="C138" s="25"/>
      <c r="D138" s="40"/>
      <c r="E138" s="110"/>
      <c r="F138" s="18"/>
      <c r="G138" s="111"/>
      <c r="H138" s="25"/>
      <c r="J138" s="18"/>
      <c r="K138" s="112"/>
    </row>
    <row r="139" spans="1:11" x14ac:dyDescent="0.2">
      <c r="A139" s="4">
        <f t="shared" si="48"/>
        <v>131</v>
      </c>
      <c r="B139" s="45" t="str">
        <f>B127</f>
        <v>58E &amp; 59E - Directional</v>
      </c>
      <c r="C139" s="25" t="s">
        <v>46</v>
      </c>
      <c r="D139" s="40">
        <v>175</v>
      </c>
      <c r="E139" s="110">
        <v>25.65</v>
      </c>
      <c r="F139" s="18">
        <f t="shared" ref="F139:F142" si="49">E139*$H$168</f>
        <v>0.90312797911058362</v>
      </c>
      <c r="G139" s="111">
        <v>15</v>
      </c>
      <c r="H139" s="20">
        <f>F139*G139</f>
        <v>13.546919686658754</v>
      </c>
      <c r="J139" s="110">
        <v>0.59</v>
      </c>
      <c r="K139" s="112">
        <f t="shared" ref="K139:K142" si="50">F139+J139</f>
        <v>1.4931279791105836</v>
      </c>
    </row>
    <row r="140" spans="1:11" x14ac:dyDescent="0.2">
      <c r="A140" s="4">
        <f t="shared" si="48"/>
        <v>132</v>
      </c>
      <c r="B140" s="45" t="str">
        <f>B139</f>
        <v>58E &amp; 59E - Directional</v>
      </c>
      <c r="C140" s="25" t="s">
        <v>46</v>
      </c>
      <c r="D140" s="40">
        <v>250</v>
      </c>
      <c r="E140" s="110">
        <v>31.78</v>
      </c>
      <c r="F140" s="18">
        <f t="shared" si="49"/>
        <v>1.1189632427342826</v>
      </c>
      <c r="G140" s="111">
        <v>83.333333333333343</v>
      </c>
      <c r="H140" s="20">
        <f>F140*G140</f>
        <v>93.246936894523557</v>
      </c>
      <c r="J140" s="110">
        <v>0.84</v>
      </c>
      <c r="K140" s="112">
        <f t="shared" si="50"/>
        <v>1.9589632427342827</v>
      </c>
    </row>
    <row r="141" spans="1:11" x14ac:dyDescent="0.2">
      <c r="A141" s="4">
        <f t="shared" si="48"/>
        <v>133</v>
      </c>
      <c r="B141" s="45" t="str">
        <f>B140</f>
        <v>58E &amp; 59E - Directional</v>
      </c>
      <c r="C141" s="25" t="s">
        <v>46</v>
      </c>
      <c r="D141" s="40">
        <v>400</v>
      </c>
      <c r="E141" s="110">
        <v>44.71</v>
      </c>
      <c r="F141" s="18">
        <f t="shared" si="49"/>
        <v>1.5742242474087407</v>
      </c>
      <c r="G141" s="111">
        <v>385</v>
      </c>
      <c r="H141" s="20">
        <f>F141*G141</f>
        <v>606.0763352523652</v>
      </c>
      <c r="J141" s="110">
        <v>1.35</v>
      </c>
      <c r="K141" s="112">
        <f t="shared" si="50"/>
        <v>2.9242242474087408</v>
      </c>
    </row>
    <row r="142" spans="1:11" x14ac:dyDescent="0.2">
      <c r="A142" s="4">
        <f t="shared" si="48"/>
        <v>134</v>
      </c>
      <c r="B142" s="45" t="str">
        <f>B141</f>
        <v>58E &amp; 59E - Directional</v>
      </c>
      <c r="C142" s="25" t="s">
        <v>46</v>
      </c>
      <c r="D142" s="40">
        <v>1000</v>
      </c>
      <c r="E142" s="110">
        <v>104.12</v>
      </c>
      <c r="F142" s="18">
        <f t="shared" si="49"/>
        <v>3.6660306115007399</v>
      </c>
      <c r="G142" s="111">
        <v>576.25</v>
      </c>
      <c r="H142" s="20">
        <f>F142*G142</f>
        <v>2112.5501398773013</v>
      </c>
      <c r="J142" s="110">
        <v>3.37</v>
      </c>
      <c r="K142" s="112">
        <f t="shared" si="50"/>
        <v>7.0360306115007401</v>
      </c>
    </row>
    <row r="143" spans="1:11" x14ac:dyDescent="0.2">
      <c r="A143" s="4">
        <f t="shared" si="48"/>
        <v>135</v>
      </c>
      <c r="B143" s="45"/>
      <c r="C143" s="25"/>
      <c r="D143" s="40"/>
      <c r="E143" s="110"/>
      <c r="F143" s="18"/>
      <c r="G143" s="111"/>
      <c r="H143" s="25"/>
      <c r="J143" s="18"/>
      <c r="K143" s="112"/>
    </row>
    <row r="144" spans="1:11" x14ac:dyDescent="0.2">
      <c r="A144" s="4">
        <f t="shared" si="48"/>
        <v>136</v>
      </c>
      <c r="B144" s="45" t="str">
        <f>B133</f>
        <v>58E &amp; 59E - Horizontal</v>
      </c>
      <c r="C144" s="25" t="s">
        <v>46</v>
      </c>
      <c r="D144" s="40">
        <v>250</v>
      </c>
      <c r="E144" s="110">
        <v>31.78</v>
      </c>
      <c r="F144" s="18">
        <f t="shared" ref="F144:F145" si="51">E144*$H$168</f>
        <v>1.1189632427342826</v>
      </c>
      <c r="G144" s="111">
        <v>41.666666666666671</v>
      </c>
      <c r="H144" s="20">
        <f>F144*G144</f>
        <v>46.623468447261779</v>
      </c>
      <c r="J144" s="110">
        <v>0.84</v>
      </c>
      <c r="K144" s="112">
        <f t="shared" ref="K144:K145" si="52">F144+J144</f>
        <v>1.9589632427342827</v>
      </c>
    </row>
    <row r="145" spans="1:11" x14ac:dyDescent="0.2">
      <c r="A145" s="4">
        <f t="shared" si="48"/>
        <v>137</v>
      </c>
      <c r="B145" s="45" t="str">
        <f>B144</f>
        <v>58E &amp; 59E - Horizontal</v>
      </c>
      <c r="C145" s="25" t="s">
        <v>46</v>
      </c>
      <c r="D145" s="40">
        <v>400</v>
      </c>
      <c r="E145" s="110">
        <v>44.71</v>
      </c>
      <c r="F145" s="18">
        <f t="shared" si="51"/>
        <v>1.5742242474087407</v>
      </c>
      <c r="G145" s="111">
        <v>195</v>
      </c>
      <c r="H145" s="20">
        <f>F145*G145</f>
        <v>306.97372824470443</v>
      </c>
      <c r="J145" s="110">
        <v>1.35</v>
      </c>
      <c r="K145" s="112">
        <f t="shared" si="52"/>
        <v>2.9242242474087408</v>
      </c>
    </row>
    <row r="146" spans="1:11" x14ac:dyDescent="0.2">
      <c r="A146" s="4">
        <f t="shared" si="48"/>
        <v>138</v>
      </c>
      <c r="B146" s="45"/>
      <c r="C146" s="25"/>
      <c r="D146" s="40"/>
      <c r="E146" s="110"/>
      <c r="F146" s="18"/>
      <c r="G146" s="111"/>
      <c r="H146" s="25"/>
      <c r="J146" s="18"/>
      <c r="K146" s="112"/>
    </row>
    <row r="147" spans="1:11" x14ac:dyDescent="0.2">
      <c r="A147" s="4">
        <f t="shared" si="48"/>
        <v>139</v>
      </c>
      <c r="B147" s="45" t="s">
        <v>45</v>
      </c>
      <c r="C147" s="25" t="s">
        <v>30</v>
      </c>
      <c r="D147" s="41" t="s">
        <v>72</v>
      </c>
      <c r="E147" s="110">
        <v>8.4499999999999993</v>
      </c>
      <c r="F147" s="18">
        <f t="shared" ref="F147:F162" si="53">E147*$H$168</f>
        <v>0.29752169292336966</v>
      </c>
      <c r="G147" s="111">
        <v>0</v>
      </c>
      <c r="H147" s="20">
        <f t="shared" ref="H147:H162" si="54">F147*G147</f>
        <v>0</v>
      </c>
      <c r="J147" s="110">
        <v>0.05</v>
      </c>
      <c r="K147" s="112">
        <f t="shared" ref="K147:K162" si="55">F147+J147</f>
        <v>0.34752169292336965</v>
      </c>
    </row>
    <row r="148" spans="1:11" x14ac:dyDescent="0.2">
      <c r="A148" s="4">
        <f t="shared" si="48"/>
        <v>140</v>
      </c>
      <c r="B148" s="45" t="s">
        <v>45</v>
      </c>
      <c r="C148" s="25" t="s">
        <v>30</v>
      </c>
      <c r="D148" s="42" t="s">
        <v>71</v>
      </c>
      <c r="E148" s="110">
        <v>10.68</v>
      </c>
      <c r="F148" s="18">
        <f t="shared" si="53"/>
        <v>0.376039252120898</v>
      </c>
      <c r="G148" s="111">
        <v>20.833333333333336</v>
      </c>
      <c r="H148" s="20">
        <f t="shared" si="54"/>
        <v>7.8341510858520422</v>
      </c>
      <c r="J148" s="110">
        <v>0.15</v>
      </c>
      <c r="K148" s="112">
        <f t="shared" si="55"/>
        <v>0.52603925212089797</v>
      </c>
    </row>
    <row r="149" spans="1:11" x14ac:dyDescent="0.2">
      <c r="A149" s="4">
        <f t="shared" si="48"/>
        <v>141</v>
      </c>
      <c r="B149" s="45" t="str">
        <f t="shared" ref="B149:B162" si="56">B148</f>
        <v>58E &amp; 59E</v>
      </c>
      <c r="C149" s="25" t="s">
        <v>30</v>
      </c>
      <c r="D149" s="40" t="s">
        <v>43</v>
      </c>
      <c r="E149" s="110">
        <v>14.06</v>
      </c>
      <c r="F149" s="18">
        <f t="shared" si="53"/>
        <v>0.49504792929024588</v>
      </c>
      <c r="G149" s="111">
        <v>348.75</v>
      </c>
      <c r="H149" s="20">
        <f t="shared" si="54"/>
        <v>172.64796533997324</v>
      </c>
      <c r="J149" s="110">
        <v>0.25</v>
      </c>
      <c r="K149" s="112">
        <f t="shared" si="55"/>
        <v>0.74504792929024588</v>
      </c>
    </row>
    <row r="150" spans="1:11" x14ac:dyDescent="0.2">
      <c r="A150" s="4">
        <f t="shared" si="48"/>
        <v>142</v>
      </c>
      <c r="B150" s="45" t="str">
        <f t="shared" si="56"/>
        <v>58E &amp; 59E</v>
      </c>
      <c r="C150" s="25" t="s">
        <v>30</v>
      </c>
      <c r="D150" s="40" t="s">
        <v>42</v>
      </c>
      <c r="E150" s="110">
        <v>17.170000000000002</v>
      </c>
      <c r="F150" s="18">
        <f t="shared" si="53"/>
        <v>0.60454999615316662</v>
      </c>
      <c r="G150" s="111">
        <v>80.833333333333343</v>
      </c>
      <c r="H150" s="20">
        <f t="shared" si="54"/>
        <v>48.86779135571431</v>
      </c>
      <c r="J150" s="110">
        <v>0.35</v>
      </c>
      <c r="K150" s="112">
        <f t="shared" si="55"/>
        <v>0.9545499961531666</v>
      </c>
    </row>
    <row r="151" spans="1:11" x14ac:dyDescent="0.2">
      <c r="A151" s="4">
        <f t="shared" si="48"/>
        <v>143</v>
      </c>
      <c r="B151" s="45" t="str">
        <f t="shared" si="56"/>
        <v>58E &amp; 59E</v>
      </c>
      <c r="C151" s="25" t="s">
        <v>30</v>
      </c>
      <c r="D151" s="40" t="s">
        <v>41</v>
      </c>
      <c r="E151" s="110">
        <v>17.170000000000002</v>
      </c>
      <c r="F151" s="18">
        <f t="shared" si="53"/>
        <v>0.60454999615316662</v>
      </c>
      <c r="G151" s="111">
        <v>697.91666666666674</v>
      </c>
      <c r="H151" s="20">
        <f t="shared" si="54"/>
        <v>421.92551814856427</v>
      </c>
      <c r="J151" s="110">
        <v>0.46</v>
      </c>
      <c r="K151" s="112">
        <f t="shared" si="55"/>
        <v>1.0645499961531666</v>
      </c>
    </row>
    <row r="152" spans="1:11" x14ac:dyDescent="0.2">
      <c r="A152" s="4">
        <f t="shared" si="48"/>
        <v>144</v>
      </c>
      <c r="B152" s="45" t="str">
        <f t="shared" si="56"/>
        <v>58E &amp; 59E</v>
      </c>
      <c r="C152" s="25" t="s">
        <v>30</v>
      </c>
      <c r="D152" s="40" t="s">
        <v>40</v>
      </c>
      <c r="E152" s="110">
        <v>25.65</v>
      </c>
      <c r="F152" s="18">
        <f t="shared" si="53"/>
        <v>0.90312797911058362</v>
      </c>
      <c r="G152" s="111">
        <v>133.33333333333334</v>
      </c>
      <c r="H152" s="20">
        <f t="shared" si="54"/>
        <v>120.41706388141115</v>
      </c>
      <c r="J152" s="110">
        <v>0.56000000000000005</v>
      </c>
      <c r="K152" s="112">
        <f t="shared" si="55"/>
        <v>1.4631279791105838</v>
      </c>
    </row>
    <row r="153" spans="1:11" x14ac:dyDescent="0.2">
      <c r="A153" s="4">
        <f t="shared" si="48"/>
        <v>145</v>
      </c>
      <c r="B153" s="45" t="str">
        <f t="shared" si="56"/>
        <v>58E &amp; 59E</v>
      </c>
      <c r="C153" s="25" t="s">
        <v>30</v>
      </c>
      <c r="D153" s="40" t="s">
        <v>39</v>
      </c>
      <c r="E153" s="110">
        <v>25.65</v>
      </c>
      <c r="F153" s="18">
        <f t="shared" si="53"/>
        <v>0.90312797911058362</v>
      </c>
      <c r="G153" s="111">
        <v>0</v>
      </c>
      <c r="H153" s="20">
        <f t="shared" si="54"/>
        <v>0</v>
      </c>
      <c r="J153" s="110">
        <v>0.66</v>
      </c>
      <c r="K153" s="112">
        <f t="shared" si="55"/>
        <v>1.5631279791105837</v>
      </c>
    </row>
    <row r="154" spans="1:11" x14ac:dyDescent="0.2">
      <c r="A154" s="4">
        <f t="shared" si="48"/>
        <v>146</v>
      </c>
      <c r="B154" s="45" t="str">
        <f t="shared" si="56"/>
        <v>58E &amp; 59E</v>
      </c>
      <c r="C154" s="25" t="s">
        <v>30</v>
      </c>
      <c r="D154" s="40" t="s">
        <v>38</v>
      </c>
      <c r="E154" s="110">
        <v>25.65</v>
      </c>
      <c r="F154" s="18">
        <f t="shared" si="53"/>
        <v>0.90312797911058362</v>
      </c>
      <c r="G154" s="111">
        <v>75</v>
      </c>
      <c r="H154" s="20">
        <f t="shared" si="54"/>
        <v>67.734598433293769</v>
      </c>
      <c r="J154" s="110">
        <v>0.76</v>
      </c>
      <c r="K154" s="112">
        <f t="shared" si="55"/>
        <v>1.6631279791105835</v>
      </c>
    </row>
    <row r="155" spans="1:11" x14ac:dyDescent="0.2">
      <c r="A155" s="4">
        <f t="shared" si="48"/>
        <v>147</v>
      </c>
      <c r="B155" s="45" t="str">
        <f t="shared" si="56"/>
        <v>58E &amp; 59E</v>
      </c>
      <c r="C155" s="25" t="s">
        <v>30</v>
      </c>
      <c r="D155" s="40" t="s">
        <v>37</v>
      </c>
      <c r="E155" s="110">
        <v>31.78</v>
      </c>
      <c r="F155" s="18">
        <f t="shared" si="53"/>
        <v>1.1189632427342826</v>
      </c>
      <c r="G155" s="111">
        <v>109.58333333333334</v>
      </c>
      <c r="H155" s="20">
        <f t="shared" si="54"/>
        <v>122.61972201629848</v>
      </c>
      <c r="J155" s="110">
        <v>0.86</v>
      </c>
      <c r="K155" s="112">
        <f t="shared" si="55"/>
        <v>1.9789632427342827</v>
      </c>
    </row>
    <row r="156" spans="1:11" x14ac:dyDescent="0.2">
      <c r="A156" s="4">
        <f t="shared" si="48"/>
        <v>148</v>
      </c>
      <c r="B156" s="45" t="str">
        <f t="shared" si="56"/>
        <v>58E &amp; 59E</v>
      </c>
      <c r="C156" s="25" t="s">
        <v>30</v>
      </c>
      <c r="D156" s="40" t="s">
        <v>36</v>
      </c>
      <c r="E156" s="110">
        <v>31.78</v>
      </c>
      <c r="F156" s="18">
        <f t="shared" si="53"/>
        <v>1.1189632427342826</v>
      </c>
      <c r="G156" s="111">
        <v>0</v>
      </c>
      <c r="H156" s="20">
        <f t="shared" si="54"/>
        <v>0</v>
      </c>
      <c r="J156" s="110">
        <v>0.96</v>
      </c>
      <c r="K156" s="112">
        <f t="shared" si="55"/>
        <v>2.0789632427342823</v>
      </c>
    </row>
    <row r="157" spans="1:11" x14ac:dyDescent="0.2">
      <c r="A157" s="4">
        <f t="shared" si="48"/>
        <v>149</v>
      </c>
      <c r="B157" s="45" t="str">
        <f t="shared" si="56"/>
        <v>58E &amp; 59E</v>
      </c>
      <c r="C157" s="25" t="s">
        <v>30</v>
      </c>
      <c r="D157" s="40" t="s">
        <v>35</v>
      </c>
      <c r="E157" s="110">
        <v>44.71</v>
      </c>
      <c r="F157" s="18">
        <f t="shared" si="53"/>
        <v>1.5742242474087407</v>
      </c>
      <c r="G157" s="111">
        <v>0</v>
      </c>
      <c r="H157" s="20">
        <f t="shared" si="54"/>
        <v>0</v>
      </c>
      <c r="J157" s="110">
        <v>1.18</v>
      </c>
      <c r="K157" s="112">
        <f t="shared" si="55"/>
        <v>2.7542242474087404</v>
      </c>
    </row>
    <row r="158" spans="1:11" x14ac:dyDescent="0.2">
      <c r="A158" s="4">
        <f t="shared" si="48"/>
        <v>150</v>
      </c>
      <c r="B158" s="45" t="str">
        <f t="shared" si="56"/>
        <v>58E &amp; 59E</v>
      </c>
      <c r="C158" s="25" t="s">
        <v>30</v>
      </c>
      <c r="D158" s="40" t="s">
        <v>34</v>
      </c>
      <c r="E158" s="110">
        <v>44.71</v>
      </c>
      <c r="F158" s="18">
        <f t="shared" si="53"/>
        <v>1.5742242474087407</v>
      </c>
      <c r="G158" s="111">
        <v>0</v>
      </c>
      <c r="H158" s="20">
        <f t="shared" si="54"/>
        <v>0</v>
      </c>
      <c r="J158" s="110">
        <v>1.52</v>
      </c>
      <c r="K158" s="112">
        <f t="shared" si="55"/>
        <v>3.0942242474087407</v>
      </c>
    </row>
    <row r="159" spans="1:11" x14ac:dyDescent="0.2">
      <c r="A159" s="4">
        <f t="shared" si="48"/>
        <v>151</v>
      </c>
      <c r="B159" s="45" t="str">
        <f t="shared" si="56"/>
        <v>58E &amp; 59E</v>
      </c>
      <c r="C159" s="25" t="s">
        <v>30</v>
      </c>
      <c r="D159" s="40" t="s">
        <v>33</v>
      </c>
      <c r="E159" s="110">
        <v>44.71</v>
      </c>
      <c r="F159" s="18">
        <f t="shared" si="53"/>
        <v>1.5742242474087407</v>
      </c>
      <c r="G159" s="111">
        <v>0</v>
      </c>
      <c r="H159" s="20">
        <f t="shared" si="54"/>
        <v>0</v>
      </c>
      <c r="J159" s="110">
        <v>1.85</v>
      </c>
      <c r="K159" s="112">
        <f t="shared" si="55"/>
        <v>3.4242242474087408</v>
      </c>
    </row>
    <row r="160" spans="1:11" x14ac:dyDescent="0.2">
      <c r="A160" s="4">
        <f t="shared" si="48"/>
        <v>152</v>
      </c>
      <c r="B160" s="45" t="str">
        <f t="shared" si="56"/>
        <v>58E &amp; 59E</v>
      </c>
      <c r="C160" s="25" t="s">
        <v>30</v>
      </c>
      <c r="D160" s="40" t="s">
        <v>32</v>
      </c>
      <c r="E160" s="110">
        <v>104.12</v>
      </c>
      <c r="F160" s="18">
        <f t="shared" si="53"/>
        <v>3.6660306115007399</v>
      </c>
      <c r="G160" s="111">
        <v>0</v>
      </c>
      <c r="H160" s="20">
        <f t="shared" si="54"/>
        <v>0</v>
      </c>
      <c r="J160" s="110">
        <v>2.19</v>
      </c>
      <c r="K160" s="112">
        <f t="shared" si="55"/>
        <v>5.8560306115007403</v>
      </c>
    </row>
    <row r="161" spans="1:11" x14ac:dyDescent="0.2">
      <c r="A161" s="4">
        <f t="shared" si="48"/>
        <v>153</v>
      </c>
      <c r="B161" s="45" t="str">
        <f t="shared" si="56"/>
        <v>58E &amp; 59E</v>
      </c>
      <c r="C161" s="25" t="s">
        <v>30</v>
      </c>
      <c r="D161" s="40" t="s">
        <v>31</v>
      </c>
      <c r="E161" s="110">
        <v>104.12</v>
      </c>
      <c r="F161" s="18">
        <f t="shared" si="53"/>
        <v>3.6660306115007399</v>
      </c>
      <c r="G161" s="111">
        <v>0</v>
      </c>
      <c r="H161" s="20">
        <f t="shared" si="54"/>
        <v>0</v>
      </c>
      <c r="J161" s="110">
        <v>2.5299999999999998</v>
      </c>
      <c r="K161" s="112">
        <f t="shared" si="55"/>
        <v>6.1960306115007402</v>
      </c>
    </row>
    <row r="162" spans="1:11" x14ac:dyDescent="0.2">
      <c r="A162" s="4">
        <f t="shared" si="48"/>
        <v>154</v>
      </c>
      <c r="B162" s="45" t="str">
        <f t="shared" si="56"/>
        <v>58E &amp; 59E</v>
      </c>
      <c r="C162" s="25" t="s">
        <v>30</v>
      </c>
      <c r="D162" s="40" t="s">
        <v>29</v>
      </c>
      <c r="E162" s="110">
        <v>104.12</v>
      </c>
      <c r="F162" s="18">
        <f t="shared" si="53"/>
        <v>3.6660306115007399</v>
      </c>
      <c r="G162" s="111">
        <v>0</v>
      </c>
      <c r="H162" s="20">
        <f t="shared" si="54"/>
        <v>0</v>
      </c>
      <c r="J162" s="110">
        <v>2.87</v>
      </c>
      <c r="K162" s="112">
        <f t="shared" si="55"/>
        <v>6.5360306115007401</v>
      </c>
    </row>
    <row r="163" spans="1:11" x14ac:dyDescent="0.2">
      <c r="A163" s="4">
        <f t="shared" si="48"/>
        <v>155</v>
      </c>
      <c r="F163" s="13"/>
      <c r="G163" s="14"/>
    </row>
    <row r="164" spans="1:11" x14ac:dyDescent="0.2">
      <c r="A164" s="4">
        <f t="shared" si="48"/>
        <v>156</v>
      </c>
      <c r="D164" s="30"/>
    </row>
    <row r="165" spans="1:11" x14ac:dyDescent="0.2">
      <c r="A165" s="4">
        <f t="shared" si="48"/>
        <v>157</v>
      </c>
      <c r="D165" s="30"/>
      <c r="G165" s="47" t="s">
        <v>130</v>
      </c>
      <c r="H165" s="20">
        <f>SUM(H11:H162)</f>
        <v>262672.61690576625</v>
      </c>
    </row>
    <row r="166" spans="1:11" ht="13.5" x14ac:dyDescent="0.35">
      <c r="A166" s="4">
        <f t="shared" si="48"/>
        <v>158</v>
      </c>
      <c r="D166" s="30"/>
      <c r="G166" s="48" t="s">
        <v>129</v>
      </c>
      <c r="H166" s="49">
        <f>'Rate Spread &amp; Design'!G31</f>
        <v>262672.61690576648</v>
      </c>
    </row>
    <row r="167" spans="1:11" x14ac:dyDescent="0.2">
      <c r="A167" s="4">
        <f t="shared" si="48"/>
        <v>159</v>
      </c>
      <c r="G167" s="50" t="s">
        <v>128</v>
      </c>
      <c r="H167" s="51">
        <f>+H166-H165</f>
        <v>0</v>
      </c>
    </row>
    <row r="168" spans="1:11" ht="13.5" x14ac:dyDescent="0.35">
      <c r="A168" s="4">
        <f t="shared" si="48"/>
        <v>160</v>
      </c>
      <c r="B168" s="41"/>
      <c r="F168" s="20"/>
      <c r="G168" s="52" t="s">
        <v>127</v>
      </c>
      <c r="H168" s="53">
        <v>3.520966780158221E-2</v>
      </c>
      <c r="J168" s="20"/>
      <c r="K168" s="20"/>
    </row>
    <row r="169" spans="1:11" ht="13.5" x14ac:dyDescent="0.35">
      <c r="A169" s="4">
        <f t="shared" si="48"/>
        <v>161</v>
      </c>
      <c r="B169" s="41"/>
      <c r="F169" s="20"/>
      <c r="G169" s="52"/>
      <c r="H169" s="53"/>
      <c r="J169" s="20"/>
      <c r="K169" s="20"/>
    </row>
    <row r="170" spans="1:11" ht="21.75" customHeight="1" x14ac:dyDescent="0.2">
      <c r="A170" s="4">
        <f t="shared" si="48"/>
        <v>162</v>
      </c>
      <c r="B170" s="101" t="s">
        <v>184</v>
      </c>
      <c r="C170" s="102"/>
      <c r="D170" s="102"/>
      <c r="E170" s="102"/>
      <c r="F170" s="102"/>
      <c r="G170" s="102"/>
      <c r="H170" s="102"/>
    </row>
    <row r="171" spans="1:11" ht="12.75" x14ac:dyDescent="0.2">
      <c r="A171" s="4">
        <f t="shared" si="48"/>
        <v>163</v>
      </c>
      <c r="B171" s="101" t="s">
        <v>186</v>
      </c>
      <c r="C171" s="102"/>
      <c r="D171" s="102"/>
      <c r="E171" s="102"/>
      <c r="F171" s="102"/>
      <c r="G171" s="102"/>
      <c r="H171" s="102"/>
    </row>
    <row r="172" spans="1:11" x14ac:dyDescent="0.2">
      <c r="A172" s="4">
        <f t="shared" si="48"/>
        <v>164</v>
      </c>
      <c r="B172" s="10" t="s">
        <v>190</v>
      </c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8" sqref="B18"/>
    </sheetView>
  </sheetViews>
  <sheetFormatPr defaultRowHeight="12.75" x14ac:dyDescent="0.2"/>
  <cols>
    <col min="1" max="1" width="38.28515625" style="105" customWidth="1"/>
    <col min="2" max="2" width="7.85546875" style="105" bestFit="1" customWidth="1"/>
    <col min="3" max="16384" width="9.140625" style="105"/>
  </cols>
  <sheetData>
    <row r="1" spans="1:2" ht="15" x14ac:dyDescent="0.35">
      <c r="A1" s="103" t="s">
        <v>64</v>
      </c>
      <c r="B1" s="104">
        <v>45778</v>
      </c>
    </row>
    <row r="2" spans="1:2" ht="15" x14ac:dyDescent="0.35">
      <c r="A2" s="106" t="s">
        <v>65</v>
      </c>
      <c r="B2" s="107" t="s">
        <v>166</v>
      </c>
    </row>
    <row r="3" spans="1:2" ht="15" x14ac:dyDescent="0.35">
      <c r="A3" s="106" t="s">
        <v>136</v>
      </c>
      <c r="B3" s="108">
        <v>45778</v>
      </c>
    </row>
    <row r="4" spans="1:2" ht="15" x14ac:dyDescent="0.35">
      <c r="A4" s="106" t="s">
        <v>135</v>
      </c>
      <c r="B4" s="108">
        <v>45930</v>
      </c>
    </row>
    <row r="5" spans="1:2" ht="15" x14ac:dyDescent="0.35">
      <c r="A5" s="106"/>
      <c r="B5" s="107"/>
    </row>
    <row r="6" spans="1:2" ht="15" x14ac:dyDescent="0.35">
      <c r="A6" s="103"/>
      <c r="B6" s="108"/>
    </row>
    <row r="7" spans="1:2" ht="15" x14ac:dyDescent="0.35">
      <c r="A7" s="106"/>
      <c r="B7" s="10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C58D301E22744DB2CFFF7F98A6F953" ma:contentTypeVersion="19" ma:contentTypeDescription="" ma:contentTypeScope="" ma:versionID="6d1c257bf7dc3374088c33af0efb20f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2025-03-28T07:00:00+00:00</OpenedDate>
    <SignificantOrder xmlns="dc463f71-b30c-4ab2-9473-d307f9d35888">false</SignificantOrder>
    <Date1 xmlns="dc463f71-b30c-4ab2-9473-d307f9d35888">2025-03-28T07:00:00+00:00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19466A-BAC4-4C78-A825-D1A8CE618D6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3D56851-CFBB-4D9E-B080-19254CCFE6B8}"/>
</file>

<file path=customXml/itemProps3.xml><?xml version="1.0" encoding="utf-8"?>
<ds:datastoreItem xmlns:ds="http://schemas.openxmlformats.org/officeDocument/2006/customXml" ds:itemID="{B950AD92-18B0-4E68-B55C-E056CC26C310}"/>
</file>

<file path=customXml/itemProps4.xml><?xml version="1.0" encoding="utf-8"?>
<ds:datastoreItem xmlns:ds="http://schemas.openxmlformats.org/officeDocument/2006/customXml" ds:itemID="{643EA4E8-3029-494C-AF58-5BA3EA16A7E7}"/>
</file>

<file path=customXml/itemProps5.xml><?xml version="1.0" encoding="utf-8"?>
<ds:datastoreItem xmlns:ds="http://schemas.openxmlformats.org/officeDocument/2006/customXml" ds:itemID="{5B9E0E4A-60BD-47F9-B1C3-219811EDD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 129 Rates</vt:lpstr>
      <vt:lpstr>Lighting Rates</vt:lpstr>
      <vt:lpstr>Rate Impacts</vt:lpstr>
      <vt:lpstr>Workpapers -&gt;</vt:lpstr>
      <vt:lpstr>Rate Spread &amp; Design</vt:lpstr>
      <vt:lpstr>Lighting RD</vt:lpstr>
      <vt:lpstr>Inputs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Myhrum, Isaac</cp:lastModifiedBy>
  <cp:lastPrinted>2024-03-11T22:23:06Z</cp:lastPrinted>
  <dcterms:created xsi:type="dcterms:W3CDTF">2006-08-15T18:29:06Z</dcterms:created>
  <dcterms:modified xsi:type="dcterms:W3CDTF">2025-03-08T00:51:01Z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2024-07-31T18:13:00Z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b525acd4-7616-4651-9be6-fc32962410fe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0x0101006E56B4D1795A2E4DB2F0B01679ED314A001BC58D301E22744DB2CFFF7F98A6F953</vt:lpwstr>
  </property>
</Properties>
</file>