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ustomProperty2.bin" ContentType="application/vnd.openxmlformats-officedocument.spreadsheetml.customProperty"/>
  <Override PartName="/docProps/custom.xml" ContentType="application/vnd.openxmlformats-officedocument.custom-properties+xml"/>
  <Override PartName="/xl/customProperty6.bin" ContentType="application/vnd.openxmlformats-officedocument.spreadsheetml.customProperty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xl/customProperty4.bin" ContentType="application/vnd.openxmlformats-officedocument.spreadsheetml.customProperty"/>
  <Override PartName="/xl/comments1.xml" ContentType="application/vnd.openxmlformats-officedocument.spreadsheetml.comments+xml"/>
  <Override PartName="/xl/customProperty5.bin" ContentType="application/vnd.openxmlformats-officedocument.spreadsheetml.customProperty"/>
  <Override PartName="/xl/customProperty7.bin" ContentType="application/vnd.openxmlformats-officedocument.spreadsheetml.customProperty"/>
  <Override PartName="/xl/customProperty3.bin" ContentType="application/vnd.openxmlformats-officedocument.spreadsheetml.customProperty"/>
  <Override PartName="/docProps/core.xml" ContentType="application/vnd.openxmlformats-package.core-properties+xml"/>
  <Override PartName="/xl/customProperty8.bin" ContentType="application/vnd.openxmlformats-officedocument.spreadsheetml.customProperty"/>
  <Override PartName="/xl/calcChain.xml" ContentType="application/vnd.openxmlformats-officedocument.spreadsheetml.calcChain+xml"/>
  <Override PartName="/xl/threadedComments/threadedComment1.xml" ContentType="application/vnd.ms-excel.threadedcomments+xml"/>
  <Override PartName="/xl/persons/person.xml" ContentType="application/vnd.ms-excel.person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Tariffs\1. Open Advices\2024-XX Electric Schedule 141A - Energy Charge Credit Recovery Adjustment (UE-24XXXX) (Eff. 01-01-25)\Workpapers\"/>
    </mc:Choice>
  </mc:AlternateContent>
  <bookViews>
    <workbookView xWindow="795" yWindow="540" windowWidth="23175" windowHeight="14955" tabRatio="847"/>
  </bookViews>
  <sheets>
    <sheet name="Sch 141A Rates" sheetId="93" r:id="rId1"/>
    <sheet name="Lighting Rates" sheetId="94" r:id="rId2"/>
    <sheet name="Rate Impacts" sheetId="95" r:id="rId3"/>
    <sheet name="Rate Spread and Design" sheetId="97" r:id="rId4"/>
    <sheet name="Workpapers--&gt;" sheetId="73" r:id="rId5"/>
    <sheet name="Lighting RD" sheetId="98" r:id="rId6"/>
    <sheet name="SCH 141A True-up" sheetId="81" r:id="rId7"/>
    <sheet name="Inputs" sheetId="99" r:id="rId8"/>
  </sheets>
  <definedNames>
    <definedName name="__________________six6" localSheetId="3" hidden="1">{#N/A,#N/A,FALSE,"CRPT";#N/A,#N/A,FALSE,"TREND";#N/A,#N/A,FALSE,"%Curve"}</definedName>
    <definedName name="__________________six6" hidden="1">{#N/A,#N/A,FALSE,"CRPT";#N/A,#N/A,FALSE,"TREND";#N/A,#N/A,FALSE,"%Curve"}</definedName>
    <definedName name="__________________www1" localSheetId="3" hidden="1">{#N/A,#N/A,FALSE,"schA"}</definedName>
    <definedName name="__________________www1" hidden="1">{#N/A,#N/A,FALSE,"schA"}</definedName>
    <definedName name="_________________six6" localSheetId="3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_www1" localSheetId="3" hidden="1">{#N/A,#N/A,FALSE,"schA"}</definedName>
    <definedName name="_________________www1" hidden="1">{#N/A,#N/A,FALSE,"schA"}</definedName>
    <definedName name="________________six6" localSheetId="3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localSheetId="3" hidden="1">{#N/A,#N/A,FALSE,"schA"}</definedName>
    <definedName name="________________www1" hidden="1">{#N/A,#N/A,FALSE,"schA"}</definedName>
    <definedName name="_______________six6" localSheetId="3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_www1" localSheetId="3" hidden="1">{#N/A,#N/A,FALSE,"schA"}</definedName>
    <definedName name="_______________www1" hidden="1">{#N/A,#N/A,FALSE,"schA"}</definedName>
    <definedName name="______________six6" localSheetId="3" hidden="1">{#N/A,#N/A,FALSE,"CRPT";#N/A,#N/A,FALSE,"TREND";#N/A,#N/A,FALSE,"%Curve"}</definedName>
    <definedName name="______________six6" hidden="1">{#N/A,#N/A,FALSE,"CRPT";#N/A,#N/A,FALSE,"TREND";#N/A,#N/A,FALSE,"%Curve"}</definedName>
    <definedName name="______________www1" localSheetId="3" hidden="1">{#N/A,#N/A,FALSE,"schA"}</definedName>
    <definedName name="______________www1" hidden="1">{#N/A,#N/A,FALSE,"schA"}</definedName>
    <definedName name="_____________six6" localSheetId="3" hidden="1">{#N/A,#N/A,FALSE,"CRPT";#N/A,#N/A,FALSE,"TREND";#N/A,#N/A,FALSE,"%Curve"}</definedName>
    <definedName name="_____________six6" hidden="1">{#N/A,#N/A,FALSE,"CRPT";#N/A,#N/A,FALSE,"TREND";#N/A,#N/A,FALSE,"%Curve"}</definedName>
    <definedName name="_____________www1" localSheetId="3" hidden="1">{#N/A,#N/A,FALSE,"schA"}</definedName>
    <definedName name="_____________www1" hidden="1">{#N/A,#N/A,FALSE,"schA"}</definedName>
    <definedName name="____________six6" localSheetId="3" hidden="1">{#N/A,#N/A,FALSE,"CRPT";#N/A,#N/A,FALSE,"TREND";#N/A,#N/A,FALSE,"%Curve"}</definedName>
    <definedName name="____________six6" hidden="1">{#N/A,#N/A,FALSE,"CRPT";#N/A,#N/A,FALSE,"TREND";#N/A,#N/A,FALSE,"%Curve"}</definedName>
    <definedName name="____________www1" localSheetId="3" hidden="1">{#N/A,#N/A,FALSE,"schA"}</definedName>
    <definedName name="____________www1" hidden="1">{#N/A,#N/A,FALSE,"schA"}</definedName>
    <definedName name="___________six6" localSheetId="3" hidden="1">{#N/A,#N/A,FALSE,"CRPT";#N/A,#N/A,FALSE,"TREND";#N/A,#N/A,FALSE,"%Curve"}</definedName>
    <definedName name="___________six6" hidden="1">{#N/A,#N/A,FALSE,"CRPT";#N/A,#N/A,FALSE,"TREND";#N/A,#N/A,FALSE,"%Curve"}</definedName>
    <definedName name="___________www1" localSheetId="3" hidden="1">{#N/A,#N/A,FALSE,"schA"}</definedName>
    <definedName name="___________www1" hidden="1">{#N/A,#N/A,FALSE,"schA"}</definedName>
    <definedName name="__________six6" localSheetId="3" hidden="1">{#N/A,#N/A,FALSE,"CRPT";#N/A,#N/A,FALSE,"TREND";#N/A,#N/A,FALSE,"%Curve"}</definedName>
    <definedName name="__________six6" hidden="1">{#N/A,#N/A,FALSE,"CRPT";#N/A,#N/A,FALSE,"TREND";#N/A,#N/A,FALSE,"%Curve"}</definedName>
    <definedName name="__________www1" localSheetId="3" hidden="1">{#N/A,#N/A,FALSE,"schA"}</definedName>
    <definedName name="__________www1" hidden="1">{#N/A,#N/A,FALSE,"schA"}</definedName>
    <definedName name="_________six6" localSheetId="3" hidden="1">{#N/A,#N/A,FALSE,"CRPT";#N/A,#N/A,FALSE,"TREND";#N/A,#N/A,FALSE,"%Curve"}</definedName>
    <definedName name="_________six6" hidden="1">{#N/A,#N/A,FALSE,"CRPT";#N/A,#N/A,FALSE,"TREND";#N/A,#N/A,FALSE,"%Curve"}</definedName>
    <definedName name="_________www1" localSheetId="3" hidden="1">{#N/A,#N/A,FALSE,"schA"}</definedName>
    <definedName name="_________www1" hidden="1">{#N/A,#N/A,FALSE,"schA"}</definedName>
    <definedName name="________six6" localSheetId="3" hidden="1">{#N/A,#N/A,FALSE,"CRPT";#N/A,#N/A,FALSE,"TREND";#N/A,#N/A,FALSE,"%Curve"}</definedName>
    <definedName name="________six6" hidden="1">{#N/A,#N/A,FALSE,"CRPT";#N/A,#N/A,FALSE,"TREND";#N/A,#N/A,FALSE,"%Curve"}</definedName>
    <definedName name="________www1" localSheetId="3" hidden="1">{#N/A,#N/A,FALSE,"schA"}</definedName>
    <definedName name="________www1" hidden="1">{#N/A,#N/A,FALSE,"schA"}</definedName>
    <definedName name="_______ex1" hidden="1">{#N/A,#N/A,FALSE,"Summ";#N/A,#N/A,FALSE,"General"}</definedName>
    <definedName name="_______new1" hidden="1">{#N/A,#N/A,FALSE,"Summ";#N/A,#N/A,FALSE,"General"}</definedName>
    <definedName name="_______six6" localSheetId="3" hidden="1">{#N/A,#N/A,FALSE,"CRPT";#N/A,#N/A,FALSE,"TREND";#N/A,#N/A,FALSE,"%Curve"}</definedName>
    <definedName name="_______six6" hidden="1">{#N/A,#N/A,FALSE,"CRPT";#N/A,#N/A,FALSE,"TREND";#N/A,#N/A,FALSE,"%Curve"}</definedName>
    <definedName name="_______www1" localSheetId="3" hidden="1">{#N/A,#N/A,FALSE,"schA"}</definedName>
    <definedName name="_______www1" hidden="1">{#N/A,#N/A,FALSE,"schA"}</definedName>
    <definedName name="______ex1" hidden="1">{#N/A,#N/A,FALSE,"Summ";#N/A,#N/A,FALSE,"General"}</definedName>
    <definedName name="______new1" hidden="1">{#N/A,#N/A,FALSE,"Summ";#N/A,#N/A,FALSE,"General"}</definedName>
    <definedName name="______six6" localSheetId="3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3" hidden="1">{#N/A,#N/A,FALSE,"schA"}</definedName>
    <definedName name="______www1" hidden="1">{#N/A,#N/A,FALSE,"schA"}</definedName>
    <definedName name="_____ex1" hidden="1">{#N/A,#N/A,FALSE,"Summ";#N/A,#N/A,FALSE,"General"}</definedName>
    <definedName name="_____new1" hidden="1">{#N/A,#N/A,FALSE,"Summ";#N/A,#N/A,FALSE,"General"}</definedName>
    <definedName name="_____six6" localSheetId="3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3" hidden="1">{#N/A,#N/A,FALSE,"schA"}</definedName>
    <definedName name="_____www1" hidden="1">{#N/A,#N/A,FALSE,"schA"}</definedName>
    <definedName name="____ex1" hidden="1">{#N/A,#N/A,FALSE,"Summ";#N/A,#N/A,FALSE,"General"}</definedName>
    <definedName name="____new1" hidden="1">{#N/A,#N/A,FALSE,"Summ";#N/A,#N/A,FALSE,"General"}</definedName>
    <definedName name="____six6" localSheetId="3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3" hidden="1">{#N/A,#N/A,FALSE,"schA"}</definedName>
    <definedName name="____www1" hidden="1">{#N/A,#N/A,FALSE,"schA"}</definedName>
    <definedName name="___ex1" hidden="1">{#N/A,#N/A,FALSE,"Summ";#N/A,#N/A,FALSE,"General"}</definedName>
    <definedName name="___new1" hidden="1">{#N/A,#N/A,FALSE,"Summ";#N/A,#N/A,FALSE,"General"}</definedName>
    <definedName name="___six6" localSheetId="3" hidden="1">{#N/A,#N/A,FALSE,"CRPT";#N/A,#N/A,FALSE,"TREND";#N/A,#N/A,FALSE,"%Curve"}</definedName>
    <definedName name="___six6" hidden="1">{#N/A,#N/A,FALSE,"CRPT";#N/A,#N/A,FALSE,"TREND";#N/A,#N/A,FALSE,"%Curve"}</definedName>
    <definedName name="___www1" localSheetId="3" hidden="1">{#N/A,#N/A,FALSE,"schA"}</definedName>
    <definedName name="___www1" hidden="1">{#N/A,#N/A,FALSE,"schA"}</definedName>
    <definedName name="__123Graph_A" hidden="1">#REF!</definedName>
    <definedName name="__123Graph_B" hidden="1">#REF!</definedName>
    <definedName name="__123Graph_D" hidden="1">#REF!</definedName>
    <definedName name="__123Graph_ECURRENT" hidden="1">#REF!</definedName>
    <definedName name="__ex1" hidden="1">{#N/A,#N/A,FALSE,"Summ";#N/A,#N/A,FALSE,"General"}</definedName>
    <definedName name="__new1" hidden="1">{#N/A,#N/A,FALSE,"Summ";#N/A,#N/A,FALSE,"General"}</definedName>
    <definedName name="__six6" localSheetId="3" hidden="1">{#N/A,#N/A,FALSE,"CRPT";#N/A,#N/A,FALSE,"TREND";#N/A,#N/A,FALSE,"%Curve"}</definedName>
    <definedName name="__six6" hidden="1">{#N/A,#N/A,FALSE,"CRPT";#N/A,#N/A,FALSE,"TREND";#N/A,#N/A,FALSE,"%Curve"}</definedName>
    <definedName name="__www1" localSheetId="3" hidden="1">{#N/A,#N/A,FALSE,"schA"}</definedName>
    <definedName name="__www1" hidden="1">{#N/A,#N/A,FALSE,"schA"}</definedName>
    <definedName name="_2__123Graph_ABUDG6_Dtons_inv" hidden="1">#REF!</definedName>
    <definedName name="_3__123Graph_ABUDG6_Dtons_inv" hidden="1">#REF!</definedName>
    <definedName name="_4__123Graph_ABUDG6_Dtons_inv" hidden="1">#REF!</definedName>
    <definedName name="_6__123Graph_CBUDG6_D_ESCRPR" hidden="1">#REF!</definedName>
    <definedName name="_7__123Graph_CBUDG6_D_ESCRPR" hidden="1">#REF!</definedName>
    <definedName name="_7__123Graph_DBUDG6_D_ESCRPR" hidden="1">#REF!</definedName>
    <definedName name="_8__123Graph_DBUDG6_D_ESCRPR" hidden="1">#REF!</definedName>
    <definedName name="_ex1" localSheetId="3" hidden="1">{#N/A,#N/A,FALSE,"Summ";#N/A,#N/A,FALSE,"General"}</definedName>
    <definedName name="_ex1" hidden="1">{#N/A,#N/A,FALSE,"Summ";#N/A,#N/A,FALSE,"General"}</definedName>
    <definedName name="_Fill" hidden="1">#REF!</definedName>
    <definedName name="_Key1" hidden="1">#REF!</definedName>
    <definedName name="_Key2" hidden="1">#REF!</definedName>
    <definedName name="_new1" localSheetId="3" hidden="1">{#N/A,#N/A,FALSE,"Summ";#N/A,#N/A,FALSE,"General"}</definedName>
    <definedName name="_new1" hidden="1">{#N/A,#N/A,FALSE,"Summ";#N/A,#N/A,FALSE,"General"}</definedName>
    <definedName name="_Parse_In" hidden="1">#REF!</definedName>
    <definedName name="_six6" localSheetId="3" hidden="1">{#N/A,#N/A,FALSE,"CRPT";#N/A,#N/A,FALSE,"TREND";#N/A,#N/A,FALSE,"%Curve"}</definedName>
    <definedName name="_six6" hidden="1">{#N/A,#N/A,FALSE,"CRPT";#N/A,#N/A,FALSE,"TREND";#N/A,#N/A,FALSE,"%Curve"}</definedName>
    <definedName name="_Sort" hidden="1">#REF!</definedName>
    <definedName name="_www1" localSheetId="3" hidden="1">{#N/A,#N/A,FALSE,"schA"}</definedName>
    <definedName name="_www1" hidden="1">{#N/A,#N/A,FALSE,"schA"}</definedName>
    <definedName name="a" localSheetId="3" hidden="1">{#N/A,#N/A,FALSE,"Coversheet";#N/A,#N/A,FALSE,"QA"}</definedName>
    <definedName name="a" hidden="1">{#N/A,#N/A,FALSE,"Coversheet";#N/A,#N/A,FALSE,"QA"}</definedName>
    <definedName name="AAAAAAAAAAAAAA" localSheetId="3" hidden="1">{#N/A,#N/A,FALSE,"Coversheet";#N/A,#N/A,FALSE,"QA"}</definedName>
    <definedName name="AAAAAAAAAAAAAA" hidden="1">{#N/A,#N/A,FALSE,"Coversheet";#N/A,#N/A,FALSE,"QA"}</definedName>
    <definedName name="b" localSheetId="3" hidden="1">{#N/A,#N/A,FALSE,"Coversheet";#N/A,#N/A,FALSE,"QA"}</definedName>
    <definedName name="b" hidden="1">{#N/A,#N/A,FALSE,"Coversheet";#N/A,#N/A,FALSE,"QA"}</definedName>
    <definedName name="BEm" hidden="1">#REF!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um" hidden="1">#REF!</definedName>
    <definedName name="DELETE01" localSheetId="3" hidden="1">{#N/A,#N/A,FALSE,"Coversheet";#N/A,#N/A,FALSE,"QA"}</definedName>
    <definedName name="DELETE01" hidden="1">{#N/A,#N/A,FALSE,"Coversheet";#N/A,#N/A,FALSE,"QA"}</definedName>
    <definedName name="DELETE02" localSheetId="3" hidden="1">{#N/A,#N/A,FALSE,"Schedule F";#N/A,#N/A,FALSE,"Schedule G"}</definedName>
    <definedName name="DELETE02" hidden="1">{#N/A,#N/A,FALSE,"Schedule F";#N/A,#N/A,FALSE,"Schedule G"}</definedName>
    <definedName name="Delete06" localSheetId="3" hidden="1">{#N/A,#N/A,FALSE,"Coversheet";#N/A,#N/A,FALSE,"QA"}</definedName>
    <definedName name="Delete06" hidden="1">{#N/A,#N/A,FALSE,"Coversheet";#N/A,#N/A,FALSE,"QA"}</definedName>
    <definedName name="Delete09" localSheetId="3" hidden="1">{#N/A,#N/A,FALSE,"Coversheet";#N/A,#N/A,FALSE,"QA"}</definedName>
    <definedName name="Delete09" hidden="1">{#N/A,#N/A,FALSE,"Coversheet";#N/A,#N/A,FALSE,"QA"}</definedName>
    <definedName name="Delete1" localSheetId="3" hidden="1">{#N/A,#N/A,FALSE,"Coversheet";#N/A,#N/A,FALSE,"QA"}</definedName>
    <definedName name="Delete1" hidden="1">{#N/A,#N/A,FALSE,"Coversheet";#N/A,#N/A,FALSE,"QA"}</definedName>
    <definedName name="Delete10" localSheetId="3" hidden="1">{#N/A,#N/A,FALSE,"Schedule F";#N/A,#N/A,FALSE,"Schedule G"}</definedName>
    <definedName name="Delete10" hidden="1">{#N/A,#N/A,FALSE,"Schedule F";#N/A,#N/A,FALSE,"Schedule G"}</definedName>
    <definedName name="Delete21" localSheetId="3" hidden="1">{#N/A,#N/A,FALSE,"Coversheet";#N/A,#N/A,FALSE,"QA"}</definedName>
    <definedName name="Delete21" hidden="1">{#N/A,#N/A,FALSE,"Coversheet";#N/A,#N/A,FALSE,"QA"}</definedName>
    <definedName name="df" hidden="1">{#N/A,#N/A,FALSE,"CESTSUM";#N/A,#N/A,FALSE,"est sum A";#N/A,#N/A,FALSE,"est detail A"}</definedName>
    <definedName name="DFIT" localSheetId="3" hidden="1">{#N/A,#N/A,FALSE,"Coversheet";#N/A,#N/A,FALSE,"QA"}</definedName>
    <definedName name="DFIT" hidden="1">{#N/A,#N/A,FALSE,"Coversheet";#N/A,#N/A,FALSE,"QA"}</definedName>
    <definedName name="DUDE" hidden="1">#REF!</definedName>
    <definedName name="ee" localSheetId="3" hidden="1">{#N/A,#N/A,FALSE,"Month ";#N/A,#N/A,FALSE,"YTD";#N/A,#N/A,FALSE,"12 mo ended"}</definedName>
    <definedName name="ee" hidden="1">{#N/A,#N/A,FALSE,"Month ";#N/A,#N/A,FALSE,"YTD";#N/A,#N/A,FALSE,"12 mo ended"}</definedName>
    <definedName name="EPMWorkbookOptions_2" hidden="1">"neDegofIWXJPzMBMrNgumTsYj5aNFMCdt0dWNNTCh0hB8BniemvYxQ1RY+NOmRs/FCA9sIzxmCT5vumtDpsVa3qv7M2IYa5obKFX3pp+Mh4VTQj/znhJEqWf+OOzafvwiaPD4fNmeM+zrbVZEO7sptIa5SoFczLXsWKbjoNX7WjsWKRctw590jW1NhvoTKwddPyo09OheZd+KQZHaVv3kNUAru2icYD2kKMJjo9So1kQMiuzSxIxCAF8C+7M"</definedName>
    <definedName name="EPMWorkbookOptions_3" hidden="1">"VxdZAe4rWoo4ueI7yp9aL1sb/wYatDFMcDO1IDLRemvldT6MOaOfOwv5QWFCZP9RoWzWpwU/N6oYt3Csf/YwUpIHQF5IOkeTnB/ViFcQbw8Dhu2N2EIB0tpGuTLaQDRmODr+QKzue7b5riDXgyh4PyIwCZqZfrYIc7hb4c2LEFYGlhiAQ+L8wpQfE0Geuo8KrwqSPmXxRyD8NMBUAL96+H+7knOidgrIex7awfvljWPZt1QIAkWc36mlOi+X"</definedName>
    <definedName name="EPMWorkbookOptions_4" hidden="1">"oz+eNUefI19hNf9H8nTxXtSXhr5UhPr8MUwf78rn48c2Hb+CKmUIdVnnZwYOiH0tiKQ264C4mIhYU5UXZ7Ux7PUGg36/fz6GVw3HMNeECGHobgkktlmDQCDPFV5aGkCe1N8Jh9csMxpdn49gr9kIFkUpMxjedbfskdqsxZ6mGwBLK6h/chEeDnu9T1yF+01nLxOlgp4xFbG15Y/UZg3+7hYSMLDA/AUfQQbNpi+TpMweP5sZuasFkNRmDQCV"</definedName>
    <definedName name="EPMWorkbookOptions_5" hidden="1">"Ka/9wfPHp+EbNhu+SI4qeJFZa6kjtlmHOlkTdVGWtAuSd91w8lJJCPRlrhZAUps1AFQVHSxUrDJYXhDBUbMRLIiCycM/M9ASR2yzBnGavFCBYABwQd7+ajZvmSTVLS93tQCS2qwBoC7OL3mjxzb8pCOUo8zdFcMOu9E3fC10xDZrQHcvqBq+c7kkdw0/4kgUiS+wg6VqhOfnLXDENmsA9/Djks8UbMMPMrAapAOM0NwSR2qzDnGy+stIDy4v"</definedName>
    <definedName name="EPMWorkbookOptions_6" hidden="1">"yV7DTzBKulTv8Ipusf1u5USbNXicC7y2UIWLboMNP9BIJYkvuoqgivJEbB8tPhVU6oYcxNGkl/RK1jQcV6u+ulg0Vl935FT4jKC/lR3Zg076YlrZGMUBG5ooLCo7mvkK08hjcxSbvteJ6QwiGdPoqqMcf9gkq8aJ/r2JLHNlwzlEL3mFiv3rl7xs8h7p+F9/XVb5gioAAA=="</definedName>
    <definedName name="error" localSheetId="3" hidden="1">{#N/A,#N/A,FALSE,"Coversheet";#N/A,#N/A,FALSE,"QA"}</definedName>
    <definedName name="error" hidden="1">{#N/A,#N/A,FALSE,"Coversheet";#N/A,#N/A,FALSE,"QA"}</definedName>
    <definedName name="Estimate" localSheetId="3" hidden="1">{#N/A,#N/A,FALSE,"Summ";#N/A,#N/A,FALSE,"General"}</definedName>
    <definedName name="Estimate" hidden="1">{#N/A,#N/A,FALSE,"Summ";#N/A,#N/A,FALSE,"General"}</definedName>
    <definedName name="ex" localSheetId="3" hidden="1">{#N/A,#N/A,FALSE,"Summ";#N/A,#N/A,FALSE,"General"}</definedName>
    <definedName name="ex" hidden="1">{#N/A,#N/A,FALSE,"Summ";#N/A,#N/A,FALSE,"General"}</definedName>
    <definedName name="F" hidden="1">#REF!</definedName>
    <definedName name="fdasfdas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3" hidden="1">{#N/A,#N/A,FALSE,"Month ";#N/A,#N/A,FALSE,"YTD";#N/A,#N/A,FALSE,"12 mo ended"}</definedName>
    <definedName name="fdsafdasfdsa" hidden="1">{#N/A,#N/A,FALSE,"Month ";#N/A,#N/A,FALSE,"YTD";#N/A,#N/A,FALSE,"12 mo ended"}</definedName>
    <definedName name="ffff" localSheetId="3" hidden="1">{#N/A,#N/A,FALSE,"Coversheet";#N/A,#N/A,FALSE,"QA"}</definedName>
    <definedName name="ffff" hidden="1">{#N/A,#N/A,FALSE,"Coversheet";#N/A,#N/A,FALSE,"QA"}</definedName>
    <definedName name="fffgf" localSheetId="3" hidden="1">{#N/A,#N/A,FALSE,"Coversheet";#N/A,#N/A,FALSE,"QA"}</definedName>
    <definedName name="fffgf" hidden="1">{#N/A,#N/A,FALSE,"Coversheet";#N/A,#N/A,FALSE,"QA"}</definedName>
    <definedName name="helllo" localSheetId="3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lo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3" hidden="1">{#N/A,#N/A,FALSE,"Coversheet";#N/A,#N/A,FALSE,"QA"}</definedName>
    <definedName name="HELP" hidden="1">{#N/A,#N/A,FALSE,"Coversheet";#N/A,#N/A,FALSE,"QA"}</definedName>
    <definedName name="income_satement_ytd" localSheetId="3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3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localSheetId="3" hidden="1">{#N/A,#N/A,FALSE,"Summ";#N/A,#N/A,FALSE,"General"}</definedName>
    <definedName name="jfkljsdkljiejgr" hidden="1">{#N/A,#N/A,FALSE,"Summ";#N/A,#N/A,FALSE,"General"}</definedName>
    <definedName name="k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localSheetId="3" hidden="1">{#N/A,#N/A,FALSE,"Coversheet";#N/A,#N/A,FALSE,"QA"}</definedName>
    <definedName name="lookup" hidden="1">{#N/A,#N/A,FALSE,"Coversheet";#N/A,#N/A,FALSE,"QA"}</definedName>
    <definedName name="Miller" localSheetId="3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3" hidden="1">{#N/A,#N/A,FALSE,"Summ";#N/A,#N/A,FALSE,"General"}</definedName>
    <definedName name="new" hidden="1">{#N/A,#N/A,FALSE,"Summ";#N/A,#N/A,FALSE,"General"}</definedName>
    <definedName name="p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" localSheetId="3" hidden="1">{#N/A,#N/A,FALSE,"Coversheet";#N/A,#N/A,FALSE,"QA"}</definedName>
    <definedName name="q" hidden="1">{#N/A,#N/A,FALSE,"Coversheet";#N/A,#N/A,FALSE,"QA"}</definedName>
    <definedName name="qqq" localSheetId="3" hidden="1">{#N/A,#N/A,FALSE,"schA"}</definedName>
    <definedName name="qqq" hidden="1">{#N/A,#N/A,FALSE,"schA"}</definedName>
    <definedName name="re" hidden="1">{#N/A,#N/A,FALSE,"Pg 6b CustCount_Gas";#N/A,#N/A,FALSE,"QA";#N/A,#N/A,FALSE,"Report";#N/A,#N/A,FALSE,"forecast"}</definedName>
    <definedName name="retail_CC" localSheetId="3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3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sdlfhsdlhfkl" localSheetId="3" hidden="1">{#N/A,#N/A,FALSE,"Summ";#N/A,#N/A,FALSE,"General"}</definedName>
    <definedName name="sdlfhsdlhfkl" hidden="1">{#N/A,#N/A,FALSE,"Summ";#N/A,#N/A,FALSE,"General"}</definedName>
    <definedName name="seven" localSheetId="3" hidden="1">{#N/A,#N/A,FALSE,"CRPT";#N/A,#N/A,FALSE,"TREND";#N/A,#N/A,FALSE,"%Curve"}</definedName>
    <definedName name="seven" hidden="1">{#N/A,#N/A,FALSE,"CRPT";#N/A,#N/A,FALSE,"TREND";#N/A,#N/A,FALSE,"%Curve"}</definedName>
    <definedName name="six" localSheetId="3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t" localSheetId="3" hidden="1">{#N/A,#N/A,FALSE,"CESTSUM";#N/A,#N/A,FALSE,"est sum A";#N/A,#N/A,FALSE,"est detail A"}</definedName>
    <definedName name="t" hidden="1">{#N/A,#N/A,FALSE,"CESTSUM";#N/A,#N/A,FALSE,"est sum A";#N/A,#N/A,FALSE,"est detail A"}</definedName>
    <definedName name="tem" localSheetId="3" hidden="1">{#N/A,#N/A,FALSE,"Summ";#N/A,#N/A,FALSE,"General"}</definedName>
    <definedName name="tem" hidden="1">{#N/A,#N/A,FALSE,"Summ";#N/A,#N/A,FALSE,"General"}</definedName>
    <definedName name="TEMP" localSheetId="3" hidden="1">{#N/A,#N/A,FALSE,"Summ";#N/A,#N/A,FALSE,"General"}</definedName>
    <definedName name="TEMP" hidden="1">{#N/A,#N/A,FALSE,"Summ";#N/A,#N/A,FALSE,"General"}</definedName>
    <definedName name="Temp1" localSheetId="3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3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localSheetId="3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localSheetId="3" hidden="1">{#N/A,#N/A,FALSE,"Summ";#N/A,#N/A,FALSE,"General"}</definedName>
    <definedName name="u" hidden="1">{#N/A,#N/A,FALSE,"Summ";#N/A,#N/A,FALSE,"General"}</definedName>
    <definedName name="v" localSheetId="3" hidden="1">{#N/A,#N/A,FALSE,"Coversheet";#N/A,#N/A,FALSE,"QA"}</definedName>
    <definedName name="v" hidden="1">{#N/A,#N/A,FALSE,"Coversheet";#N/A,#N/A,FALSE,"QA"}</definedName>
    <definedName name="Value" localSheetId="3" hidden="1">{#N/A,#N/A,FALSE,"Summ";#N/A,#N/A,FALSE,"General"}</definedName>
    <definedName name="Value" hidden="1">{#N/A,#N/A,FALSE,"Summ";#N/A,#N/A,FALSE,"General"}</definedName>
    <definedName name="w" localSheetId="3" hidden="1">{#N/A,#N/A,FALSE,"Schedule F";#N/A,#N/A,FALSE,"Schedule G"}</definedName>
    <definedName name="w" hidden="1">{#N/A,#N/A,FALSE,"Schedule F";#N/A,#N/A,FALSE,"Schedule G"}</definedName>
    <definedName name="we" localSheetId="3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3" hidden="1">{#N/A,#N/A,FALSE,"Coversheet";#N/A,#N/A,FALSE,"QA"}</definedName>
    <definedName name="WH" hidden="1">{#N/A,#N/A,FALSE,"Coversheet";#N/A,#N/A,FALSE,"QA"}</definedName>
    <definedName name="wrn.1._.Bi._.Monthly._.CR." localSheetId="3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3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3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3" hidden="1">{#N/A,#N/A,FALSE,"CRPT";#N/A,#N/A,FALSE,"TREND";#N/A,#N/A,FALSE,"% CURVE"}</definedName>
    <definedName name="wrn.AAI._.Report." hidden="1">{#N/A,#N/A,FALSE,"CRPT";#N/A,#N/A,FALSE,"TREND";#N/A,#N/A,FALSE,"% CURVE"}</definedName>
    <definedName name="wrn.Anvil." localSheetId="3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3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3" hidden="1">{#N/A,#N/A,FALSE,"schA"}</definedName>
    <definedName name="wrn.ECR." hidden="1">{#N/A,#N/A,FALSE,"schA"}</definedName>
    <definedName name="wrn.ESTIMATE." localSheetId="3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undamental." localSheetId="3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localSheetId="3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localSheetId="3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3" hidden="1">{#N/A,#N/A,FALSE,"Coversheet";#N/A,#N/A,FALSE,"QA"}</definedName>
    <definedName name="wrn.Incentive._.Overhead." hidden="1">{#N/A,#N/A,FALSE,"Coversheet";#N/A,#N/A,FALSE,"QA"}</definedName>
    <definedName name="wrn.limit_reports." localSheetId="3" hidden="1">{#N/A,#N/A,FALSE,"Schedule F";#N/A,#N/A,FALSE,"Schedule G"}</definedName>
    <definedName name="wrn.limit_reports." hidden="1">{#N/A,#N/A,FALSE,"Schedule F";#N/A,#N/A,FALSE,"Schedule G"}</definedName>
    <definedName name="wrn.MARGIN_WO_QTR." localSheetId="3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OR._.Carrying._.Charge._.JV." localSheetId="3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3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roject._.Services." localSheetId="3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3" hidden="1">{#N/A,#N/A,FALSE,"7617 Fab";#N/A,#N/A,FALSE,"7617 NSK"}</definedName>
    <definedName name="wrn.SCHEDULE." hidden="1">{#N/A,#N/A,FALSE,"7617 Fab";#N/A,#N/A,FALSE,"7617 NSK"}</definedName>
    <definedName name="wrn.SLB." localSheetId="3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3" hidden="1">{#N/A,#N/A,FALSE,"2002 Small Tool OH";#N/A,#N/A,FALSE,"QA"}</definedName>
    <definedName name="wrn.Small._.Tools._.Overhead." hidden="1">{#N/A,#N/A,FALSE,"2002 Small Tool OH";#N/A,#N/A,FALSE,"QA"}</definedName>
    <definedName name="wrn.Summary." localSheetId="3" hidden="1">{#N/A,#N/A,FALSE,"Summ";#N/A,#N/A,FALSE,"General"}</definedName>
    <definedName name="wrn.Summary." hidden="1">{#N/A,#N/A,FALSE,"Summ";#N/A,#N/A,FALSE,"General"}</definedName>
    <definedName name="wrn.USIM_Data." localSheetId="3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3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3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3" hidden="1">{#N/A,#N/A,FALSE,"schA"}</definedName>
    <definedName name="www" hidden="1">{#N/A,#N/A,FALSE,"schA"}</definedName>
    <definedName name="x" localSheetId="3" hidden="1">{#N/A,#N/A,FALSE,"Coversheet";#N/A,#N/A,FALSE,"QA"}</definedName>
    <definedName name="x" hidden="1">{#N/A,#N/A,FALSE,"Coversheet";#N/A,#N/A,FALSE,"QA"}</definedName>
    <definedName name="xx" localSheetId="3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XXXX" hidden="1">{#N/A,#N/A,FALSE,"2002 Small Tool OH";#N/A,#N/A,FALSE,"QA"}</definedName>
    <definedName name="y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localSheetId="3" hidden="1">{#N/A,#N/A,FALSE,"Summ";#N/A,#N/A,FALSE,"General"}</definedName>
    <definedName name="yuf" hidden="1">{#N/A,#N/A,FALSE,"Summ";#N/A,#N/A,FALSE,"General"}</definedName>
    <definedName name="z" localSheetId="3" hidden="1">{#N/A,#N/A,FALSE,"Coversheet";#N/A,#N/A,FALSE,"QA"}</definedName>
    <definedName name="z" hidden="1">{#N/A,#N/A,FALSE,"Coversheet";#N/A,#N/A,FALSE,"QA"}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1" i="81" l="1"/>
  <c r="L31" i="81"/>
  <c r="K31" i="81"/>
  <c r="J31" i="81"/>
  <c r="I31" i="81"/>
  <c r="H31" i="81"/>
  <c r="G31" i="81"/>
  <c r="F31" i="81"/>
  <c r="E31" i="81"/>
  <c r="D31" i="81"/>
  <c r="C31" i="81"/>
  <c r="B31" i="81"/>
  <c r="N31" i="81" l="1"/>
  <c r="M28" i="81" l="1"/>
  <c r="L28" i="81"/>
  <c r="K28" i="81"/>
  <c r="J28" i="81"/>
  <c r="I28" i="81"/>
  <c r="H28" i="81"/>
  <c r="G28" i="81"/>
  <c r="F28" i="81"/>
  <c r="E28" i="81"/>
  <c r="D28" i="81"/>
  <c r="C28" i="81"/>
  <c r="B28" i="81"/>
  <c r="B9" i="81" l="1"/>
  <c r="B13" i="81" s="1"/>
  <c r="C16" i="81" l="1"/>
  <c r="D16" i="81"/>
  <c r="E16" i="81"/>
  <c r="F16" i="81"/>
  <c r="G16" i="81"/>
  <c r="H16" i="81"/>
  <c r="I16" i="81"/>
  <c r="J16" i="81"/>
  <c r="K16" i="81"/>
  <c r="L16" i="81"/>
  <c r="M16" i="81"/>
  <c r="B16" i="81"/>
  <c r="F27" i="93"/>
  <c r="F26" i="93"/>
  <c r="F22" i="93"/>
  <c r="F16" i="93"/>
  <c r="F15" i="93"/>
  <c r="F14" i="93"/>
  <c r="A3" i="81" l="1"/>
  <c r="E113" i="94"/>
  <c r="E114" i="94"/>
  <c r="E115" i="94"/>
  <c r="E116" i="94"/>
  <c r="E117" i="94"/>
  <c r="E118" i="94"/>
  <c r="E119" i="94"/>
  <c r="E120" i="94"/>
  <c r="E112" i="94"/>
  <c r="E103" i="94"/>
  <c r="E82" i="94"/>
  <c r="E83" i="94"/>
  <c r="E84" i="94"/>
  <c r="E85" i="94"/>
  <c r="E86" i="94"/>
  <c r="E87" i="94"/>
  <c r="E88" i="94"/>
  <c r="E81" i="94"/>
  <c r="E60" i="94"/>
  <c r="E51" i="94"/>
  <c r="E52" i="94"/>
  <c r="E53" i="94"/>
  <c r="E54" i="94"/>
  <c r="E55" i="94"/>
  <c r="E56" i="94"/>
  <c r="E57" i="94"/>
  <c r="E50" i="94"/>
  <c r="E44" i="95"/>
  <c r="D44" i="95"/>
  <c r="C44" i="95"/>
  <c r="M7" i="97"/>
  <c r="N5" i="81"/>
  <c r="N16" i="81" s="1"/>
  <c r="G16" i="95"/>
  <c r="F162" i="98"/>
  <c r="H162" i="98" s="1"/>
  <c r="F161" i="98"/>
  <c r="H161" i="98" s="1"/>
  <c r="F160" i="98"/>
  <c r="H160" i="98" s="1"/>
  <c r="F159" i="98"/>
  <c r="H159" i="98" s="1"/>
  <c r="F158" i="98"/>
  <c r="H158" i="98" s="1"/>
  <c r="F157" i="98"/>
  <c r="H157" i="98" s="1"/>
  <c r="F156" i="98"/>
  <c r="H156" i="98" s="1"/>
  <c r="F155" i="98"/>
  <c r="H155" i="98" s="1"/>
  <c r="F154" i="98"/>
  <c r="H154" i="98" s="1"/>
  <c r="F153" i="98"/>
  <c r="H153" i="98" s="1"/>
  <c r="F152" i="98"/>
  <c r="H152" i="98" s="1"/>
  <c r="F151" i="98"/>
  <c r="H151" i="98" s="1"/>
  <c r="F150" i="98"/>
  <c r="H150" i="98" s="1"/>
  <c r="F149" i="98"/>
  <c r="H149" i="98" s="1"/>
  <c r="F148" i="98"/>
  <c r="H148" i="98" s="1"/>
  <c r="F147" i="98"/>
  <c r="H147" i="98" s="1"/>
  <c r="F145" i="98"/>
  <c r="H145" i="98" s="1"/>
  <c r="F144" i="98"/>
  <c r="H144" i="98" s="1"/>
  <c r="F142" i="98"/>
  <c r="H142" i="98" s="1"/>
  <c r="F141" i="98"/>
  <c r="H141" i="98" s="1"/>
  <c r="F140" i="98"/>
  <c r="H140" i="98" s="1"/>
  <c r="F139" i="98"/>
  <c r="H139" i="98" s="1"/>
  <c r="F137" i="98"/>
  <c r="H137" i="98" s="1"/>
  <c r="F136" i="98"/>
  <c r="H136" i="98" s="1"/>
  <c r="F135" i="98"/>
  <c r="H135" i="98" s="1"/>
  <c r="F134" i="98"/>
  <c r="H134" i="98" s="1"/>
  <c r="F133" i="98"/>
  <c r="H133" i="98" s="1"/>
  <c r="F131" i="98"/>
  <c r="H131" i="98" s="1"/>
  <c r="F130" i="98"/>
  <c r="H130" i="98" s="1"/>
  <c r="F129" i="98"/>
  <c r="H129" i="98" s="1"/>
  <c r="F128" i="98"/>
  <c r="H128" i="98" s="1"/>
  <c r="F127" i="98"/>
  <c r="H127" i="98" s="1"/>
  <c r="F126" i="98"/>
  <c r="H126" i="98" s="1"/>
  <c r="F123" i="98"/>
  <c r="H123" i="98" s="1"/>
  <c r="F120" i="98"/>
  <c r="H120" i="98" s="1"/>
  <c r="F119" i="98"/>
  <c r="H119" i="98" s="1"/>
  <c r="F118" i="98"/>
  <c r="H118" i="98" s="1"/>
  <c r="F117" i="98"/>
  <c r="H117" i="98" s="1"/>
  <c r="F116" i="98"/>
  <c r="H116" i="98" s="1"/>
  <c r="F115" i="98"/>
  <c r="H115" i="98" s="1"/>
  <c r="F114" i="98"/>
  <c r="H114" i="98" s="1"/>
  <c r="F113" i="98"/>
  <c r="H113" i="98" s="1"/>
  <c r="F112" i="98"/>
  <c r="H112" i="98" s="1"/>
  <c r="F111" i="98"/>
  <c r="H111" i="98" s="1"/>
  <c r="F109" i="98"/>
  <c r="H109" i="98" s="1"/>
  <c r="F107" i="98"/>
  <c r="H107" i="98" s="1"/>
  <c r="F106" i="98"/>
  <c r="H106" i="98" s="1"/>
  <c r="F105" i="98"/>
  <c r="H105" i="98" s="1"/>
  <c r="F104" i="98"/>
  <c r="H104" i="98" s="1"/>
  <c r="F103" i="98"/>
  <c r="H103" i="98" s="1"/>
  <c r="F102" i="98"/>
  <c r="H102" i="98" s="1"/>
  <c r="F99" i="98"/>
  <c r="H99" i="98" s="1"/>
  <c r="F98" i="98"/>
  <c r="H98" i="98" s="1"/>
  <c r="F97" i="98"/>
  <c r="H97" i="98" s="1"/>
  <c r="F96" i="98"/>
  <c r="H96" i="98" s="1"/>
  <c r="F95" i="98"/>
  <c r="H95" i="98" s="1"/>
  <c r="F94" i="98"/>
  <c r="H94" i="98" s="1"/>
  <c r="F93" i="98"/>
  <c r="H93" i="98" s="1"/>
  <c r="F92" i="98"/>
  <c r="H92" i="98" s="1"/>
  <c r="F91" i="98"/>
  <c r="H91" i="98" s="1"/>
  <c r="F90" i="98"/>
  <c r="H90" i="98" s="1"/>
  <c r="F88" i="98"/>
  <c r="H88" i="98" s="1"/>
  <c r="F87" i="98"/>
  <c r="H87" i="98" s="1"/>
  <c r="F86" i="98"/>
  <c r="H86" i="98" s="1"/>
  <c r="F85" i="98"/>
  <c r="H85" i="98" s="1"/>
  <c r="F84" i="98"/>
  <c r="H84" i="98" s="1"/>
  <c r="F83" i="98"/>
  <c r="H83" i="98" s="1"/>
  <c r="F82" i="98"/>
  <c r="H82" i="98" s="1"/>
  <c r="F81" i="98"/>
  <c r="H81" i="98" s="1"/>
  <c r="F80" i="98"/>
  <c r="H80" i="98" s="1"/>
  <c r="F76" i="98"/>
  <c r="H76" i="98" s="1"/>
  <c r="F75" i="98"/>
  <c r="H75" i="98" s="1"/>
  <c r="F74" i="98"/>
  <c r="H74" i="98" s="1"/>
  <c r="F73" i="98"/>
  <c r="H73" i="98" s="1"/>
  <c r="F72" i="98"/>
  <c r="H72" i="98" s="1"/>
  <c r="F71" i="98"/>
  <c r="H71" i="98" s="1"/>
  <c r="F70" i="98"/>
  <c r="H70" i="98" s="1"/>
  <c r="F69" i="98"/>
  <c r="H69" i="98" s="1"/>
  <c r="F68" i="98"/>
  <c r="H68" i="98" s="1"/>
  <c r="F67" i="98"/>
  <c r="H67" i="98" s="1"/>
  <c r="F65" i="98"/>
  <c r="H65" i="98" s="1"/>
  <c r="F64" i="98"/>
  <c r="H64" i="98" s="1"/>
  <c r="F63" i="98"/>
  <c r="F62" i="98"/>
  <c r="H62" i="98" s="1"/>
  <c r="F61" i="98"/>
  <c r="H61" i="98" s="1"/>
  <c r="F60" i="98"/>
  <c r="H60" i="98" s="1"/>
  <c r="F58" i="98"/>
  <c r="H58" i="98" s="1"/>
  <c r="F57" i="98"/>
  <c r="H57" i="98" s="1"/>
  <c r="F56" i="98"/>
  <c r="H56" i="98" s="1"/>
  <c r="F55" i="98"/>
  <c r="H55" i="98" s="1"/>
  <c r="F54" i="98"/>
  <c r="H54" i="98" s="1"/>
  <c r="F53" i="98"/>
  <c r="H53" i="98" s="1"/>
  <c r="F52" i="98"/>
  <c r="H52" i="98" s="1"/>
  <c r="F51" i="98"/>
  <c r="H51" i="98" s="1"/>
  <c r="F50" i="98"/>
  <c r="H50" i="98" s="1"/>
  <c r="F47" i="98"/>
  <c r="H47" i="98" s="1"/>
  <c r="F46" i="98"/>
  <c r="H46" i="98" s="1"/>
  <c r="F45" i="98"/>
  <c r="H45" i="98" s="1"/>
  <c r="F44" i="98"/>
  <c r="H44" i="98" s="1"/>
  <c r="F43" i="98"/>
  <c r="H43" i="98" s="1"/>
  <c r="F42" i="98"/>
  <c r="H42" i="98" s="1"/>
  <c r="F41" i="98"/>
  <c r="H41" i="98" s="1"/>
  <c r="F39" i="98"/>
  <c r="H39" i="98" s="1"/>
  <c r="F38" i="98"/>
  <c r="H38" i="98" s="1"/>
  <c r="F37" i="98"/>
  <c r="H37" i="98" s="1"/>
  <c r="F36" i="98"/>
  <c r="H36" i="98" s="1"/>
  <c r="F35" i="98"/>
  <c r="H35" i="98" s="1"/>
  <c r="F34" i="98"/>
  <c r="H34" i="98" s="1"/>
  <c r="F33" i="98"/>
  <c r="H33" i="98" s="1"/>
  <c r="F32" i="98"/>
  <c r="H32" i="98" s="1"/>
  <c r="F28" i="98"/>
  <c r="H28" i="98" s="1"/>
  <c r="F27" i="98"/>
  <c r="H27" i="98" s="1"/>
  <c r="F26" i="98"/>
  <c r="H26" i="98" s="1"/>
  <c r="F25" i="98"/>
  <c r="H25" i="98" s="1"/>
  <c r="F24" i="98"/>
  <c r="H24" i="98" s="1"/>
  <c r="F23" i="98"/>
  <c r="H23" i="98" s="1"/>
  <c r="F22" i="98"/>
  <c r="H22" i="98" s="1"/>
  <c r="F21" i="98"/>
  <c r="H21" i="98" s="1"/>
  <c r="F20" i="98"/>
  <c r="H20" i="98" s="1"/>
  <c r="F19" i="98"/>
  <c r="H19" i="98" s="1"/>
  <c r="F16" i="98"/>
  <c r="H16" i="98" s="1"/>
  <c r="F15" i="98"/>
  <c r="H15" i="98" s="1"/>
  <c r="F14" i="98"/>
  <c r="H14" i="98" s="1"/>
  <c r="F13" i="98"/>
  <c r="H13" i="98" s="1"/>
  <c r="F11" i="98"/>
  <c r="H11" i="98" s="1"/>
  <c r="G27" i="95" l="1"/>
  <c r="G22" i="95"/>
  <c r="G37" i="95"/>
  <c r="H63" i="98"/>
  <c r="C92" i="97" l="1"/>
  <c r="C91" i="97"/>
  <c r="C86" i="97"/>
  <c r="C85" i="97"/>
  <c r="C80" i="97"/>
  <c r="C79" i="97"/>
  <c r="C74" i="97"/>
  <c r="C73" i="97"/>
  <c r="C68" i="97"/>
  <c r="C67" i="97"/>
  <c r="C62" i="97"/>
  <c r="C61" i="97"/>
  <c r="C55" i="97"/>
  <c r="C54" i="97"/>
  <c r="C49" i="97"/>
  <c r="C48" i="97"/>
  <c r="C43" i="97"/>
  <c r="C42" i="97"/>
  <c r="C36" i="97"/>
  <c r="C35" i="97"/>
  <c r="C30" i="97"/>
  <c r="C29" i="97"/>
  <c r="C24" i="97"/>
  <c r="C23" i="97"/>
  <c r="C18" i="97"/>
  <c r="C17" i="97"/>
  <c r="L35" i="97"/>
  <c r="J33" i="97" l="1"/>
  <c r="A2" i="81" l="1"/>
  <c r="A1" i="81"/>
  <c r="B20" i="81"/>
  <c r="B24" i="81" s="1"/>
  <c r="C20" i="81"/>
  <c r="C24" i="81" s="1"/>
  <c r="D20" i="81"/>
  <c r="D24" i="81" s="1"/>
  <c r="E20" i="81"/>
  <c r="E24" i="81" s="1"/>
  <c r="C9" i="81"/>
  <c r="C13" i="81" s="1"/>
  <c r="D9" i="81"/>
  <c r="D13" i="81" s="1"/>
  <c r="E9" i="81"/>
  <c r="E13" i="81" s="1"/>
  <c r="D36" i="93"/>
  <c r="D31" i="93"/>
  <c r="D30" i="93"/>
  <c r="E27" i="81" l="1"/>
  <c r="C27" i="81"/>
  <c r="B27" i="81"/>
  <c r="D27" i="81"/>
  <c r="B26" i="95"/>
  <c r="B25" i="95"/>
  <c r="B21" i="95"/>
  <c r="B20" i="95"/>
  <c r="B19" i="95"/>
  <c r="B13" i="95"/>
  <c r="B14" i="95"/>
  <c r="B15" i="95"/>
  <c r="B12" i="95"/>
  <c r="A3" i="97"/>
  <c r="A2" i="97"/>
  <c r="A1" i="97"/>
  <c r="B29" i="81" l="1"/>
  <c r="B32" i="81"/>
  <c r="D29" i="81"/>
  <c r="D32" i="81"/>
  <c r="C29" i="81"/>
  <c r="C32" i="81"/>
  <c r="E29" i="81"/>
  <c r="E32" i="81"/>
  <c r="B92" i="97"/>
  <c r="B93" i="97" s="1"/>
  <c r="B94" i="97" s="1"/>
  <c r="B95" i="97" s="1"/>
  <c r="B86" i="97"/>
  <c r="B87" i="97" s="1"/>
  <c r="B88" i="97" s="1"/>
  <c r="B89" i="97" s="1"/>
  <c r="B80" i="97"/>
  <c r="B81" i="97" s="1"/>
  <c r="B82" i="97" s="1"/>
  <c r="B83" i="97" s="1"/>
  <c r="B74" i="97"/>
  <c r="B75" i="97" s="1"/>
  <c r="B76" i="97" s="1"/>
  <c r="B77" i="97" s="1"/>
  <c r="B68" i="97"/>
  <c r="B69" i="97" s="1"/>
  <c r="B70" i="97" s="1"/>
  <c r="B71" i="97" s="1"/>
  <c r="B62" i="97"/>
  <c r="B63" i="97" s="1"/>
  <c r="B64" i="97" s="1"/>
  <c r="B65" i="97" s="1"/>
  <c r="B55" i="97"/>
  <c r="B56" i="97" s="1"/>
  <c r="B57" i="97" s="1"/>
  <c r="B58" i="97" s="1"/>
  <c r="B49" i="97"/>
  <c r="B50" i="97" s="1"/>
  <c r="B51" i="97" s="1"/>
  <c r="B52" i="97" s="1"/>
  <c r="B43" i="97"/>
  <c r="B44" i="97" s="1"/>
  <c r="B45" i="97" s="1"/>
  <c r="B46" i="97" s="1"/>
  <c r="B36" i="97"/>
  <c r="B37" i="97" s="1"/>
  <c r="B38" i="97" s="1"/>
  <c r="B39" i="97" s="1"/>
  <c r="B30" i="97"/>
  <c r="B31" i="97" s="1"/>
  <c r="B32" i="97" s="1"/>
  <c r="B33" i="97" s="1"/>
  <c r="B24" i="97"/>
  <c r="B25" i="97" s="1"/>
  <c r="B26" i="97" s="1"/>
  <c r="B27" i="97" s="1"/>
  <c r="B18" i="97"/>
  <c r="B19" i="97" s="1"/>
  <c r="B20" i="97" s="1"/>
  <c r="B21" i="97" s="1"/>
  <c r="G10" i="97"/>
  <c r="G11" i="97" s="1"/>
  <c r="G12" i="97" s="1"/>
  <c r="G13" i="97" s="1"/>
  <c r="G14" i="97" s="1"/>
  <c r="G15" i="97" s="1"/>
  <c r="G16" i="97" s="1"/>
  <c r="G17" i="97" s="1"/>
  <c r="G18" i="97" s="1"/>
  <c r="G19" i="97" s="1"/>
  <c r="G20" i="97" s="1"/>
  <c r="G21" i="97" s="1"/>
  <c r="G22" i="97" s="1"/>
  <c r="G23" i="97" s="1"/>
  <c r="G24" i="97" s="1"/>
  <c r="G25" i="97" s="1"/>
  <c r="G26" i="97" s="1"/>
  <c r="G27" i="97" s="1"/>
  <c r="G28" i="97" s="1"/>
  <c r="G29" i="97" s="1"/>
  <c r="G30" i="97" s="1"/>
  <c r="G31" i="97" s="1"/>
  <c r="G32" i="97" s="1"/>
  <c r="G33" i="97" s="1"/>
  <c r="A10" i="97"/>
  <c r="A11" i="97" s="1"/>
  <c r="A12" i="97" s="1"/>
  <c r="A13" i="97" s="1"/>
  <c r="A14" i="97" s="1"/>
  <c r="A15" i="97" s="1"/>
  <c r="A16" i="97" s="1"/>
  <c r="A17" i="97" s="1"/>
  <c r="A18" i="97" s="1"/>
  <c r="A19" i="97" s="1"/>
  <c r="A20" i="97" s="1"/>
  <c r="A21" i="97" s="1"/>
  <c r="A22" i="97" s="1"/>
  <c r="A23" i="97" s="1"/>
  <c r="A24" i="97" s="1"/>
  <c r="A25" i="97" s="1"/>
  <c r="A26" i="97" s="1"/>
  <c r="A27" i="97" s="1"/>
  <c r="A28" i="97" s="1"/>
  <c r="A29" i="97" s="1"/>
  <c r="A30" i="97" s="1"/>
  <c r="A31" i="97" s="1"/>
  <c r="A32" i="97" s="1"/>
  <c r="A33" i="97" s="1"/>
  <c r="A34" i="97" s="1"/>
  <c r="A35" i="97" s="1"/>
  <c r="A36" i="97" s="1"/>
  <c r="A37" i="97" s="1"/>
  <c r="A38" i="97" s="1"/>
  <c r="A39" i="97" s="1"/>
  <c r="A40" i="97" s="1"/>
  <c r="A41" i="97" s="1"/>
  <c r="A42" i="97" s="1"/>
  <c r="A43" i="97" s="1"/>
  <c r="A44" i="97" s="1"/>
  <c r="A45" i="97" s="1"/>
  <c r="A46" i="97" s="1"/>
  <c r="A47" i="97" s="1"/>
  <c r="A48" i="97" s="1"/>
  <c r="A49" i="97" s="1"/>
  <c r="A50" i="97" s="1"/>
  <c r="A51" i="97" s="1"/>
  <c r="A52" i="97" s="1"/>
  <c r="A53" i="97" s="1"/>
  <c r="A54" i="97" s="1"/>
  <c r="A55" i="97" s="1"/>
  <c r="A56" i="97" s="1"/>
  <c r="A57" i="97" s="1"/>
  <c r="A58" i="97" s="1"/>
  <c r="A59" i="97" s="1"/>
  <c r="A60" i="97" s="1"/>
  <c r="A61" i="97" s="1"/>
  <c r="A62" i="97" s="1"/>
  <c r="A63" i="97" s="1"/>
  <c r="A64" i="97" s="1"/>
  <c r="A65" i="97" s="1"/>
  <c r="A66" i="97" s="1"/>
  <c r="A67" i="97" s="1"/>
  <c r="A68" i="97" s="1"/>
  <c r="A69" i="97" s="1"/>
  <c r="A70" i="97" s="1"/>
  <c r="A71" i="97" s="1"/>
  <c r="A72" i="97" s="1"/>
  <c r="A73" i="97" s="1"/>
  <c r="A74" i="97" s="1"/>
  <c r="A75" i="97" s="1"/>
  <c r="A76" i="97" s="1"/>
  <c r="A77" i="97" s="1"/>
  <c r="A78" i="97" s="1"/>
  <c r="A79" i="97" s="1"/>
  <c r="A80" i="97" s="1"/>
  <c r="A81" i="97" s="1"/>
  <c r="A82" i="97" s="1"/>
  <c r="A83" i="97" s="1"/>
  <c r="A84" i="97" s="1"/>
  <c r="A85" i="97" s="1"/>
  <c r="A86" i="97" s="1"/>
  <c r="A87" i="97" s="1"/>
  <c r="A88" i="97" s="1"/>
  <c r="A89" i="97" s="1"/>
  <c r="A90" i="97" s="1"/>
  <c r="A91" i="97" s="1"/>
  <c r="A92" i="97" s="1"/>
  <c r="A93" i="97" s="1"/>
  <c r="A94" i="97" s="1"/>
  <c r="A95" i="97" s="1"/>
  <c r="A96" i="97" s="1"/>
  <c r="A97" i="97" s="1"/>
  <c r="A98" i="97" s="1"/>
  <c r="A99" i="97" s="1"/>
  <c r="B10" i="97"/>
  <c r="B11" i="97" s="1"/>
  <c r="B12" i="97" s="1"/>
  <c r="B13" i="97" s="1"/>
  <c r="B14" i="97" s="1"/>
  <c r="A1" i="98"/>
  <c r="A2" i="98"/>
  <c r="A3" i="98"/>
  <c r="A4" i="98"/>
  <c r="A10" i="98"/>
  <c r="A11" i="98"/>
  <c r="A12" i="98" s="1"/>
  <c r="A13" i="98" s="1"/>
  <c r="A14" i="98" s="1"/>
  <c r="A15" i="98" s="1"/>
  <c r="A16" i="98" s="1"/>
  <c r="A17" i="98" s="1"/>
  <c r="A18" i="98" s="1"/>
  <c r="A19" i="98" s="1"/>
  <c r="A20" i="98" s="1"/>
  <c r="A21" i="98" s="1"/>
  <c r="A22" i="98" s="1"/>
  <c r="A23" i="98" s="1"/>
  <c r="A24" i="98" s="1"/>
  <c r="A25" i="98" s="1"/>
  <c r="A26" i="98" s="1"/>
  <c r="A27" i="98" s="1"/>
  <c r="A28" i="98" s="1"/>
  <c r="A29" i="98" s="1"/>
  <c r="A30" i="98" s="1"/>
  <c r="A31" i="98" s="1"/>
  <c r="A32" i="98" s="1"/>
  <c r="A33" i="98" s="1"/>
  <c r="A34" i="98" s="1"/>
  <c r="A35" i="98" s="1"/>
  <c r="A36" i="98" s="1"/>
  <c r="A37" i="98" s="1"/>
  <c r="A38" i="98" s="1"/>
  <c r="A39" i="98" s="1"/>
  <c r="A40" i="98" s="1"/>
  <c r="A41" i="98" s="1"/>
  <c r="A42" i="98" s="1"/>
  <c r="A43" i="98" s="1"/>
  <c r="A44" i="98" s="1"/>
  <c r="A45" i="98" s="1"/>
  <c r="A46" i="98" s="1"/>
  <c r="A47" i="98" s="1"/>
  <c r="A48" i="98" s="1"/>
  <c r="A49" i="98" s="1"/>
  <c r="A50" i="98" s="1"/>
  <c r="A51" i="98" s="1"/>
  <c r="A52" i="98" s="1"/>
  <c r="A53" i="98" s="1"/>
  <c r="A54" i="98" s="1"/>
  <c r="A55" i="98" s="1"/>
  <c r="A56" i="98" s="1"/>
  <c r="A57" i="98" s="1"/>
  <c r="A58" i="98" s="1"/>
  <c r="A59" i="98" s="1"/>
  <c r="A60" i="98" s="1"/>
  <c r="A61" i="98" s="1"/>
  <c r="A62" i="98" s="1"/>
  <c r="A63" i="98" s="1"/>
  <c r="A64" i="98" s="1"/>
  <c r="A65" i="98" s="1"/>
  <c r="A66" i="98" s="1"/>
  <c r="A67" i="98" s="1"/>
  <c r="A68" i="98" s="1"/>
  <c r="A69" i="98" s="1"/>
  <c r="A70" i="98" s="1"/>
  <c r="A71" i="98" s="1"/>
  <c r="A72" i="98" s="1"/>
  <c r="A73" i="98" s="1"/>
  <c r="A74" i="98" s="1"/>
  <c r="A75" i="98" s="1"/>
  <c r="A76" i="98" s="1"/>
  <c r="A77" i="98" s="1"/>
  <c r="A78" i="98" s="1"/>
  <c r="A79" i="98" s="1"/>
  <c r="A80" i="98" s="1"/>
  <c r="A81" i="98" s="1"/>
  <c r="A82" i="98" s="1"/>
  <c r="A83" i="98" s="1"/>
  <c r="A84" i="98" s="1"/>
  <c r="A85" i="98" s="1"/>
  <c r="A86" i="98" s="1"/>
  <c r="A87" i="98" s="1"/>
  <c r="A88" i="98" s="1"/>
  <c r="A89" i="98" s="1"/>
  <c r="A90" i="98" s="1"/>
  <c r="A91" i="98" s="1"/>
  <c r="A92" i="98" s="1"/>
  <c r="A93" i="98" s="1"/>
  <c r="A94" i="98" s="1"/>
  <c r="A95" i="98" s="1"/>
  <c r="A96" i="98" s="1"/>
  <c r="A97" i="98" s="1"/>
  <c r="A98" i="98" s="1"/>
  <c r="A99" i="98" s="1"/>
  <c r="A100" i="98" s="1"/>
  <c r="A101" i="98" s="1"/>
  <c r="A102" i="98" s="1"/>
  <c r="A103" i="98" s="1"/>
  <c r="A104" i="98" s="1"/>
  <c r="A105" i="98" s="1"/>
  <c r="A106" i="98" s="1"/>
  <c r="A107" i="98" s="1"/>
  <c r="A108" i="98" s="1"/>
  <c r="A109" i="98" s="1"/>
  <c r="A110" i="98" s="1"/>
  <c r="A111" i="98" s="1"/>
  <c r="A112" i="98" s="1"/>
  <c r="A113" i="98" s="1"/>
  <c r="A114" i="98" s="1"/>
  <c r="A115" i="98" s="1"/>
  <c r="A116" i="98" s="1"/>
  <c r="A117" i="98" s="1"/>
  <c r="A118" i="98" s="1"/>
  <c r="A119" i="98" s="1"/>
  <c r="A120" i="98" s="1"/>
  <c r="A121" i="98" s="1"/>
  <c r="A122" i="98" s="1"/>
  <c r="A123" i="98" s="1"/>
  <c r="A124" i="98" s="1"/>
  <c r="A125" i="98" s="1"/>
  <c r="A126" i="98" s="1"/>
  <c r="A127" i="98" s="1"/>
  <c r="A128" i="98" s="1"/>
  <c r="A129" i="98" s="1"/>
  <c r="A130" i="98" s="1"/>
  <c r="A131" i="98" s="1"/>
  <c r="A132" i="98" s="1"/>
  <c r="A133" i="98" s="1"/>
  <c r="A134" i="98" s="1"/>
  <c r="A135" i="98" s="1"/>
  <c r="A136" i="98" s="1"/>
  <c r="A137" i="98" s="1"/>
  <c r="A138" i="98" s="1"/>
  <c r="A139" i="98" s="1"/>
  <c r="A140" i="98" s="1"/>
  <c r="A141" i="98" s="1"/>
  <c r="A142" i="98" s="1"/>
  <c r="A143" i="98" s="1"/>
  <c r="A144" i="98" s="1"/>
  <c r="A145" i="98" s="1"/>
  <c r="A146" i="98" s="1"/>
  <c r="A147" i="98" s="1"/>
  <c r="A148" i="98" s="1"/>
  <c r="A149" i="98" s="1"/>
  <c r="A150" i="98" s="1"/>
  <c r="A151" i="98" s="1"/>
  <c r="A152" i="98" s="1"/>
  <c r="A153" i="98" s="1"/>
  <c r="A154" i="98" s="1"/>
  <c r="A155" i="98" s="1"/>
  <c r="A156" i="98" s="1"/>
  <c r="A157" i="98" s="1"/>
  <c r="A158" i="98" s="1"/>
  <c r="A159" i="98" s="1"/>
  <c r="A160" i="98" s="1"/>
  <c r="A161" i="98" s="1"/>
  <c r="A162" i="98" s="1"/>
  <c r="A163" i="98" s="1"/>
  <c r="A164" i="98" s="1"/>
  <c r="A165" i="98" s="1"/>
  <c r="A166" i="98" s="1"/>
  <c r="A167" i="98" s="1"/>
  <c r="A168" i="98" s="1"/>
  <c r="A169" i="98" s="1"/>
  <c r="A170" i="98" s="1"/>
  <c r="A171" i="98" s="1"/>
  <c r="B14" i="98"/>
  <c r="B15" i="98" s="1"/>
  <c r="B16" i="98" s="1"/>
  <c r="D17" i="94"/>
  <c r="D20" i="94"/>
  <c r="D23" i="94"/>
  <c r="B33" i="98"/>
  <c r="B34" i="98"/>
  <c r="B35" i="98" s="1"/>
  <c r="B36" i="98" s="1"/>
  <c r="D41" i="94"/>
  <c r="C45" i="98"/>
  <c r="C46" i="98"/>
  <c r="C47" i="98" s="1"/>
  <c r="B51" i="98"/>
  <c r="B52" i="98" s="1"/>
  <c r="B53" i="98" s="1"/>
  <c r="B54" i="98" s="1"/>
  <c r="B55" i="98" s="1"/>
  <c r="B56" i="98" s="1"/>
  <c r="B57" i="98" s="1"/>
  <c r="B58" i="98" s="1"/>
  <c r="B60" i="98" s="1"/>
  <c r="B61" i="98" s="1"/>
  <c r="B62" i="98" s="1"/>
  <c r="B63" i="98" s="1"/>
  <c r="B64" i="98" s="1"/>
  <c r="D52" i="94"/>
  <c r="D56" i="94"/>
  <c r="D61" i="94"/>
  <c r="D63" i="94"/>
  <c r="D72" i="94"/>
  <c r="B81" i="98"/>
  <c r="B82" i="98" s="1"/>
  <c r="B83" i="98" s="1"/>
  <c r="B84" i="98" s="1"/>
  <c r="B85" i="98" s="1"/>
  <c r="B86" i="98" s="1"/>
  <c r="B87" i="98" s="1"/>
  <c r="D83" i="94"/>
  <c r="D87" i="94"/>
  <c r="D91" i="94"/>
  <c r="D95" i="94"/>
  <c r="D99" i="94"/>
  <c r="B103" i="98"/>
  <c r="B104" i="98" s="1"/>
  <c r="B105" i="98" s="1"/>
  <c r="B106" i="98" s="1"/>
  <c r="B107" i="98" s="1"/>
  <c r="B109" i="98" s="1"/>
  <c r="D105" i="94"/>
  <c r="D111" i="94"/>
  <c r="D116" i="94"/>
  <c r="D119" i="94"/>
  <c r="D123" i="94"/>
  <c r="B127" i="98"/>
  <c r="B128" i="98" s="1"/>
  <c r="B129" i="98" s="1"/>
  <c r="B130" i="98" s="1"/>
  <c r="B131" i="98" s="1"/>
  <c r="D129" i="94"/>
  <c r="B134" i="98"/>
  <c r="B135" i="98" s="1"/>
  <c r="B136" i="98" s="1"/>
  <c r="B137" i="98" s="1"/>
  <c r="B139" i="98"/>
  <c r="B140" i="98" s="1"/>
  <c r="B141" i="98" s="1"/>
  <c r="B142" i="98" s="1"/>
  <c r="D142" i="94"/>
  <c r="B144" i="98"/>
  <c r="B145" i="98"/>
  <c r="B149" i="98"/>
  <c r="B150" i="98" s="1"/>
  <c r="B151" i="98" s="1"/>
  <c r="B152" i="98" s="1"/>
  <c r="B153" i="98" s="1"/>
  <c r="B154" i="98" s="1"/>
  <c r="B155" i="98" s="1"/>
  <c r="B156" i="98" s="1"/>
  <c r="B157" i="98" s="1"/>
  <c r="B158" i="98" s="1"/>
  <c r="B159" i="98" s="1"/>
  <c r="B160" i="98" s="1"/>
  <c r="B161" i="98" s="1"/>
  <c r="B162" i="98" s="1"/>
  <c r="A1" i="95"/>
  <c r="A2" i="95"/>
  <c r="A3" i="95"/>
  <c r="G6" i="95"/>
  <c r="A9" i="95"/>
  <c r="A10" i="95" s="1"/>
  <c r="A11" i="95" s="1"/>
  <c r="A12" i="95" s="1"/>
  <c r="A13" i="95" s="1"/>
  <c r="A14" i="95" s="1"/>
  <c r="A15" i="95" s="1"/>
  <c r="A16" i="95" s="1"/>
  <c r="A17" i="95" s="1"/>
  <c r="A18" i="95" s="1"/>
  <c r="A19" i="95" s="1"/>
  <c r="A20" i="95" s="1"/>
  <c r="A21" i="95" s="1"/>
  <c r="A22" i="95" s="1"/>
  <c r="A23" i="95" s="1"/>
  <c r="A24" i="95" s="1"/>
  <c r="A25" i="95" s="1"/>
  <c r="A26" i="95" s="1"/>
  <c r="A27" i="95" s="1"/>
  <c r="A28" i="95" s="1"/>
  <c r="A29" i="95" s="1"/>
  <c r="A30" i="95" s="1"/>
  <c r="A31" i="95" s="1"/>
  <c r="A32" i="95" s="1"/>
  <c r="A33" i="95" s="1"/>
  <c r="A34" i="95" s="1"/>
  <c r="A35" i="95" s="1"/>
  <c r="A36" i="95" s="1"/>
  <c r="A37" i="95" s="1"/>
  <c r="A38" i="95" s="1"/>
  <c r="A39" i="95" s="1"/>
  <c r="A40" i="95" s="1"/>
  <c r="A41" i="95" s="1"/>
  <c r="J16" i="95"/>
  <c r="J22" i="95"/>
  <c r="J27" i="95"/>
  <c r="G43" i="95"/>
  <c r="A1" i="94"/>
  <c r="A2" i="94"/>
  <c r="A8" i="94"/>
  <c r="A9" i="94"/>
  <c r="D9" i="94"/>
  <c r="A10" i="94"/>
  <c r="A11" i="94"/>
  <c r="A12" i="94" s="1"/>
  <c r="A13" i="94" s="1"/>
  <c r="A14" i="94" s="1"/>
  <c r="A15" i="94" s="1"/>
  <c r="A16" i="94" s="1"/>
  <c r="A17" i="94" s="1"/>
  <c r="A18" i="94" s="1"/>
  <c r="A19" i="94" s="1"/>
  <c r="A20" i="94" s="1"/>
  <c r="A21" i="94" s="1"/>
  <c r="A22" i="94" s="1"/>
  <c r="A23" i="94" s="1"/>
  <c r="A24" i="94" s="1"/>
  <c r="A25" i="94" s="1"/>
  <c r="A26" i="94" s="1"/>
  <c r="A27" i="94" s="1"/>
  <c r="A28" i="94" s="1"/>
  <c r="A29" i="94" s="1"/>
  <c r="A30" i="94" s="1"/>
  <c r="A31" i="94" s="1"/>
  <c r="A32" i="94" s="1"/>
  <c r="A33" i="94" s="1"/>
  <c r="A34" i="94" s="1"/>
  <c r="A35" i="94" s="1"/>
  <c r="A36" i="94" s="1"/>
  <c r="A37" i="94" s="1"/>
  <c r="A38" i="94" s="1"/>
  <c r="A39" i="94" s="1"/>
  <c r="A40" i="94" s="1"/>
  <c r="A41" i="94" s="1"/>
  <c r="A42" i="94" s="1"/>
  <c r="A43" i="94" s="1"/>
  <c r="A44" i="94" s="1"/>
  <c r="A45" i="94" s="1"/>
  <c r="A46" i="94" s="1"/>
  <c r="A47" i="94" s="1"/>
  <c r="A48" i="94" s="1"/>
  <c r="A49" i="94" s="1"/>
  <c r="A50" i="94" s="1"/>
  <c r="A51" i="94" s="1"/>
  <c r="A52" i="94" s="1"/>
  <c r="A53" i="94" s="1"/>
  <c r="A54" i="94" s="1"/>
  <c r="A55" i="94" s="1"/>
  <c r="A56" i="94" s="1"/>
  <c r="A57" i="94" s="1"/>
  <c r="A58" i="94" s="1"/>
  <c r="A59" i="94" s="1"/>
  <c r="A60" i="94" s="1"/>
  <c r="A61" i="94" s="1"/>
  <c r="A62" i="94" s="1"/>
  <c r="A63" i="94" s="1"/>
  <c r="A64" i="94" s="1"/>
  <c r="A65" i="94" s="1"/>
  <c r="A66" i="94" s="1"/>
  <c r="A67" i="94" s="1"/>
  <c r="A68" i="94" s="1"/>
  <c r="A69" i="94" s="1"/>
  <c r="A70" i="94" s="1"/>
  <c r="A71" i="94" s="1"/>
  <c r="A72" i="94" s="1"/>
  <c r="A73" i="94" s="1"/>
  <c r="A74" i="94" s="1"/>
  <c r="A75" i="94" s="1"/>
  <c r="A76" i="94" s="1"/>
  <c r="A77" i="94" s="1"/>
  <c r="A78" i="94" s="1"/>
  <c r="A79" i="94" s="1"/>
  <c r="A80" i="94" s="1"/>
  <c r="A81" i="94" s="1"/>
  <c r="A82" i="94" s="1"/>
  <c r="A83" i="94" s="1"/>
  <c r="A84" i="94" s="1"/>
  <c r="A85" i="94" s="1"/>
  <c r="A86" i="94" s="1"/>
  <c r="A87" i="94" s="1"/>
  <c r="A88" i="94" s="1"/>
  <c r="A89" i="94" s="1"/>
  <c r="A90" i="94" s="1"/>
  <c r="A91" i="94" s="1"/>
  <c r="A92" i="94" s="1"/>
  <c r="A93" i="94" s="1"/>
  <c r="A94" i="94" s="1"/>
  <c r="A95" i="94" s="1"/>
  <c r="A96" i="94" s="1"/>
  <c r="A97" i="94" s="1"/>
  <c r="A98" i="94" s="1"/>
  <c r="A99" i="94" s="1"/>
  <c r="A100" i="94" s="1"/>
  <c r="A101" i="94" s="1"/>
  <c r="A102" i="94" s="1"/>
  <c r="A103" i="94" s="1"/>
  <c r="A104" i="94" s="1"/>
  <c r="A105" i="94" s="1"/>
  <c r="A106" i="94" s="1"/>
  <c r="A107" i="94" s="1"/>
  <c r="A108" i="94" s="1"/>
  <c r="A109" i="94" s="1"/>
  <c r="A110" i="94" s="1"/>
  <c r="A111" i="94" s="1"/>
  <c r="A112" i="94" s="1"/>
  <c r="A113" i="94" s="1"/>
  <c r="A114" i="94" s="1"/>
  <c r="A115" i="94" s="1"/>
  <c r="A116" i="94" s="1"/>
  <c r="A117" i="94" s="1"/>
  <c r="A118" i="94" s="1"/>
  <c r="A119" i="94" s="1"/>
  <c r="A120" i="94" s="1"/>
  <c r="A121" i="94" s="1"/>
  <c r="A122" i="94" s="1"/>
  <c r="A123" i="94" s="1"/>
  <c r="A124" i="94" s="1"/>
  <c r="A125" i="94" s="1"/>
  <c r="A126" i="94" s="1"/>
  <c r="A127" i="94" s="1"/>
  <c r="A128" i="94" s="1"/>
  <c r="A129" i="94" s="1"/>
  <c r="A130" i="94" s="1"/>
  <c r="A131" i="94" s="1"/>
  <c r="A132" i="94" s="1"/>
  <c r="A133" i="94" s="1"/>
  <c r="A134" i="94" s="1"/>
  <c r="A135" i="94" s="1"/>
  <c r="A136" i="94" s="1"/>
  <c r="A137" i="94" s="1"/>
  <c r="A138" i="94" s="1"/>
  <c r="A139" i="94" s="1"/>
  <c r="A140" i="94" s="1"/>
  <c r="A141" i="94" s="1"/>
  <c r="A142" i="94" s="1"/>
  <c r="A143" i="94" s="1"/>
  <c r="A144" i="94" s="1"/>
  <c r="A145" i="94" s="1"/>
  <c r="A146" i="94" s="1"/>
  <c r="A147" i="94" s="1"/>
  <c r="A148" i="94" s="1"/>
  <c r="A149" i="94" s="1"/>
  <c r="A150" i="94" s="1"/>
  <c r="A151" i="94" s="1"/>
  <c r="A152" i="94" s="1"/>
  <c r="A153" i="94" s="1"/>
  <c r="A154" i="94" s="1"/>
  <c r="A155" i="94" s="1"/>
  <c r="A156" i="94" s="1"/>
  <c r="A157" i="94" s="1"/>
  <c r="A158" i="94" s="1"/>
  <c r="A159" i="94" s="1"/>
  <c r="A160" i="94" s="1"/>
  <c r="A161" i="94" s="1"/>
  <c r="A162" i="94" s="1"/>
  <c r="D11" i="94"/>
  <c r="E11" i="94"/>
  <c r="D12" i="94"/>
  <c r="E12" i="94"/>
  <c r="D13" i="94"/>
  <c r="E13" i="94"/>
  <c r="D14" i="94"/>
  <c r="E14" i="94"/>
  <c r="D18" i="94"/>
  <c r="E18" i="94"/>
  <c r="D19" i="94"/>
  <c r="E19" i="94"/>
  <c r="E20" i="94"/>
  <c r="D21" i="94"/>
  <c r="E21" i="94"/>
  <c r="D22" i="94"/>
  <c r="E22" i="94"/>
  <c r="E23" i="94"/>
  <c r="D24" i="94"/>
  <c r="E24" i="94"/>
  <c r="D25" i="94"/>
  <c r="E25" i="94"/>
  <c r="D26" i="94"/>
  <c r="E26" i="94"/>
  <c r="E28" i="94"/>
  <c r="D31" i="94"/>
  <c r="D32" i="94"/>
  <c r="D33" i="94"/>
  <c r="D34" i="94"/>
  <c r="D35" i="94"/>
  <c r="D36" i="94"/>
  <c r="D37" i="94"/>
  <c r="D38" i="94"/>
  <c r="D40" i="94"/>
  <c r="E41" i="94"/>
  <c r="D42" i="94"/>
  <c r="E42" i="94"/>
  <c r="D43" i="94"/>
  <c r="E43" i="94"/>
  <c r="D44" i="94"/>
  <c r="E44" i="94"/>
  <c r="E45" i="94"/>
  <c r="D46" i="94"/>
  <c r="E46" i="94"/>
  <c r="D49" i="94"/>
  <c r="D50" i="94"/>
  <c r="D51" i="94"/>
  <c r="D53" i="94"/>
  <c r="D54" i="94"/>
  <c r="D55" i="94"/>
  <c r="D57" i="94"/>
  <c r="D59" i="94"/>
  <c r="D60" i="94"/>
  <c r="E61" i="94"/>
  <c r="D62" i="94"/>
  <c r="E62" i="94"/>
  <c r="E63" i="94"/>
  <c r="D64" i="94"/>
  <c r="E64" i="94"/>
  <c r="E66" i="94"/>
  <c r="D67" i="94"/>
  <c r="E67" i="94"/>
  <c r="E68" i="94"/>
  <c r="D69" i="94"/>
  <c r="E69" i="94"/>
  <c r="E70" i="94"/>
  <c r="D71" i="94"/>
  <c r="E71" i="94"/>
  <c r="E72" i="94"/>
  <c r="D73" i="94"/>
  <c r="E73" i="94"/>
  <c r="E74" i="94"/>
  <c r="D75" i="94"/>
  <c r="E75" i="94"/>
  <c r="E77" i="94"/>
  <c r="D80" i="94"/>
  <c r="D82" i="94"/>
  <c r="D84" i="94"/>
  <c r="D86" i="94"/>
  <c r="D88" i="94"/>
  <c r="D90" i="94"/>
  <c r="E90" i="94"/>
  <c r="E91" i="94"/>
  <c r="D92" i="94"/>
  <c r="E92" i="94"/>
  <c r="D93" i="94"/>
  <c r="E93" i="94"/>
  <c r="D94" i="94"/>
  <c r="E94" i="94"/>
  <c r="E95" i="94"/>
  <c r="D96" i="94"/>
  <c r="E96" i="94"/>
  <c r="D97" i="94"/>
  <c r="E97" i="94"/>
  <c r="D98" i="94"/>
  <c r="E98" i="94"/>
  <c r="E99" i="94"/>
  <c r="D102" i="94"/>
  <c r="D103" i="94"/>
  <c r="D104" i="94"/>
  <c r="E104" i="94"/>
  <c r="E105" i="94"/>
  <c r="D106" i="94"/>
  <c r="E106" i="94"/>
  <c r="D107" i="94"/>
  <c r="E107" i="94"/>
  <c r="D109" i="94"/>
  <c r="E109" i="94"/>
  <c r="D112" i="94"/>
  <c r="D113" i="94"/>
  <c r="D114" i="94"/>
  <c r="D115" i="94"/>
  <c r="D117" i="94"/>
  <c r="D118" i="94"/>
  <c r="D120" i="94"/>
  <c r="D126" i="94"/>
  <c r="E128" i="94"/>
  <c r="D128" i="94"/>
  <c r="D130" i="94"/>
  <c r="D133" i="94"/>
  <c r="D135" i="94"/>
  <c r="D137" i="94"/>
  <c r="D139" i="94"/>
  <c r="D140" i="94"/>
  <c r="D141" i="94"/>
  <c r="D144" i="94"/>
  <c r="D145" i="94"/>
  <c r="D147" i="94"/>
  <c r="D148" i="94"/>
  <c r="E148" i="94"/>
  <c r="D149" i="94"/>
  <c r="E149" i="94"/>
  <c r="D150" i="94"/>
  <c r="E150" i="94"/>
  <c r="D151" i="94"/>
  <c r="E151" i="94"/>
  <c r="D152" i="94"/>
  <c r="E152" i="94"/>
  <c r="D153" i="94"/>
  <c r="E153" i="94"/>
  <c r="D154" i="94"/>
  <c r="E154" i="94"/>
  <c r="D155" i="94"/>
  <c r="E155" i="94"/>
  <c r="D156" i="94"/>
  <c r="E156" i="94"/>
  <c r="D157" i="94"/>
  <c r="E157" i="94"/>
  <c r="D158" i="94"/>
  <c r="E158" i="94"/>
  <c r="D159" i="94"/>
  <c r="E159" i="94"/>
  <c r="D160" i="94"/>
  <c r="E160" i="94"/>
  <c r="D161" i="94"/>
  <c r="E161" i="94"/>
  <c r="D162" i="94"/>
  <c r="E162" i="94"/>
  <c r="A3" i="93"/>
  <c r="A3" i="94" s="1"/>
  <c r="E7" i="93"/>
  <c r="A10" i="93"/>
  <c r="A11" i="93" s="1"/>
  <c r="A12" i="93" s="1"/>
  <c r="A13" i="93" s="1"/>
  <c r="A14" i="93" s="1"/>
  <c r="A15" i="93" s="1"/>
  <c r="A16" i="93" s="1"/>
  <c r="A17" i="93" s="1"/>
  <c r="A18" i="93" s="1"/>
  <c r="A19" i="93" s="1"/>
  <c r="A20" i="93" s="1"/>
  <c r="A21" i="93" s="1"/>
  <c r="A22" i="93" s="1"/>
  <c r="A23" i="93" s="1"/>
  <c r="A24" i="93" s="1"/>
  <c r="A25" i="93" s="1"/>
  <c r="A26" i="93" s="1"/>
  <c r="A27" i="93" s="1"/>
  <c r="A28" i="93" s="1"/>
  <c r="A29" i="93" s="1"/>
  <c r="A30" i="93" s="1"/>
  <c r="A31" i="93" s="1"/>
  <c r="A32" i="93" s="1"/>
  <c r="A33" i="93" s="1"/>
  <c r="A34" i="93" s="1"/>
  <c r="A35" i="93" s="1"/>
  <c r="A36" i="93" s="1"/>
  <c r="A37" i="93" s="1"/>
  <c r="A38" i="93" s="1"/>
  <c r="A39" i="93" s="1"/>
  <c r="A40" i="93" s="1"/>
  <c r="A41" i="93" s="1"/>
  <c r="A42" i="93" s="1"/>
  <c r="A43" i="93" s="1"/>
  <c r="A44" i="93" s="1"/>
  <c r="A45" i="93" s="1"/>
  <c r="A46" i="93" s="1"/>
  <c r="A47" i="93" s="1"/>
  <c r="A48" i="93" s="1"/>
  <c r="A49" i="93" s="1"/>
  <c r="A50" i="93" s="1"/>
  <c r="A51" i="93" s="1"/>
  <c r="A52" i="93" s="1"/>
  <c r="A53" i="93" s="1"/>
  <c r="A54" i="93" s="1"/>
  <c r="A55" i="93" s="1"/>
  <c r="A56" i="93" s="1"/>
  <c r="A57" i="93" s="1"/>
  <c r="A58" i="93" s="1"/>
  <c r="A59" i="93" s="1"/>
  <c r="A60" i="93" s="1"/>
  <c r="A61" i="93" s="1"/>
  <c r="A62" i="93" s="1"/>
  <c r="A63" i="93" s="1"/>
  <c r="A64" i="93" s="1"/>
  <c r="A65" i="93" s="1"/>
  <c r="A66" i="93" s="1"/>
  <c r="A67" i="93" s="1"/>
  <c r="A68" i="93" s="1"/>
  <c r="A69" i="93" s="1"/>
  <c r="A70" i="93" s="1"/>
  <c r="D10" i="93"/>
  <c r="C13" i="93"/>
  <c r="C45" i="93" s="1"/>
  <c r="D13" i="93"/>
  <c r="F13" i="93"/>
  <c r="C14" i="93"/>
  <c r="C46" i="93" s="1"/>
  <c r="D14" i="93"/>
  <c r="C15" i="93"/>
  <c r="C47" i="93" s="1"/>
  <c r="D15" i="93"/>
  <c r="C16" i="93"/>
  <c r="C48" i="93" s="1"/>
  <c r="D16" i="93"/>
  <c r="C20" i="93"/>
  <c r="C52" i="93" s="1"/>
  <c r="D20" i="93"/>
  <c r="F20" i="93"/>
  <c r="C21" i="93"/>
  <c r="C53" i="93" s="1"/>
  <c r="D21" i="93"/>
  <c r="C22" i="93"/>
  <c r="C54" i="93" s="1"/>
  <c r="D22" i="93"/>
  <c r="C26" i="93"/>
  <c r="C58" i="93" s="1"/>
  <c r="D26" i="93"/>
  <c r="C27" i="93"/>
  <c r="C59" i="93" s="1"/>
  <c r="D27" i="93"/>
  <c r="C30" i="93"/>
  <c r="C62" i="93" s="1"/>
  <c r="C31" i="93"/>
  <c r="C63" i="93" s="1"/>
  <c r="C32" i="93"/>
  <c r="C64" i="93" s="1"/>
  <c r="D32" i="93"/>
  <c r="B42" i="93"/>
  <c r="B44" i="93"/>
  <c r="B45" i="93"/>
  <c r="B46" i="93"/>
  <c r="B47" i="93"/>
  <c r="B48" i="93"/>
  <c r="B51" i="93"/>
  <c r="B52" i="93"/>
  <c r="B53" i="93"/>
  <c r="B54" i="93"/>
  <c r="B57" i="93"/>
  <c r="B58" i="93"/>
  <c r="B59" i="93"/>
  <c r="B62" i="93"/>
  <c r="B63" i="93"/>
  <c r="B64" i="93"/>
  <c r="B66" i="93"/>
  <c r="B68" i="93"/>
  <c r="C68" i="93"/>
  <c r="E145" i="94" l="1"/>
  <c r="E134" i="94"/>
  <c r="E139" i="94"/>
  <c r="E133" i="94"/>
  <c r="E127" i="94"/>
  <c r="E137" i="94"/>
  <c r="E131" i="94"/>
  <c r="E144" i="94"/>
  <c r="E142" i="94"/>
  <c r="E130" i="94"/>
  <c r="E141" i="94"/>
  <c r="E136" i="94"/>
  <c r="E135" i="94"/>
  <c r="E129" i="94"/>
  <c r="E140" i="94"/>
  <c r="E33" i="94"/>
  <c r="E35" i="94"/>
  <c r="E38" i="94"/>
  <c r="J37" i="95"/>
  <c r="A42" i="95"/>
  <c r="A43" i="95" s="1"/>
  <c r="A44" i="95" s="1"/>
  <c r="A45" i="95" s="1"/>
  <c r="A46" i="95" s="1"/>
  <c r="A47" i="95" s="1"/>
  <c r="A48" i="95" s="1"/>
  <c r="A49" i="95" s="1"/>
  <c r="L19" i="97"/>
  <c r="B67" i="98"/>
  <c r="B65" i="98"/>
  <c r="B68" i="98" s="1"/>
  <c r="B69" i="98" s="1"/>
  <c r="B70" i="98" s="1"/>
  <c r="B71" i="98" s="1"/>
  <c r="B72" i="98" s="1"/>
  <c r="B73" i="98" s="1"/>
  <c r="B74" i="98" s="1"/>
  <c r="B75" i="98" s="1"/>
  <c r="B76" i="98" s="1"/>
  <c r="B37" i="98"/>
  <c r="B41" i="98"/>
  <c r="B88" i="98"/>
  <c r="B91" i="98" s="1"/>
  <c r="B92" i="98" s="1"/>
  <c r="B93" i="98" s="1"/>
  <c r="B94" i="98" s="1"/>
  <c r="B95" i="98" s="1"/>
  <c r="B96" i="98" s="1"/>
  <c r="B97" i="98" s="1"/>
  <c r="B98" i="98" s="1"/>
  <c r="B99" i="98" s="1"/>
  <c r="B90" i="98"/>
  <c r="D134" i="94"/>
  <c r="D74" i="94"/>
  <c r="D66" i="94"/>
  <c r="D68" i="94"/>
  <c r="D70" i="94"/>
  <c r="D136" i="94"/>
  <c r="D131" i="94"/>
  <c r="D127" i="94"/>
  <c r="D85" i="94"/>
  <c r="D81" i="94"/>
  <c r="D45" i="94"/>
  <c r="E32" i="94"/>
  <c r="E37" i="94"/>
  <c r="E34" i="94"/>
  <c r="E36" i="94"/>
  <c r="F31" i="93"/>
  <c r="L23" i="97" l="1"/>
  <c r="L27" i="97"/>
  <c r="L12" i="97"/>
  <c r="L14" i="97"/>
  <c r="L18" i="97"/>
  <c r="L31" i="97"/>
  <c r="L20" i="97"/>
  <c r="L25" i="97"/>
  <c r="L9" i="97"/>
  <c r="L13" i="97"/>
  <c r="B42" i="98"/>
  <c r="B38" i="98"/>
  <c r="L15" i="97" l="1"/>
  <c r="L21" i="97"/>
  <c r="L29" i="97" s="1"/>
  <c r="L33" i="97" s="1"/>
  <c r="L39" i="97" s="1"/>
  <c r="B39" i="98"/>
  <c r="B44" i="98" s="1"/>
  <c r="B45" i="98" s="1"/>
  <c r="B46" i="98" s="1"/>
  <c r="B47" i="98" s="1"/>
  <c r="B43" i="98"/>
  <c r="N11" i="81" l="1"/>
  <c r="N18" i="81"/>
  <c r="N22" i="81" l="1"/>
  <c r="N7" i="81"/>
  <c r="F20" i="81"/>
  <c r="F24" i="81" s="1"/>
  <c r="H20" i="81"/>
  <c r="H24" i="81" s="1"/>
  <c r="K20" i="81"/>
  <c r="K24" i="81" s="1"/>
  <c r="I20" i="81"/>
  <c r="I24" i="81" s="1"/>
  <c r="F9" i="81"/>
  <c r="F13" i="81" s="1"/>
  <c r="F27" i="81" l="1"/>
  <c r="J20" i="81"/>
  <c r="J24" i="81" s="1"/>
  <c r="G20" i="81"/>
  <c r="G24" i="81" s="1"/>
  <c r="L20" i="81"/>
  <c r="L24" i="81" s="1"/>
  <c r="G9" i="81"/>
  <c r="G13" i="81" s="1"/>
  <c r="F29" i="81" l="1"/>
  <c r="F32" i="81"/>
  <c r="G27" i="81"/>
  <c r="N19" i="81"/>
  <c r="M20" i="81"/>
  <c r="M24" i="81" s="1"/>
  <c r="H9" i="81"/>
  <c r="H13" i="81" s="1"/>
  <c r="G29" i="81" l="1"/>
  <c r="G32" i="81"/>
  <c r="H27" i="81"/>
  <c r="N20" i="81"/>
  <c r="N24" i="81" s="1"/>
  <c r="I9" i="81"/>
  <c r="I13" i="81" s="1"/>
  <c r="H29" i="81" l="1"/>
  <c r="H32" i="81"/>
  <c r="I27" i="81"/>
  <c r="J9" i="81"/>
  <c r="J13" i="81" s="1"/>
  <c r="I29" i="81" l="1"/>
  <c r="I32" i="81"/>
  <c r="J27" i="81"/>
  <c r="K9" i="81"/>
  <c r="K13" i="81" s="1"/>
  <c r="J29" i="81" l="1"/>
  <c r="J32" i="81"/>
  <c r="K27" i="81"/>
  <c r="L9" i="81"/>
  <c r="L13" i="81" s="1"/>
  <c r="K29" i="81" l="1"/>
  <c r="K32" i="81"/>
  <c r="L27" i="81"/>
  <c r="M9" i="81"/>
  <c r="M13" i="81" s="1"/>
  <c r="N8" i="81"/>
  <c r="L29" i="81" l="1"/>
  <c r="L32" i="81"/>
  <c r="N9" i="81"/>
  <c r="N13" i="81" s="1"/>
  <c r="N27" i="81" s="1"/>
  <c r="N32" i="81" s="1"/>
  <c r="N28" i="81"/>
  <c r="M27" i="81"/>
  <c r="N29" i="81"/>
  <c r="M29" i="81" l="1"/>
  <c r="M32" i="81"/>
  <c r="M35" i="97"/>
  <c r="M14" i="97" s="1"/>
  <c r="N14" i="97" s="1"/>
  <c r="E33" i="97" s="1"/>
  <c r="M23" i="97" l="1"/>
  <c r="N23" i="97" s="1"/>
  <c r="M19" i="97"/>
  <c r="N19" i="97" s="1"/>
  <c r="E52" i="97" s="1"/>
  <c r="M25" i="97"/>
  <c r="N25" i="97" s="1"/>
  <c r="N35" i="97"/>
  <c r="M27" i="97"/>
  <c r="N27" i="97" s="1"/>
  <c r="E77" i="97" s="1"/>
  <c r="M12" i="97"/>
  <c r="N12" i="97" s="1"/>
  <c r="E21" i="97" s="1"/>
  <c r="M18" i="97"/>
  <c r="N18" i="97" s="1"/>
  <c r="E46" i="97" s="1"/>
  <c r="M20" i="97"/>
  <c r="N20" i="97" s="1"/>
  <c r="E58" i="97" s="1"/>
  <c r="M13" i="97"/>
  <c r="N13" i="97" s="1"/>
  <c r="M9" i="97"/>
  <c r="N9" i="97" s="1"/>
  <c r="E14" i="97" s="1"/>
  <c r="M31" i="97"/>
  <c r="N31" i="97" s="1"/>
  <c r="E95" i="97" s="1"/>
  <c r="E89" i="97"/>
  <c r="E83" i="97"/>
  <c r="H166" i="98"/>
  <c r="E50" i="97"/>
  <c r="I20" i="95" s="1"/>
  <c r="D56" i="97"/>
  <c r="D50" i="97"/>
  <c r="D93" i="97"/>
  <c r="D87" i="97"/>
  <c r="D44" i="97"/>
  <c r="E56" i="97" l="1"/>
  <c r="I21" i="95" s="1"/>
  <c r="N21" i="95" s="1"/>
  <c r="N20" i="95"/>
  <c r="E93" i="97"/>
  <c r="I35" i="95" s="1"/>
  <c r="N15" i="97"/>
  <c r="M15" i="97"/>
  <c r="M21" i="97"/>
  <c r="E87" i="97"/>
  <c r="I31" i="95" s="1"/>
  <c r="E44" i="97"/>
  <c r="I19" i="95" s="1"/>
  <c r="N21" i="97"/>
  <c r="E57" i="97"/>
  <c r="E51" i="97"/>
  <c r="D19" i="97"/>
  <c r="E19" i="97" s="1"/>
  <c r="I12" i="95" s="1"/>
  <c r="D25" i="97"/>
  <c r="E27" i="97"/>
  <c r="D69" i="97"/>
  <c r="E71" i="97"/>
  <c r="D31" i="97"/>
  <c r="E31" i="97" s="1"/>
  <c r="I14" i="95" s="1"/>
  <c r="D12" i="97"/>
  <c r="E12" i="97" s="1"/>
  <c r="I9" i="95" s="1"/>
  <c r="D37" i="97"/>
  <c r="E39" i="97"/>
  <c r="E37" i="97" s="1"/>
  <c r="I15" i="95" s="1"/>
  <c r="D81" i="97"/>
  <c r="E81" i="97" s="1"/>
  <c r="I29" i="95" s="1"/>
  <c r="D63" i="97"/>
  <c r="E65" i="97"/>
  <c r="D75" i="97"/>
  <c r="E75" i="97" s="1"/>
  <c r="I33" i="95" s="1"/>
  <c r="E25" i="97" l="1"/>
  <c r="I13" i="95" s="1"/>
  <c r="N29" i="97"/>
  <c r="N33" i="97" s="1"/>
  <c r="F77" i="98"/>
  <c r="F29" i="98"/>
  <c r="M29" i="97"/>
  <c r="M33" i="97" s="1"/>
  <c r="M36" i="97" s="1"/>
  <c r="N12" i="95"/>
  <c r="N15" i="95"/>
  <c r="N19" i="95"/>
  <c r="N33" i="95"/>
  <c r="E36" i="93"/>
  <c r="N14" i="95"/>
  <c r="N13" i="95"/>
  <c r="N35" i="95"/>
  <c r="E88" i="97"/>
  <c r="N31" i="95"/>
  <c r="E31" i="93"/>
  <c r="N29" i="95"/>
  <c r="E30" i="93"/>
  <c r="E45" i="97"/>
  <c r="F44" i="95"/>
  <c r="N9" i="95"/>
  <c r="E69" i="97"/>
  <c r="I26" i="95" s="1"/>
  <c r="E63" i="97"/>
  <c r="I25" i="95" s="1"/>
  <c r="E94" i="97"/>
  <c r="K31" i="95"/>
  <c r="L31" i="95" s="1"/>
  <c r="M31" i="95" s="1"/>
  <c r="E82" i="97"/>
  <c r="E76" i="97"/>
  <c r="K21" i="95"/>
  <c r="L21" i="95" s="1"/>
  <c r="M21" i="95" s="1"/>
  <c r="E22" i="93"/>
  <c r="K20" i="95"/>
  <c r="L20" i="95" s="1"/>
  <c r="M20" i="95" s="1"/>
  <c r="E21" i="93"/>
  <c r="K19" i="95"/>
  <c r="E20" i="93"/>
  <c r="E32" i="97"/>
  <c r="E20" i="97"/>
  <c r="E13" i="97"/>
  <c r="D97" i="97"/>
  <c r="D98" i="97" s="1"/>
  <c r="H29" i="98" l="1"/>
  <c r="D28" i="94"/>
  <c r="H77" i="98"/>
  <c r="D77" i="94"/>
  <c r="N25" i="95"/>
  <c r="N26" i="95"/>
  <c r="K35" i="95"/>
  <c r="L35" i="95" s="1"/>
  <c r="M35" i="95" s="1"/>
  <c r="K29" i="95"/>
  <c r="L29" i="95" s="1"/>
  <c r="M29" i="95" s="1"/>
  <c r="K33" i="95"/>
  <c r="L33" i="95" s="1"/>
  <c r="M33" i="95" s="1"/>
  <c r="E32" i="93"/>
  <c r="E70" i="97"/>
  <c r="E64" i="97"/>
  <c r="L19" i="95"/>
  <c r="K22" i="95"/>
  <c r="K14" i="95"/>
  <c r="L14" i="95" s="1"/>
  <c r="M14" i="95" s="1"/>
  <c r="E15" i="93"/>
  <c r="E26" i="97"/>
  <c r="E38" i="97"/>
  <c r="E13" i="93"/>
  <c r="K12" i="95"/>
  <c r="K9" i="95"/>
  <c r="G44" i="95"/>
  <c r="G45" i="95" s="1"/>
  <c r="G46" i="95" s="1"/>
  <c r="E10" i="93"/>
  <c r="H165" i="98" l="1"/>
  <c r="H167" i="98" s="1"/>
  <c r="E97" i="97"/>
  <c r="E98" i="97" s="1"/>
  <c r="K26" i="95"/>
  <c r="L26" i="95" s="1"/>
  <c r="M26" i="95" s="1"/>
  <c r="E27" i="93"/>
  <c r="K25" i="95"/>
  <c r="E26" i="93"/>
  <c r="M19" i="95"/>
  <c r="L22" i="95"/>
  <c r="M22" i="95" s="1"/>
  <c r="K13" i="95"/>
  <c r="L13" i="95" s="1"/>
  <c r="M13" i="95" s="1"/>
  <c r="E14" i="93"/>
  <c r="K15" i="95"/>
  <c r="L15" i="95" s="1"/>
  <c r="M15" i="95" s="1"/>
  <c r="E16" i="93"/>
  <c r="L12" i="95"/>
  <c r="L9" i="95"/>
  <c r="C10" i="93"/>
  <c r="C42" i="93" s="1"/>
  <c r="L25" i="95" l="1"/>
  <c r="K27" i="95"/>
  <c r="K16" i="95"/>
  <c r="M12" i="95"/>
  <c r="L16" i="95"/>
  <c r="M16" i="95" s="1"/>
  <c r="M9" i="95"/>
  <c r="K37" i="95" l="1"/>
  <c r="M25" i="95"/>
  <c r="L27" i="95"/>
  <c r="M27" i="95" s="1"/>
  <c r="L37" i="95" l="1"/>
  <c r="M37" i="95" s="1"/>
</calcChain>
</file>

<file path=xl/comments1.xml><?xml version="1.0" encoding="utf-8"?>
<comments xmlns="http://schemas.openxmlformats.org/spreadsheetml/2006/main">
  <authors>
    <author>tc={9990E4D5-7DD6-438A-BB9B-557E2F8B3A66}</author>
  </authors>
  <commentList>
    <comment ref="F32" authorId="0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Accounting will book a JE entry correction to adjust for the variance by the end of the year</t>
        </r>
      </text>
    </comment>
  </commentList>
</comments>
</file>

<file path=xl/sharedStrings.xml><?xml version="1.0" encoding="utf-8"?>
<sst xmlns="http://schemas.openxmlformats.org/spreadsheetml/2006/main" count="722" uniqueCount="236">
  <si>
    <t>Line No.</t>
  </si>
  <si>
    <t>Schedule</t>
  </si>
  <si>
    <t>Residential</t>
  </si>
  <si>
    <t>Total High Voltage</t>
  </si>
  <si>
    <t>50-59</t>
  </si>
  <si>
    <t>Tariff</t>
  </si>
  <si>
    <t>Total</t>
  </si>
  <si>
    <t>Lamp Type</t>
  </si>
  <si>
    <t>Mercury Vapor</t>
  </si>
  <si>
    <t>Sodium Vapor</t>
  </si>
  <si>
    <t>Wattage (W)</t>
  </si>
  <si>
    <t>003</t>
  </si>
  <si>
    <t>Sch 51E</t>
  </si>
  <si>
    <t>51E</t>
  </si>
  <si>
    <t>Light Emitting Diode</t>
  </si>
  <si>
    <t>30.01 - 60</t>
  </si>
  <si>
    <t>60.01 - 90</t>
  </si>
  <si>
    <t>90.01 - 120</t>
  </si>
  <si>
    <t>120.01 - 150</t>
  </si>
  <si>
    <t>150.01 - 180</t>
  </si>
  <si>
    <t>180.01 - 210</t>
  </si>
  <si>
    <t>210.01 - 240</t>
  </si>
  <si>
    <t>240.01 - 270</t>
  </si>
  <si>
    <t>270.01 - 300</t>
  </si>
  <si>
    <t xml:space="preserve">52E </t>
  </si>
  <si>
    <t>Metal Halide</t>
  </si>
  <si>
    <t>54E</t>
  </si>
  <si>
    <t>Sch 55 &amp; 56</t>
  </si>
  <si>
    <t>55E &amp; 56E</t>
  </si>
  <si>
    <t>Sch 58 &amp; 59</t>
  </si>
  <si>
    <t>58E &amp; 59E - Directional</t>
  </si>
  <si>
    <t>58E &amp; 59E - Horizontal</t>
  </si>
  <si>
    <t>58E &amp; 59E</t>
  </si>
  <si>
    <t>300.01 - 400</t>
  </si>
  <si>
    <t>400.01 - 500</t>
  </si>
  <si>
    <t>500.01 - 600</t>
  </si>
  <si>
    <t>600.01 - 700</t>
  </si>
  <si>
    <t>700.01 - 800</t>
  </si>
  <si>
    <t>800.01 - 900</t>
  </si>
  <si>
    <t>Sch 57</t>
  </si>
  <si>
    <t>57E</t>
  </si>
  <si>
    <t>Per W charge</t>
  </si>
  <si>
    <t>SC</t>
  </si>
  <si>
    <t>Basic Charge</t>
  </si>
  <si>
    <t>First 600 kWh</t>
  </si>
  <si>
    <t>Over 600 kWh</t>
  </si>
  <si>
    <t>Smart LED</t>
  </si>
  <si>
    <t>0 - 30</t>
  </si>
  <si>
    <t>Subtotal</t>
  </si>
  <si>
    <t>Compact Flourescent</t>
  </si>
  <si>
    <t>50E</t>
  </si>
  <si>
    <t>0-30</t>
  </si>
  <si>
    <t>30 - 60</t>
  </si>
  <si>
    <t>Per kWh - All Lamps</t>
  </si>
  <si>
    <t>53E</t>
  </si>
  <si>
    <t>Total Sales</t>
  </si>
  <si>
    <t>PUGET SOUND ENERGY</t>
  </si>
  <si>
    <t>a</t>
  </si>
  <si>
    <t>c</t>
  </si>
  <si>
    <t>Tariff Reference</t>
  </si>
  <si>
    <t>Line</t>
  </si>
  <si>
    <t>Voltage Level</t>
  </si>
  <si>
    <t>No.</t>
  </si>
  <si>
    <t>Description</t>
  </si>
  <si>
    <t>Bill Determinants</t>
  </si>
  <si>
    <t>Sch 141A</t>
  </si>
  <si>
    <t>b</t>
  </si>
  <si>
    <t>d</t>
  </si>
  <si>
    <t>Residential Service</t>
  </si>
  <si>
    <t>Secondary Voltage</t>
  </si>
  <si>
    <t>Demand &lt;= 50 kW</t>
  </si>
  <si>
    <t>8 / 24</t>
  </si>
  <si>
    <t xml:space="preserve">Excluding Green Direct Load </t>
  </si>
  <si>
    <t>Demand &gt; 50 kW but &lt;= 350 kW</t>
  </si>
  <si>
    <t>7A / 11/ 25 / 29</t>
  </si>
  <si>
    <t>Demand &gt; 350 kW</t>
  </si>
  <si>
    <t>12 / 26 / 26P</t>
  </si>
  <si>
    <t>Subtotal Base Revenue</t>
  </si>
  <si>
    <t>Total Secondary Voltage</t>
  </si>
  <si>
    <t>MYRP Increase</t>
  </si>
  <si>
    <t>Primary Voltage</t>
  </si>
  <si>
    <t>Secondary Voltage Service</t>
  </si>
  <si>
    <t>General Service</t>
  </si>
  <si>
    <t>10 / 31</t>
  </si>
  <si>
    <t>Irrigation</t>
  </si>
  <si>
    <t>Interruptible Total Electric Schools</t>
  </si>
  <si>
    <t>Total Primary Voltage</t>
  </si>
  <si>
    <t>46 / 49</t>
  </si>
  <si>
    <t>Choice / Retail Wheeling / Special Contract</t>
  </si>
  <si>
    <t>449 / 459 / SC</t>
  </si>
  <si>
    <t>7A, 11, 25</t>
  </si>
  <si>
    <t>Lighting</t>
  </si>
  <si>
    <t>Total Jurisdictional Retail Sales</t>
  </si>
  <si>
    <t>Firm Resale</t>
  </si>
  <si>
    <t>12, 26, 26P</t>
  </si>
  <si>
    <t>cross check</t>
  </si>
  <si>
    <t>Primary Voltage Service</t>
  </si>
  <si>
    <t>10, 31</t>
  </si>
  <si>
    <t>High Voltage Service</t>
  </si>
  <si>
    <t>3, 50-59</t>
  </si>
  <si>
    <t>449, 459</t>
  </si>
  <si>
    <t>Sheet No. 141A-A</t>
  </si>
  <si>
    <t>Sheet No. 141A-B</t>
  </si>
  <si>
    <t>Allocation of Revenue Requirement to Rate Schedule 141A</t>
  </si>
  <si>
    <t>Schedule 141A Energy Charge Credit Recovery Adjustment</t>
  </si>
  <si>
    <t xml:space="preserve">cross check </t>
  </si>
  <si>
    <t xml:space="preserve">SCH 141A Total Revenue Requirement </t>
  </si>
  <si>
    <t xml:space="preserve">SCH 139 </t>
  </si>
  <si>
    <t xml:space="preserve">Billed: </t>
  </si>
  <si>
    <t xml:space="preserve">SCH 141A </t>
  </si>
  <si>
    <t xml:space="preserve">SCH 139 Billed + Change in Unbilled: </t>
  </si>
  <si>
    <t xml:space="preserve">SCH 141A Billed + Change in Unbilled: </t>
  </si>
  <si>
    <t xml:space="preserve">Conversion Factor </t>
  </si>
  <si>
    <t>Post Conversion Factor</t>
  </si>
  <si>
    <t>Green Direct Energy Credit (Billed)</t>
  </si>
  <si>
    <t>Energy Chg Credit Recovery Adj  (Billed)</t>
  </si>
  <si>
    <t>Post-Conversion Green Direct Energy Credit (Change in Unbilled)</t>
  </si>
  <si>
    <t>Post-Conversion Energy Chg Credit Recovery Adj (Change in Unbilled)</t>
  </si>
  <si>
    <t>58E &amp; 59E - LED</t>
  </si>
  <si>
    <t>58E &amp; 59E - Horizontal Metal Halide</t>
  </si>
  <si>
    <t>58E &amp; 59E - Directional Metal Halide</t>
  </si>
  <si>
    <t>58E &amp; 59E - Horizontal Sodium Vapor</t>
  </si>
  <si>
    <t>58E &amp; 59E - Directional Sodium Vapor</t>
  </si>
  <si>
    <t>per W charge</t>
  </si>
  <si>
    <t>55E &amp; 56E - LED</t>
  </si>
  <si>
    <t>55E &amp; 56E - Metal Halide</t>
  </si>
  <si>
    <t>55E &amp; 56E - Sodium Vapor</t>
  </si>
  <si>
    <t>Sch 55 &amp; Sch 56</t>
  </si>
  <si>
    <t>54E - LED</t>
  </si>
  <si>
    <t>54E - Sodium Vapor</t>
  </si>
  <si>
    <t>Sch 54</t>
  </si>
  <si>
    <t>per kWh</t>
  </si>
  <si>
    <t>53S - Smart LED</t>
  </si>
  <si>
    <t>53E - LED</t>
  </si>
  <si>
    <t>53E - Metal Halide</t>
  </si>
  <si>
    <t>53E - Sodium Vapor</t>
  </si>
  <si>
    <t>Sch 53</t>
  </si>
  <si>
    <t>52E  - Metal Halide</t>
  </si>
  <si>
    <t>52E  - Sodium Vapor</t>
  </si>
  <si>
    <t>Sch 52</t>
  </si>
  <si>
    <t>51S - Smart LED</t>
  </si>
  <si>
    <t>51E - LED</t>
  </si>
  <si>
    <t>Sch 51</t>
  </si>
  <si>
    <t>50E - Mercury Vapor</t>
  </si>
  <si>
    <t>003 - Compact Flourescent</t>
  </si>
  <si>
    <t>Sch 50</t>
  </si>
  <si>
    <t xml:space="preserve"> </t>
  </si>
  <si>
    <t>Proposed Rates</t>
  </si>
  <si>
    <t>Wattage</t>
  </si>
  <si>
    <t>Schedule &amp; Charge Type</t>
  </si>
  <si>
    <t>Street Lighting Rates</t>
  </si>
  <si>
    <t>Demand</t>
  </si>
  <si>
    <t>Total Retail Sales</t>
  </si>
  <si>
    <t>Special Contracts</t>
  </si>
  <si>
    <t>Choice / Retail Wheeling</t>
  </si>
  <si>
    <t>Interruptible Service</t>
  </si>
  <si>
    <t>High Voltage</t>
  </si>
  <si>
    <t>All Electric Schools</t>
  </si>
  <si>
    <t>Irrigation &amp; Pumping Service</t>
  </si>
  <si>
    <t>Irrigation &amp; Pumping Service: Demand &gt; 50 kW but &lt;= 350 kW</t>
  </si>
  <si>
    <t>Large General Service: Demand &gt; 350 kW</t>
  </si>
  <si>
    <t>Small General Service: Demand &gt; 50 kW but &lt;= 350 kW</t>
  </si>
  <si>
    <t>General Service: Demand &lt;= 50 kW</t>
  </si>
  <si>
    <t>Energy</t>
  </si>
  <si>
    <t>f</t>
  </si>
  <si>
    <t xml:space="preserve">Current Rates </t>
  </si>
  <si>
    <t>Rate Schedule</t>
  </si>
  <si>
    <t xml:space="preserve">Note [1]: Rate for Street Lighting (Sch. 03, 50-59) displayed in energy determinates (kWh). Proposed Lighting tariff rates are detailed on the "Lighting Rates" tab.
</t>
  </si>
  <si>
    <t>Proposed</t>
  </si>
  <si>
    <t>Current</t>
  </si>
  <si>
    <t>Current Bill</t>
  </si>
  <si>
    <t>Pass-Thru Trackers</t>
  </si>
  <si>
    <t>Typical Residential Bill at 800 kWh</t>
  </si>
  <si>
    <t>Residential Bill Impacts</t>
  </si>
  <si>
    <t>08 (24) (324)</t>
  </si>
  <si>
    <t>7 (307) (317) (327)</t>
  </si>
  <si>
    <t>g = f / d</t>
  </si>
  <si>
    <t>f = e - d</t>
  </si>
  <si>
    <t>e = a * (c - b) + d</t>
  </si>
  <si>
    <t>Projected Rate-Year
Revenue Impacts
from Proposed Rate Changes</t>
  </si>
  <si>
    <t>Total Projected Revenue
@ Proposed Rates</t>
  </si>
  <si>
    <t>Total Projected Revenue
 @ Current Rates</t>
  </si>
  <si>
    <t>Proposed Rate</t>
  </si>
  <si>
    <r>
      <t xml:space="preserve">Current Rate </t>
    </r>
    <r>
      <rPr>
        <b/>
        <vertAlign val="superscript"/>
        <sz val="8"/>
        <rFont val="Arial"/>
        <family val="2"/>
      </rPr>
      <t>[2]</t>
    </r>
  </si>
  <si>
    <t>Customer Class</t>
  </si>
  <si>
    <t>Projected Schedule Revenue Impacts of Rate Change by Forecasted Energy</t>
  </si>
  <si>
    <t>Note [2]: Utilizes lamp inventory from February 2024</t>
  </si>
  <si>
    <t>Note [1]: Utilizes the allocation factor as approved in the Lighting COS Model from the 2022 GRC (Docket No. UE-220066).</t>
  </si>
  <si>
    <t>Scaling Factor [SF]</t>
  </si>
  <si>
    <t>Variance</t>
  </si>
  <si>
    <t>Lighting Allocation of Revenue Requirement</t>
  </si>
  <si>
    <t>Proposed Lighting Revenue</t>
  </si>
  <si>
    <t>53S</t>
  </si>
  <si>
    <t>51S</t>
  </si>
  <si>
    <t>g = e * f</t>
  </si>
  <si>
    <t>e</t>
  </si>
  <si>
    <t>Proposed Lamp Revenue</t>
  </si>
  <si>
    <r>
      <t>Lamp Inventory (Annualized)</t>
    </r>
    <r>
      <rPr>
        <b/>
        <vertAlign val="superscript"/>
        <sz val="8"/>
        <rFont val="Arial"/>
        <family val="2"/>
      </rPr>
      <t xml:space="preserve"> [2]</t>
    </r>
  </si>
  <si>
    <t>Proposed Lamp Charge</t>
  </si>
  <si>
    <r>
      <t>Combined Energy &amp; Demand Allocation</t>
    </r>
    <r>
      <rPr>
        <b/>
        <vertAlign val="superscript"/>
        <sz val="8"/>
        <rFont val="Arial"/>
        <family val="2"/>
      </rPr>
      <t xml:space="preserve"> [1]</t>
    </r>
  </si>
  <si>
    <t>Lamp Level Rate Design</t>
  </si>
  <si>
    <t>Forecasted Rate Year End Date</t>
  </si>
  <si>
    <t>Forecasted Rate Year Start Date</t>
  </si>
  <si>
    <t>F2024</t>
  </si>
  <si>
    <t>Budget Forecast</t>
  </si>
  <si>
    <t>Proposed Rider Rate Effective Start Date</t>
  </si>
  <si>
    <t>Note [2]: Ref. UE-230825</t>
  </si>
  <si>
    <t>YE 2025</t>
  </si>
  <si>
    <r>
      <rPr>
        <b/>
        <sz val="8"/>
        <color rgb="FF0033CC"/>
        <rFont val="Arial"/>
        <family val="2"/>
      </rPr>
      <t>MYRP 2025</t>
    </r>
    <r>
      <rPr>
        <b/>
        <sz val="8"/>
        <rFont val="Arial"/>
        <family val="2"/>
      </rPr>
      <t xml:space="preserve"> Increase</t>
    </r>
  </si>
  <si>
    <t>Green Direct Credit (SCH 139) Proposed MYRP 2025</t>
  </si>
  <si>
    <t>Energy Allocation Factor_3 (Note 1)</t>
  </si>
  <si>
    <t>Green Direct kWhs Load (Note 2)</t>
  </si>
  <si>
    <t>F2024 2025 Load</t>
  </si>
  <si>
    <t>Note 1: Utilizes the allocation factor as approved in the ECOS Model from the 2022 GRC (Docket No. UE-220066).</t>
  </si>
  <si>
    <r>
      <t xml:space="preserve">Lighting </t>
    </r>
    <r>
      <rPr>
        <b/>
        <vertAlign val="superscript"/>
        <sz val="8"/>
        <rFont val="Arial"/>
        <family val="2"/>
      </rPr>
      <t>[1]</t>
    </r>
  </si>
  <si>
    <t>141A True-up Period (12-months)</t>
  </si>
  <si>
    <t>September 2023 - August 2024</t>
  </si>
  <si>
    <t>Sheet No. 141A-C</t>
  </si>
  <si>
    <t>Sheet No. 141A-D</t>
  </si>
  <si>
    <t>Sheet No. 141A-E</t>
  </si>
  <si>
    <t>Sheet No. 141A-F</t>
  </si>
  <si>
    <t>Sheet No. 141A-G</t>
  </si>
  <si>
    <t>Sheet No. 141A-H</t>
  </si>
  <si>
    <t>Sheet No. 141A-I</t>
  </si>
  <si>
    <t>Sch 141A Tariff Reference</t>
  </si>
  <si>
    <t>See "Lighting Rates" tab</t>
  </si>
  <si>
    <t>SAP 141A Deferral Balance</t>
  </si>
  <si>
    <t>141A Deferral Balance (Pre-conversion): Difference between SCH 139 and SCH 141A</t>
  </si>
  <si>
    <t>141A Deferral Balance (Post-conversion): SCH 141A True-up</t>
  </si>
  <si>
    <t>Note 2:  Utilizes Green Direct load actuals as approved in the 2022 GRC filing (Docket No. UE-220066).</t>
  </si>
  <si>
    <t>7A (11) (25)</t>
  </si>
  <si>
    <t>12 (26) (26P)</t>
  </si>
  <si>
    <t>10 (31)</t>
  </si>
  <si>
    <t>448 - 459</t>
  </si>
  <si>
    <t>Special Contract</t>
  </si>
  <si>
    <t>50 - 59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</si>
</sst>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&quot;$&quot;* #,##0.000000_);_(&quot;$&quot;* \(#,##0.000000\);_(&quot;$&quot;* &quot;-&quot;??_);_(@_)"/>
    <numFmt numFmtId="167" formatCode="0.000000"/>
    <numFmt numFmtId="168" formatCode="_(&quot;$&quot;* #,##0.00000_);_(&quot;$&quot;* \(#,##0.00000\);_(&quot;$&quot;* &quot;-&quot;??_);_(@_)"/>
    <numFmt numFmtId="169" formatCode="_(* #,##0.000000_);_(* \(#,##0.000000\);_(* &quot;-&quot;??_);_(@_)"/>
    <numFmt numFmtId="170" formatCode="#,##0&quot;  kWh&quot;"/>
    <numFmt numFmtId="171" formatCode="m/d/yy;@"/>
  </numFmts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sz val="8"/>
      <color rgb="FF0000FF"/>
      <name val="Arial"/>
      <family val="2"/>
    </font>
    <font>
      <b/>
      <sz val="8"/>
      <color rgb="FF008080"/>
      <name val="Arial"/>
      <family val="2"/>
    </font>
    <font>
      <sz val="8"/>
      <color rgb="FF008080"/>
      <name val="Arial"/>
      <family val="2"/>
    </font>
    <font>
      <b/>
      <sz val="8"/>
      <color rgb="FF0033CC"/>
      <name val="Arial"/>
      <family val="2"/>
    </font>
    <font>
      <sz val="12"/>
      <name val="Times New Roman"/>
      <family val="1"/>
    </font>
    <font>
      <b/>
      <i/>
      <sz val="8"/>
      <color rgb="FF0000FF"/>
      <name val="Arial"/>
      <family val="2"/>
    </font>
    <font>
      <b/>
      <u/>
      <sz val="8"/>
      <color theme="1"/>
      <name val="Arial"/>
      <family val="2"/>
    </font>
    <font>
      <sz val="10"/>
      <name val="Arial"/>
      <family val="2"/>
    </font>
    <font>
      <sz val="8"/>
      <color rgb="FF0033CC"/>
      <name val="Arial"/>
      <family val="2"/>
    </font>
    <font>
      <b/>
      <sz val="8"/>
      <color rgb="FF0000FF"/>
      <name val="Arial"/>
      <family val="2"/>
    </font>
    <font>
      <sz val="11"/>
      <color rgb="FF0033CC"/>
      <name val="Calibri"/>
      <family val="2"/>
      <scheme val="minor"/>
    </font>
    <font>
      <b/>
      <sz val="11"/>
      <color rgb="FF008080"/>
      <name val="Calibri"/>
      <family val="2"/>
      <scheme val="minor"/>
    </font>
    <font>
      <sz val="12"/>
      <name val="Times New Roman"/>
      <family val="1"/>
    </font>
    <font>
      <u/>
      <sz val="8"/>
      <name val="Arial"/>
      <family val="2"/>
    </font>
    <font>
      <sz val="12"/>
      <name val="Times New Roman"/>
    </font>
    <font>
      <b/>
      <u/>
      <sz val="8"/>
      <name val="Arial"/>
      <family val="2"/>
    </font>
    <font>
      <sz val="8"/>
      <color rgb="FF006666"/>
      <name val="Arial"/>
      <family val="2"/>
    </font>
    <font>
      <b/>
      <i/>
      <sz val="8"/>
      <color rgb="FF008080"/>
      <name val="Arial"/>
      <family val="2"/>
    </font>
    <font>
      <b/>
      <u val="singleAccounting"/>
      <sz val="8"/>
      <name val="Arial"/>
      <family val="2"/>
    </font>
    <font>
      <sz val="10"/>
      <name val="Arial"/>
    </font>
    <font>
      <sz val="8"/>
      <color theme="0" tint="-0.499984740745262"/>
      <name val="Arial"/>
      <family val="2"/>
    </font>
    <font>
      <u/>
      <sz val="8"/>
      <color theme="0" tint="-0.499984740745262"/>
      <name val="Arial"/>
      <family val="2"/>
    </font>
    <font>
      <u val="singleAccounting"/>
      <sz val="8"/>
      <name val="Arial"/>
      <family val="2"/>
    </font>
    <font>
      <b/>
      <vertAlign val="superscript"/>
      <sz val="8"/>
      <name val="Arial"/>
      <family val="2"/>
    </font>
    <font>
      <u val="singleAccounting"/>
      <sz val="8"/>
      <color rgb="FF0033CC"/>
      <name val="Arial"/>
      <family val="2"/>
    </font>
    <font>
      <u val="singleAccounting"/>
      <sz val="8"/>
      <color rgb="FF00808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</borders>
  <cellStyleXfs count="22">
    <xf numFmtId="0" fontId="0" fillId="0" borderId="0"/>
    <xf numFmtId="167" fontId="3" fillId="0" borderId="0">
      <alignment horizontal="left" wrapText="1"/>
    </xf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7" fontId="1" fillId="0" borderId="0">
      <alignment horizontal="left" wrapText="1"/>
    </xf>
    <xf numFmtId="9" fontId="1" fillId="0" borderId="0" applyFont="0" applyFill="0" applyBorder="0" applyAlignment="0" applyProtection="0"/>
    <xf numFmtId="0" fontId="14" fillId="0" borderId="0"/>
    <xf numFmtId="0" fontId="17" fillId="0" borderId="0"/>
    <xf numFmtId="0" fontId="2" fillId="0" borderId="0"/>
    <xf numFmtId="0" fontId="22" fillId="0" borderId="0"/>
    <xf numFmtId="44" fontId="14" fillId="0" borderId="0" applyFont="0" applyFill="0" applyBorder="0" applyAlignment="0" applyProtection="0"/>
    <xf numFmtId="0" fontId="24" fillId="0" borderId="0"/>
    <xf numFmtId="43" fontId="14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9" fillId="0" borderId="0"/>
    <xf numFmtId="0" fontId="14" fillId="0" borderId="0"/>
  </cellStyleXfs>
  <cellXfs count="350">
    <xf numFmtId="0" fontId="0" fillId="0" borderId="0" xfId="0"/>
    <xf numFmtId="0" fontId="7" fillId="0" borderId="0" xfId="0" applyFont="1"/>
    <xf numFmtId="0" fontId="4" fillId="0" borderId="0" xfId="5" applyFont="1" applyAlignment="1">
      <alignment horizontal="centerContinuous" vertical="center"/>
    </xf>
    <xf numFmtId="0" fontId="5" fillId="0" borderId="0" xfId="5" applyFont="1" applyAlignment="1">
      <alignment horizontal="centerContinuous" vertical="center"/>
    </xf>
    <xf numFmtId="0" fontId="5" fillId="0" borderId="0" xfId="5" applyFont="1"/>
    <xf numFmtId="0" fontId="5" fillId="0" borderId="0" xfId="5" quotePrefix="1" applyFont="1" applyAlignment="1">
      <alignment horizontal="left"/>
    </xf>
    <xf numFmtId="0" fontId="5" fillId="0" borderId="0" xfId="5" applyFont="1" applyAlignment="1">
      <alignment horizontal="left"/>
    </xf>
    <xf numFmtId="0" fontId="5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horizontal="center"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Continuous" wrapText="1"/>
    </xf>
    <xf numFmtId="0" fontId="5" fillId="0" borderId="0" xfId="5" quotePrefix="1" applyFont="1" applyAlignment="1">
      <alignment horizontal="center"/>
    </xf>
    <xf numFmtId="0" fontId="5" fillId="0" borderId="0" xfId="5" applyFont="1" applyAlignment="1">
      <alignment horizontal="center"/>
    </xf>
    <xf numFmtId="164" fontId="5" fillId="0" borderId="0" xfId="5" applyNumberFormat="1" applyFont="1"/>
    <xf numFmtId="0" fontId="5" fillId="0" borderId="0" xfId="14" applyFont="1"/>
    <xf numFmtId="0" fontId="5" fillId="0" borderId="0" xfId="14" applyFont="1" applyAlignment="1">
      <alignment horizontal="center"/>
    </xf>
    <xf numFmtId="0" fontId="4" fillId="0" borderId="16" xfId="14" applyFont="1" applyBorder="1" applyAlignment="1">
      <alignment horizontal="center" wrapText="1"/>
    </xf>
    <xf numFmtId="0" fontId="4" fillId="0" borderId="12" xfId="14" applyFont="1" applyBorder="1" applyAlignment="1">
      <alignment horizontal="center" wrapText="1"/>
    </xf>
    <xf numFmtId="0" fontId="5" fillId="0" borderId="17" xfId="14" applyFont="1" applyBorder="1" applyAlignment="1">
      <alignment horizontal="center" wrapText="1"/>
    </xf>
    <xf numFmtId="0" fontId="4" fillId="0" borderId="17" xfId="14" quotePrefix="1" applyFont="1" applyBorder="1" applyAlignment="1">
      <alignment horizontal="center" wrapText="1"/>
    </xf>
    <xf numFmtId="0" fontId="5" fillId="0" borderId="0" xfId="14" applyFont="1" applyAlignment="1">
      <alignment wrapText="1"/>
    </xf>
    <xf numFmtId="0" fontId="5" fillId="0" borderId="0" xfId="14" quotePrefix="1" applyFont="1"/>
    <xf numFmtId="0" fontId="5" fillId="0" borderId="0" xfId="14" quotePrefix="1" applyFont="1" applyAlignment="1">
      <alignment horizontal="center"/>
    </xf>
    <xf numFmtId="0" fontId="5" fillId="0" borderId="8" xfId="14" applyFont="1" applyBorder="1" applyAlignment="1">
      <alignment horizontal="center" vertical="top" wrapText="1"/>
    </xf>
    <xf numFmtId="0" fontId="5" fillId="0" borderId="6" xfId="14" applyFont="1" applyBorder="1"/>
    <xf numFmtId="0" fontId="25" fillId="0" borderId="0" xfId="14" quotePrefix="1" applyFont="1" applyAlignment="1">
      <alignment horizontal="left"/>
    </xf>
    <xf numFmtId="0" fontId="5" fillId="0" borderId="8" xfId="14" applyFont="1" applyBorder="1" applyAlignment="1">
      <alignment horizontal="center" wrapText="1"/>
    </xf>
    <xf numFmtId="0" fontId="5" fillId="0" borderId="0" xfId="14" applyFont="1" applyAlignment="1">
      <alignment horizontal="left" indent="1"/>
    </xf>
    <xf numFmtId="164" fontId="5" fillId="0" borderId="0" xfId="14" applyNumberFormat="1" applyFont="1"/>
    <xf numFmtId="165" fontId="5" fillId="0" borderId="0" xfId="14" applyNumberFormat="1" applyFont="1"/>
    <xf numFmtId="0" fontId="5" fillId="0" borderId="0" xfId="14" quotePrefix="1" applyFont="1" applyAlignment="1">
      <alignment horizontal="left" indent="2"/>
    </xf>
    <xf numFmtId="166" fontId="5" fillId="0" borderId="0" xfId="14" applyNumberFormat="1" applyFont="1"/>
    <xf numFmtId="44" fontId="5" fillId="0" borderId="0" xfId="14" applyNumberFormat="1" applyFont="1"/>
    <xf numFmtId="0" fontId="15" fillId="0" borderId="0" xfId="14" applyFont="1"/>
    <xf numFmtId="0" fontId="5" fillId="0" borderId="0" xfId="14" applyFont="1" applyAlignment="1">
      <alignment horizontal="left" indent="3"/>
    </xf>
    <xf numFmtId="165" fontId="5" fillId="0" borderId="3" xfId="14" applyNumberFormat="1" applyFont="1" applyBorder="1"/>
    <xf numFmtId="0" fontId="5" fillId="0" borderId="0" xfId="14" quotePrefix="1" applyFont="1" applyAlignment="1">
      <alignment horizontal="left"/>
    </xf>
    <xf numFmtId="0" fontId="5" fillId="0" borderId="0" xfId="14" applyFont="1" applyAlignment="1">
      <alignment horizontal="left" indent="4"/>
    </xf>
    <xf numFmtId="165" fontId="6" fillId="0" borderId="0" xfId="14" applyNumberFormat="1" applyFont="1"/>
    <xf numFmtId="0" fontId="5" fillId="0" borderId="0" xfId="14" applyFont="1" applyAlignment="1">
      <alignment horizontal="left" indent="5"/>
    </xf>
    <xf numFmtId="0" fontId="5" fillId="0" borderId="8" xfId="14" applyFont="1" applyBorder="1"/>
    <xf numFmtId="41" fontId="12" fillId="0" borderId="0" xfId="14" applyNumberFormat="1" applyFont="1"/>
    <xf numFmtId="0" fontId="6" fillId="0" borderId="0" xfId="14" applyFont="1"/>
    <xf numFmtId="165" fontId="6" fillId="0" borderId="6" xfId="14" applyNumberFormat="1" applyFont="1" applyBorder="1"/>
    <xf numFmtId="0" fontId="5" fillId="0" borderId="9" xfId="14" applyFont="1" applyBorder="1"/>
    <xf numFmtId="0" fontId="4" fillId="0" borderId="11" xfId="14" applyFont="1" applyBorder="1"/>
    <xf numFmtId="0" fontId="5" fillId="0" borderId="11" xfId="14" applyFont="1" applyBorder="1"/>
    <xf numFmtId="165" fontId="6" fillId="0" borderId="5" xfId="14" applyNumberFormat="1" applyFont="1" applyBorder="1"/>
    <xf numFmtId="0" fontId="5" fillId="0" borderId="0" xfId="14" quotePrefix="1" applyFont="1" applyAlignment="1">
      <alignment horizontal="left" indent="5"/>
    </xf>
    <xf numFmtId="0" fontId="26" fillId="0" borderId="0" xfId="14" applyFont="1"/>
    <xf numFmtId="164" fontId="5" fillId="0" borderId="0" xfId="15" applyNumberFormat="1" applyFont="1" applyFill="1"/>
    <xf numFmtId="0" fontId="6" fillId="0" borderId="0" xfId="14" applyFont="1" applyAlignment="1">
      <alignment horizontal="center"/>
    </xf>
    <xf numFmtId="0" fontId="5" fillId="0" borderId="0" xfId="14" applyFont="1" applyBorder="1" applyAlignment="1">
      <alignment horizontal="left" vertical="top" wrapText="1"/>
    </xf>
    <xf numFmtId="0" fontId="5" fillId="0" borderId="0" xfId="14" applyFont="1" applyBorder="1" applyAlignment="1">
      <alignment horizontal="center" vertical="top" wrapText="1"/>
    </xf>
    <xf numFmtId="0" fontId="5" fillId="0" borderId="0" xfId="14" applyFont="1" applyBorder="1"/>
    <xf numFmtId="0" fontId="5" fillId="0" borderId="0" xfId="14" applyFont="1" applyBorder="1" applyAlignment="1">
      <alignment horizontal="left"/>
    </xf>
    <xf numFmtId="0" fontId="5" fillId="0" borderId="0" xfId="14" applyFont="1" applyBorder="1" applyAlignment="1">
      <alignment horizontal="center"/>
    </xf>
    <xf numFmtId="44" fontId="5" fillId="0" borderId="14" xfId="14" applyNumberFormat="1" applyFont="1" applyBorder="1"/>
    <xf numFmtId="165" fontId="5" fillId="0" borderId="6" xfId="14" applyNumberFormat="1" applyFont="1" applyBorder="1"/>
    <xf numFmtId="0" fontId="5" fillId="0" borderId="0" xfId="14" quotePrefix="1" applyFont="1" applyBorder="1" applyAlignment="1">
      <alignment horizontal="left" indent="1"/>
    </xf>
    <xf numFmtId="0" fontId="5" fillId="0" borderId="0" xfId="14" quotePrefix="1" applyFont="1" applyBorder="1" applyAlignment="1">
      <alignment horizontal="center"/>
    </xf>
    <xf numFmtId="44" fontId="5" fillId="0" borderId="6" xfId="14" applyNumberFormat="1" applyFont="1" applyBorder="1"/>
    <xf numFmtId="0" fontId="5" fillId="0" borderId="0" xfId="14" quotePrefix="1" applyFont="1" applyBorder="1" applyAlignment="1">
      <alignment horizontal="left"/>
    </xf>
    <xf numFmtId="165" fontId="5" fillId="0" borderId="14" xfId="14" applyNumberFormat="1" applyFont="1" applyBorder="1"/>
    <xf numFmtId="0" fontId="5" fillId="0" borderId="0" xfId="14" applyFont="1" applyBorder="1" applyAlignment="1">
      <alignment horizontal="left" indent="1"/>
    </xf>
    <xf numFmtId="165" fontId="5" fillId="0" borderId="15" xfId="14" applyNumberFormat="1" applyFont="1" applyBorder="1"/>
    <xf numFmtId="165" fontId="5" fillId="0" borderId="0" xfId="14" applyNumberFormat="1" applyFont="1" applyBorder="1"/>
    <xf numFmtId="0" fontId="5" fillId="0" borderId="0" xfId="14" applyFont="1" applyBorder="1" applyAlignment="1">
      <alignment horizontal="right"/>
    </xf>
    <xf numFmtId="0" fontId="27" fillId="0" borderId="6" xfId="14" applyFont="1" applyBorder="1"/>
    <xf numFmtId="41" fontId="12" fillId="0" borderId="6" xfId="14" applyNumberFormat="1" applyFont="1" applyBorder="1"/>
    <xf numFmtId="0" fontId="6" fillId="0" borderId="0" xfId="14" applyFont="1" applyBorder="1"/>
    <xf numFmtId="44" fontId="5" fillId="0" borderId="18" xfId="14" applyNumberFormat="1" applyFont="1" applyBorder="1"/>
    <xf numFmtId="165" fontId="5" fillId="0" borderId="18" xfId="14" applyNumberFormat="1" applyFont="1" applyBorder="1"/>
    <xf numFmtId="165" fontId="5" fillId="0" borderId="10" xfId="14" applyNumberFormat="1" applyFont="1" applyBorder="1"/>
    <xf numFmtId="165" fontId="5" fillId="0" borderId="20" xfId="14" applyNumberFormat="1" applyFont="1" applyBorder="1"/>
    <xf numFmtId="0" fontId="4" fillId="0" borderId="13" xfId="14" applyFont="1" applyBorder="1" applyAlignment="1">
      <alignment horizontal="center" vertical="top" wrapText="1"/>
    </xf>
    <xf numFmtId="0" fontId="4" fillId="0" borderId="2" xfId="14" applyFont="1" applyBorder="1" applyAlignment="1">
      <alignment horizontal="left" vertical="top" wrapText="1"/>
    </xf>
    <xf numFmtId="0" fontId="4" fillId="0" borderId="2" xfId="14" applyFont="1" applyBorder="1" applyAlignment="1">
      <alignment horizontal="center" vertical="top" wrapText="1"/>
    </xf>
    <xf numFmtId="0" fontId="4" fillId="0" borderId="2" xfId="14" quotePrefix="1" applyFont="1" applyBorder="1" applyAlignment="1">
      <alignment horizontal="center" wrapText="1"/>
    </xf>
    <xf numFmtId="0" fontId="4" fillId="0" borderId="2" xfId="14" applyFont="1" applyBorder="1"/>
    <xf numFmtId="0" fontId="4" fillId="0" borderId="14" xfId="14" quotePrefix="1" applyFont="1" applyBorder="1" applyAlignment="1">
      <alignment horizontal="center" wrapText="1"/>
    </xf>
    <xf numFmtId="0" fontId="8" fillId="0" borderId="0" xfId="0" applyFont="1" applyAlignment="1">
      <alignment horizontal="left"/>
    </xf>
    <xf numFmtId="0" fontId="16" fillId="0" borderId="0" xfId="0" applyFont="1"/>
    <xf numFmtId="165" fontId="8" fillId="0" borderId="3" xfId="0" applyNumberFormat="1" applyFont="1" applyBorder="1"/>
    <xf numFmtId="165" fontId="8" fillId="0" borderId="0" xfId="0" applyNumberFormat="1" applyFont="1"/>
    <xf numFmtId="165" fontId="8" fillId="0" borderId="0" xfId="0" applyNumberFormat="1" applyFont="1" applyAlignment="1">
      <alignment horizontal="right"/>
    </xf>
    <xf numFmtId="165" fontId="8" fillId="0" borderId="0" xfId="0" applyNumberFormat="1" applyFont="1" applyBorder="1"/>
    <xf numFmtId="0" fontId="8" fillId="0" borderId="0" xfId="0" applyFont="1" applyBorder="1" applyAlignment="1">
      <alignment horizontal="center" wrapText="1"/>
    </xf>
    <xf numFmtId="0" fontId="7" fillId="0" borderId="0" xfId="0" applyFont="1" applyFill="1" applyBorder="1"/>
    <xf numFmtId="0" fontId="7" fillId="0" borderId="0" xfId="0" applyFont="1" applyFill="1"/>
    <xf numFmtId="165" fontId="7" fillId="0" borderId="0" xfId="18" applyNumberFormat="1" applyFont="1" applyFill="1"/>
    <xf numFmtId="165" fontId="12" fillId="0" borderId="0" xfId="18" applyNumberFormat="1" applyFont="1" applyFill="1" applyBorder="1"/>
    <xf numFmtId="0" fontId="5" fillId="0" borderId="0" xfId="0" applyFont="1" applyFill="1" applyProtection="1">
      <protection locked="0"/>
    </xf>
    <xf numFmtId="0" fontId="5" fillId="0" borderId="0" xfId="19" applyFont="1" applyFill="1"/>
    <xf numFmtId="166" fontId="12" fillId="0" borderId="0" xfId="18" applyNumberFormat="1" applyFont="1" applyFill="1" applyBorder="1"/>
    <xf numFmtId="166" fontId="5" fillId="0" borderId="0" xfId="18" applyNumberFormat="1" applyFont="1" applyFill="1" applyBorder="1"/>
    <xf numFmtId="165" fontId="4" fillId="0" borderId="0" xfId="19" applyNumberFormat="1" applyFont="1" applyBorder="1"/>
    <xf numFmtId="165" fontId="4" fillId="0" borderId="4" xfId="19" applyNumberFormat="1" applyFont="1" applyBorder="1"/>
    <xf numFmtId="0" fontId="4" fillId="0" borderId="12" xfId="14" quotePrefix="1" applyFont="1" applyBorder="1" applyAlignment="1">
      <alignment horizontal="center" wrapText="1"/>
    </xf>
    <xf numFmtId="0" fontId="4" fillId="0" borderId="7" xfId="14" quotePrefix="1" applyFont="1" applyBorder="1" applyAlignment="1">
      <alignment horizontal="center" wrapText="1"/>
    </xf>
    <xf numFmtId="0" fontId="5" fillId="0" borderId="0" xfId="5" applyFont="1" applyAlignment="1">
      <alignment vertical="top"/>
    </xf>
    <xf numFmtId="0" fontId="5" fillId="0" borderId="0" xfId="5" applyFont="1" applyAlignment="1">
      <alignment horizontal="center" vertical="center" wrapText="1"/>
    </xf>
    <xf numFmtId="44" fontId="12" fillId="0" borderId="0" xfId="5" applyNumberFormat="1" applyFont="1"/>
    <xf numFmtId="164" fontId="5" fillId="0" borderId="0" xfId="5" applyNumberFormat="1" applyFont="1" applyAlignment="1">
      <alignment horizontal="center"/>
    </xf>
    <xf numFmtId="164" fontId="5" fillId="0" borderId="0" xfId="5" quotePrefix="1" applyNumberFormat="1" applyFont="1" applyAlignment="1">
      <alignment horizontal="center"/>
    </xf>
    <xf numFmtId="0" fontId="18" fillId="0" borderId="0" xfId="5" quotePrefix="1" applyFont="1" applyAlignment="1">
      <alignment horizontal="center"/>
    </xf>
    <xf numFmtId="0" fontId="18" fillId="0" borderId="0" xfId="5" applyFont="1" applyAlignment="1">
      <alignment horizontal="center"/>
    </xf>
    <xf numFmtId="164" fontId="5" fillId="0" borderId="0" xfId="5" applyNumberFormat="1" applyFont="1" applyAlignment="1">
      <alignment horizontal="left"/>
    </xf>
    <xf numFmtId="44" fontId="28" fillId="0" borderId="0" xfId="5" applyNumberFormat="1" applyFont="1"/>
    <xf numFmtId="168" fontId="12" fillId="0" borderId="0" xfId="5" applyNumberFormat="1" applyFont="1"/>
    <xf numFmtId="166" fontId="12" fillId="0" borderId="0" xfId="5" applyNumberFormat="1" applyFont="1"/>
    <xf numFmtId="0" fontId="5" fillId="0" borderId="0" xfId="5" quotePrefix="1" applyFont="1" applyAlignment="1">
      <alignment horizontal="center" wrapText="1"/>
    </xf>
    <xf numFmtId="0" fontId="4" fillId="0" borderId="19" xfId="5" applyFont="1" applyBorder="1" applyAlignment="1">
      <alignment horizontal="center" wrapText="1"/>
    </xf>
    <xf numFmtId="0" fontId="8" fillId="0" borderId="19" xfId="5" quotePrefix="1" applyFont="1" applyBorder="1" applyAlignment="1">
      <alignment horizontal="center" wrapText="1"/>
    </xf>
    <xf numFmtId="0" fontId="4" fillId="0" borderId="19" xfId="5" applyFont="1" applyBorder="1" applyAlignment="1">
      <alignment horizontal="centerContinuous" wrapText="1"/>
    </xf>
    <xf numFmtId="0" fontId="4" fillId="0" borderId="19" xfId="5" applyFont="1" applyBorder="1" applyAlignment="1">
      <alignment horizontal="center"/>
    </xf>
    <xf numFmtId="0" fontId="19" fillId="0" borderId="0" xfId="5" applyFont="1" applyAlignment="1">
      <alignment horizontal="centerContinuous" vertical="center"/>
    </xf>
    <xf numFmtId="0" fontId="10" fillId="0" borderId="0" xfId="5" applyFont="1" applyAlignment="1">
      <alignment horizontal="centerContinuous" vertical="center"/>
    </xf>
    <xf numFmtId="0" fontId="5" fillId="0" borderId="0" xfId="20" applyFont="1"/>
    <xf numFmtId="0" fontId="5" fillId="0" borderId="0" xfId="20" applyFont="1" applyAlignment="1">
      <alignment vertical="top"/>
    </xf>
    <xf numFmtId="0" fontId="5" fillId="0" borderId="0" xfId="20" applyFont="1" applyAlignment="1">
      <alignment horizontal="center" vertical="center"/>
    </xf>
    <xf numFmtId="166" fontId="30" fillId="0" borderId="3" xfId="20" applyNumberFormat="1" applyFont="1" applyBorder="1"/>
    <xf numFmtId="0" fontId="30" fillId="0" borderId="0" xfId="20" quotePrefix="1" applyFont="1" applyAlignment="1">
      <alignment horizontal="left"/>
    </xf>
    <xf numFmtId="0" fontId="5" fillId="0" borderId="0" xfId="20" applyFont="1" applyAlignment="1">
      <alignment horizontal="left"/>
    </xf>
    <xf numFmtId="166" fontId="30" fillId="0" borderId="0" xfId="20" applyNumberFormat="1" applyFont="1"/>
    <xf numFmtId="0" fontId="30" fillId="0" borderId="0" xfId="20" applyFont="1" applyAlignment="1">
      <alignment horizontal="left"/>
    </xf>
    <xf numFmtId="0" fontId="5" fillId="0" borderId="0" xfId="20" applyFont="1" applyAlignment="1">
      <alignment horizontal="left" vertical="center"/>
    </xf>
    <xf numFmtId="44" fontId="30" fillId="0" borderId="0" xfId="20" applyNumberFormat="1" applyFont="1"/>
    <xf numFmtId="0" fontId="30" fillId="0" borderId="0" xfId="20" applyFont="1" applyAlignment="1">
      <alignment horizontal="center"/>
    </xf>
    <xf numFmtId="44" fontId="30" fillId="0" borderId="2" xfId="20" applyNumberFormat="1" applyFont="1" applyBorder="1"/>
    <xf numFmtId="0" fontId="30" fillId="0" borderId="0" xfId="20" quotePrefix="1" applyFont="1" applyAlignment="1">
      <alignment horizontal="center"/>
    </xf>
    <xf numFmtId="0" fontId="5" fillId="0" borderId="0" xfId="20" quotePrefix="1" applyFont="1" applyAlignment="1">
      <alignment horizontal="left"/>
    </xf>
    <xf numFmtId="44" fontId="12" fillId="0" borderId="0" xfId="20" applyNumberFormat="1" applyFont="1"/>
    <xf numFmtId="0" fontId="5" fillId="0" borderId="0" xfId="20" applyFont="1" applyAlignment="1">
      <alignment horizontal="center"/>
    </xf>
    <xf numFmtId="0" fontId="5" fillId="0" borderId="0" xfId="20" applyFont="1" applyAlignment="1">
      <alignment horizontal="left" vertical="center" indent="1"/>
    </xf>
    <xf numFmtId="0" fontId="5" fillId="0" borderId="0" xfId="20" quotePrefix="1" applyFont="1" applyAlignment="1">
      <alignment horizontal="center"/>
    </xf>
    <xf numFmtId="44" fontId="12" fillId="0" borderId="2" xfId="20" applyNumberFormat="1" applyFont="1" applyBorder="1"/>
    <xf numFmtId="0" fontId="30" fillId="0" borderId="0" xfId="20" applyFont="1"/>
    <xf numFmtId="0" fontId="31" fillId="0" borderId="0" xfId="20" applyFont="1" applyAlignment="1">
      <alignment horizontal="left" wrapText="1"/>
    </xf>
    <xf numFmtId="0" fontId="23" fillId="0" borderId="0" xfId="20" applyFont="1" applyAlignment="1">
      <alignment horizontal="left" wrapText="1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vertical="center"/>
    </xf>
    <xf numFmtId="0" fontId="18" fillId="0" borderId="0" xfId="20" applyFont="1" applyAlignment="1">
      <alignment horizontal="center"/>
    </xf>
    <xf numFmtId="166" fontId="12" fillId="0" borderId="0" xfId="20" applyNumberFormat="1" applyFont="1"/>
    <xf numFmtId="0" fontId="12" fillId="0" borderId="0" xfId="20" applyFont="1" applyAlignment="1">
      <alignment horizontal="center"/>
    </xf>
    <xf numFmtId="166" fontId="12" fillId="0" borderId="2" xfId="20" applyNumberFormat="1" applyFont="1" applyBorder="1"/>
    <xf numFmtId="0" fontId="12" fillId="0" borderId="0" xfId="20" quotePrefix="1" applyFont="1" applyAlignment="1">
      <alignment horizontal="center"/>
    </xf>
    <xf numFmtId="166" fontId="12" fillId="0" borderId="0" xfId="20" applyNumberFormat="1" applyFont="1" applyAlignment="1">
      <alignment horizontal="center"/>
    </xf>
    <xf numFmtId="0" fontId="12" fillId="0" borderId="0" xfId="9" quotePrefix="1" applyFont="1" applyAlignment="1">
      <alignment horizontal="left"/>
    </xf>
    <xf numFmtId="0" fontId="12" fillId="0" borderId="0" xfId="0" applyFont="1" applyAlignment="1">
      <alignment horizontal="left" vertical="center" indent="1"/>
    </xf>
    <xf numFmtId="0" fontId="12" fillId="0" borderId="0" xfId="0" quotePrefix="1" applyFont="1" applyAlignment="1">
      <alignment horizontal="left"/>
    </xf>
    <xf numFmtId="0" fontId="4" fillId="0" borderId="0" xfId="20" applyFont="1"/>
    <xf numFmtId="0" fontId="5" fillId="0" borderId="0" xfId="20" quotePrefix="1" applyFont="1" applyAlignment="1">
      <alignment horizontal="center" wrapText="1"/>
    </xf>
    <xf numFmtId="0" fontId="5" fillId="0" borderId="19" xfId="20" quotePrefix="1" applyFont="1" applyBorder="1" applyAlignment="1">
      <alignment horizontal="center" wrapText="1"/>
    </xf>
    <xf numFmtId="0" fontId="5" fillId="0" borderId="2" xfId="20" applyFont="1" applyBorder="1" applyAlignment="1">
      <alignment horizontal="center" wrapText="1"/>
    </xf>
    <xf numFmtId="0" fontId="5" fillId="0" borderId="2" xfId="20" applyFont="1" applyBorder="1" applyAlignment="1">
      <alignment horizontal="center"/>
    </xf>
    <xf numFmtId="0" fontId="5" fillId="0" borderId="2" xfId="20" quotePrefix="1" applyFont="1" applyBorder="1" applyAlignment="1">
      <alignment horizontal="center" wrapText="1"/>
    </xf>
    <xf numFmtId="14" fontId="10" fillId="0" borderId="2" xfId="20" quotePrefix="1" applyNumberFormat="1" applyFont="1" applyBorder="1" applyAlignment="1">
      <alignment horizontal="center" wrapText="1"/>
    </xf>
    <xf numFmtId="0" fontId="4" fillId="0" borderId="2" xfId="20" applyFont="1" applyBorder="1" applyAlignment="1">
      <alignment horizontal="center" wrapText="1"/>
    </xf>
    <xf numFmtId="0" fontId="4" fillId="0" borderId="19" xfId="20" applyFont="1" applyBorder="1" applyAlignment="1">
      <alignment horizontal="center" wrapText="1"/>
    </xf>
    <xf numFmtId="0" fontId="4" fillId="0" borderId="19" xfId="20" quotePrefix="1" applyFont="1" applyBorder="1" applyAlignment="1">
      <alignment horizontal="center" wrapText="1"/>
    </xf>
    <xf numFmtId="0" fontId="12" fillId="0" borderId="0" xfId="20" applyFont="1"/>
    <xf numFmtId="0" fontId="11" fillId="0" borderId="0" xfId="20" applyFont="1" applyAlignment="1">
      <alignment horizontal="centerContinuous"/>
    </xf>
    <xf numFmtId="0" fontId="4" fillId="0" borderId="0" xfId="20" applyFont="1" applyAlignment="1">
      <alignment horizontal="centerContinuous"/>
    </xf>
    <xf numFmtId="0" fontId="19" fillId="0" borderId="0" xfId="20" applyFont="1" applyAlignment="1">
      <alignment horizontal="centerContinuous"/>
    </xf>
    <xf numFmtId="0" fontId="13" fillId="0" borderId="0" xfId="20" applyFont="1" applyAlignment="1">
      <alignment horizontal="centerContinuous"/>
    </xf>
    <xf numFmtId="0" fontId="6" fillId="0" borderId="0" xfId="20" applyFont="1" applyAlignment="1">
      <alignment horizontal="center"/>
    </xf>
    <xf numFmtId="164" fontId="5" fillId="0" borderId="0" xfId="20" applyNumberFormat="1" applyFont="1"/>
    <xf numFmtId="0" fontId="5" fillId="0" borderId="0" xfId="20" applyFont="1" applyAlignment="1">
      <alignment horizontal="center" vertical="center" wrapText="1"/>
    </xf>
    <xf numFmtId="0" fontId="5" fillId="0" borderId="0" xfId="20" quotePrefix="1" applyFont="1"/>
    <xf numFmtId="10" fontId="5" fillId="0" borderId="0" xfId="20" quotePrefix="1" applyNumberFormat="1" applyFont="1"/>
    <xf numFmtId="10" fontId="5" fillId="0" borderId="0" xfId="20" applyNumberFormat="1" applyFont="1"/>
    <xf numFmtId="43" fontId="5" fillId="0" borderId="0" xfId="20" quotePrefix="1" applyNumberFormat="1" applyFont="1"/>
    <xf numFmtId="44" fontId="5" fillId="0" borderId="0" xfId="20" applyNumberFormat="1" applyFont="1"/>
    <xf numFmtId="44" fontId="12" fillId="0" borderId="0" xfId="20" applyNumberFormat="1" applyFont="1" applyAlignment="1">
      <alignment horizontal="center" vertical="center"/>
    </xf>
    <xf numFmtId="0" fontId="5" fillId="0" borderId="0" xfId="20" applyFont="1" applyAlignment="1">
      <alignment horizontal="right" vertical="center"/>
    </xf>
    <xf numFmtId="0" fontId="9" fillId="0" borderId="0" xfId="20" applyFont="1" applyAlignment="1">
      <alignment horizontal="center"/>
    </xf>
    <xf numFmtId="44" fontId="28" fillId="0" borderId="0" xfId="20" applyNumberFormat="1" applyFont="1" applyAlignment="1">
      <alignment horizontal="center"/>
    </xf>
    <xf numFmtId="44" fontId="28" fillId="0" borderId="0" xfId="20" applyNumberFormat="1" applyFont="1" applyAlignment="1">
      <alignment horizontal="center" wrapText="1"/>
    </xf>
    <xf numFmtId="44" fontId="28" fillId="0" borderId="0" xfId="20" applyNumberFormat="1" applyFont="1" applyAlignment="1">
      <alignment horizontal="centerContinuous"/>
    </xf>
    <xf numFmtId="44" fontId="28" fillId="0" borderId="0" xfId="20" quotePrefix="1" applyNumberFormat="1" applyFont="1" applyAlignment="1">
      <alignment horizontal="centerContinuous"/>
    </xf>
    <xf numFmtId="44" fontId="28" fillId="0" borderId="0" xfId="20" quotePrefix="1" applyNumberFormat="1" applyFont="1" applyAlignment="1">
      <alignment horizontal="center" vertical="center"/>
    </xf>
    <xf numFmtId="44" fontId="28" fillId="0" borderId="0" xfId="20" quotePrefix="1" applyNumberFormat="1" applyFont="1" applyAlignment="1">
      <alignment horizontal="centerContinuous" vertical="center"/>
    </xf>
    <xf numFmtId="0" fontId="5" fillId="0" borderId="19" xfId="20" applyFont="1" applyBorder="1" applyAlignment="1">
      <alignment horizontal="centerContinuous" vertical="center"/>
    </xf>
    <xf numFmtId="164" fontId="5" fillId="0" borderId="19" xfId="20" applyNumberFormat="1" applyFont="1" applyBorder="1" applyAlignment="1">
      <alignment horizontal="centerContinuous" vertical="center"/>
    </xf>
    <xf numFmtId="164" fontId="18" fillId="0" borderId="19" xfId="20" applyNumberFormat="1" applyFont="1" applyBorder="1" applyAlignment="1">
      <alignment horizontal="centerContinuous" vertical="center"/>
    </xf>
    <xf numFmtId="44" fontId="28" fillId="0" borderId="19" xfId="20" quotePrefix="1" applyNumberFormat="1" applyFont="1" applyBorder="1" applyAlignment="1">
      <alignment horizontal="centerContinuous" vertical="center"/>
    </xf>
    <xf numFmtId="44" fontId="8" fillId="0" borderId="19" xfId="20" quotePrefix="1" applyNumberFormat="1" applyFont="1" applyBorder="1" applyAlignment="1">
      <alignment horizontal="centerContinuous" vertical="center"/>
    </xf>
    <xf numFmtId="164" fontId="5" fillId="0" borderId="0" xfId="20" applyNumberFormat="1" applyFont="1" applyAlignment="1">
      <alignment horizontal="centerContinuous"/>
    </xf>
    <xf numFmtId="0" fontId="5" fillId="0" borderId="0" xfId="20" applyFont="1" applyAlignment="1">
      <alignment horizontal="centerContinuous"/>
    </xf>
    <xf numFmtId="165" fontId="5" fillId="0" borderId="0" xfId="20" applyNumberFormat="1" applyFont="1"/>
    <xf numFmtId="164" fontId="6" fillId="0" borderId="0" xfId="20" applyNumberFormat="1" applyFont="1" applyAlignment="1">
      <alignment horizontal="centerContinuous"/>
    </xf>
    <xf numFmtId="164" fontId="6" fillId="0" borderId="0" xfId="20" applyNumberFormat="1" applyFont="1" applyAlignment="1">
      <alignment horizontal="right"/>
    </xf>
    <xf numFmtId="10" fontId="5" fillId="0" borderId="3" xfId="20" applyNumberFormat="1" applyFont="1" applyBorder="1" applyAlignment="1">
      <alignment horizontal="right"/>
    </xf>
    <xf numFmtId="165" fontId="5" fillId="0" borderId="3" xfId="20" applyNumberFormat="1" applyFont="1" applyBorder="1"/>
    <xf numFmtId="165" fontId="5" fillId="0" borderId="3" xfId="20" applyNumberFormat="1" applyFont="1" applyBorder="1" applyAlignment="1">
      <alignment horizontal="centerContinuous"/>
    </xf>
    <xf numFmtId="166" fontId="5" fillId="0" borderId="3" xfId="20" applyNumberFormat="1" applyFont="1" applyBorder="1"/>
    <xf numFmtId="166" fontId="5" fillId="0" borderId="3" xfId="20" applyNumberFormat="1" applyFont="1" applyBorder="1" applyAlignment="1">
      <alignment horizontal="centerContinuous" wrapText="1"/>
    </xf>
    <xf numFmtId="0" fontId="5" fillId="0" borderId="3" xfId="20" applyFont="1" applyBorder="1" applyAlignment="1">
      <alignment horizontal="centerContinuous" vertical="center"/>
    </xf>
    <xf numFmtId="0" fontId="5" fillId="0" borderId="3" xfId="20" quotePrefix="1" applyFont="1" applyBorder="1" applyAlignment="1">
      <alignment horizontal="centerContinuous" vertical="center" wrapText="1"/>
    </xf>
    <xf numFmtId="0" fontId="4" fillId="0" borderId="3" xfId="20" applyFont="1" applyBorder="1" applyAlignment="1">
      <alignment horizontal="left"/>
    </xf>
    <xf numFmtId="10" fontId="5" fillId="0" borderId="0" xfId="20" applyNumberFormat="1" applyFont="1" applyAlignment="1">
      <alignment horizontal="right"/>
    </xf>
    <xf numFmtId="164" fontId="12" fillId="0" borderId="0" xfId="20" applyNumberFormat="1" applyFont="1" applyAlignment="1">
      <alignment horizontal="centerContinuous"/>
    </xf>
    <xf numFmtId="166" fontId="5" fillId="0" borderId="0" xfId="20" applyNumberFormat="1" applyFont="1"/>
    <xf numFmtId="166" fontId="5" fillId="0" borderId="0" xfId="20" applyNumberFormat="1" applyFont="1" applyAlignment="1">
      <alignment horizontal="centerContinuous"/>
    </xf>
    <xf numFmtId="0" fontId="5" fillId="0" borderId="0" xfId="20" applyFont="1" applyAlignment="1">
      <alignment horizontal="centerContinuous" vertical="center"/>
    </xf>
    <xf numFmtId="0" fontId="5" fillId="0" borderId="0" xfId="20" quotePrefix="1" applyFont="1" applyAlignment="1">
      <alignment horizontal="centerContinuous" vertical="center" wrapText="1"/>
    </xf>
    <xf numFmtId="166" fontId="6" fillId="0" borderId="0" xfId="20" applyNumberFormat="1" applyFont="1" applyAlignment="1">
      <alignment horizontal="center"/>
    </xf>
    <xf numFmtId="10" fontId="5" fillId="0" borderId="2" xfId="20" applyNumberFormat="1" applyFont="1" applyBorder="1" applyAlignment="1">
      <alignment horizontal="right"/>
    </xf>
    <xf numFmtId="165" fontId="5" fillId="0" borderId="2" xfId="20" applyNumberFormat="1" applyFont="1" applyBorder="1"/>
    <xf numFmtId="165" fontId="12" fillId="0" borderId="2" xfId="20" applyNumberFormat="1" applyFont="1" applyBorder="1" applyAlignment="1">
      <alignment horizontal="centerContinuous" vertical="center"/>
    </xf>
    <xf numFmtId="166" fontId="12" fillId="0" borderId="2" xfId="20" applyNumberFormat="1" applyFont="1" applyBorder="1" applyAlignment="1">
      <alignment horizontal="centerContinuous"/>
    </xf>
    <xf numFmtId="170" fontId="12" fillId="0" borderId="2" xfId="20" applyNumberFormat="1" applyFont="1" applyBorder="1"/>
    <xf numFmtId="0" fontId="4" fillId="0" borderId="0" xfId="20" applyFont="1" applyAlignment="1">
      <alignment horizontal="centerContinuous" vertical="center"/>
    </xf>
    <xf numFmtId="0" fontId="12" fillId="0" borderId="0" xfId="20" applyFont="1" applyAlignment="1">
      <alignment horizontal="centerContinuous" vertical="center"/>
    </xf>
    <xf numFmtId="0" fontId="13" fillId="0" borderId="0" xfId="20" applyFont="1"/>
    <xf numFmtId="166" fontId="12" fillId="0" borderId="0" xfId="20" applyNumberFormat="1" applyFont="1" applyAlignment="1">
      <alignment horizontal="centerContinuous"/>
    </xf>
    <xf numFmtId="164" fontId="12" fillId="0" borderId="0" xfId="20" applyNumberFormat="1" applyFont="1"/>
    <xf numFmtId="0" fontId="4" fillId="0" borderId="0" xfId="20" quotePrefix="1" applyFont="1" applyAlignment="1">
      <alignment horizontal="left"/>
    </xf>
    <xf numFmtId="0" fontId="4" fillId="0" borderId="0" xfId="20" applyFont="1" applyAlignment="1">
      <alignment horizontal="left"/>
    </xf>
    <xf numFmtId="164" fontId="5" fillId="0" borderId="2" xfId="20" applyNumberFormat="1" applyFont="1" applyBorder="1"/>
    <xf numFmtId="165" fontId="5" fillId="0" borderId="2" xfId="20" applyNumberFormat="1" applyFont="1" applyBorder="1" applyAlignment="1">
      <alignment horizontal="centerContinuous"/>
    </xf>
    <xf numFmtId="166" fontId="5" fillId="0" borderId="2" xfId="20" applyNumberFormat="1" applyFont="1" applyBorder="1" applyAlignment="1">
      <alignment horizontal="centerContinuous" wrapText="1"/>
    </xf>
    <xf numFmtId="170" fontId="12" fillId="0" borderId="0" xfId="20" applyNumberFormat="1" applyFont="1"/>
    <xf numFmtId="166" fontId="5" fillId="0" borderId="2" xfId="20" applyNumberFormat="1" applyFont="1" applyBorder="1" applyAlignment="1">
      <alignment horizontal="centerContinuous"/>
    </xf>
    <xf numFmtId="166" fontId="6" fillId="0" borderId="0" xfId="20" applyNumberFormat="1" applyFont="1"/>
    <xf numFmtId="165" fontId="5" fillId="0" borderId="19" xfId="20" applyNumberFormat="1" applyFont="1" applyBorder="1" applyAlignment="1">
      <alignment horizontal="centerContinuous"/>
    </xf>
    <xf numFmtId="0" fontId="5" fillId="0" borderId="0" xfId="20" applyFont="1" applyAlignment="1">
      <alignment horizontal="center" wrapText="1"/>
    </xf>
    <xf numFmtId="165" fontId="12" fillId="0" borderId="0" xfId="20" applyNumberFormat="1" applyFont="1" applyAlignment="1">
      <alignment horizontal="centerContinuous"/>
    </xf>
    <xf numFmtId="0" fontId="12" fillId="0" borderId="0" xfId="20" quotePrefix="1" applyFont="1" applyAlignment="1">
      <alignment horizontal="centerContinuous" vertical="center" wrapText="1"/>
    </xf>
    <xf numFmtId="164" fontId="5" fillId="0" borderId="2" xfId="20" applyNumberFormat="1" applyFont="1" applyBorder="1" applyAlignment="1">
      <alignment horizontal="center" wrapText="1"/>
    </xf>
    <xf numFmtId="164" fontId="5" fillId="0" borderId="2" xfId="20" quotePrefix="1" applyNumberFormat="1" applyFont="1" applyBorder="1" applyAlignment="1">
      <alignment horizontal="centerContinuous" wrapText="1"/>
    </xf>
    <xf numFmtId="0" fontId="5" fillId="0" borderId="2" xfId="20" applyFont="1" applyBorder="1" applyAlignment="1">
      <alignment horizontal="centerContinuous" wrapText="1"/>
    </xf>
    <xf numFmtId="0" fontId="4" fillId="0" borderId="0" xfId="20" applyFont="1" applyAlignment="1">
      <alignment horizontal="center" wrapText="1"/>
    </xf>
    <xf numFmtId="0" fontId="6" fillId="0" borderId="0" xfId="20" applyFont="1" applyAlignment="1">
      <alignment horizontal="center" wrapText="1"/>
    </xf>
    <xf numFmtId="0" fontId="4" fillId="0" borderId="19" xfId="20" quotePrefix="1" applyFont="1" applyBorder="1" applyAlignment="1">
      <alignment horizontal="centerContinuous" wrapText="1"/>
    </xf>
    <xf numFmtId="164" fontId="4" fillId="0" borderId="19" xfId="20" quotePrefix="1" applyNumberFormat="1" applyFont="1" applyBorder="1" applyAlignment="1">
      <alignment horizontal="center" wrapText="1"/>
    </xf>
    <xf numFmtId="164" fontId="4" fillId="0" borderId="19" xfId="20" quotePrefix="1" applyNumberFormat="1" applyFont="1" applyBorder="1" applyAlignment="1">
      <alignment horizontal="centerContinuous" wrapText="1"/>
    </xf>
    <xf numFmtId="0" fontId="4" fillId="0" borderId="0" xfId="20" applyFont="1" applyAlignment="1">
      <alignment horizontal="centerContinuous" wrapText="1"/>
    </xf>
    <xf numFmtId="0" fontId="4" fillId="0" borderId="19" xfId="20" applyFont="1" applyBorder="1" applyAlignment="1">
      <alignment horizontal="centerContinuous" wrapText="1"/>
    </xf>
    <xf numFmtId="0" fontId="19" fillId="0" borderId="0" xfId="20" applyFont="1" applyAlignment="1">
      <alignment horizontal="centerContinuous" vertical="center"/>
    </xf>
    <xf numFmtId="0" fontId="11" fillId="0" borderId="0" xfId="20" applyFont="1"/>
    <xf numFmtId="0" fontId="29" fillId="0" borderId="0" xfId="20"/>
    <xf numFmtId="169" fontId="34" fillId="0" borderId="0" xfId="20" applyNumberFormat="1" applyFont="1" applyAlignment="1">
      <alignment horizontal="center"/>
    </xf>
    <xf numFmtId="44" fontId="5" fillId="0" borderId="0" xfId="20" applyNumberFormat="1" applyFont="1" applyAlignment="1">
      <alignment horizontal="right" vertical="center"/>
    </xf>
    <xf numFmtId="165" fontId="6" fillId="0" borderId="0" xfId="20" applyNumberFormat="1" applyFont="1"/>
    <xf numFmtId="44" fontId="6" fillId="0" borderId="0" xfId="20" applyNumberFormat="1" applyFont="1" applyAlignment="1">
      <alignment horizontal="right"/>
    </xf>
    <xf numFmtId="41" fontId="35" fillId="0" borderId="0" xfId="20" applyNumberFormat="1" applyFont="1"/>
    <xf numFmtId="44" fontId="32" fillId="0" borderId="0" xfId="20" applyNumberFormat="1" applyFont="1" applyAlignment="1">
      <alignment horizontal="right"/>
    </xf>
    <xf numFmtId="44" fontId="5" fillId="0" borderId="0" xfId="20" applyNumberFormat="1" applyFont="1" applyAlignment="1">
      <alignment horizontal="right"/>
    </xf>
    <xf numFmtId="41" fontId="6" fillId="0" borderId="0" xfId="20" applyNumberFormat="1" applyFont="1"/>
    <xf numFmtId="0" fontId="6" fillId="0" borderId="0" xfId="20" applyFont="1"/>
    <xf numFmtId="41" fontId="5" fillId="0" borderId="0" xfId="20" applyNumberFormat="1" applyFont="1"/>
    <xf numFmtId="44" fontId="6" fillId="0" borderId="0" xfId="20" applyNumberFormat="1" applyFont="1"/>
    <xf numFmtId="164" fontId="5" fillId="0" borderId="0" xfId="20" applyNumberFormat="1" applyFont="1" applyAlignment="1">
      <alignment horizontal="right" vertical="center"/>
    </xf>
    <xf numFmtId="0" fontId="5" fillId="0" borderId="0" xfId="20" applyFont="1" applyAlignment="1">
      <alignment horizontal="left" indent="1"/>
    </xf>
    <xf numFmtId="164" fontId="5" fillId="0" borderId="0" xfId="20" quotePrefix="1" applyNumberFormat="1" applyFont="1" applyAlignment="1">
      <alignment horizontal="right" vertical="center"/>
    </xf>
    <xf numFmtId="0" fontId="5" fillId="0" borderId="0" xfId="20" quotePrefix="1" applyFont="1" applyAlignment="1">
      <alignment horizontal="left" indent="1"/>
    </xf>
    <xf numFmtId="44" fontId="28" fillId="0" borderId="0" xfId="20" applyNumberFormat="1" applyFont="1"/>
    <xf numFmtId="164" fontId="18" fillId="0" borderId="0" xfId="20" applyNumberFormat="1" applyFont="1" applyAlignment="1">
      <alignment horizontal="right" vertical="center"/>
    </xf>
    <xf numFmtId="164" fontId="5" fillId="0" borderId="0" xfId="20" applyNumberFormat="1" applyFont="1" applyAlignment="1">
      <alignment vertical="center"/>
    </xf>
    <xf numFmtId="0" fontId="5" fillId="0" borderId="0" xfId="20" quotePrefix="1" applyFont="1" applyAlignment="1">
      <alignment horizontal="right" vertical="center" wrapText="1"/>
    </xf>
    <xf numFmtId="0" fontId="5" fillId="0" borderId="0" xfId="20" quotePrefix="1" applyFont="1" applyAlignment="1">
      <alignment horizontal="center" vertical="center" wrapText="1"/>
    </xf>
    <xf numFmtId="0" fontId="5" fillId="0" borderId="0" xfId="20" applyFont="1" applyAlignment="1">
      <alignment vertical="center"/>
    </xf>
    <xf numFmtId="0" fontId="5" fillId="0" borderId="4" xfId="20" quotePrefix="1" applyFont="1" applyBorder="1" applyAlignment="1">
      <alignment horizontal="center" vertical="center"/>
    </xf>
    <xf numFmtId="0" fontId="5" fillId="0" borderId="4" xfId="20" applyFont="1" applyBorder="1" applyAlignment="1">
      <alignment horizontal="center" vertical="center"/>
    </xf>
    <xf numFmtId="0" fontId="5" fillId="0" borderId="4" xfId="20" applyFont="1" applyBorder="1" applyAlignment="1">
      <alignment horizontal="center"/>
    </xf>
    <xf numFmtId="0" fontId="4" fillId="0" borderId="0" xfId="20" applyFont="1" applyAlignment="1">
      <alignment horizontal="center"/>
    </xf>
    <xf numFmtId="0" fontId="13" fillId="0" borderId="0" xfId="20" applyFont="1" applyAlignment="1">
      <alignment horizontal="centerContinuous" vertical="center"/>
    </xf>
    <xf numFmtId="171" fontId="19" fillId="0" borderId="0" xfId="20" applyNumberFormat="1" applyFont="1" applyAlignment="1">
      <alignment horizontal="center"/>
    </xf>
    <xf numFmtId="44" fontId="32" fillId="0" borderId="0" xfId="20" applyNumberFormat="1" applyFont="1"/>
    <xf numFmtId="44" fontId="32" fillId="0" borderId="0" xfId="20" quotePrefix="1" applyNumberFormat="1" applyFont="1" applyAlignment="1">
      <alignment horizontal="left"/>
    </xf>
    <xf numFmtId="0" fontId="19" fillId="0" borderId="0" xfId="20" applyFont="1" applyAlignment="1">
      <alignment horizontal="center"/>
    </xf>
    <xf numFmtId="171" fontId="19" fillId="0" borderId="0" xfId="20" quotePrefix="1" applyNumberFormat="1" applyFont="1" applyAlignment="1">
      <alignment horizontal="center"/>
    </xf>
    <xf numFmtId="165" fontId="12" fillId="0" borderId="0" xfId="20" applyNumberFormat="1" applyFont="1" applyAlignment="1">
      <alignment horizontal="center" vertical="center"/>
    </xf>
    <xf numFmtId="165" fontId="5" fillId="0" borderId="0" xfId="20" applyNumberFormat="1" applyFont="1" applyAlignment="1">
      <alignment horizontal="center" vertical="center"/>
    </xf>
    <xf numFmtId="10" fontId="5" fillId="0" borderId="0" xfId="20" applyNumberFormat="1" applyFont="1" applyAlignment="1">
      <alignment vertical="center"/>
    </xf>
    <xf numFmtId="165" fontId="12" fillId="0" borderId="19" xfId="20" applyNumberFormat="1" applyFont="1" applyBorder="1" applyAlignment="1">
      <alignment horizontal="center" vertical="center"/>
    </xf>
    <xf numFmtId="10" fontId="5" fillId="0" borderId="0" xfId="20" applyNumberFormat="1" applyFont="1" applyAlignment="1">
      <alignment horizontal="right" vertical="center"/>
    </xf>
    <xf numFmtId="0" fontId="4" fillId="0" borderId="0" xfId="20" applyFont="1" applyBorder="1"/>
    <xf numFmtId="44" fontId="5" fillId="0" borderId="0" xfId="20" applyNumberFormat="1" applyFont="1" applyBorder="1" applyAlignment="1">
      <alignment horizontal="left" indent="1"/>
    </xf>
    <xf numFmtId="170" fontId="12" fillId="0" borderId="0" xfId="20" applyNumberFormat="1" applyFont="1" applyBorder="1"/>
    <xf numFmtId="166" fontId="12" fillId="0" borderId="0" xfId="20" applyNumberFormat="1" applyFont="1" applyBorder="1" applyAlignment="1">
      <alignment horizontal="centerContinuous"/>
    </xf>
    <xf numFmtId="165" fontId="12" fillId="0" borderId="0" xfId="20" applyNumberFormat="1" applyFont="1" applyBorder="1" applyAlignment="1">
      <alignment horizontal="centerContinuous" vertical="center"/>
    </xf>
    <xf numFmtId="165" fontId="5" fillId="0" borderId="0" xfId="20" applyNumberFormat="1" applyFont="1" applyBorder="1"/>
    <xf numFmtId="10" fontId="5" fillId="0" borderId="0" xfId="20" applyNumberFormat="1" applyFont="1" applyBorder="1" applyAlignment="1">
      <alignment horizontal="right"/>
    </xf>
    <xf numFmtId="0" fontId="18" fillId="0" borderId="0" xfId="14" quotePrefix="1" applyFont="1" applyAlignment="1">
      <alignment horizontal="center"/>
    </xf>
    <xf numFmtId="0" fontId="18" fillId="0" borderId="0" xfId="14" applyFont="1" applyAlignment="1">
      <alignment horizontal="center"/>
    </xf>
    <xf numFmtId="17" fontId="8" fillId="0" borderId="0" xfId="0" applyNumberFormat="1" applyFont="1" applyBorder="1" applyAlignment="1">
      <alignment horizontal="center" wrapText="1"/>
    </xf>
    <xf numFmtId="10" fontId="12" fillId="0" borderId="0" xfId="0" applyNumberFormat="1" applyFont="1" applyAlignment="1">
      <alignment horizontal="center"/>
    </xf>
    <xf numFmtId="2" fontId="12" fillId="0" borderId="0" xfId="0" applyNumberFormat="1" applyFont="1" applyAlignment="1">
      <alignment horizontal="center"/>
    </xf>
    <xf numFmtId="2" fontId="11" fillId="0" borderId="0" xfId="0" applyNumberFormat="1" applyFont="1" applyAlignment="1">
      <alignment horizontal="center"/>
    </xf>
    <xf numFmtId="0" fontId="4" fillId="0" borderId="0" xfId="14" applyFont="1" applyBorder="1"/>
    <xf numFmtId="0" fontId="18" fillId="0" borderId="0" xfId="14" applyFont="1" applyAlignment="1">
      <alignment horizontal="left" indent="1"/>
    </xf>
    <xf numFmtId="0" fontId="18" fillId="0" borderId="0" xfId="14" quotePrefix="1" applyFont="1" applyAlignment="1">
      <alignment horizontal="left" indent="2"/>
    </xf>
    <xf numFmtId="44" fontId="12" fillId="0" borderId="0" xfId="14" applyNumberFormat="1" applyFont="1"/>
    <xf numFmtId="41" fontId="18" fillId="0" borderId="0" xfId="14" applyNumberFormat="1" applyFont="1"/>
    <xf numFmtId="168" fontId="12" fillId="0" borderId="0" xfId="14" applyNumberFormat="1" applyFont="1"/>
    <xf numFmtId="168" fontId="5" fillId="0" borderId="0" xfId="14" applyNumberFormat="1" applyFont="1"/>
    <xf numFmtId="166" fontId="12" fillId="0" borderId="2" xfId="20" applyNumberFormat="1" applyFont="1" applyFill="1" applyBorder="1"/>
    <xf numFmtId="166" fontId="12" fillId="0" borderId="0" xfId="20" applyNumberFormat="1" applyFont="1" applyFill="1"/>
    <xf numFmtId="166" fontId="5" fillId="0" borderId="0" xfId="20" applyNumberFormat="1" applyFont="1" applyFill="1"/>
    <xf numFmtId="166" fontId="5" fillId="0" borderId="2" xfId="20" applyNumberFormat="1" applyFont="1" applyFill="1" applyBorder="1"/>
    <xf numFmtId="0" fontId="5" fillId="0" borderId="0" xfId="20" applyFont="1" applyFill="1"/>
    <xf numFmtId="166" fontId="12" fillId="0" borderId="0" xfId="20" applyNumberFormat="1" applyFont="1" applyFill="1" applyBorder="1"/>
    <xf numFmtId="170" fontId="5" fillId="0" borderId="2" xfId="20" applyNumberFormat="1" applyFont="1" applyBorder="1"/>
    <xf numFmtId="170" fontId="5" fillId="0" borderId="3" xfId="20" applyNumberFormat="1" applyFont="1" applyBorder="1"/>
    <xf numFmtId="0" fontId="11" fillId="0" borderId="0" xfId="0" applyFont="1" applyBorder="1" applyAlignment="1">
      <alignment horizontal="center" wrapText="1"/>
    </xf>
    <xf numFmtId="44" fontId="12" fillId="0" borderId="0" xfId="14" applyNumberFormat="1" applyFont="1" applyAlignment="1">
      <alignment horizontal="center" vertical="center"/>
    </xf>
    <xf numFmtId="0" fontId="4" fillId="0" borderId="0" xfId="14" quotePrefix="1" applyFont="1" applyBorder="1" applyAlignment="1">
      <alignment horizontal="center" wrapText="1"/>
    </xf>
    <xf numFmtId="17" fontId="8" fillId="0" borderId="19" xfId="0" applyNumberFormat="1" applyFont="1" applyBorder="1" applyAlignment="1">
      <alignment horizontal="center" wrapText="1"/>
    </xf>
    <xf numFmtId="165" fontId="12" fillId="0" borderId="0" xfId="0" applyNumberFormat="1" applyFont="1" applyFill="1" applyProtection="1">
      <protection locked="0"/>
    </xf>
    <xf numFmtId="0" fontId="12" fillId="0" borderId="0" xfId="0" applyFont="1" applyFill="1"/>
    <xf numFmtId="165" fontId="8" fillId="2" borderId="3" xfId="0" applyNumberFormat="1" applyFont="1" applyFill="1" applyBorder="1"/>
    <xf numFmtId="165" fontId="12" fillId="0" borderId="15" xfId="14" applyNumberFormat="1" applyFont="1" applyBorder="1"/>
    <xf numFmtId="165" fontId="6" fillId="0" borderId="21" xfId="14" applyNumberFormat="1" applyFont="1" applyBorder="1"/>
    <xf numFmtId="0" fontId="6" fillId="0" borderId="0" xfId="14" applyFont="1" applyBorder="1" applyAlignment="1">
      <alignment horizontal="right"/>
    </xf>
    <xf numFmtId="165" fontId="6" fillId="0" borderId="0" xfId="0" applyNumberFormat="1" applyFont="1"/>
    <xf numFmtId="44" fontId="16" fillId="0" borderId="0" xfId="0" applyNumberFormat="1" applyFont="1" applyAlignment="1">
      <alignment horizontal="left"/>
    </xf>
    <xf numFmtId="165" fontId="8" fillId="0" borderId="0" xfId="0" applyNumberFormat="1" applyFont="1" applyAlignment="1">
      <alignment horizontal="left"/>
    </xf>
    <xf numFmtId="0" fontId="5" fillId="0" borderId="0" xfId="0" applyFont="1" applyFill="1" applyAlignment="1">
      <alignment horizontal="left"/>
    </xf>
    <xf numFmtId="165" fontId="6" fillId="0" borderId="0" xfId="18" applyNumberFormat="1" applyFont="1" applyFill="1"/>
    <xf numFmtId="165" fontId="13" fillId="0" borderId="3" xfId="0" applyNumberFormat="1" applyFont="1" applyBorder="1"/>
    <xf numFmtId="166" fontId="12" fillId="0" borderId="0" xfId="14" applyNumberFormat="1" applyFont="1" applyFill="1"/>
    <xf numFmtId="10" fontId="5" fillId="0" borderId="3" xfId="0" applyNumberFormat="1" applyFont="1" applyBorder="1" applyAlignment="1">
      <alignment horizontal="center"/>
    </xf>
    <xf numFmtId="0" fontId="4" fillId="0" borderId="17" xfId="14" applyFont="1" applyFill="1" applyBorder="1" applyAlignment="1">
      <alignment horizontal="center" wrapText="1"/>
    </xf>
    <xf numFmtId="0" fontId="5" fillId="0" borderId="0" xfId="14" applyFont="1" applyFill="1" applyAlignment="1">
      <alignment horizontal="center"/>
    </xf>
    <xf numFmtId="0" fontId="5" fillId="0" borderId="0" xfId="14" applyFont="1" applyFill="1"/>
    <xf numFmtId="164" fontId="12" fillId="0" borderId="0" xfId="14" applyNumberFormat="1" applyFont="1" applyFill="1"/>
    <xf numFmtId="164" fontId="18" fillId="0" borderId="0" xfId="14" applyNumberFormat="1" applyFont="1" applyFill="1"/>
    <xf numFmtId="164" fontId="5" fillId="0" borderId="2" xfId="14" applyNumberFormat="1" applyFont="1" applyFill="1" applyBorder="1"/>
    <xf numFmtId="164" fontId="5" fillId="0" borderId="0" xfId="14" applyNumberFormat="1" applyFont="1" applyFill="1"/>
    <xf numFmtId="165" fontId="6" fillId="0" borderId="0" xfId="14" applyNumberFormat="1" applyFont="1" applyFill="1"/>
    <xf numFmtId="0" fontId="6" fillId="0" borderId="0" xfId="14" applyFont="1" applyFill="1" applyAlignment="1">
      <alignment horizontal="center"/>
    </xf>
    <xf numFmtId="165" fontId="6" fillId="0" borderId="0" xfId="0" applyNumberFormat="1" applyFont="1" applyFill="1"/>
    <xf numFmtId="17" fontId="8" fillId="0" borderId="0" xfId="0" applyNumberFormat="1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165" fontId="4" fillId="0" borderId="4" xfId="19" applyNumberFormat="1" applyFont="1" applyFill="1" applyBorder="1"/>
    <xf numFmtId="165" fontId="4" fillId="0" borderId="0" xfId="19" applyNumberFormat="1" applyFont="1" applyFill="1" applyBorder="1"/>
    <xf numFmtId="165" fontId="8" fillId="0" borderId="3" xfId="0" applyNumberFormat="1" applyFont="1" applyFill="1" applyBorder="1"/>
    <xf numFmtId="0" fontId="5" fillId="0" borderId="0" xfId="20" applyFont="1" applyAlignment="1">
      <alignment horizontal="left" vertical="top" wrapText="1"/>
    </xf>
    <xf numFmtId="0" fontId="11" fillId="0" borderId="0" xfId="0" applyFont="1" applyFill="1" applyAlignment="1">
      <alignment horizontal="center" wrapText="1"/>
    </xf>
    <xf numFmtId="0" fontId="21" fillId="0" borderId="0" xfId="0" applyFont="1" applyAlignment="1">
      <alignment horizontal="center" wrapText="1"/>
    </xf>
    <xf numFmtId="0" fontId="13" fillId="0" borderId="8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0" fontId="20" fillId="0" borderId="0" xfId="0" applyFont="1" applyAlignment="1">
      <alignment wrapText="1"/>
    </xf>
    <xf numFmtId="0" fontId="13" fillId="0" borderId="1" xfId="14" quotePrefix="1" applyFont="1" applyBorder="1" applyAlignment="1">
      <alignment horizontal="center"/>
    </xf>
    <xf numFmtId="0" fontId="13" fillId="0" borderId="1" xfId="14" applyFont="1" applyBorder="1" applyAlignment="1">
      <alignment horizontal="center"/>
    </xf>
    <xf numFmtId="0" fontId="5" fillId="0" borderId="0" xfId="20" applyFont="1" applyAlignment="1">
      <alignment horizontal="left" vertical="center" wrapText="1"/>
    </xf>
  </cellXfs>
  <cellStyles count="22">
    <cellStyle name="Comma 10" xfId="6"/>
    <cellStyle name="Comma 2" xfId="15"/>
    <cellStyle name="Currency" xfId="18" builtinId="4"/>
    <cellStyle name="Currency 2" xfId="2"/>
    <cellStyle name="Currency 2 12" xfId="3"/>
    <cellStyle name="Currency 3" xfId="13"/>
    <cellStyle name="Normal" xfId="0" builtinId="0"/>
    <cellStyle name="Normal 2" xfId="1"/>
    <cellStyle name="Normal 2 10" xfId="5"/>
    <cellStyle name="Normal 2 16 2" xfId="19"/>
    <cellStyle name="Normal 2 2" xfId="7"/>
    <cellStyle name="Normal 2 3" xfId="9"/>
    <cellStyle name="Normal 3" xfId="10"/>
    <cellStyle name="Normal 31" xfId="11"/>
    <cellStyle name="Normal 4" xfId="12"/>
    <cellStyle name="Normal 4 2" xfId="21"/>
    <cellStyle name="Normal 5" xfId="14"/>
    <cellStyle name="Normal 5 2" xfId="20"/>
    <cellStyle name="Normal 510" xfId="4"/>
    <cellStyle name="Normal 513" xfId="16"/>
    <cellStyle name="Percent 10 2 2" xfId="17"/>
    <cellStyle name="Percent 2" xfId="8"/>
  </cellStyles>
  <dxfs count="0"/>
  <tableStyles count="0" defaultTableStyle="TableStyleMedium2" defaultPivotStyle="PivotStyleLight16"/>
  <colors>
    <mruColors>
      <color rgb="FF0033CC"/>
      <color rgb="FF008080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32</xdr:row>
      <xdr:rowOff>76200</xdr:rowOff>
    </xdr:from>
    <xdr:to>
      <xdr:col>2</xdr:col>
      <xdr:colOff>522195</xdr:colOff>
      <xdr:row>47</xdr:row>
      <xdr:rowOff>76200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C6E5C4A-8B84-AB57-DF99-CF821BB7E0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5334000"/>
          <a:ext cx="5799045" cy="2143125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219075</xdr:colOff>
      <xdr:row>48</xdr:row>
      <xdr:rowOff>38099</xdr:rowOff>
    </xdr:from>
    <xdr:to>
      <xdr:col>2</xdr:col>
      <xdr:colOff>552450</xdr:colOff>
      <xdr:row>63</xdr:row>
      <xdr:rowOff>36735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5978B2E-C7B2-8076-3B68-93DB7D9541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9075" y="7305674"/>
          <a:ext cx="5753100" cy="2141761"/>
        </a:xfrm>
        <a:prstGeom prst="rect">
          <a:avLst/>
        </a:prstGeom>
      </xdr:spPr>
    </xdr:pic>
    <xdr:clientData/>
  </xdr:twoCellAnchor>
  <xdr:twoCellAnchor editAs="oneCell">
    <xdr:from>
      <xdr:col>3</xdr:col>
      <xdr:colOff>276225</xdr:colOff>
      <xdr:row>32</xdr:row>
      <xdr:rowOff>133350</xdr:rowOff>
    </xdr:from>
    <xdr:to>
      <xdr:col>11</xdr:col>
      <xdr:colOff>686940</xdr:colOff>
      <xdr:row>47</xdr:row>
      <xdr:rowOff>47624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3DB8622-2261-52FD-5B29-3718D4DA74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91275" y="5114925"/>
          <a:ext cx="5973315" cy="2057399"/>
        </a:xfrm>
        <a:prstGeom prst="rect">
          <a:avLst/>
        </a:prstGeom>
      </xdr:spPr>
    </xdr:pic>
    <xdr:clientData/>
  </xdr:twoCellAnchor>
  <xdr:twoCellAnchor editAs="oneCell">
    <xdr:from>
      <xdr:col>3</xdr:col>
      <xdr:colOff>333375</xdr:colOff>
      <xdr:row>47</xdr:row>
      <xdr:rowOff>133350</xdr:rowOff>
    </xdr:from>
    <xdr:to>
      <xdr:col>12</xdr:col>
      <xdr:colOff>200025</xdr:colOff>
      <xdr:row>64</xdr:row>
      <xdr:rowOff>20030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0671040-9A2D-43D8-EB87-DA7EFF73D3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448425" y="7258050"/>
          <a:ext cx="6124575" cy="231555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Zakharova, Elena" id="{EEC41E2D-1A05-45AD-A782-B5411F441FC8}" userId="S::Lena.Zakharova@pse.com::e8a6b8bd-f323-4752-82b4-89107bf522d5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32" dT="2024-10-10T18:01:03.50" personId="{EEC41E2D-1A05-45AD-A782-B5411F441FC8}" id="{9990E4D5-7DD6-438A-BB9B-557E2F8B3A66}">
    <text>Accounting will book a JE entry correction to adjust for the variance by the end of the year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6.bin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L72"/>
  <sheetViews>
    <sheetView tabSelected="1" zoomScaleNormal="100" workbookViewId="0">
      <pane ySplit="6" topLeftCell="A7" activePane="bottomLeft" state="frozen"/>
      <selection activeCell="L19" sqref="L19"/>
      <selection pane="bottomLeft" activeCell="C19" sqref="C19:C20"/>
    </sheetView>
  </sheetViews>
  <sheetFormatPr defaultColWidth="6.42578125" defaultRowHeight="11.25" x14ac:dyDescent="0.2"/>
  <cols>
    <col min="1" max="1" width="6.140625" style="119" bestFit="1" customWidth="1"/>
    <col min="2" max="2" width="45.7109375" style="119" bestFit="1" customWidth="1"/>
    <col min="3" max="3" width="14.42578125" style="119" bestFit="1" customWidth="1"/>
    <col min="4" max="4" width="13.5703125" style="119" customWidth="1"/>
    <col min="5" max="5" width="14.5703125" style="119" customWidth="1"/>
    <col min="6" max="6" width="17.85546875" style="119" bestFit="1" customWidth="1"/>
    <col min="7" max="16384" width="6.42578125" style="119"/>
  </cols>
  <sheetData>
    <row r="1" spans="1:6" x14ac:dyDescent="0.2">
      <c r="A1" s="166" t="s">
        <v>56</v>
      </c>
      <c r="B1" s="164"/>
      <c r="C1" s="164"/>
      <c r="D1" s="164"/>
      <c r="E1" s="164"/>
    </row>
    <row r="2" spans="1:6" x14ac:dyDescent="0.2">
      <c r="A2" s="165" t="s">
        <v>104</v>
      </c>
      <c r="B2" s="164"/>
      <c r="C2" s="164"/>
      <c r="D2" s="164"/>
      <c r="E2" s="164"/>
    </row>
    <row r="3" spans="1:6" s="162" customFormat="1" x14ac:dyDescent="0.2">
      <c r="A3" s="164" t="str">
        <f>"Effective "&amp;TEXT(Inputs!B1,"mmmm d, yyyy")&amp;" - "&amp;TEXT(Inputs!B4,"mmmm d, yyyy")</f>
        <v>Effective January 1, 2025 - December 31, 2025</v>
      </c>
      <c r="B3" s="164"/>
      <c r="C3" s="163"/>
      <c r="D3" s="163"/>
      <c r="E3" s="163"/>
    </row>
    <row r="4" spans="1:6" x14ac:dyDescent="0.2">
      <c r="A4" s="136"/>
      <c r="B4" s="136"/>
      <c r="C4" s="134"/>
      <c r="D4" s="134"/>
      <c r="E4" s="134"/>
    </row>
    <row r="5" spans="1:6" ht="13.5" customHeight="1" x14ac:dyDescent="0.2">
      <c r="A5" s="136"/>
      <c r="B5" s="136"/>
      <c r="C5" s="134"/>
      <c r="D5" s="134"/>
      <c r="E5" s="134"/>
    </row>
    <row r="6" spans="1:6" s="152" customFormat="1" ht="22.5" x14ac:dyDescent="0.2">
      <c r="A6" s="160" t="s">
        <v>0</v>
      </c>
      <c r="B6" s="160" t="s">
        <v>61</v>
      </c>
      <c r="C6" s="160" t="s">
        <v>166</v>
      </c>
      <c r="D6" s="161" t="s">
        <v>165</v>
      </c>
      <c r="E6" s="161" t="s">
        <v>147</v>
      </c>
      <c r="F6" s="160" t="s">
        <v>224</v>
      </c>
    </row>
    <row r="7" spans="1:6" s="152" customFormat="1" x14ac:dyDescent="0.2">
      <c r="A7" s="159"/>
      <c r="B7" s="159"/>
      <c r="C7" s="159"/>
      <c r="D7" s="158">
        <v>45292</v>
      </c>
      <c r="E7" s="158">
        <f>Inputs!B1</f>
        <v>45658</v>
      </c>
      <c r="F7" s="157"/>
    </row>
    <row r="8" spans="1:6" s="152" customFormat="1" x14ac:dyDescent="0.2">
      <c r="A8" s="156"/>
      <c r="B8" s="155" t="s">
        <v>57</v>
      </c>
      <c r="C8" s="154" t="s">
        <v>66</v>
      </c>
      <c r="D8" s="154" t="s">
        <v>58</v>
      </c>
      <c r="E8" s="154" t="s">
        <v>67</v>
      </c>
      <c r="F8" s="154" t="s">
        <v>164</v>
      </c>
    </row>
    <row r="9" spans="1:6" s="152" customFormat="1" x14ac:dyDescent="0.2">
      <c r="A9" s="134">
        <v>1</v>
      </c>
      <c r="B9" s="140" t="s">
        <v>163</v>
      </c>
      <c r="C9" s="140"/>
      <c r="D9" s="153"/>
      <c r="E9" s="153"/>
    </row>
    <row r="10" spans="1:6" x14ac:dyDescent="0.2">
      <c r="A10" s="121">
        <f t="shared" ref="A10:A41" si="0">+A9+1</f>
        <v>2</v>
      </c>
      <c r="B10" s="142" t="s">
        <v>2</v>
      </c>
      <c r="C10" s="145" t="str">
        <f>'Rate Impacts'!C9</f>
        <v>7 (307) (317) (327)</v>
      </c>
      <c r="D10" s="146">
        <f>'Rate Impacts'!H9</f>
        <v>1.7420000000000001E-3</v>
      </c>
      <c r="E10" s="146">
        <f>'Rate Impacts'!I9</f>
        <v>1.7899999999999999E-3</v>
      </c>
      <c r="F10" s="106" t="s">
        <v>101</v>
      </c>
    </row>
    <row r="11" spans="1:6" x14ac:dyDescent="0.2">
      <c r="A11" s="121">
        <f t="shared" si="0"/>
        <v>3</v>
      </c>
      <c r="B11" s="142"/>
      <c r="C11" s="145"/>
      <c r="D11" s="144"/>
      <c r="E11" s="144"/>
    </row>
    <row r="12" spans="1:6" x14ac:dyDescent="0.2">
      <c r="A12" s="121">
        <f t="shared" si="0"/>
        <v>4</v>
      </c>
      <c r="B12" s="142" t="s">
        <v>69</v>
      </c>
      <c r="C12" s="145"/>
      <c r="D12" s="144"/>
      <c r="E12" s="144"/>
    </row>
    <row r="13" spans="1:6" x14ac:dyDescent="0.2">
      <c r="A13" s="121">
        <f t="shared" si="0"/>
        <v>5</v>
      </c>
      <c r="B13" s="150" t="s">
        <v>162</v>
      </c>
      <c r="C13" s="145" t="str">
        <f>'Rate Impacts'!C12</f>
        <v>08 (24) (324)</v>
      </c>
      <c r="D13" s="144">
        <f>'Rate Impacts'!H12</f>
        <v>1.6659999999999999E-3</v>
      </c>
      <c r="E13" s="144">
        <f>'Rate Impacts'!I12</f>
        <v>1.771E-3</v>
      </c>
      <c r="F13" s="134" t="str">
        <f>$F$10</f>
        <v>Sheet No. 141A-A</v>
      </c>
    </row>
    <row r="14" spans="1:6" x14ac:dyDescent="0.2">
      <c r="A14" s="121">
        <f t="shared" si="0"/>
        <v>6</v>
      </c>
      <c r="B14" s="150" t="s">
        <v>161</v>
      </c>
      <c r="C14" s="145" t="str">
        <f>'Rate Impacts'!C13</f>
        <v>7A (11) (25)</v>
      </c>
      <c r="D14" s="144">
        <f>'Rate Impacts'!H13</f>
        <v>1.6720000000000001E-3</v>
      </c>
      <c r="E14" s="144">
        <f>'Rate Impacts'!I13</f>
        <v>1.725E-3</v>
      </c>
      <c r="F14" s="134" t="str">
        <f t="shared" ref="F14:F16" si="1">$F$10</f>
        <v>Sheet No. 141A-A</v>
      </c>
    </row>
    <row r="15" spans="1:6" x14ac:dyDescent="0.2">
      <c r="A15" s="121">
        <f t="shared" si="0"/>
        <v>7</v>
      </c>
      <c r="B15" s="150" t="s">
        <v>160</v>
      </c>
      <c r="C15" s="145" t="str">
        <f>'Rate Impacts'!C14</f>
        <v>12 (26) (26P)</v>
      </c>
      <c r="D15" s="144">
        <f>'Rate Impacts'!H14</f>
        <v>1.549E-3</v>
      </c>
      <c r="E15" s="144">
        <f>'Rate Impacts'!I14</f>
        <v>1.539E-3</v>
      </c>
      <c r="F15" s="134" t="str">
        <f t="shared" si="1"/>
        <v>Sheet No. 141A-A</v>
      </c>
    </row>
    <row r="16" spans="1:6" x14ac:dyDescent="0.2">
      <c r="A16" s="121">
        <f t="shared" si="0"/>
        <v>8</v>
      </c>
      <c r="B16" s="150" t="s">
        <v>159</v>
      </c>
      <c r="C16" s="145">
        <f>'Rate Impacts'!C15</f>
        <v>29</v>
      </c>
      <c r="D16" s="144">
        <f>'Rate Impacts'!H15</f>
        <v>1.6720000000000001E-3</v>
      </c>
      <c r="E16" s="144">
        <f>'Rate Impacts'!I15</f>
        <v>1.645E-3</v>
      </c>
      <c r="F16" s="134" t="str">
        <f t="shared" si="1"/>
        <v>Sheet No. 141A-A</v>
      </c>
    </row>
    <row r="17" spans="1:6" x14ac:dyDescent="0.2">
      <c r="A17" s="121">
        <f t="shared" si="0"/>
        <v>9</v>
      </c>
      <c r="B17" s="150"/>
      <c r="C17" s="147"/>
      <c r="D17" s="146"/>
      <c r="E17" s="146"/>
    </row>
    <row r="18" spans="1:6" x14ac:dyDescent="0.2">
      <c r="A18" s="121">
        <f t="shared" si="0"/>
        <v>10</v>
      </c>
      <c r="B18" s="151"/>
      <c r="C18" s="147"/>
      <c r="D18" s="144"/>
      <c r="E18" s="144"/>
    </row>
    <row r="19" spans="1:6" x14ac:dyDescent="0.2">
      <c r="A19" s="121">
        <f t="shared" si="0"/>
        <v>11</v>
      </c>
      <c r="B19" s="151" t="s">
        <v>80</v>
      </c>
      <c r="C19" s="145"/>
      <c r="D19" s="144"/>
      <c r="E19" s="144"/>
    </row>
    <row r="20" spans="1:6" x14ac:dyDescent="0.2">
      <c r="A20" s="121">
        <f t="shared" si="0"/>
        <v>12</v>
      </c>
      <c r="B20" s="150" t="s">
        <v>82</v>
      </c>
      <c r="C20" s="145" t="str">
        <f>'Rate Impacts'!C19</f>
        <v>10 (31)</v>
      </c>
      <c r="D20" s="144">
        <f>'Rate Impacts'!H19</f>
        <v>1.518E-3</v>
      </c>
      <c r="E20" s="144">
        <f>'Rate Impacts'!I19</f>
        <v>1.619E-3</v>
      </c>
      <c r="F20" s="134" t="str">
        <f>F16</f>
        <v>Sheet No. 141A-A</v>
      </c>
    </row>
    <row r="21" spans="1:6" x14ac:dyDescent="0.2">
      <c r="A21" s="121">
        <f t="shared" si="0"/>
        <v>13</v>
      </c>
      <c r="B21" s="150" t="s">
        <v>158</v>
      </c>
      <c r="C21" s="145">
        <f>'Rate Impacts'!C20</f>
        <v>35</v>
      </c>
      <c r="D21" s="144">
        <f>'Rate Impacts'!H20</f>
        <v>1.6299999999999999E-3</v>
      </c>
      <c r="E21" s="144">
        <f>'Rate Impacts'!I20</f>
        <v>1.263E-3</v>
      </c>
      <c r="F21" s="106" t="s">
        <v>102</v>
      </c>
    </row>
    <row r="22" spans="1:6" x14ac:dyDescent="0.2">
      <c r="A22" s="121">
        <f t="shared" si="0"/>
        <v>14</v>
      </c>
      <c r="B22" s="150" t="s">
        <v>157</v>
      </c>
      <c r="C22" s="145">
        <f>'Rate Impacts'!C21</f>
        <v>43</v>
      </c>
      <c r="D22" s="144">
        <f>'Rate Impacts'!H21</f>
        <v>1.493E-3</v>
      </c>
      <c r="E22" s="144">
        <f>'Rate Impacts'!I21</f>
        <v>1.748E-3</v>
      </c>
      <c r="F22" s="134" t="str">
        <f>$F$21</f>
        <v>Sheet No. 141A-B</v>
      </c>
    </row>
    <row r="23" spans="1:6" x14ac:dyDescent="0.2">
      <c r="A23" s="121">
        <f t="shared" si="0"/>
        <v>15</v>
      </c>
      <c r="B23" s="150"/>
      <c r="C23" s="147"/>
      <c r="D23" s="146"/>
      <c r="E23" s="146"/>
    </row>
    <row r="24" spans="1:6" x14ac:dyDescent="0.2">
      <c r="A24" s="121">
        <f t="shared" si="0"/>
        <v>16</v>
      </c>
      <c r="B24" s="151"/>
      <c r="C24" s="147"/>
      <c r="D24" s="144"/>
      <c r="E24" s="144"/>
    </row>
    <row r="25" spans="1:6" x14ac:dyDescent="0.2">
      <c r="A25" s="121">
        <f t="shared" si="0"/>
        <v>17</v>
      </c>
      <c r="B25" s="151" t="s">
        <v>156</v>
      </c>
      <c r="C25" s="145"/>
      <c r="D25" s="144"/>
      <c r="E25" s="144"/>
    </row>
    <row r="26" spans="1:6" x14ac:dyDescent="0.2">
      <c r="A26" s="121">
        <f t="shared" si="0"/>
        <v>18</v>
      </c>
      <c r="B26" s="150" t="s">
        <v>155</v>
      </c>
      <c r="C26" s="145">
        <f>'Rate Impacts'!C25</f>
        <v>46</v>
      </c>
      <c r="D26" s="144">
        <f>'Rate Impacts'!H25</f>
        <v>1.5560000000000001E-3</v>
      </c>
      <c r="E26" s="144">
        <f>'Rate Impacts'!I25</f>
        <v>1.6479999999999999E-3</v>
      </c>
      <c r="F26" s="134" t="str">
        <f t="shared" ref="F26:F27" si="2">$F$21</f>
        <v>Sheet No. 141A-B</v>
      </c>
    </row>
    <row r="27" spans="1:6" x14ac:dyDescent="0.2">
      <c r="A27" s="121">
        <f t="shared" si="0"/>
        <v>19</v>
      </c>
      <c r="B27" s="150" t="s">
        <v>82</v>
      </c>
      <c r="C27" s="145">
        <f>'Rate Impacts'!C26</f>
        <v>49</v>
      </c>
      <c r="D27" s="144">
        <f>'Rate Impacts'!H26</f>
        <v>1.5560000000000001E-3</v>
      </c>
      <c r="E27" s="144">
        <f>'Rate Impacts'!I26</f>
        <v>1.6410000000000001E-3</v>
      </c>
      <c r="F27" s="134" t="str">
        <f t="shared" si="2"/>
        <v>Sheet No. 141A-B</v>
      </c>
    </row>
    <row r="28" spans="1:6" x14ac:dyDescent="0.2">
      <c r="A28" s="121">
        <f t="shared" si="0"/>
        <v>20</v>
      </c>
      <c r="B28" s="150"/>
      <c r="C28" s="147"/>
      <c r="D28" s="146"/>
      <c r="E28" s="146"/>
    </row>
    <row r="29" spans="1:6" x14ac:dyDescent="0.2">
      <c r="A29" s="121">
        <f t="shared" si="0"/>
        <v>21</v>
      </c>
      <c r="B29" s="141"/>
      <c r="C29" s="145"/>
      <c r="D29" s="144"/>
      <c r="E29" s="144"/>
    </row>
    <row r="30" spans="1:6" x14ac:dyDescent="0.2">
      <c r="A30" s="121">
        <f t="shared" si="0"/>
        <v>22</v>
      </c>
      <c r="B30" s="142" t="s">
        <v>154</v>
      </c>
      <c r="C30" s="145" t="str">
        <f>'Rate Impacts'!$C$29</f>
        <v>448 - 459</v>
      </c>
      <c r="D30" s="148">
        <f>'Rate Impacts'!H29</f>
        <v>0</v>
      </c>
      <c r="E30" s="148">
        <f>'Rate Impacts'!I29</f>
        <v>0</v>
      </c>
      <c r="F30" s="134"/>
    </row>
    <row r="31" spans="1:6" x14ac:dyDescent="0.2">
      <c r="A31" s="121">
        <f t="shared" si="0"/>
        <v>23</v>
      </c>
      <c r="B31" s="149" t="s">
        <v>153</v>
      </c>
      <c r="C31" s="145" t="str">
        <f>'Rate Impacts'!$C$31</f>
        <v>Special Contract</v>
      </c>
      <c r="D31" s="148">
        <f>'Rate Impacts'!H31</f>
        <v>0</v>
      </c>
      <c r="E31" s="148">
        <f>'Rate Impacts'!I31</f>
        <v>0</v>
      </c>
      <c r="F31" s="134" t="str">
        <f>F27</f>
        <v>Sheet No. 141A-B</v>
      </c>
    </row>
    <row r="32" spans="1:6" x14ac:dyDescent="0.2">
      <c r="A32" s="121">
        <f t="shared" si="0"/>
        <v>24</v>
      </c>
      <c r="B32" s="142" t="s">
        <v>91</v>
      </c>
      <c r="C32" s="145" t="str">
        <f>'Rate Impacts'!$C$33</f>
        <v>50 - 59</v>
      </c>
      <c r="D32" s="125">
        <f>'Rate Impacts'!H33</f>
        <v>1.7960000000000001E-3</v>
      </c>
      <c r="E32" s="125">
        <f>'Rate Impacts'!I33</f>
        <v>1.946E-3</v>
      </c>
      <c r="F32" s="143" t="s">
        <v>225</v>
      </c>
    </row>
    <row r="33" spans="1:5" x14ac:dyDescent="0.2">
      <c r="A33" s="121">
        <f t="shared" si="0"/>
        <v>25</v>
      </c>
      <c r="B33" s="142"/>
      <c r="C33" s="145"/>
      <c r="D33" s="144"/>
      <c r="E33" s="144"/>
    </row>
    <row r="34" spans="1:5" x14ac:dyDescent="0.2">
      <c r="A34" s="121">
        <f t="shared" si="0"/>
        <v>26</v>
      </c>
      <c r="B34" s="142" t="s">
        <v>152</v>
      </c>
      <c r="C34" s="147"/>
      <c r="D34" s="146"/>
      <c r="E34" s="146"/>
    </row>
    <row r="35" spans="1:5" x14ac:dyDescent="0.2">
      <c r="A35" s="121">
        <f t="shared" si="0"/>
        <v>27</v>
      </c>
      <c r="B35" s="141"/>
      <c r="C35" s="145"/>
      <c r="D35" s="144"/>
      <c r="E35" s="144"/>
    </row>
    <row r="36" spans="1:5" x14ac:dyDescent="0.2">
      <c r="A36" s="121">
        <f t="shared" si="0"/>
        <v>28</v>
      </c>
      <c r="B36" s="142" t="s">
        <v>93</v>
      </c>
      <c r="C36" s="143">
        <v>5</v>
      </c>
      <c r="D36" s="125">
        <f>'Rate Impacts'!H35</f>
        <v>1.7719999999999999E-3</v>
      </c>
      <c r="E36" s="125">
        <f>'Rate Impacts'!I35</f>
        <v>1.642E-3</v>
      </c>
    </row>
    <row r="37" spans="1:5" x14ac:dyDescent="0.2">
      <c r="A37" s="121">
        <f t="shared" si="0"/>
        <v>29</v>
      </c>
      <c r="B37" s="142"/>
      <c r="C37" s="126"/>
      <c r="D37" s="125"/>
      <c r="E37" s="125"/>
    </row>
    <row r="38" spans="1:5" ht="12" thickBot="1" x14ac:dyDescent="0.25">
      <c r="A38" s="121">
        <f t="shared" si="0"/>
        <v>30</v>
      </c>
      <c r="B38" s="142"/>
      <c r="C38" s="123"/>
      <c r="D38" s="122"/>
      <c r="E38" s="122"/>
    </row>
    <row r="39" spans="1:5" ht="12" thickTop="1" x14ac:dyDescent="0.2">
      <c r="A39" s="121">
        <f t="shared" si="0"/>
        <v>31</v>
      </c>
      <c r="B39" s="141"/>
      <c r="C39" s="126"/>
      <c r="D39" s="125"/>
      <c r="E39" s="125"/>
    </row>
    <row r="40" spans="1:5" x14ac:dyDescent="0.2">
      <c r="A40" s="121">
        <f t="shared" si="0"/>
        <v>32</v>
      </c>
      <c r="B40" s="134"/>
      <c r="C40" s="126"/>
      <c r="D40" s="125"/>
      <c r="E40" s="125"/>
    </row>
    <row r="41" spans="1:5" x14ac:dyDescent="0.2">
      <c r="A41" s="121">
        <f t="shared" si="0"/>
        <v>33</v>
      </c>
      <c r="B41" s="140" t="s">
        <v>151</v>
      </c>
      <c r="C41" s="139"/>
      <c r="D41" s="138"/>
      <c r="E41" s="138"/>
    </row>
    <row r="42" spans="1:5" x14ac:dyDescent="0.2">
      <c r="A42" s="121">
        <f t="shared" ref="A42:A70" si="3">+A41+1</f>
        <v>34</v>
      </c>
      <c r="B42" s="127" t="str">
        <f>B10</f>
        <v>Residential</v>
      </c>
      <c r="C42" s="129" t="str">
        <f>C10</f>
        <v>7 (307) (317) (327)</v>
      </c>
      <c r="D42" s="130"/>
      <c r="E42" s="130"/>
    </row>
    <row r="43" spans="1:5" x14ac:dyDescent="0.2">
      <c r="A43" s="121">
        <f t="shared" si="3"/>
        <v>35</v>
      </c>
      <c r="B43" s="127"/>
      <c r="C43" s="129"/>
      <c r="D43" s="128"/>
      <c r="E43" s="128"/>
    </row>
    <row r="44" spans="1:5" x14ac:dyDescent="0.2">
      <c r="A44" s="121">
        <f t="shared" si="3"/>
        <v>36</v>
      </c>
      <c r="B44" s="127" t="str">
        <f>B12</f>
        <v>Secondary Voltage</v>
      </c>
      <c r="C44" s="129"/>
      <c r="D44" s="128"/>
      <c r="E44" s="128"/>
    </row>
    <row r="45" spans="1:5" x14ac:dyDescent="0.2">
      <c r="A45" s="121">
        <f t="shared" si="3"/>
        <v>37</v>
      </c>
      <c r="B45" s="135" t="str">
        <f>B13</f>
        <v>General Service: Demand &lt;= 50 kW</v>
      </c>
      <c r="C45" s="129" t="str">
        <f>C13</f>
        <v>08 (24) (324)</v>
      </c>
      <c r="D45" s="128"/>
      <c r="E45" s="128"/>
    </row>
    <row r="46" spans="1:5" x14ac:dyDescent="0.2">
      <c r="A46" s="121">
        <f t="shared" si="3"/>
        <v>38</v>
      </c>
      <c r="B46" s="135" t="str">
        <f>B14</f>
        <v>Small General Service: Demand &gt; 50 kW but &lt;= 350 kW</v>
      </c>
      <c r="C46" s="134" t="str">
        <f>C14</f>
        <v>7A (11) (25)</v>
      </c>
      <c r="D46" s="133"/>
      <c r="E46" s="133"/>
    </row>
    <row r="47" spans="1:5" x14ac:dyDescent="0.2">
      <c r="A47" s="121">
        <f t="shared" si="3"/>
        <v>39</v>
      </c>
      <c r="B47" s="135" t="str">
        <f>B15</f>
        <v>Large General Service: Demand &gt; 350 kW</v>
      </c>
      <c r="C47" s="134" t="str">
        <f>C15</f>
        <v>12 (26) (26P)</v>
      </c>
      <c r="D47" s="133"/>
      <c r="E47" s="133"/>
    </row>
    <row r="48" spans="1:5" x14ac:dyDescent="0.2">
      <c r="A48" s="121">
        <f t="shared" si="3"/>
        <v>40</v>
      </c>
      <c r="B48" s="135" t="str">
        <f>B16</f>
        <v>Irrigation &amp; Pumping Service: Demand &gt; 50 kW but &lt;= 350 kW</v>
      </c>
      <c r="C48" s="134">
        <f>C16</f>
        <v>29</v>
      </c>
      <c r="D48" s="133"/>
      <c r="E48" s="133"/>
    </row>
    <row r="49" spans="1:5" x14ac:dyDescent="0.2">
      <c r="A49" s="121">
        <f t="shared" si="3"/>
        <v>41</v>
      </c>
      <c r="B49" s="132"/>
      <c r="C49" s="136"/>
      <c r="D49" s="137"/>
      <c r="E49" s="137"/>
    </row>
    <row r="50" spans="1:5" x14ac:dyDescent="0.2">
      <c r="A50" s="121">
        <f t="shared" si="3"/>
        <v>42</v>
      </c>
      <c r="B50" s="132"/>
      <c r="C50" s="136"/>
      <c r="D50" s="133"/>
      <c r="E50" s="133"/>
    </row>
    <row r="51" spans="1:5" x14ac:dyDescent="0.2">
      <c r="A51" s="121">
        <f t="shared" si="3"/>
        <v>43</v>
      </c>
      <c r="B51" s="127" t="str">
        <f>B19</f>
        <v>Primary Voltage</v>
      </c>
      <c r="C51" s="134"/>
      <c r="D51" s="133"/>
      <c r="E51" s="133"/>
    </row>
    <row r="52" spans="1:5" x14ac:dyDescent="0.2">
      <c r="A52" s="121">
        <f t="shared" si="3"/>
        <v>44</v>
      </c>
      <c r="B52" s="135" t="str">
        <f>B20</f>
        <v>General Service</v>
      </c>
      <c r="C52" s="134" t="str">
        <f>C20</f>
        <v>10 (31)</v>
      </c>
      <c r="D52" s="133"/>
      <c r="E52" s="133"/>
    </row>
    <row r="53" spans="1:5" x14ac:dyDescent="0.2">
      <c r="A53" s="121">
        <f t="shared" si="3"/>
        <v>45</v>
      </c>
      <c r="B53" s="135" t="str">
        <f>B21</f>
        <v>Irrigation &amp; Pumping Service</v>
      </c>
      <c r="C53" s="134">
        <f>C21</f>
        <v>35</v>
      </c>
      <c r="D53" s="133"/>
      <c r="E53" s="133"/>
    </row>
    <row r="54" spans="1:5" x14ac:dyDescent="0.2">
      <c r="A54" s="121">
        <f t="shared" si="3"/>
        <v>46</v>
      </c>
      <c r="B54" s="135" t="str">
        <f>B22</f>
        <v>All Electric Schools</v>
      </c>
      <c r="C54" s="134">
        <f>C22</f>
        <v>43</v>
      </c>
      <c r="D54" s="133"/>
      <c r="E54" s="133"/>
    </row>
    <row r="55" spans="1:5" x14ac:dyDescent="0.2">
      <c r="A55" s="121">
        <f t="shared" si="3"/>
        <v>47</v>
      </c>
      <c r="B55" s="132"/>
      <c r="C55" s="136"/>
      <c r="D55" s="137"/>
      <c r="E55" s="137"/>
    </row>
    <row r="56" spans="1:5" x14ac:dyDescent="0.2">
      <c r="A56" s="121">
        <f t="shared" si="3"/>
        <v>48</v>
      </c>
      <c r="B56" s="132"/>
      <c r="C56" s="136"/>
      <c r="D56" s="133"/>
      <c r="E56" s="133"/>
    </row>
    <row r="57" spans="1:5" x14ac:dyDescent="0.2">
      <c r="A57" s="121">
        <f t="shared" si="3"/>
        <v>49</v>
      </c>
      <c r="B57" s="127" t="str">
        <f>B25</f>
        <v>High Voltage</v>
      </c>
      <c r="C57" s="134"/>
      <c r="D57" s="133"/>
      <c r="E57" s="133"/>
    </row>
    <row r="58" spans="1:5" x14ac:dyDescent="0.2">
      <c r="A58" s="121">
        <f t="shared" si="3"/>
        <v>50</v>
      </c>
      <c r="B58" s="135" t="str">
        <f>B26</f>
        <v>Interruptible Service</v>
      </c>
      <c r="C58" s="134">
        <f>C26</f>
        <v>46</v>
      </c>
      <c r="D58" s="133"/>
      <c r="E58" s="133"/>
    </row>
    <row r="59" spans="1:5" x14ac:dyDescent="0.2">
      <c r="A59" s="121">
        <f t="shared" si="3"/>
        <v>51</v>
      </c>
      <c r="B59" s="135" t="str">
        <f>B27</f>
        <v>General Service</v>
      </c>
      <c r="C59" s="134">
        <f>C27</f>
        <v>49</v>
      </c>
      <c r="D59" s="133"/>
      <c r="E59" s="133"/>
    </row>
    <row r="60" spans="1:5" x14ac:dyDescent="0.2">
      <c r="A60" s="121">
        <f t="shared" si="3"/>
        <v>52</v>
      </c>
      <c r="B60" s="124"/>
      <c r="C60" s="131"/>
      <c r="D60" s="130"/>
      <c r="E60" s="130"/>
    </row>
    <row r="61" spans="1:5" x14ac:dyDescent="0.2">
      <c r="A61" s="121">
        <f t="shared" si="3"/>
        <v>53</v>
      </c>
      <c r="B61" s="127"/>
      <c r="C61" s="129"/>
      <c r="D61" s="128"/>
      <c r="E61" s="128"/>
    </row>
    <row r="62" spans="1:5" x14ac:dyDescent="0.2">
      <c r="A62" s="121">
        <f t="shared" si="3"/>
        <v>54</v>
      </c>
      <c r="B62" s="132" t="str">
        <f t="shared" ref="B62:C64" si="4">B30</f>
        <v>Choice / Retail Wheeling</v>
      </c>
      <c r="C62" s="129" t="str">
        <f t="shared" si="4"/>
        <v>448 - 459</v>
      </c>
      <c r="D62" s="128"/>
      <c r="E62" s="128"/>
    </row>
    <row r="63" spans="1:5" x14ac:dyDescent="0.2">
      <c r="A63" s="121">
        <f t="shared" si="3"/>
        <v>55</v>
      </c>
      <c r="B63" s="127" t="str">
        <f t="shared" si="4"/>
        <v>Special Contracts</v>
      </c>
      <c r="C63" s="129" t="str">
        <f t="shared" si="4"/>
        <v>Special Contract</v>
      </c>
      <c r="D63" s="128"/>
      <c r="E63" s="128"/>
    </row>
    <row r="64" spans="1:5" x14ac:dyDescent="0.2">
      <c r="A64" s="121">
        <f t="shared" si="3"/>
        <v>56</v>
      </c>
      <c r="B64" s="127" t="str">
        <f t="shared" si="4"/>
        <v>Lighting</v>
      </c>
      <c r="C64" s="129" t="str">
        <f t="shared" si="4"/>
        <v>50 - 59</v>
      </c>
      <c r="D64" s="128"/>
      <c r="E64" s="128"/>
    </row>
    <row r="65" spans="1:12" x14ac:dyDescent="0.2">
      <c r="A65" s="121">
        <f t="shared" si="3"/>
        <v>57</v>
      </c>
      <c r="B65" s="127"/>
      <c r="C65" s="129"/>
      <c r="D65" s="128"/>
      <c r="E65" s="128"/>
    </row>
    <row r="66" spans="1:12" x14ac:dyDescent="0.2">
      <c r="A66" s="121">
        <f t="shared" si="3"/>
        <v>58</v>
      </c>
      <c r="B66" s="124" t="str">
        <f>B34</f>
        <v>Total Retail Sales</v>
      </c>
      <c r="C66" s="131"/>
      <c r="D66" s="130"/>
      <c r="E66" s="130"/>
    </row>
    <row r="67" spans="1:12" x14ac:dyDescent="0.2">
      <c r="A67" s="121">
        <f t="shared" si="3"/>
        <v>59</v>
      </c>
      <c r="B67" s="127"/>
      <c r="C67" s="129"/>
      <c r="D67" s="128"/>
      <c r="E67" s="128"/>
    </row>
    <row r="68" spans="1:12" x14ac:dyDescent="0.2">
      <c r="A68" s="121">
        <f t="shared" si="3"/>
        <v>60</v>
      </c>
      <c r="B68" s="127" t="str">
        <f>B36</f>
        <v>Firm Resale</v>
      </c>
      <c r="C68" s="129">
        <f>C36</f>
        <v>5</v>
      </c>
      <c r="D68" s="128"/>
      <c r="E68" s="128"/>
    </row>
    <row r="69" spans="1:12" x14ac:dyDescent="0.2">
      <c r="A69" s="121">
        <f t="shared" si="3"/>
        <v>61</v>
      </c>
      <c r="B69" s="127"/>
      <c r="C69" s="126"/>
      <c r="D69" s="125"/>
      <c r="E69" s="125"/>
    </row>
    <row r="70" spans="1:12" ht="12" thickBot="1" x14ac:dyDescent="0.25">
      <c r="A70" s="121">
        <f t="shared" si="3"/>
        <v>62</v>
      </c>
      <c r="B70" s="124"/>
      <c r="C70" s="123"/>
      <c r="D70" s="122"/>
      <c r="E70" s="122"/>
    </row>
    <row r="71" spans="1:12" ht="12" thickTop="1" x14ac:dyDescent="0.2">
      <c r="A71" s="121"/>
    </row>
    <row r="72" spans="1:12" x14ac:dyDescent="0.2">
      <c r="A72" s="121"/>
      <c r="B72" s="120"/>
      <c r="C72" s="120"/>
      <c r="D72" s="120"/>
      <c r="E72" s="120"/>
      <c r="F72" s="120"/>
      <c r="G72" s="120"/>
      <c r="H72" s="120"/>
      <c r="I72" s="120"/>
      <c r="J72" s="120"/>
      <c r="K72" s="120"/>
      <c r="L72" s="120"/>
    </row>
  </sheetData>
  <pageMargins left="0.7" right="0.7" top="0.75" bottom="0.75" header="0.3" footer="0.3"/>
  <pageSetup orientation="landscape" r:id="rId1"/>
  <headerFooter>
    <oddHeader>&amp;RElectric Schedule 120 Rate Design Workpapers
Page &amp;P of &amp;N</oddHeader>
    <oddFooter>&amp;L&amp;F
&amp;A&amp;R&amp;D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M164"/>
  <sheetViews>
    <sheetView zoomScaleNormal="100" workbookViewId="0">
      <pane ySplit="6" topLeftCell="A7" activePane="bottomLeft" state="frozen"/>
      <selection activeCell="L19" sqref="L19"/>
      <selection pane="bottomLeft" activeCell="D28" sqref="D28"/>
    </sheetView>
  </sheetViews>
  <sheetFormatPr defaultColWidth="8.85546875" defaultRowHeight="11.25" x14ac:dyDescent="0.2"/>
  <cols>
    <col min="1" max="1" width="6.7109375" style="4" bestFit="1" customWidth="1"/>
    <col min="2" max="2" width="30.5703125" style="4" customWidth="1"/>
    <col min="3" max="3" width="11.5703125" style="4" bestFit="1" customWidth="1"/>
    <col min="4" max="4" width="12.140625" style="4" customWidth="1"/>
    <col min="5" max="5" width="18.28515625" style="4" bestFit="1" customWidth="1"/>
    <col min="6" max="16384" width="8.85546875" style="4"/>
  </cols>
  <sheetData>
    <row r="1" spans="1:5" x14ac:dyDescent="0.2">
      <c r="A1" s="2" t="str">
        <f>'Sch 141A Rates'!A1</f>
        <v>PUGET SOUND ENERGY</v>
      </c>
      <c r="B1" s="2"/>
      <c r="C1" s="2"/>
      <c r="D1" s="3"/>
      <c r="E1" s="2"/>
    </row>
    <row r="2" spans="1:5" x14ac:dyDescent="0.2">
      <c r="A2" s="2" t="str">
        <f>'Sch 141A Rates'!A2</f>
        <v>Schedule 141A Energy Charge Credit Recovery Adjustment</v>
      </c>
      <c r="B2" s="2"/>
      <c r="C2" s="2"/>
      <c r="D2" s="3"/>
      <c r="E2" s="2"/>
    </row>
    <row r="3" spans="1:5" x14ac:dyDescent="0.2">
      <c r="A3" s="2" t="str">
        <f>'Sch 141A Rates'!A3</f>
        <v>Effective January 1, 2025 - December 31, 2025</v>
      </c>
      <c r="B3" s="2"/>
      <c r="C3" s="2"/>
      <c r="D3" s="3"/>
      <c r="E3" s="2"/>
    </row>
    <row r="4" spans="1:5" x14ac:dyDescent="0.2">
      <c r="A4" s="117" t="s">
        <v>150</v>
      </c>
      <c r="B4" s="117"/>
      <c r="C4" s="117"/>
      <c r="D4" s="118"/>
      <c r="E4" s="117"/>
    </row>
    <row r="5" spans="1:5" x14ac:dyDescent="0.2">
      <c r="A5" s="2" t="s">
        <v>146</v>
      </c>
      <c r="B5" s="2"/>
      <c r="C5" s="2"/>
      <c r="D5" s="3"/>
      <c r="E5" s="2"/>
    </row>
    <row r="6" spans="1:5" ht="22.5" x14ac:dyDescent="0.2">
      <c r="A6" s="113" t="s">
        <v>0</v>
      </c>
      <c r="B6" s="116" t="s">
        <v>149</v>
      </c>
      <c r="C6" s="115" t="s">
        <v>148</v>
      </c>
      <c r="D6" s="114" t="s">
        <v>147</v>
      </c>
      <c r="E6" s="113" t="s">
        <v>59</v>
      </c>
    </row>
    <row r="7" spans="1:5" x14ac:dyDescent="0.2">
      <c r="A7" s="102">
        <v>1</v>
      </c>
      <c r="B7" s="2" t="s">
        <v>146</v>
      </c>
      <c r="C7" s="3"/>
      <c r="D7" s="111"/>
      <c r="E7" s="13"/>
    </row>
    <row r="8" spans="1:5" ht="13.5" x14ac:dyDescent="0.35">
      <c r="A8" s="102">
        <f t="shared" ref="A8:A39" si="0">A7+1</f>
        <v>2</v>
      </c>
      <c r="B8" s="109" t="s">
        <v>145</v>
      </c>
      <c r="C8" s="14"/>
      <c r="E8" s="13"/>
    </row>
    <row r="9" spans="1:5" x14ac:dyDescent="0.2">
      <c r="A9" s="102">
        <f t="shared" si="0"/>
        <v>3</v>
      </c>
      <c r="B9" s="5" t="s">
        <v>144</v>
      </c>
      <c r="C9" s="104">
        <v>22</v>
      </c>
      <c r="D9" s="103">
        <f>ROUND('Lighting RD'!F11,2)</f>
        <v>0.02</v>
      </c>
      <c r="E9" s="106" t="s">
        <v>217</v>
      </c>
    </row>
    <row r="10" spans="1:5" x14ac:dyDescent="0.2">
      <c r="A10" s="102">
        <f t="shared" si="0"/>
        <v>4</v>
      </c>
      <c r="B10" s="5"/>
      <c r="C10" s="112"/>
      <c r="D10" s="103"/>
      <c r="E10" s="107"/>
    </row>
    <row r="11" spans="1:5" x14ac:dyDescent="0.2">
      <c r="A11" s="102">
        <f t="shared" si="0"/>
        <v>5</v>
      </c>
      <c r="B11" s="5" t="s">
        <v>143</v>
      </c>
      <c r="C11" s="104">
        <v>100</v>
      </c>
      <c r="D11" s="103">
        <f>ROUND('Lighting RD'!F13,2)</f>
        <v>7.0000000000000007E-2</v>
      </c>
      <c r="E11" s="12" t="str">
        <f>$E$9</f>
        <v>Sheet No. 141A-C</v>
      </c>
    </row>
    <row r="12" spans="1:5" x14ac:dyDescent="0.2">
      <c r="A12" s="102">
        <f t="shared" si="0"/>
        <v>6</v>
      </c>
      <c r="B12" s="5" t="s">
        <v>143</v>
      </c>
      <c r="C12" s="104">
        <v>175</v>
      </c>
      <c r="D12" s="103">
        <f>ROUND('Lighting RD'!F14,2)</f>
        <v>0.13</v>
      </c>
      <c r="E12" s="12" t="str">
        <f>$E$9</f>
        <v>Sheet No. 141A-C</v>
      </c>
    </row>
    <row r="13" spans="1:5" x14ac:dyDescent="0.2">
      <c r="A13" s="102">
        <f t="shared" si="0"/>
        <v>7</v>
      </c>
      <c r="B13" s="5" t="s">
        <v>143</v>
      </c>
      <c r="C13" s="104">
        <v>400</v>
      </c>
      <c r="D13" s="103">
        <f>ROUND('Lighting RD'!F15,2)</f>
        <v>0.3</v>
      </c>
      <c r="E13" s="12" t="str">
        <f>$E$9</f>
        <v>Sheet No. 141A-C</v>
      </c>
    </row>
    <row r="14" spans="1:5" x14ac:dyDescent="0.2">
      <c r="A14" s="102">
        <f t="shared" si="0"/>
        <v>8</v>
      </c>
      <c r="B14" s="5" t="s">
        <v>143</v>
      </c>
      <c r="C14" s="104">
        <v>700</v>
      </c>
      <c r="D14" s="103">
        <f>ROUND('Lighting RD'!F16,2)</f>
        <v>0.52</v>
      </c>
      <c r="E14" s="12" t="str">
        <f>$E$9</f>
        <v>Sheet No. 141A-C</v>
      </c>
    </row>
    <row r="15" spans="1:5" x14ac:dyDescent="0.2">
      <c r="A15" s="102">
        <f t="shared" si="0"/>
        <v>9</v>
      </c>
      <c r="B15" s="6"/>
      <c r="C15" s="13"/>
      <c r="D15" s="103"/>
      <c r="E15" s="107"/>
    </row>
    <row r="16" spans="1:5" ht="13.5" x14ac:dyDescent="0.35">
      <c r="A16" s="102">
        <f t="shared" si="0"/>
        <v>10</v>
      </c>
      <c r="B16" s="109" t="s">
        <v>142</v>
      </c>
      <c r="C16" s="13"/>
      <c r="D16" s="103"/>
      <c r="E16" s="107"/>
    </row>
    <row r="17" spans="1:5" x14ac:dyDescent="0.2">
      <c r="A17" s="102">
        <f t="shared" si="0"/>
        <v>11</v>
      </c>
      <c r="B17" s="5" t="s">
        <v>141</v>
      </c>
      <c r="C17" s="13" t="s">
        <v>51</v>
      </c>
      <c r="D17" s="103">
        <f>ROUND('Lighting RD'!F19,2)</f>
        <v>0.01</v>
      </c>
      <c r="E17" s="106" t="s">
        <v>217</v>
      </c>
    </row>
    <row r="18" spans="1:5" x14ac:dyDescent="0.2">
      <c r="A18" s="102">
        <f t="shared" si="0"/>
        <v>12</v>
      </c>
      <c r="B18" s="5" t="s">
        <v>141</v>
      </c>
      <c r="C18" s="105" t="s">
        <v>52</v>
      </c>
      <c r="D18" s="103">
        <f>ROUND('Lighting RD'!F20,2)</f>
        <v>0.03</v>
      </c>
      <c r="E18" s="12" t="str">
        <f t="shared" ref="E18:E26" si="1">$E$17</f>
        <v>Sheet No. 141A-C</v>
      </c>
    </row>
    <row r="19" spans="1:5" x14ac:dyDescent="0.2">
      <c r="A19" s="102">
        <f t="shared" si="0"/>
        <v>13</v>
      </c>
      <c r="B19" s="5" t="s">
        <v>141</v>
      </c>
      <c r="C19" s="104" t="s">
        <v>16</v>
      </c>
      <c r="D19" s="103">
        <f>ROUND('Lighting RD'!F21,2)</f>
        <v>0.06</v>
      </c>
      <c r="E19" s="12" t="str">
        <f t="shared" si="1"/>
        <v>Sheet No. 141A-C</v>
      </c>
    </row>
    <row r="20" spans="1:5" x14ac:dyDescent="0.2">
      <c r="A20" s="102">
        <f t="shared" si="0"/>
        <v>14</v>
      </c>
      <c r="B20" s="5" t="s">
        <v>141</v>
      </c>
      <c r="C20" s="104" t="s">
        <v>17</v>
      </c>
      <c r="D20" s="103">
        <f>ROUND('Lighting RD'!F22,2)</f>
        <v>0.08</v>
      </c>
      <c r="E20" s="12" t="str">
        <f t="shared" si="1"/>
        <v>Sheet No. 141A-C</v>
      </c>
    </row>
    <row r="21" spans="1:5" x14ac:dyDescent="0.2">
      <c r="A21" s="102">
        <f t="shared" si="0"/>
        <v>15</v>
      </c>
      <c r="B21" s="5" t="s">
        <v>141</v>
      </c>
      <c r="C21" s="104" t="s">
        <v>18</v>
      </c>
      <c r="D21" s="103">
        <f>ROUND('Lighting RD'!F23,2)</f>
        <v>0.1</v>
      </c>
      <c r="E21" s="12" t="str">
        <f t="shared" si="1"/>
        <v>Sheet No. 141A-C</v>
      </c>
    </row>
    <row r="22" spans="1:5" x14ac:dyDescent="0.2">
      <c r="A22" s="102">
        <f t="shared" si="0"/>
        <v>16</v>
      </c>
      <c r="B22" s="5" t="s">
        <v>141</v>
      </c>
      <c r="C22" s="104" t="s">
        <v>19</v>
      </c>
      <c r="D22" s="103">
        <f>ROUND('Lighting RD'!F24,2)</f>
        <v>0.12</v>
      </c>
      <c r="E22" s="12" t="str">
        <f t="shared" si="1"/>
        <v>Sheet No. 141A-C</v>
      </c>
    </row>
    <row r="23" spans="1:5" x14ac:dyDescent="0.2">
      <c r="A23" s="102">
        <f t="shared" si="0"/>
        <v>17</v>
      </c>
      <c r="B23" s="5" t="s">
        <v>141</v>
      </c>
      <c r="C23" s="104" t="s">
        <v>20</v>
      </c>
      <c r="D23" s="103">
        <f>ROUND('Lighting RD'!F25,2)</f>
        <v>0.14000000000000001</v>
      </c>
      <c r="E23" s="12" t="str">
        <f t="shared" si="1"/>
        <v>Sheet No. 141A-C</v>
      </c>
    </row>
    <row r="24" spans="1:5" x14ac:dyDescent="0.2">
      <c r="A24" s="102">
        <f t="shared" si="0"/>
        <v>18</v>
      </c>
      <c r="B24" s="5" t="s">
        <v>141</v>
      </c>
      <c r="C24" s="104" t="s">
        <v>21</v>
      </c>
      <c r="D24" s="103">
        <f>ROUND('Lighting RD'!F26,2)</f>
        <v>0.17</v>
      </c>
      <c r="E24" s="12" t="str">
        <f t="shared" si="1"/>
        <v>Sheet No. 141A-C</v>
      </c>
    </row>
    <row r="25" spans="1:5" x14ac:dyDescent="0.2">
      <c r="A25" s="102">
        <f t="shared" si="0"/>
        <v>19</v>
      </c>
      <c r="B25" s="5" t="s">
        <v>141</v>
      </c>
      <c r="C25" s="104" t="s">
        <v>22</v>
      </c>
      <c r="D25" s="103">
        <f>ROUND('Lighting RD'!F27,2)</f>
        <v>0.19</v>
      </c>
      <c r="E25" s="12" t="str">
        <f t="shared" si="1"/>
        <v>Sheet No. 141A-C</v>
      </c>
    </row>
    <row r="26" spans="1:5" x14ac:dyDescent="0.2">
      <c r="A26" s="102">
        <f t="shared" si="0"/>
        <v>20</v>
      </c>
      <c r="B26" s="5" t="s">
        <v>141</v>
      </c>
      <c r="C26" s="104" t="s">
        <v>23</v>
      </c>
      <c r="D26" s="103">
        <f>ROUND('Lighting RD'!F28,2)</f>
        <v>0.21</v>
      </c>
      <c r="E26" s="12" t="str">
        <f t="shared" si="1"/>
        <v>Sheet No. 141A-C</v>
      </c>
    </row>
    <row r="27" spans="1:5" x14ac:dyDescent="0.2">
      <c r="A27" s="102">
        <f t="shared" si="0"/>
        <v>21</v>
      </c>
      <c r="B27" s="5"/>
      <c r="C27" s="104"/>
      <c r="D27" s="103"/>
      <c r="E27" s="106"/>
    </row>
    <row r="28" spans="1:5" x14ac:dyDescent="0.2">
      <c r="A28" s="102">
        <f t="shared" si="0"/>
        <v>22</v>
      </c>
      <c r="B28" s="5" t="s">
        <v>140</v>
      </c>
      <c r="C28" s="104" t="s">
        <v>131</v>
      </c>
      <c r="D28" s="111">
        <f>ROUND('Lighting RD'!$F$29,6)</f>
        <v>1.946E-3</v>
      </c>
      <c r="E28" s="12" t="str">
        <f>$E$17</f>
        <v>Sheet No. 141A-C</v>
      </c>
    </row>
    <row r="29" spans="1:5" x14ac:dyDescent="0.2">
      <c r="A29" s="102">
        <f t="shared" si="0"/>
        <v>23</v>
      </c>
      <c r="B29" s="6"/>
      <c r="C29" s="13"/>
      <c r="D29" s="103"/>
      <c r="E29" s="107"/>
    </row>
    <row r="30" spans="1:5" ht="13.5" x14ac:dyDescent="0.35">
      <c r="A30" s="102">
        <f t="shared" si="0"/>
        <v>24</v>
      </c>
      <c r="B30" s="109" t="s">
        <v>139</v>
      </c>
      <c r="C30" s="13"/>
      <c r="D30" s="103"/>
      <c r="E30" s="107"/>
    </row>
    <row r="31" spans="1:5" x14ac:dyDescent="0.2">
      <c r="A31" s="102">
        <f t="shared" si="0"/>
        <v>25</v>
      </c>
      <c r="B31" s="5" t="s">
        <v>138</v>
      </c>
      <c r="C31" s="104">
        <v>50</v>
      </c>
      <c r="D31" s="103">
        <f>ROUND('Lighting RD'!F32,2)</f>
        <v>0.04</v>
      </c>
      <c r="E31" s="106" t="s">
        <v>218</v>
      </c>
    </row>
    <row r="32" spans="1:5" x14ac:dyDescent="0.2">
      <c r="A32" s="102">
        <f t="shared" si="0"/>
        <v>26</v>
      </c>
      <c r="B32" s="5" t="s">
        <v>138</v>
      </c>
      <c r="C32" s="104">
        <v>70</v>
      </c>
      <c r="D32" s="103">
        <f>ROUND('Lighting RD'!F33,2)</f>
        <v>0.05</v>
      </c>
      <c r="E32" s="12" t="str">
        <f t="shared" ref="E32:E38" si="2">$E$31</f>
        <v>Sheet No. 141A-D</v>
      </c>
    </row>
    <row r="33" spans="1:5" x14ac:dyDescent="0.2">
      <c r="A33" s="102">
        <f t="shared" si="0"/>
        <v>27</v>
      </c>
      <c r="B33" s="5" t="s">
        <v>138</v>
      </c>
      <c r="C33" s="104">
        <v>100</v>
      </c>
      <c r="D33" s="103">
        <f>ROUND('Lighting RD'!F34,2)</f>
        <v>7.0000000000000007E-2</v>
      </c>
      <c r="E33" s="12" t="str">
        <f t="shared" si="2"/>
        <v>Sheet No. 141A-D</v>
      </c>
    </row>
    <row r="34" spans="1:5" x14ac:dyDescent="0.2">
      <c r="A34" s="102">
        <f t="shared" si="0"/>
        <v>28</v>
      </c>
      <c r="B34" s="5" t="s">
        <v>138</v>
      </c>
      <c r="C34" s="104">
        <v>150</v>
      </c>
      <c r="D34" s="103">
        <f>ROUND('Lighting RD'!F35,2)</f>
        <v>0.11</v>
      </c>
      <c r="E34" s="12" t="str">
        <f t="shared" si="2"/>
        <v>Sheet No. 141A-D</v>
      </c>
    </row>
    <row r="35" spans="1:5" x14ac:dyDescent="0.2">
      <c r="A35" s="102">
        <f t="shared" si="0"/>
        <v>29</v>
      </c>
      <c r="B35" s="5" t="s">
        <v>138</v>
      </c>
      <c r="C35" s="104">
        <v>200</v>
      </c>
      <c r="D35" s="103">
        <f>ROUND('Lighting RD'!F36,2)</f>
        <v>0.15</v>
      </c>
      <c r="E35" s="12" t="str">
        <f t="shared" si="2"/>
        <v>Sheet No. 141A-D</v>
      </c>
    </row>
    <row r="36" spans="1:5" x14ac:dyDescent="0.2">
      <c r="A36" s="102">
        <f t="shared" si="0"/>
        <v>30</v>
      </c>
      <c r="B36" s="5" t="s">
        <v>138</v>
      </c>
      <c r="C36" s="104">
        <v>250</v>
      </c>
      <c r="D36" s="103">
        <f>ROUND('Lighting RD'!F37,2)</f>
        <v>0.18</v>
      </c>
      <c r="E36" s="12" t="str">
        <f t="shared" si="2"/>
        <v>Sheet No. 141A-D</v>
      </c>
    </row>
    <row r="37" spans="1:5" x14ac:dyDescent="0.2">
      <c r="A37" s="102">
        <f t="shared" si="0"/>
        <v>31</v>
      </c>
      <c r="B37" s="5" t="s">
        <v>138</v>
      </c>
      <c r="C37" s="104">
        <v>310</v>
      </c>
      <c r="D37" s="103">
        <f>ROUND('Lighting RD'!F38,2)</f>
        <v>0.23</v>
      </c>
      <c r="E37" s="12" t="str">
        <f t="shared" si="2"/>
        <v>Sheet No. 141A-D</v>
      </c>
    </row>
    <row r="38" spans="1:5" x14ac:dyDescent="0.2">
      <c r="A38" s="102">
        <f t="shared" si="0"/>
        <v>32</v>
      </c>
      <c r="B38" s="5" t="s">
        <v>138</v>
      </c>
      <c r="C38" s="104">
        <v>400</v>
      </c>
      <c r="D38" s="103">
        <f>ROUND('Lighting RD'!F39,2)</f>
        <v>0.3</v>
      </c>
      <c r="E38" s="12" t="str">
        <f t="shared" si="2"/>
        <v>Sheet No. 141A-D</v>
      </c>
    </row>
    <row r="39" spans="1:5" x14ac:dyDescent="0.2">
      <c r="A39" s="102">
        <f t="shared" si="0"/>
        <v>33</v>
      </c>
      <c r="B39" s="108"/>
      <c r="C39" s="104"/>
      <c r="D39" s="103"/>
      <c r="E39" s="107"/>
    </row>
    <row r="40" spans="1:5" x14ac:dyDescent="0.2">
      <c r="A40" s="102">
        <f t="shared" ref="A40:A71" si="3">A39+1</f>
        <v>34</v>
      </c>
      <c r="B40" s="5" t="s">
        <v>137</v>
      </c>
      <c r="C40" s="104">
        <v>70</v>
      </c>
      <c r="D40" s="103">
        <f>ROUND('Lighting RD'!F41,2)</f>
        <v>0.05</v>
      </c>
      <c r="E40" s="106" t="s">
        <v>218</v>
      </c>
    </row>
    <row r="41" spans="1:5" x14ac:dyDescent="0.2">
      <c r="A41" s="102">
        <f t="shared" si="3"/>
        <v>35</v>
      </c>
      <c r="B41" s="5" t="s">
        <v>137</v>
      </c>
      <c r="C41" s="104">
        <v>100</v>
      </c>
      <c r="D41" s="103">
        <f>ROUND('Lighting RD'!F42,2)</f>
        <v>7.0000000000000007E-2</v>
      </c>
      <c r="E41" s="12" t="str">
        <f t="shared" ref="E41:E46" si="4">$E$40</f>
        <v>Sheet No. 141A-D</v>
      </c>
    </row>
    <row r="42" spans="1:5" x14ac:dyDescent="0.2">
      <c r="A42" s="102">
        <f t="shared" si="3"/>
        <v>36</v>
      </c>
      <c r="B42" s="5" t="s">
        <v>137</v>
      </c>
      <c r="C42" s="104">
        <v>150</v>
      </c>
      <c r="D42" s="103">
        <f>ROUND('Lighting RD'!F43,2)</f>
        <v>0.11</v>
      </c>
      <c r="E42" s="12" t="str">
        <f t="shared" si="4"/>
        <v>Sheet No. 141A-D</v>
      </c>
    </row>
    <row r="43" spans="1:5" x14ac:dyDescent="0.2">
      <c r="A43" s="102">
        <f t="shared" si="3"/>
        <v>37</v>
      </c>
      <c r="B43" s="5" t="s">
        <v>137</v>
      </c>
      <c r="C43" s="104">
        <v>175</v>
      </c>
      <c r="D43" s="103">
        <f>ROUND('Lighting RD'!F44,2)</f>
        <v>0.13</v>
      </c>
      <c r="E43" s="12" t="str">
        <f t="shared" si="4"/>
        <v>Sheet No. 141A-D</v>
      </c>
    </row>
    <row r="44" spans="1:5" x14ac:dyDescent="0.2">
      <c r="A44" s="102">
        <f t="shared" si="3"/>
        <v>38</v>
      </c>
      <c r="B44" s="5" t="s">
        <v>137</v>
      </c>
      <c r="C44" s="104">
        <v>250</v>
      </c>
      <c r="D44" s="103">
        <f>ROUND('Lighting RD'!F45,2)</f>
        <v>0.18</v>
      </c>
      <c r="E44" s="12" t="str">
        <f t="shared" si="4"/>
        <v>Sheet No. 141A-D</v>
      </c>
    </row>
    <row r="45" spans="1:5" x14ac:dyDescent="0.2">
      <c r="A45" s="102">
        <f t="shared" si="3"/>
        <v>39</v>
      </c>
      <c r="B45" s="5" t="s">
        <v>137</v>
      </c>
      <c r="C45" s="104">
        <v>400</v>
      </c>
      <c r="D45" s="103">
        <f>ROUND('Lighting RD'!F46,2)</f>
        <v>0.3</v>
      </c>
      <c r="E45" s="12" t="str">
        <f t="shared" si="4"/>
        <v>Sheet No. 141A-D</v>
      </c>
    </row>
    <row r="46" spans="1:5" x14ac:dyDescent="0.2">
      <c r="A46" s="102">
        <f t="shared" si="3"/>
        <v>40</v>
      </c>
      <c r="B46" s="5" t="s">
        <v>137</v>
      </c>
      <c r="C46" s="104">
        <v>1000</v>
      </c>
      <c r="D46" s="103">
        <f>ROUND('Lighting RD'!F47,2)</f>
        <v>0.74</v>
      </c>
      <c r="E46" s="12" t="str">
        <f t="shared" si="4"/>
        <v>Sheet No. 141A-D</v>
      </c>
    </row>
    <row r="47" spans="1:5" x14ac:dyDescent="0.2">
      <c r="A47" s="102">
        <f t="shared" si="3"/>
        <v>41</v>
      </c>
      <c r="B47" s="6"/>
      <c r="C47" s="13"/>
      <c r="D47" s="103"/>
      <c r="E47" s="107"/>
    </row>
    <row r="48" spans="1:5" ht="13.5" x14ac:dyDescent="0.35">
      <c r="A48" s="102">
        <f t="shared" si="3"/>
        <v>42</v>
      </c>
      <c r="B48" s="109" t="s">
        <v>136</v>
      </c>
      <c r="C48" s="13"/>
      <c r="D48" s="103"/>
      <c r="E48" s="107"/>
    </row>
    <row r="49" spans="1:5" x14ac:dyDescent="0.2">
      <c r="A49" s="102">
        <f t="shared" si="3"/>
        <v>43</v>
      </c>
      <c r="B49" s="5" t="s">
        <v>135</v>
      </c>
      <c r="C49" s="104">
        <v>50</v>
      </c>
      <c r="D49" s="103">
        <f>ROUND('Lighting RD'!F50,2)</f>
        <v>0.04</v>
      </c>
      <c r="E49" s="106" t="s">
        <v>219</v>
      </c>
    </row>
    <row r="50" spans="1:5" x14ac:dyDescent="0.2">
      <c r="A50" s="102">
        <f t="shared" si="3"/>
        <v>44</v>
      </c>
      <c r="B50" s="5" t="s">
        <v>135</v>
      </c>
      <c r="C50" s="104">
        <v>70</v>
      </c>
      <c r="D50" s="103">
        <f>ROUND('Lighting RD'!F51,2)</f>
        <v>0.05</v>
      </c>
      <c r="E50" s="12" t="str">
        <f>$E$49</f>
        <v>Sheet No. 141A-E</v>
      </c>
    </row>
    <row r="51" spans="1:5" x14ac:dyDescent="0.2">
      <c r="A51" s="102">
        <f t="shared" si="3"/>
        <v>45</v>
      </c>
      <c r="B51" s="5" t="s">
        <v>135</v>
      </c>
      <c r="C51" s="104">
        <v>100</v>
      </c>
      <c r="D51" s="103">
        <f>ROUND('Lighting RD'!F52,2)</f>
        <v>7.0000000000000007E-2</v>
      </c>
      <c r="E51" s="12" t="str">
        <f t="shared" ref="E51:E57" si="5">$E$49</f>
        <v>Sheet No. 141A-E</v>
      </c>
    </row>
    <row r="52" spans="1:5" x14ac:dyDescent="0.2">
      <c r="A52" s="102">
        <f t="shared" si="3"/>
        <v>46</v>
      </c>
      <c r="B52" s="5" t="s">
        <v>135</v>
      </c>
      <c r="C52" s="104">
        <v>150</v>
      </c>
      <c r="D52" s="103">
        <f>ROUND('Lighting RD'!F53,2)</f>
        <v>0.11</v>
      </c>
      <c r="E52" s="12" t="str">
        <f t="shared" si="5"/>
        <v>Sheet No. 141A-E</v>
      </c>
    </row>
    <row r="53" spans="1:5" x14ac:dyDescent="0.2">
      <c r="A53" s="102">
        <f t="shared" si="3"/>
        <v>47</v>
      </c>
      <c r="B53" s="5" t="s">
        <v>135</v>
      </c>
      <c r="C53" s="104">
        <v>200</v>
      </c>
      <c r="D53" s="103">
        <f>ROUND('Lighting RD'!F54,2)</f>
        <v>0.15</v>
      </c>
      <c r="E53" s="12" t="str">
        <f t="shared" si="5"/>
        <v>Sheet No. 141A-E</v>
      </c>
    </row>
    <row r="54" spans="1:5" x14ac:dyDescent="0.2">
      <c r="A54" s="102">
        <f t="shared" si="3"/>
        <v>48</v>
      </c>
      <c r="B54" s="5" t="s">
        <v>135</v>
      </c>
      <c r="C54" s="104">
        <v>250</v>
      </c>
      <c r="D54" s="103">
        <f>ROUND('Lighting RD'!F55,2)</f>
        <v>0.18</v>
      </c>
      <c r="E54" s="12" t="str">
        <f t="shared" si="5"/>
        <v>Sheet No. 141A-E</v>
      </c>
    </row>
    <row r="55" spans="1:5" x14ac:dyDescent="0.2">
      <c r="A55" s="102">
        <f t="shared" si="3"/>
        <v>49</v>
      </c>
      <c r="B55" s="5" t="s">
        <v>135</v>
      </c>
      <c r="C55" s="104">
        <v>310</v>
      </c>
      <c r="D55" s="103">
        <f>ROUND('Lighting RD'!F56,2)</f>
        <v>0.23</v>
      </c>
      <c r="E55" s="12" t="str">
        <f t="shared" si="5"/>
        <v>Sheet No. 141A-E</v>
      </c>
    </row>
    <row r="56" spans="1:5" x14ac:dyDescent="0.2">
      <c r="A56" s="102">
        <f t="shared" si="3"/>
        <v>50</v>
      </c>
      <c r="B56" s="5" t="s">
        <v>135</v>
      </c>
      <c r="C56" s="104">
        <v>400</v>
      </c>
      <c r="D56" s="103">
        <f>ROUND('Lighting RD'!F57,2)</f>
        <v>0.3</v>
      </c>
      <c r="E56" s="12" t="str">
        <f t="shared" si="5"/>
        <v>Sheet No. 141A-E</v>
      </c>
    </row>
    <row r="57" spans="1:5" x14ac:dyDescent="0.2">
      <c r="A57" s="102">
        <f t="shared" si="3"/>
        <v>51</v>
      </c>
      <c r="B57" s="5" t="s">
        <v>135</v>
      </c>
      <c r="C57" s="104">
        <v>1000</v>
      </c>
      <c r="D57" s="103">
        <f>ROUND('Lighting RD'!F58,2)</f>
        <v>0.74</v>
      </c>
      <c r="E57" s="12" t="str">
        <f t="shared" si="5"/>
        <v>Sheet No. 141A-E</v>
      </c>
    </row>
    <row r="58" spans="1:5" x14ac:dyDescent="0.2">
      <c r="A58" s="102">
        <f t="shared" si="3"/>
        <v>52</v>
      </c>
      <c r="B58" s="108"/>
      <c r="C58" s="104"/>
      <c r="D58" s="103"/>
      <c r="E58" s="107"/>
    </row>
    <row r="59" spans="1:5" x14ac:dyDescent="0.2">
      <c r="A59" s="102">
        <f t="shared" si="3"/>
        <v>53</v>
      </c>
      <c r="B59" s="5" t="s">
        <v>134</v>
      </c>
      <c r="C59" s="104">
        <v>70</v>
      </c>
      <c r="D59" s="103">
        <f>ROUND('Lighting RD'!F60,2)</f>
        <v>0.05</v>
      </c>
      <c r="E59" s="106" t="s">
        <v>219</v>
      </c>
    </row>
    <row r="60" spans="1:5" x14ac:dyDescent="0.2">
      <c r="A60" s="102">
        <f t="shared" si="3"/>
        <v>54</v>
      </c>
      <c r="B60" s="5" t="s">
        <v>134</v>
      </c>
      <c r="C60" s="104">
        <v>100</v>
      </c>
      <c r="D60" s="103">
        <f>ROUND('Lighting RD'!F61,2)</f>
        <v>7.0000000000000007E-2</v>
      </c>
      <c r="E60" s="12" t="str">
        <f>$E$49</f>
        <v>Sheet No. 141A-E</v>
      </c>
    </row>
    <row r="61" spans="1:5" x14ac:dyDescent="0.2">
      <c r="A61" s="102">
        <f t="shared" si="3"/>
        <v>55</v>
      </c>
      <c r="B61" s="5" t="s">
        <v>134</v>
      </c>
      <c r="C61" s="104">
        <v>150</v>
      </c>
      <c r="D61" s="103">
        <f>ROUND('Lighting RD'!F62,2)</f>
        <v>0.11</v>
      </c>
      <c r="E61" s="12" t="str">
        <f>$E$59</f>
        <v>Sheet No. 141A-E</v>
      </c>
    </row>
    <row r="62" spans="1:5" x14ac:dyDescent="0.2">
      <c r="A62" s="102">
        <f t="shared" si="3"/>
        <v>56</v>
      </c>
      <c r="B62" s="5" t="s">
        <v>134</v>
      </c>
      <c r="C62" s="104">
        <v>175</v>
      </c>
      <c r="D62" s="103">
        <f>ROUND('Lighting RD'!F63,2)</f>
        <v>0.13</v>
      </c>
      <c r="E62" s="12" t="str">
        <f>$E$59</f>
        <v>Sheet No. 141A-E</v>
      </c>
    </row>
    <row r="63" spans="1:5" x14ac:dyDescent="0.2">
      <c r="A63" s="102">
        <f t="shared" si="3"/>
        <v>57</v>
      </c>
      <c r="B63" s="5" t="s">
        <v>134</v>
      </c>
      <c r="C63" s="104">
        <v>250</v>
      </c>
      <c r="D63" s="103">
        <f>ROUND('Lighting RD'!F64,2)</f>
        <v>0.18</v>
      </c>
      <c r="E63" s="12" t="str">
        <f>$E$59</f>
        <v>Sheet No. 141A-E</v>
      </c>
    </row>
    <row r="64" spans="1:5" x14ac:dyDescent="0.2">
      <c r="A64" s="102">
        <f t="shared" si="3"/>
        <v>58</v>
      </c>
      <c r="B64" s="5" t="s">
        <v>134</v>
      </c>
      <c r="C64" s="104">
        <v>400</v>
      </c>
      <c r="D64" s="103">
        <f>ROUND('Lighting RD'!F65,2)</f>
        <v>0.3</v>
      </c>
      <c r="E64" s="12" t="str">
        <f>$E$59</f>
        <v>Sheet No. 141A-E</v>
      </c>
    </row>
    <row r="65" spans="1:5" x14ac:dyDescent="0.2">
      <c r="A65" s="102">
        <f t="shared" si="3"/>
        <v>59</v>
      </c>
      <c r="B65" s="108"/>
      <c r="C65" s="104"/>
      <c r="D65" s="103"/>
      <c r="E65" s="107"/>
    </row>
    <row r="66" spans="1:5" x14ac:dyDescent="0.2">
      <c r="A66" s="102">
        <f t="shared" si="3"/>
        <v>60</v>
      </c>
      <c r="B66" s="5" t="s">
        <v>133</v>
      </c>
      <c r="C66" s="13" t="s">
        <v>51</v>
      </c>
      <c r="D66" s="103">
        <f>ROUND('Lighting RD'!F67,2)</f>
        <v>0.01</v>
      </c>
      <c r="E66" s="12" t="str">
        <f t="shared" ref="E66:E75" si="6">$E$17</f>
        <v>Sheet No. 141A-C</v>
      </c>
    </row>
    <row r="67" spans="1:5" x14ac:dyDescent="0.2">
      <c r="A67" s="102">
        <f t="shared" si="3"/>
        <v>61</v>
      </c>
      <c r="B67" s="5" t="s">
        <v>133</v>
      </c>
      <c r="C67" s="105" t="s">
        <v>52</v>
      </c>
      <c r="D67" s="103">
        <f>ROUND('Lighting RD'!F68,2)</f>
        <v>0.03</v>
      </c>
      <c r="E67" s="12" t="str">
        <f t="shared" si="6"/>
        <v>Sheet No. 141A-C</v>
      </c>
    </row>
    <row r="68" spans="1:5" x14ac:dyDescent="0.2">
      <c r="A68" s="102">
        <f t="shared" si="3"/>
        <v>62</v>
      </c>
      <c r="B68" s="5" t="s">
        <v>133</v>
      </c>
      <c r="C68" s="104" t="s">
        <v>16</v>
      </c>
      <c r="D68" s="103">
        <f>ROUND('Lighting RD'!F69,2)</f>
        <v>0.06</v>
      </c>
      <c r="E68" s="12" t="str">
        <f t="shared" si="6"/>
        <v>Sheet No. 141A-C</v>
      </c>
    </row>
    <row r="69" spans="1:5" x14ac:dyDescent="0.2">
      <c r="A69" s="102">
        <f t="shared" si="3"/>
        <v>63</v>
      </c>
      <c r="B69" s="5" t="s">
        <v>133</v>
      </c>
      <c r="C69" s="104" t="s">
        <v>17</v>
      </c>
      <c r="D69" s="103">
        <f>ROUND('Lighting RD'!F70,2)</f>
        <v>0.08</v>
      </c>
      <c r="E69" s="12" t="str">
        <f t="shared" si="6"/>
        <v>Sheet No. 141A-C</v>
      </c>
    </row>
    <row r="70" spans="1:5" x14ac:dyDescent="0.2">
      <c r="A70" s="102">
        <f t="shared" si="3"/>
        <v>64</v>
      </c>
      <c r="B70" s="5" t="s">
        <v>133</v>
      </c>
      <c r="C70" s="104" t="s">
        <v>18</v>
      </c>
      <c r="D70" s="103">
        <f>ROUND('Lighting RD'!F71,2)</f>
        <v>0.1</v>
      </c>
      <c r="E70" s="12" t="str">
        <f t="shared" si="6"/>
        <v>Sheet No. 141A-C</v>
      </c>
    </row>
    <row r="71" spans="1:5" x14ac:dyDescent="0.2">
      <c r="A71" s="102">
        <f t="shared" si="3"/>
        <v>65</v>
      </c>
      <c r="B71" s="5" t="s">
        <v>133</v>
      </c>
      <c r="C71" s="104" t="s">
        <v>19</v>
      </c>
      <c r="D71" s="103">
        <f>ROUND('Lighting RD'!F72,2)</f>
        <v>0.12</v>
      </c>
      <c r="E71" s="12" t="str">
        <f t="shared" si="6"/>
        <v>Sheet No. 141A-C</v>
      </c>
    </row>
    <row r="72" spans="1:5" x14ac:dyDescent="0.2">
      <c r="A72" s="102">
        <f t="shared" ref="A72:A103" si="7">A71+1</f>
        <v>66</v>
      </c>
      <c r="B72" s="5" t="s">
        <v>133</v>
      </c>
      <c r="C72" s="104" t="s">
        <v>20</v>
      </c>
      <c r="D72" s="103">
        <f>ROUND('Lighting RD'!F73,2)</f>
        <v>0.14000000000000001</v>
      </c>
      <c r="E72" s="12" t="str">
        <f t="shared" si="6"/>
        <v>Sheet No. 141A-C</v>
      </c>
    </row>
    <row r="73" spans="1:5" x14ac:dyDescent="0.2">
      <c r="A73" s="102">
        <f t="shared" si="7"/>
        <v>67</v>
      </c>
      <c r="B73" s="5" t="s">
        <v>133</v>
      </c>
      <c r="C73" s="104" t="s">
        <v>21</v>
      </c>
      <c r="D73" s="103">
        <f>ROUND('Lighting RD'!F74,2)</f>
        <v>0.17</v>
      </c>
      <c r="E73" s="12" t="str">
        <f t="shared" si="6"/>
        <v>Sheet No. 141A-C</v>
      </c>
    </row>
    <row r="74" spans="1:5" x14ac:dyDescent="0.2">
      <c r="A74" s="102">
        <f t="shared" si="7"/>
        <v>68</v>
      </c>
      <c r="B74" s="5" t="s">
        <v>133</v>
      </c>
      <c r="C74" s="104" t="s">
        <v>22</v>
      </c>
      <c r="D74" s="103">
        <f>ROUND('Lighting RD'!F75,2)</f>
        <v>0.19</v>
      </c>
      <c r="E74" s="12" t="str">
        <f t="shared" si="6"/>
        <v>Sheet No. 141A-C</v>
      </c>
    </row>
    <row r="75" spans="1:5" x14ac:dyDescent="0.2">
      <c r="A75" s="102">
        <f t="shared" si="7"/>
        <v>69</v>
      </c>
      <c r="B75" s="5" t="s">
        <v>133</v>
      </c>
      <c r="C75" s="104" t="s">
        <v>23</v>
      </c>
      <c r="D75" s="103">
        <f>ROUND('Lighting RD'!F76,2)</f>
        <v>0.21</v>
      </c>
      <c r="E75" s="12" t="str">
        <f t="shared" si="6"/>
        <v>Sheet No. 141A-C</v>
      </c>
    </row>
    <row r="76" spans="1:5" x14ac:dyDescent="0.2">
      <c r="A76" s="102">
        <f t="shared" si="7"/>
        <v>70</v>
      </c>
      <c r="B76" s="5"/>
      <c r="C76" s="104"/>
      <c r="D76" s="103"/>
      <c r="E76" s="106"/>
    </row>
    <row r="77" spans="1:5" x14ac:dyDescent="0.2">
      <c r="A77" s="102">
        <f t="shared" si="7"/>
        <v>71</v>
      </c>
      <c r="B77" s="5" t="s">
        <v>132</v>
      </c>
      <c r="C77" s="104" t="s">
        <v>131</v>
      </c>
      <c r="D77" s="111">
        <f>ROUND('Lighting RD'!$F$77,6)</f>
        <v>1.946E-3</v>
      </c>
      <c r="E77" s="12" t="str">
        <f>$E$17</f>
        <v>Sheet No. 141A-C</v>
      </c>
    </row>
    <row r="78" spans="1:5" x14ac:dyDescent="0.2">
      <c r="A78" s="102">
        <f t="shared" si="7"/>
        <v>72</v>
      </c>
      <c r="C78" s="104"/>
      <c r="D78" s="103"/>
      <c r="E78" s="107"/>
    </row>
    <row r="79" spans="1:5" ht="13.5" x14ac:dyDescent="0.35">
      <c r="A79" s="102">
        <f t="shared" si="7"/>
        <v>73</v>
      </c>
      <c r="B79" s="109" t="s">
        <v>130</v>
      </c>
      <c r="C79" s="13"/>
      <c r="D79" s="103"/>
      <c r="E79" s="107"/>
    </row>
    <row r="80" spans="1:5" x14ac:dyDescent="0.2">
      <c r="A80" s="102">
        <f t="shared" si="7"/>
        <v>74</v>
      </c>
      <c r="B80" s="5" t="s">
        <v>129</v>
      </c>
      <c r="C80" s="104">
        <v>50</v>
      </c>
      <c r="D80" s="103">
        <f>ROUND('Lighting RD'!F80,2)</f>
        <v>0.04</v>
      </c>
      <c r="E80" s="106" t="s">
        <v>220</v>
      </c>
    </row>
    <row r="81" spans="1:5" x14ac:dyDescent="0.2">
      <c r="A81" s="102">
        <f t="shared" si="7"/>
        <v>75</v>
      </c>
      <c r="B81" s="5" t="s">
        <v>129</v>
      </c>
      <c r="C81" s="104">
        <v>70</v>
      </c>
      <c r="D81" s="103">
        <f>ROUND('Lighting RD'!F81,2)</f>
        <v>0.05</v>
      </c>
      <c r="E81" s="12" t="str">
        <f>$E$80</f>
        <v>Sheet No. 141A-F</v>
      </c>
    </row>
    <row r="82" spans="1:5" x14ac:dyDescent="0.2">
      <c r="A82" s="102">
        <f t="shared" si="7"/>
        <v>76</v>
      </c>
      <c r="B82" s="5" t="s">
        <v>129</v>
      </c>
      <c r="C82" s="104">
        <v>100</v>
      </c>
      <c r="D82" s="103">
        <f>ROUND('Lighting RD'!F82,2)</f>
        <v>7.0000000000000007E-2</v>
      </c>
      <c r="E82" s="12" t="str">
        <f t="shared" ref="E82:E88" si="8">$E$80</f>
        <v>Sheet No. 141A-F</v>
      </c>
    </row>
    <row r="83" spans="1:5" x14ac:dyDescent="0.2">
      <c r="A83" s="102">
        <f t="shared" si="7"/>
        <v>77</v>
      </c>
      <c r="B83" s="5" t="s">
        <v>129</v>
      </c>
      <c r="C83" s="104">
        <v>150</v>
      </c>
      <c r="D83" s="103">
        <f>ROUND('Lighting RD'!F83,2)</f>
        <v>0.11</v>
      </c>
      <c r="E83" s="12" t="str">
        <f t="shared" si="8"/>
        <v>Sheet No. 141A-F</v>
      </c>
    </row>
    <row r="84" spans="1:5" x14ac:dyDescent="0.2">
      <c r="A84" s="102">
        <f t="shared" si="7"/>
        <v>78</v>
      </c>
      <c r="B84" s="5" t="s">
        <v>129</v>
      </c>
      <c r="C84" s="104">
        <v>200</v>
      </c>
      <c r="D84" s="103">
        <f>ROUND('Lighting RD'!F84,2)</f>
        <v>0.15</v>
      </c>
      <c r="E84" s="12" t="str">
        <f t="shared" si="8"/>
        <v>Sheet No. 141A-F</v>
      </c>
    </row>
    <row r="85" spans="1:5" x14ac:dyDescent="0.2">
      <c r="A85" s="102">
        <f t="shared" si="7"/>
        <v>79</v>
      </c>
      <c r="B85" s="5" t="s">
        <v>129</v>
      </c>
      <c r="C85" s="104">
        <v>250</v>
      </c>
      <c r="D85" s="103">
        <f>ROUND('Lighting RD'!F85,2)</f>
        <v>0.18</v>
      </c>
      <c r="E85" s="12" t="str">
        <f t="shared" si="8"/>
        <v>Sheet No. 141A-F</v>
      </c>
    </row>
    <row r="86" spans="1:5" x14ac:dyDescent="0.2">
      <c r="A86" s="102">
        <f t="shared" si="7"/>
        <v>80</v>
      </c>
      <c r="B86" s="5" t="s">
        <v>129</v>
      </c>
      <c r="C86" s="104">
        <v>310</v>
      </c>
      <c r="D86" s="103">
        <f>ROUND('Lighting RD'!F86,2)</f>
        <v>0.23</v>
      </c>
      <c r="E86" s="12" t="str">
        <f t="shared" si="8"/>
        <v>Sheet No. 141A-F</v>
      </c>
    </row>
    <row r="87" spans="1:5" x14ac:dyDescent="0.2">
      <c r="A87" s="102">
        <f t="shared" si="7"/>
        <v>81</v>
      </c>
      <c r="B87" s="5" t="s">
        <v>129</v>
      </c>
      <c r="C87" s="104">
        <v>400</v>
      </c>
      <c r="D87" s="103">
        <f>ROUND('Lighting RD'!F87,2)</f>
        <v>0.3</v>
      </c>
      <c r="E87" s="12" t="str">
        <f t="shared" si="8"/>
        <v>Sheet No. 141A-F</v>
      </c>
    </row>
    <row r="88" spans="1:5" x14ac:dyDescent="0.2">
      <c r="A88" s="102">
        <f t="shared" si="7"/>
        <v>82</v>
      </c>
      <c r="B88" s="5" t="s">
        <v>129</v>
      </c>
      <c r="C88" s="104">
        <v>1000</v>
      </c>
      <c r="D88" s="103">
        <f>ROUND('Lighting RD'!F88,2)</f>
        <v>0.74</v>
      </c>
      <c r="E88" s="12" t="str">
        <f t="shared" si="8"/>
        <v>Sheet No. 141A-F</v>
      </c>
    </row>
    <row r="89" spans="1:5" x14ac:dyDescent="0.2">
      <c r="A89" s="102">
        <f t="shared" si="7"/>
        <v>83</v>
      </c>
      <c r="B89" s="108"/>
      <c r="C89" s="104"/>
      <c r="D89" s="103"/>
      <c r="E89" s="107"/>
    </row>
    <row r="90" spans="1:5" x14ac:dyDescent="0.2">
      <c r="A90" s="102">
        <f t="shared" si="7"/>
        <v>84</v>
      </c>
      <c r="B90" s="5" t="s">
        <v>128</v>
      </c>
      <c r="C90" s="105" t="s">
        <v>47</v>
      </c>
      <c r="D90" s="103">
        <f>ROUND('Lighting RD'!F90,2)</f>
        <v>0.01</v>
      </c>
      <c r="E90" s="12" t="str">
        <f t="shared" ref="E90:E99" si="9">$E$17</f>
        <v>Sheet No. 141A-C</v>
      </c>
    </row>
    <row r="91" spans="1:5" x14ac:dyDescent="0.2">
      <c r="A91" s="102">
        <f t="shared" si="7"/>
        <v>85</v>
      </c>
      <c r="B91" s="5" t="s">
        <v>128</v>
      </c>
      <c r="C91" s="105" t="s">
        <v>15</v>
      </c>
      <c r="D91" s="103">
        <f>ROUND('Lighting RD'!F91,2)</f>
        <v>0.03</v>
      </c>
      <c r="E91" s="12" t="str">
        <f t="shared" si="9"/>
        <v>Sheet No. 141A-C</v>
      </c>
    </row>
    <row r="92" spans="1:5" x14ac:dyDescent="0.2">
      <c r="A92" s="102">
        <f t="shared" si="7"/>
        <v>86</v>
      </c>
      <c r="B92" s="5" t="s">
        <v>128</v>
      </c>
      <c r="C92" s="104" t="s">
        <v>16</v>
      </c>
      <c r="D92" s="103">
        <f>ROUND('Lighting RD'!F92,2)</f>
        <v>0.06</v>
      </c>
      <c r="E92" s="12" t="str">
        <f t="shared" si="9"/>
        <v>Sheet No. 141A-C</v>
      </c>
    </row>
    <row r="93" spans="1:5" x14ac:dyDescent="0.2">
      <c r="A93" s="102">
        <f t="shared" si="7"/>
        <v>87</v>
      </c>
      <c r="B93" s="5" t="s">
        <v>128</v>
      </c>
      <c r="C93" s="104" t="s">
        <v>17</v>
      </c>
      <c r="D93" s="103">
        <f>ROUND('Lighting RD'!F93,2)</f>
        <v>0.08</v>
      </c>
      <c r="E93" s="12" t="str">
        <f t="shared" si="9"/>
        <v>Sheet No. 141A-C</v>
      </c>
    </row>
    <row r="94" spans="1:5" x14ac:dyDescent="0.2">
      <c r="A94" s="102">
        <f t="shared" si="7"/>
        <v>88</v>
      </c>
      <c r="B94" s="5" t="s">
        <v>128</v>
      </c>
      <c r="C94" s="104" t="s">
        <v>18</v>
      </c>
      <c r="D94" s="103">
        <f>ROUND('Lighting RD'!F94,2)</f>
        <v>0.1</v>
      </c>
      <c r="E94" s="12" t="str">
        <f t="shared" si="9"/>
        <v>Sheet No. 141A-C</v>
      </c>
    </row>
    <row r="95" spans="1:5" x14ac:dyDescent="0.2">
      <c r="A95" s="102">
        <f t="shared" si="7"/>
        <v>89</v>
      </c>
      <c r="B95" s="5" t="s">
        <v>128</v>
      </c>
      <c r="C95" s="104" t="s">
        <v>19</v>
      </c>
      <c r="D95" s="103">
        <f>ROUND('Lighting RD'!F95,2)</f>
        <v>0.12</v>
      </c>
      <c r="E95" s="12" t="str">
        <f t="shared" si="9"/>
        <v>Sheet No. 141A-C</v>
      </c>
    </row>
    <row r="96" spans="1:5" x14ac:dyDescent="0.2">
      <c r="A96" s="102">
        <f t="shared" si="7"/>
        <v>90</v>
      </c>
      <c r="B96" s="5" t="s">
        <v>128</v>
      </c>
      <c r="C96" s="104" t="s">
        <v>20</v>
      </c>
      <c r="D96" s="103">
        <f>ROUND('Lighting RD'!F96,2)</f>
        <v>0.14000000000000001</v>
      </c>
      <c r="E96" s="12" t="str">
        <f t="shared" si="9"/>
        <v>Sheet No. 141A-C</v>
      </c>
    </row>
    <row r="97" spans="1:5" x14ac:dyDescent="0.2">
      <c r="A97" s="102">
        <f t="shared" si="7"/>
        <v>91</v>
      </c>
      <c r="B97" s="5" t="s">
        <v>128</v>
      </c>
      <c r="C97" s="104" t="s">
        <v>21</v>
      </c>
      <c r="D97" s="103">
        <f>ROUND('Lighting RD'!F97,2)</f>
        <v>0.17</v>
      </c>
      <c r="E97" s="12" t="str">
        <f t="shared" si="9"/>
        <v>Sheet No. 141A-C</v>
      </c>
    </row>
    <row r="98" spans="1:5" x14ac:dyDescent="0.2">
      <c r="A98" s="102">
        <f t="shared" si="7"/>
        <v>92</v>
      </c>
      <c r="B98" s="5" t="s">
        <v>128</v>
      </c>
      <c r="C98" s="104" t="s">
        <v>22</v>
      </c>
      <c r="D98" s="103">
        <f>ROUND('Lighting RD'!F98,2)</f>
        <v>0.19</v>
      </c>
      <c r="E98" s="12" t="str">
        <f t="shared" si="9"/>
        <v>Sheet No. 141A-C</v>
      </c>
    </row>
    <row r="99" spans="1:5" x14ac:dyDescent="0.2">
      <c r="A99" s="102">
        <f t="shared" si="7"/>
        <v>93</v>
      </c>
      <c r="B99" s="5" t="s">
        <v>128</v>
      </c>
      <c r="C99" s="104" t="s">
        <v>23</v>
      </c>
      <c r="D99" s="103">
        <f>ROUND('Lighting RD'!F99,2)</f>
        <v>0.21</v>
      </c>
      <c r="E99" s="12" t="str">
        <f t="shared" si="9"/>
        <v>Sheet No. 141A-C</v>
      </c>
    </row>
    <row r="100" spans="1:5" x14ac:dyDescent="0.2">
      <c r="A100" s="102">
        <f t="shared" si="7"/>
        <v>94</v>
      </c>
      <c r="B100" s="108"/>
      <c r="C100" s="104"/>
      <c r="D100" s="103"/>
      <c r="E100" s="107"/>
    </row>
    <row r="101" spans="1:5" ht="13.5" x14ac:dyDescent="0.35">
      <c r="A101" s="102">
        <f t="shared" si="7"/>
        <v>95</v>
      </c>
      <c r="B101" s="109" t="s">
        <v>127</v>
      </c>
      <c r="C101" s="104"/>
      <c r="D101" s="103"/>
      <c r="E101" s="107"/>
    </row>
    <row r="102" spans="1:5" x14ac:dyDescent="0.2">
      <c r="A102" s="102">
        <f t="shared" si="7"/>
        <v>96</v>
      </c>
      <c r="B102" s="5" t="s">
        <v>126</v>
      </c>
      <c r="C102" s="104">
        <v>70</v>
      </c>
      <c r="D102" s="103">
        <f>ROUND('Lighting RD'!F102,2)</f>
        <v>0.05</v>
      </c>
      <c r="E102" s="106" t="s">
        <v>220</v>
      </c>
    </row>
    <row r="103" spans="1:5" x14ac:dyDescent="0.2">
      <c r="A103" s="102">
        <f t="shared" si="7"/>
        <v>97</v>
      </c>
      <c r="B103" s="5" t="s">
        <v>126</v>
      </c>
      <c r="C103" s="104">
        <v>100</v>
      </c>
      <c r="D103" s="103">
        <f>ROUND('Lighting RD'!F103,2)</f>
        <v>7.0000000000000007E-2</v>
      </c>
      <c r="E103" s="12" t="str">
        <f>$E$80</f>
        <v>Sheet No. 141A-F</v>
      </c>
    </row>
    <row r="104" spans="1:5" x14ac:dyDescent="0.2">
      <c r="A104" s="102">
        <f t="shared" ref="A104:A135" si="10">A103+1</f>
        <v>98</v>
      </c>
      <c r="B104" s="5" t="s">
        <v>126</v>
      </c>
      <c r="C104" s="104">
        <v>150</v>
      </c>
      <c r="D104" s="103">
        <f>ROUND('Lighting RD'!F104,2)</f>
        <v>0.11</v>
      </c>
      <c r="E104" s="12" t="str">
        <f>$E$102</f>
        <v>Sheet No. 141A-F</v>
      </c>
    </row>
    <row r="105" spans="1:5" x14ac:dyDescent="0.2">
      <c r="A105" s="102">
        <f t="shared" si="10"/>
        <v>99</v>
      </c>
      <c r="B105" s="5" t="s">
        <v>126</v>
      </c>
      <c r="C105" s="104">
        <v>200</v>
      </c>
      <c r="D105" s="103">
        <f>ROUND('Lighting RD'!F105,2)</f>
        <v>0.15</v>
      </c>
      <c r="E105" s="12" t="str">
        <f>$E$102</f>
        <v>Sheet No. 141A-F</v>
      </c>
    </row>
    <row r="106" spans="1:5" x14ac:dyDescent="0.2">
      <c r="A106" s="102">
        <f t="shared" si="10"/>
        <v>100</v>
      </c>
      <c r="B106" s="5" t="s">
        <v>126</v>
      </c>
      <c r="C106" s="104">
        <v>250</v>
      </c>
      <c r="D106" s="103">
        <f>ROUND('Lighting RD'!F106,2)</f>
        <v>0.19</v>
      </c>
      <c r="E106" s="12" t="str">
        <f>$E$102</f>
        <v>Sheet No. 141A-F</v>
      </c>
    </row>
    <row r="107" spans="1:5" x14ac:dyDescent="0.2">
      <c r="A107" s="102">
        <f t="shared" si="10"/>
        <v>101</v>
      </c>
      <c r="B107" s="5" t="s">
        <v>126</v>
      </c>
      <c r="C107" s="104">
        <v>400</v>
      </c>
      <c r="D107" s="103">
        <f>ROUND('Lighting RD'!F107,2)</f>
        <v>0.3</v>
      </c>
      <c r="E107" s="12" t="str">
        <f>$E$102</f>
        <v>Sheet No. 141A-F</v>
      </c>
    </row>
    <row r="108" spans="1:5" x14ac:dyDescent="0.2">
      <c r="A108" s="102">
        <f t="shared" si="10"/>
        <v>102</v>
      </c>
      <c r="B108" s="108"/>
      <c r="C108" s="104"/>
      <c r="D108" s="103"/>
      <c r="E108" s="107"/>
    </row>
    <row r="109" spans="1:5" x14ac:dyDescent="0.2">
      <c r="A109" s="102">
        <f t="shared" si="10"/>
        <v>103</v>
      </c>
      <c r="B109" s="5" t="s">
        <v>125</v>
      </c>
      <c r="C109" s="104">
        <v>250</v>
      </c>
      <c r="D109" s="103">
        <f>ROUND('Lighting RD'!F109,2)</f>
        <v>0.19</v>
      </c>
      <c r="E109" s="12" t="str">
        <f>$E$102</f>
        <v>Sheet No. 141A-F</v>
      </c>
    </row>
    <row r="110" spans="1:5" x14ac:dyDescent="0.2">
      <c r="A110" s="102">
        <f t="shared" si="10"/>
        <v>104</v>
      </c>
      <c r="B110" s="108"/>
      <c r="C110" s="104"/>
      <c r="D110" s="103"/>
      <c r="E110" s="107"/>
    </row>
    <row r="111" spans="1:5" x14ac:dyDescent="0.2">
      <c r="A111" s="102">
        <f t="shared" si="10"/>
        <v>105</v>
      </c>
      <c r="B111" s="5" t="s">
        <v>124</v>
      </c>
      <c r="C111" s="13" t="s">
        <v>51</v>
      </c>
      <c r="D111" s="103">
        <f>ROUND('Lighting RD'!F111,2)</f>
        <v>0.01</v>
      </c>
      <c r="E111" s="106" t="s">
        <v>221</v>
      </c>
    </row>
    <row r="112" spans="1:5" x14ac:dyDescent="0.2">
      <c r="A112" s="102">
        <f t="shared" si="10"/>
        <v>106</v>
      </c>
      <c r="B112" s="5" t="s">
        <v>124</v>
      </c>
      <c r="C112" s="105" t="s">
        <v>15</v>
      </c>
      <c r="D112" s="103">
        <f>ROUND('Lighting RD'!F112,2)</f>
        <v>0.03</v>
      </c>
      <c r="E112" s="12" t="str">
        <f>$E$111</f>
        <v>Sheet No. 141A-G</v>
      </c>
    </row>
    <row r="113" spans="1:5" x14ac:dyDescent="0.2">
      <c r="A113" s="102">
        <f t="shared" si="10"/>
        <v>107</v>
      </c>
      <c r="B113" s="5" t="s">
        <v>124</v>
      </c>
      <c r="C113" s="104" t="s">
        <v>16</v>
      </c>
      <c r="D113" s="103">
        <f>ROUND('Lighting RD'!F113,2)</f>
        <v>0.06</v>
      </c>
      <c r="E113" s="12" t="str">
        <f t="shared" ref="E113:E120" si="11">$E$111</f>
        <v>Sheet No. 141A-G</v>
      </c>
    </row>
    <row r="114" spans="1:5" x14ac:dyDescent="0.2">
      <c r="A114" s="102">
        <f t="shared" si="10"/>
        <v>108</v>
      </c>
      <c r="B114" s="5" t="s">
        <v>124</v>
      </c>
      <c r="C114" s="104" t="s">
        <v>17</v>
      </c>
      <c r="D114" s="103">
        <f>ROUND('Lighting RD'!F114,2)</f>
        <v>0.08</v>
      </c>
      <c r="E114" s="12" t="str">
        <f t="shared" si="11"/>
        <v>Sheet No. 141A-G</v>
      </c>
    </row>
    <row r="115" spans="1:5" x14ac:dyDescent="0.2">
      <c r="A115" s="102">
        <f t="shared" si="10"/>
        <v>109</v>
      </c>
      <c r="B115" s="5" t="s">
        <v>124</v>
      </c>
      <c r="C115" s="104" t="s">
        <v>18</v>
      </c>
      <c r="D115" s="103">
        <f>ROUND('Lighting RD'!F115,2)</f>
        <v>0.1</v>
      </c>
      <c r="E115" s="12" t="str">
        <f t="shared" si="11"/>
        <v>Sheet No. 141A-G</v>
      </c>
    </row>
    <row r="116" spans="1:5" x14ac:dyDescent="0.2">
      <c r="A116" s="102">
        <f t="shared" si="10"/>
        <v>110</v>
      </c>
      <c r="B116" s="5" t="s">
        <v>124</v>
      </c>
      <c r="C116" s="104" t="s">
        <v>19</v>
      </c>
      <c r="D116" s="103">
        <f>ROUND('Lighting RD'!F116,2)</f>
        <v>0.12</v>
      </c>
      <c r="E116" s="12" t="str">
        <f t="shared" si="11"/>
        <v>Sheet No. 141A-G</v>
      </c>
    </row>
    <row r="117" spans="1:5" x14ac:dyDescent="0.2">
      <c r="A117" s="102">
        <f t="shared" si="10"/>
        <v>111</v>
      </c>
      <c r="B117" s="5" t="s">
        <v>124</v>
      </c>
      <c r="C117" s="104" t="s">
        <v>20</v>
      </c>
      <c r="D117" s="103">
        <f>ROUND('Lighting RD'!F117,2)</f>
        <v>0.14000000000000001</v>
      </c>
      <c r="E117" s="12" t="str">
        <f t="shared" si="11"/>
        <v>Sheet No. 141A-G</v>
      </c>
    </row>
    <row r="118" spans="1:5" x14ac:dyDescent="0.2">
      <c r="A118" s="102">
        <f t="shared" si="10"/>
        <v>112</v>
      </c>
      <c r="B118" s="5" t="s">
        <v>124</v>
      </c>
      <c r="C118" s="104" t="s">
        <v>21</v>
      </c>
      <c r="D118" s="103">
        <f>ROUND('Lighting RD'!F118,2)</f>
        <v>0.17</v>
      </c>
      <c r="E118" s="12" t="str">
        <f t="shared" si="11"/>
        <v>Sheet No. 141A-G</v>
      </c>
    </row>
    <row r="119" spans="1:5" x14ac:dyDescent="0.2">
      <c r="A119" s="102">
        <f t="shared" si="10"/>
        <v>113</v>
      </c>
      <c r="B119" s="5" t="s">
        <v>124</v>
      </c>
      <c r="C119" s="104" t="s">
        <v>22</v>
      </c>
      <c r="D119" s="103">
        <f>ROUND('Lighting RD'!F119,2)</f>
        <v>0.19</v>
      </c>
      <c r="E119" s="12" t="str">
        <f t="shared" si="11"/>
        <v>Sheet No. 141A-G</v>
      </c>
    </row>
    <row r="120" spans="1:5" x14ac:dyDescent="0.2">
      <c r="A120" s="102">
        <f t="shared" si="10"/>
        <v>114</v>
      </c>
      <c r="B120" s="5" t="s">
        <v>124</v>
      </c>
      <c r="C120" s="104" t="s">
        <v>23</v>
      </c>
      <c r="D120" s="103">
        <f>ROUND('Lighting RD'!F120,2)</f>
        <v>0.21</v>
      </c>
      <c r="E120" s="12" t="str">
        <f t="shared" si="11"/>
        <v>Sheet No. 141A-G</v>
      </c>
    </row>
    <row r="121" spans="1:5" x14ac:dyDescent="0.2">
      <c r="A121" s="102">
        <f t="shared" si="10"/>
        <v>115</v>
      </c>
      <c r="B121" s="108"/>
      <c r="C121" s="104"/>
      <c r="D121" s="103"/>
      <c r="E121" s="107"/>
    </row>
    <row r="122" spans="1:5" ht="13.5" x14ac:dyDescent="0.35">
      <c r="A122" s="102">
        <f t="shared" si="10"/>
        <v>116</v>
      </c>
      <c r="B122" s="109" t="s">
        <v>39</v>
      </c>
      <c r="C122" s="104"/>
      <c r="D122" s="103"/>
      <c r="E122" s="107"/>
    </row>
    <row r="123" spans="1:5" x14ac:dyDescent="0.2">
      <c r="A123" s="102">
        <f t="shared" si="10"/>
        <v>117</v>
      </c>
      <c r="B123" s="5" t="s">
        <v>40</v>
      </c>
      <c r="C123" s="104" t="s">
        <v>123</v>
      </c>
      <c r="D123" s="110">
        <f>ROUND('Lighting RD'!$F$123,5)</f>
        <v>1.39E-3</v>
      </c>
      <c r="E123" s="106" t="s">
        <v>221</v>
      </c>
    </row>
    <row r="124" spans="1:5" x14ac:dyDescent="0.2">
      <c r="A124" s="102">
        <f t="shared" si="10"/>
        <v>118</v>
      </c>
      <c r="B124" s="108"/>
      <c r="C124" s="104"/>
      <c r="D124" s="103"/>
      <c r="E124" s="107"/>
    </row>
    <row r="125" spans="1:5" ht="13.5" x14ac:dyDescent="0.35">
      <c r="A125" s="102">
        <f t="shared" si="10"/>
        <v>119</v>
      </c>
      <c r="B125" s="109" t="s">
        <v>29</v>
      </c>
      <c r="C125" s="104"/>
      <c r="D125" s="103"/>
      <c r="E125" s="107"/>
    </row>
    <row r="126" spans="1:5" x14ac:dyDescent="0.2">
      <c r="A126" s="102">
        <f t="shared" si="10"/>
        <v>120</v>
      </c>
      <c r="B126" s="5" t="s">
        <v>122</v>
      </c>
      <c r="C126" s="104">
        <v>70</v>
      </c>
      <c r="D126" s="103">
        <f>ROUND('Lighting RD'!F126,2)</f>
        <v>0.05</v>
      </c>
      <c r="E126" s="106" t="s">
        <v>222</v>
      </c>
    </row>
    <row r="127" spans="1:5" x14ac:dyDescent="0.2">
      <c r="A127" s="102">
        <f t="shared" si="10"/>
        <v>121</v>
      </c>
      <c r="B127" s="5" t="s">
        <v>122</v>
      </c>
      <c r="C127" s="104">
        <v>100</v>
      </c>
      <c r="D127" s="103">
        <f>ROUND('Lighting RD'!F127,2)</f>
        <v>7.0000000000000007E-2</v>
      </c>
      <c r="E127" s="12" t="str">
        <f>$E$126</f>
        <v>Sheet No. 141A-H</v>
      </c>
    </row>
    <row r="128" spans="1:5" x14ac:dyDescent="0.2">
      <c r="A128" s="102">
        <f t="shared" si="10"/>
        <v>122</v>
      </c>
      <c r="B128" s="5" t="s">
        <v>122</v>
      </c>
      <c r="C128" s="104">
        <v>150</v>
      </c>
      <c r="D128" s="103">
        <f>ROUND('Lighting RD'!F128,2)</f>
        <v>0.11</v>
      </c>
      <c r="E128" s="12" t="str">
        <f>$E$126</f>
        <v>Sheet No. 141A-H</v>
      </c>
    </row>
    <row r="129" spans="1:5" x14ac:dyDescent="0.2">
      <c r="A129" s="102">
        <f t="shared" si="10"/>
        <v>123</v>
      </c>
      <c r="B129" s="5" t="s">
        <v>122</v>
      </c>
      <c r="C129" s="104">
        <v>200</v>
      </c>
      <c r="D129" s="103">
        <f>ROUND('Lighting RD'!F129,2)</f>
        <v>0.15</v>
      </c>
      <c r="E129" s="12" t="str">
        <f>$E$126</f>
        <v>Sheet No. 141A-H</v>
      </c>
    </row>
    <row r="130" spans="1:5" x14ac:dyDescent="0.2">
      <c r="A130" s="102">
        <f t="shared" si="10"/>
        <v>124</v>
      </c>
      <c r="B130" s="5" t="s">
        <v>122</v>
      </c>
      <c r="C130" s="104">
        <v>250</v>
      </c>
      <c r="D130" s="103">
        <f>ROUND('Lighting RD'!F130,2)</f>
        <v>0.19</v>
      </c>
      <c r="E130" s="12" t="str">
        <f>$E$126</f>
        <v>Sheet No. 141A-H</v>
      </c>
    </row>
    <row r="131" spans="1:5" x14ac:dyDescent="0.2">
      <c r="A131" s="102">
        <f t="shared" si="10"/>
        <v>125</v>
      </c>
      <c r="B131" s="5" t="s">
        <v>122</v>
      </c>
      <c r="C131" s="104">
        <v>400</v>
      </c>
      <c r="D131" s="103">
        <f>ROUND('Lighting RD'!F131,2)</f>
        <v>0.3</v>
      </c>
      <c r="E131" s="12" t="str">
        <f>$E$126</f>
        <v>Sheet No. 141A-H</v>
      </c>
    </row>
    <row r="132" spans="1:5" x14ac:dyDescent="0.2">
      <c r="A132" s="102">
        <f t="shared" si="10"/>
        <v>126</v>
      </c>
      <c r="B132" s="108"/>
      <c r="C132" s="104"/>
      <c r="D132" s="103"/>
      <c r="E132" s="107"/>
    </row>
    <row r="133" spans="1:5" x14ac:dyDescent="0.2">
      <c r="A133" s="102">
        <f t="shared" si="10"/>
        <v>127</v>
      </c>
      <c r="B133" s="5" t="s">
        <v>121</v>
      </c>
      <c r="C133" s="104">
        <v>100</v>
      </c>
      <c r="D133" s="103">
        <f>ROUND('Lighting RD'!F133,2)</f>
        <v>7.0000000000000007E-2</v>
      </c>
      <c r="E133" s="12" t="str">
        <f>$E$126</f>
        <v>Sheet No. 141A-H</v>
      </c>
    </row>
    <row r="134" spans="1:5" x14ac:dyDescent="0.2">
      <c r="A134" s="102">
        <f t="shared" si="10"/>
        <v>128</v>
      </c>
      <c r="B134" s="5" t="s">
        <v>121</v>
      </c>
      <c r="C134" s="104">
        <v>150</v>
      </c>
      <c r="D134" s="103">
        <f>ROUND('Lighting RD'!F134,2)</f>
        <v>0.11</v>
      </c>
      <c r="E134" s="12" t="str">
        <f>$E$126</f>
        <v>Sheet No. 141A-H</v>
      </c>
    </row>
    <row r="135" spans="1:5" x14ac:dyDescent="0.2">
      <c r="A135" s="102">
        <f t="shared" si="10"/>
        <v>129</v>
      </c>
      <c r="B135" s="5" t="s">
        <v>121</v>
      </c>
      <c r="C135" s="104">
        <v>200</v>
      </c>
      <c r="D135" s="103">
        <f>ROUND('Lighting RD'!F135,2)</f>
        <v>0.15</v>
      </c>
      <c r="E135" s="12" t="str">
        <f>$E$126</f>
        <v>Sheet No. 141A-H</v>
      </c>
    </row>
    <row r="136" spans="1:5" x14ac:dyDescent="0.2">
      <c r="A136" s="102">
        <f t="shared" ref="A136:A162" si="12">A135+1</f>
        <v>130</v>
      </c>
      <c r="B136" s="5" t="s">
        <v>121</v>
      </c>
      <c r="C136" s="104">
        <v>250</v>
      </c>
      <c r="D136" s="103">
        <f>ROUND('Lighting RD'!F136,2)</f>
        <v>0.19</v>
      </c>
      <c r="E136" s="12" t="str">
        <f>$E$126</f>
        <v>Sheet No. 141A-H</v>
      </c>
    </row>
    <row r="137" spans="1:5" x14ac:dyDescent="0.2">
      <c r="A137" s="102">
        <f t="shared" si="12"/>
        <v>131</v>
      </c>
      <c r="B137" s="5" t="s">
        <v>121</v>
      </c>
      <c r="C137" s="104">
        <v>400</v>
      </c>
      <c r="D137" s="103">
        <f>ROUND('Lighting RD'!F137,2)</f>
        <v>0.3</v>
      </c>
      <c r="E137" s="12" t="str">
        <f>$E$126</f>
        <v>Sheet No. 141A-H</v>
      </c>
    </row>
    <row r="138" spans="1:5" x14ac:dyDescent="0.2">
      <c r="A138" s="102">
        <f t="shared" si="12"/>
        <v>132</v>
      </c>
      <c r="B138" s="108"/>
      <c r="C138" s="104"/>
      <c r="D138" s="103"/>
      <c r="E138" s="107"/>
    </row>
    <row r="139" spans="1:5" x14ac:dyDescent="0.2">
      <c r="A139" s="102">
        <f t="shared" si="12"/>
        <v>133</v>
      </c>
      <c r="B139" s="5" t="s">
        <v>120</v>
      </c>
      <c r="C139" s="104">
        <v>175</v>
      </c>
      <c r="D139" s="103">
        <f>ROUND('Lighting RD'!F139,2)</f>
        <v>0.13</v>
      </c>
      <c r="E139" s="12" t="str">
        <f>$E$126</f>
        <v>Sheet No. 141A-H</v>
      </c>
    </row>
    <row r="140" spans="1:5" x14ac:dyDescent="0.2">
      <c r="A140" s="102">
        <f t="shared" si="12"/>
        <v>134</v>
      </c>
      <c r="B140" s="5" t="s">
        <v>120</v>
      </c>
      <c r="C140" s="104">
        <v>250</v>
      </c>
      <c r="D140" s="103">
        <f>ROUND('Lighting RD'!F140,2)</f>
        <v>0.19</v>
      </c>
      <c r="E140" s="12" t="str">
        <f>$E$126</f>
        <v>Sheet No. 141A-H</v>
      </c>
    </row>
    <row r="141" spans="1:5" x14ac:dyDescent="0.2">
      <c r="A141" s="102">
        <f t="shared" si="12"/>
        <v>135</v>
      </c>
      <c r="B141" s="5" t="s">
        <v>120</v>
      </c>
      <c r="C141" s="104">
        <v>400</v>
      </c>
      <c r="D141" s="103">
        <f>ROUND('Lighting RD'!F141,2)</f>
        <v>0.3</v>
      </c>
      <c r="E141" s="12" t="str">
        <f>$E$126</f>
        <v>Sheet No. 141A-H</v>
      </c>
    </row>
    <row r="142" spans="1:5" x14ac:dyDescent="0.2">
      <c r="A142" s="102">
        <f t="shared" si="12"/>
        <v>136</v>
      </c>
      <c r="B142" s="5" t="s">
        <v>120</v>
      </c>
      <c r="C142" s="104">
        <v>1000</v>
      </c>
      <c r="D142" s="103">
        <f>ROUND('Lighting RD'!F142,2)</f>
        <v>0.74</v>
      </c>
      <c r="E142" s="12" t="str">
        <f>$E$126</f>
        <v>Sheet No. 141A-H</v>
      </c>
    </row>
    <row r="143" spans="1:5" x14ac:dyDescent="0.2">
      <c r="A143" s="102">
        <f t="shared" si="12"/>
        <v>137</v>
      </c>
      <c r="B143" s="108"/>
      <c r="C143" s="104"/>
      <c r="D143" s="103"/>
      <c r="E143" s="107"/>
    </row>
    <row r="144" spans="1:5" x14ac:dyDescent="0.2">
      <c r="A144" s="102">
        <f t="shared" si="12"/>
        <v>138</v>
      </c>
      <c r="B144" s="5" t="s">
        <v>119</v>
      </c>
      <c r="C144" s="104">
        <v>250</v>
      </c>
      <c r="D144" s="103">
        <f>ROUND('Lighting RD'!F144,2)</f>
        <v>0.19</v>
      </c>
      <c r="E144" s="12" t="str">
        <f>$E$126</f>
        <v>Sheet No. 141A-H</v>
      </c>
    </row>
    <row r="145" spans="1:5" x14ac:dyDescent="0.2">
      <c r="A145" s="102">
        <f t="shared" si="12"/>
        <v>139</v>
      </c>
      <c r="B145" s="5" t="s">
        <v>119</v>
      </c>
      <c r="C145" s="104">
        <v>400</v>
      </c>
      <c r="D145" s="103">
        <f>ROUND('Lighting RD'!F145,2)</f>
        <v>0.3</v>
      </c>
      <c r="E145" s="12" t="str">
        <f>$E$126</f>
        <v>Sheet No. 141A-H</v>
      </c>
    </row>
    <row r="146" spans="1:5" x14ac:dyDescent="0.2">
      <c r="A146" s="102">
        <f t="shared" si="12"/>
        <v>140</v>
      </c>
      <c r="B146" s="108"/>
      <c r="C146" s="104"/>
      <c r="D146" s="103"/>
      <c r="E146" s="107"/>
    </row>
    <row r="147" spans="1:5" x14ac:dyDescent="0.2">
      <c r="A147" s="102">
        <f t="shared" si="12"/>
        <v>141</v>
      </c>
      <c r="B147" s="5" t="s">
        <v>118</v>
      </c>
      <c r="C147" s="13" t="s">
        <v>51</v>
      </c>
      <c r="D147" s="103">
        <f>ROUND('Lighting RD'!F147,2)</f>
        <v>0.01</v>
      </c>
      <c r="E147" s="106" t="s">
        <v>223</v>
      </c>
    </row>
    <row r="148" spans="1:5" x14ac:dyDescent="0.2">
      <c r="A148" s="102">
        <f t="shared" si="12"/>
        <v>142</v>
      </c>
      <c r="B148" s="5" t="s">
        <v>118</v>
      </c>
      <c r="C148" s="105" t="s">
        <v>52</v>
      </c>
      <c r="D148" s="103">
        <f>ROUND('Lighting RD'!F148,2)</f>
        <v>0.03</v>
      </c>
      <c r="E148" s="12" t="str">
        <f t="shared" ref="E148:E162" si="13">$E$147</f>
        <v>Sheet No. 141A-I</v>
      </c>
    </row>
    <row r="149" spans="1:5" x14ac:dyDescent="0.2">
      <c r="A149" s="102">
        <f t="shared" si="12"/>
        <v>143</v>
      </c>
      <c r="B149" s="5" t="s">
        <v>118</v>
      </c>
      <c r="C149" s="104" t="s">
        <v>16</v>
      </c>
      <c r="D149" s="103">
        <f>ROUND('Lighting RD'!F149,2)</f>
        <v>0.06</v>
      </c>
      <c r="E149" s="12" t="str">
        <f t="shared" si="13"/>
        <v>Sheet No. 141A-I</v>
      </c>
    </row>
    <row r="150" spans="1:5" x14ac:dyDescent="0.2">
      <c r="A150" s="102">
        <f t="shared" si="12"/>
        <v>144</v>
      </c>
      <c r="B150" s="5" t="s">
        <v>118</v>
      </c>
      <c r="C150" s="104" t="s">
        <v>17</v>
      </c>
      <c r="D150" s="103">
        <f>ROUND('Lighting RD'!F150,2)</f>
        <v>0.08</v>
      </c>
      <c r="E150" s="12" t="str">
        <f t="shared" si="13"/>
        <v>Sheet No. 141A-I</v>
      </c>
    </row>
    <row r="151" spans="1:5" x14ac:dyDescent="0.2">
      <c r="A151" s="102">
        <f t="shared" si="12"/>
        <v>145</v>
      </c>
      <c r="B151" s="5" t="s">
        <v>118</v>
      </c>
      <c r="C151" s="104" t="s">
        <v>18</v>
      </c>
      <c r="D151" s="103">
        <f>ROUND('Lighting RD'!F151,2)</f>
        <v>0.1</v>
      </c>
      <c r="E151" s="12" t="str">
        <f t="shared" si="13"/>
        <v>Sheet No. 141A-I</v>
      </c>
    </row>
    <row r="152" spans="1:5" x14ac:dyDescent="0.2">
      <c r="A152" s="102">
        <f t="shared" si="12"/>
        <v>146</v>
      </c>
      <c r="B152" s="5" t="s">
        <v>118</v>
      </c>
      <c r="C152" s="104" t="s">
        <v>19</v>
      </c>
      <c r="D152" s="103">
        <f>ROUND('Lighting RD'!F152,2)</f>
        <v>0.12</v>
      </c>
      <c r="E152" s="12" t="str">
        <f t="shared" si="13"/>
        <v>Sheet No. 141A-I</v>
      </c>
    </row>
    <row r="153" spans="1:5" x14ac:dyDescent="0.2">
      <c r="A153" s="102">
        <f t="shared" si="12"/>
        <v>147</v>
      </c>
      <c r="B153" s="5" t="s">
        <v>118</v>
      </c>
      <c r="C153" s="104" t="s">
        <v>20</v>
      </c>
      <c r="D153" s="103">
        <f>ROUND('Lighting RD'!F153,2)</f>
        <v>0.14000000000000001</v>
      </c>
      <c r="E153" s="12" t="str">
        <f t="shared" si="13"/>
        <v>Sheet No. 141A-I</v>
      </c>
    </row>
    <row r="154" spans="1:5" x14ac:dyDescent="0.2">
      <c r="A154" s="102">
        <f t="shared" si="12"/>
        <v>148</v>
      </c>
      <c r="B154" s="5" t="s">
        <v>118</v>
      </c>
      <c r="C154" s="104" t="s">
        <v>21</v>
      </c>
      <c r="D154" s="103">
        <f>ROUND('Lighting RD'!F154,2)</f>
        <v>0.17</v>
      </c>
      <c r="E154" s="12" t="str">
        <f t="shared" si="13"/>
        <v>Sheet No. 141A-I</v>
      </c>
    </row>
    <row r="155" spans="1:5" x14ac:dyDescent="0.2">
      <c r="A155" s="102">
        <f t="shared" si="12"/>
        <v>149</v>
      </c>
      <c r="B155" s="5" t="s">
        <v>118</v>
      </c>
      <c r="C155" s="104" t="s">
        <v>22</v>
      </c>
      <c r="D155" s="103">
        <f>ROUND('Lighting RD'!F155,2)</f>
        <v>0.19</v>
      </c>
      <c r="E155" s="12" t="str">
        <f t="shared" si="13"/>
        <v>Sheet No. 141A-I</v>
      </c>
    </row>
    <row r="156" spans="1:5" x14ac:dyDescent="0.2">
      <c r="A156" s="102">
        <f t="shared" si="12"/>
        <v>150</v>
      </c>
      <c r="B156" s="5" t="s">
        <v>118</v>
      </c>
      <c r="C156" s="104" t="s">
        <v>23</v>
      </c>
      <c r="D156" s="103">
        <f>ROUND('Lighting RD'!F156,2)</f>
        <v>0.21</v>
      </c>
      <c r="E156" s="12" t="str">
        <f t="shared" si="13"/>
        <v>Sheet No. 141A-I</v>
      </c>
    </row>
    <row r="157" spans="1:5" x14ac:dyDescent="0.2">
      <c r="A157" s="102">
        <f t="shared" si="12"/>
        <v>151</v>
      </c>
      <c r="B157" s="5" t="s">
        <v>118</v>
      </c>
      <c r="C157" s="104" t="s">
        <v>33</v>
      </c>
      <c r="D157" s="103">
        <f>ROUND('Lighting RD'!F157,2)</f>
        <v>0.26</v>
      </c>
      <c r="E157" s="12" t="str">
        <f t="shared" si="13"/>
        <v>Sheet No. 141A-I</v>
      </c>
    </row>
    <row r="158" spans="1:5" x14ac:dyDescent="0.2">
      <c r="A158" s="102">
        <f t="shared" si="12"/>
        <v>152</v>
      </c>
      <c r="B158" s="5" t="s">
        <v>118</v>
      </c>
      <c r="C158" s="104" t="s">
        <v>34</v>
      </c>
      <c r="D158" s="103">
        <f>ROUND('Lighting RD'!F158,2)</f>
        <v>0.33</v>
      </c>
      <c r="E158" s="12" t="str">
        <f t="shared" si="13"/>
        <v>Sheet No. 141A-I</v>
      </c>
    </row>
    <row r="159" spans="1:5" x14ac:dyDescent="0.2">
      <c r="A159" s="102">
        <f t="shared" si="12"/>
        <v>153</v>
      </c>
      <c r="B159" s="5" t="s">
        <v>118</v>
      </c>
      <c r="C159" s="104" t="s">
        <v>35</v>
      </c>
      <c r="D159" s="103">
        <f>ROUND('Lighting RD'!F159,2)</f>
        <v>0.41</v>
      </c>
      <c r="E159" s="12" t="str">
        <f t="shared" si="13"/>
        <v>Sheet No. 141A-I</v>
      </c>
    </row>
    <row r="160" spans="1:5" x14ac:dyDescent="0.2">
      <c r="A160" s="102">
        <f t="shared" si="12"/>
        <v>154</v>
      </c>
      <c r="B160" s="5" t="s">
        <v>118</v>
      </c>
      <c r="C160" s="104" t="s">
        <v>36</v>
      </c>
      <c r="D160" s="103">
        <f>ROUND('Lighting RD'!F160,2)</f>
        <v>0.48</v>
      </c>
      <c r="E160" s="12" t="str">
        <f t="shared" si="13"/>
        <v>Sheet No. 141A-I</v>
      </c>
    </row>
    <row r="161" spans="1:13" x14ac:dyDescent="0.2">
      <c r="A161" s="102">
        <f t="shared" si="12"/>
        <v>155</v>
      </c>
      <c r="B161" s="5" t="s">
        <v>118</v>
      </c>
      <c r="C161" s="104" t="s">
        <v>37</v>
      </c>
      <c r="D161" s="103">
        <f>ROUND('Lighting RD'!F161,2)</f>
        <v>0.56000000000000005</v>
      </c>
      <c r="E161" s="12" t="str">
        <f t="shared" si="13"/>
        <v>Sheet No. 141A-I</v>
      </c>
    </row>
    <row r="162" spans="1:13" x14ac:dyDescent="0.2">
      <c r="A162" s="102">
        <f t="shared" si="12"/>
        <v>156</v>
      </c>
      <c r="B162" s="5" t="s">
        <v>118</v>
      </c>
      <c r="C162" s="104" t="s">
        <v>38</v>
      </c>
      <c r="D162" s="103">
        <f>ROUND('Lighting RD'!F162,2)</f>
        <v>0.63</v>
      </c>
      <c r="E162" s="12" t="str">
        <f t="shared" si="13"/>
        <v>Sheet No. 141A-I</v>
      </c>
    </row>
    <row r="163" spans="1:13" x14ac:dyDescent="0.2">
      <c r="A163" s="102"/>
    </row>
    <row r="164" spans="1:13" x14ac:dyDescent="0.2">
      <c r="A164" s="102"/>
      <c r="B164" s="101"/>
      <c r="C164" s="101"/>
      <c r="D164" s="101"/>
      <c r="E164" s="101"/>
      <c r="F164" s="101"/>
      <c r="G164" s="101"/>
      <c r="H164" s="101"/>
      <c r="I164" s="101"/>
      <c r="J164" s="101"/>
      <c r="K164" s="101"/>
      <c r="L164" s="101"/>
      <c r="M164" s="101"/>
    </row>
  </sheetData>
  <pageMargins left="0.7" right="0.7" top="0.75" bottom="0.75" header="0.3" footer="0.3"/>
  <pageSetup orientation="portrait" r:id="rId1"/>
  <headerFooter>
    <oddHeader>&amp;RElectric Schedule 120 Rate Design Workpapers
Page &amp;P of &amp;N</oddHeader>
    <oddFooter>&amp;L&amp;F
&amp;A&amp;R&amp;D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O198"/>
  <sheetViews>
    <sheetView zoomScaleNormal="100" zoomScaleSheetLayoutView="100" workbookViewId="0">
      <pane ySplit="6" topLeftCell="A7" activePane="bottomLeft" state="frozen"/>
      <selection activeCell="L19" sqref="L19"/>
      <selection pane="bottomLeft" activeCell="C12" sqref="C12"/>
    </sheetView>
  </sheetViews>
  <sheetFormatPr defaultColWidth="9.140625" defaultRowHeight="11.25" x14ac:dyDescent="0.2"/>
  <cols>
    <col min="1" max="1" width="6.7109375" style="119" bestFit="1" customWidth="1"/>
    <col min="2" max="2" width="44" style="119" bestFit="1" customWidth="1"/>
    <col min="3" max="3" width="7.28515625" style="119" customWidth="1"/>
    <col min="4" max="4" width="7.7109375" style="134" customWidth="1"/>
    <col min="5" max="5" width="7.7109375" style="168" customWidth="1"/>
    <col min="6" max="6" width="8.28515625" style="168" customWidth="1"/>
    <col min="7" max="7" width="17" style="168" customWidth="1"/>
    <col min="8" max="8" width="9.42578125" style="168" bestFit="1" customWidth="1"/>
    <col min="9" max="9" width="10" style="119" bestFit="1" customWidth="1"/>
    <col min="10" max="10" width="12.85546875" style="168" bestFit="1" customWidth="1"/>
    <col min="11" max="11" width="13.42578125" style="168" customWidth="1"/>
    <col min="12" max="12" width="11.28515625" style="119" bestFit="1" customWidth="1"/>
    <col min="13" max="13" width="7.7109375" style="119" bestFit="1" customWidth="1"/>
    <col min="14" max="14" width="10" style="167" bestFit="1" customWidth="1"/>
    <col min="15" max="15" width="12.28515625" style="119" bestFit="1" customWidth="1"/>
    <col min="16" max="16384" width="9.140625" style="119"/>
  </cols>
  <sheetData>
    <row r="1" spans="1:15" s="242" customFormat="1" x14ac:dyDescent="0.2">
      <c r="A1" s="214" t="str">
        <f>'Sch 141A Rates'!A1</f>
        <v>PUGET SOUND ENERGY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177"/>
    </row>
    <row r="2" spans="1:15" s="242" customFormat="1" x14ac:dyDescent="0.2">
      <c r="A2" s="214" t="str">
        <f>'Sch 141A Rates'!A2</f>
        <v>Schedule 141A Energy Charge Credit Recovery Adjustment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177"/>
    </row>
    <row r="3" spans="1:15" s="242" customFormat="1" x14ac:dyDescent="0.2">
      <c r="A3" s="214" t="str">
        <f>"Effective "&amp;TEXT(Inputs!B1,"mmmm d, yyyy")&amp;" - "&amp;TEXT(Inputs!B4,"mmmm d, yyyy")</f>
        <v>Effective January 1, 2025 - December 31, 2025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177"/>
    </row>
    <row r="4" spans="1:15" s="152" customFormat="1" x14ac:dyDescent="0.2">
      <c r="A4" s="241" t="s">
        <v>185</v>
      </c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177"/>
    </row>
    <row r="5" spans="1:15" s="152" customFormat="1" x14ac:dyDescent="0.2">
      <c r="A5" s="214" t="s">
        <v>146</v>
      </c>
      <c r="B5" s="214"/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167"/>
    </row>
    <row r="6" spans="1:15" s="234" customFormat="1" ht="56.25" x14ac:dyDescent="0.2">
      <c r="A6" s="160" t="s">
        <v>0</v>
      </c>
      <c r="B6" s="160" t="s">
        <v>184</v>
      </c>
      <c r="C6" s="240" t="s">
        <v>1</v>
      </c>
      <c r="D6" s="239"/>
      <c r="E6" s="239"/>
      <c r="F6" s="239"/>
      <c r="G6" s="237" t="str">
        <f>'Rate Spread and Design'!I6</f>
        <v>Schedule</v>
      </c>
      <c r="H6" s="236" t="s">
        <v>183</v>
      </c>
      <c r="I6" s="161" t="s">
        <v>182</v>
      </c>
      <c r="J6" s="238" t="s">
        <v>181</v>
      </c>
      <c r="K6" s="237" t="s">
        <v>180</v>
      </c>
      <c r="L6" s="236" t="s">
        <v>179</v>
      </c>
      <c r="M6" s="236"/>
      <c r="N6" s="235" t="s">
        <v>95</v>
      </c>
    </row>
    <row r="7" spans="1:15" s="228" customFormat="1" x14ac:dyDescent="0.2">
      <c r="A7" s="155"/>
      <c r="B7" s="155"/>
      <c r="C7" s="233" t="s">
        <v>146</v>
      </c>
      <c r="D7" s="233"/>
      <c r="E7" s="233"/>
      <c r="F7" s="233"/>
      <c r="G7" s="231" t="s">
        <v>57</v>
      </c>
      <c r="H7" s="233" t="s">
        <v>66</v>
      </c>
      <c r="I7" s="155" t="s">
        <v>58</v>
      </c>
      <c r="J7" s="232" t="s">
        <v>67</v>
      </c>
      <c r="K7" s="231" t="s">
        <v>178</v>
      </c>
      <c r="L7" s="155" t="s">
        <v>177</v>
      </c>
      <c r="M7" s="155" t="s">
        <v>176</v>
      </c>
      <c r="N7" s="167"/>
    </row>
    <row r="8" spans="1:15" x14ac:dyDescent="0.2">
      <c r="A8" s="169">
        <v>1</v>
      </c>
      <c r="C8" s="206" t="s">
        <v>146</v>
      </c>
      <c r="D8" s="207"/>
      <c r="E8" s="206"/>
      <c r="F8" s="206"/>
      <c r="H8" s="190" t="s">
        <v>146</v>
      </c>
      <c r="J8" s="189"/>
      <c r="O8" s="228"/>
    </row>
    <row r="9" spans="1:15" x14ac:dyDescent="0.2">
      <c r="A9" s="169">
        <f>A8+1</f>
        <v>2</v>
      </c>
      <c r="B9" s="152" t="s">
        <v>2</v>
      </c>
      <c r="C9" s="215" t="s">
        <v>175</v>
      </c>
      <c r="D9" s="230"/>
      <c r="E9" s="215"/>
      <c r="F9" s="215"/>
      <c r="G9" s="213">
        <v>11319130621.398149</v>
      </c>
      <c r="H9" s="212">
        <v>1.7420000000000001E-3</v>
      </c>
      <c r="I9" s="300">
        <f>ROUND('Rate Spread and Design'!E12,6)</f>
        <v>1.7899999999999999E-3</v>
      </c>
      <c r="J9" s="211">
        <v>1642575640.1241922</v>
      </c>
      <c r="K9" s="210">
        <f>J9+G9*(I9-H9)</f>
        <v>1643118958.3940194</v>
      </c>
      <c r="L9" s="210">
        <f>+K9-J9</f>
        <v>543318.26982712746</v>
      </c>
      <c r="M9" s="209">
        <f>IF(J9=0,"n/a",+L9/J9)</f>
        <v>3.3077214622886296E-4</v>
      </c>
      <c r="N9" s="208">
        <f>I9-ROUND('Rate Spread and Design'!E12,6)</f>
        <v>0</v>
      </c>
      <c r="O9" s="228"/>
    </row>
    <row r="10" spans="1:15" x14ac:dyDescent="0.2">
      <c r="A10" s="169">
        <f>A9+1</f>
        <v>3</v>
      </c>
      <c r="B10" s="124"/>
      <c r="C10" s="206" t="s">
        <v>146</v>
      </c>
      <c r="D10" s="207"/>
      <c r="E10" s="206"/>
      <c r="F10" s="206"/>
      <c r="G10" s="218"/>
      <c r="H10" s="217" t="s">
        <v>146</v>
      </c>
      <c r="I10" s="301"/>
      <c r="J10" s="189"/>
      <c r="K10" s="191"/>
      <c r="L10" s="191"/>
      <c r="M10" s="202"/>
      <c r="N10" s="208"/>
      <c r="O10" s="228"/>
    </row>
    <row r="11" spans="1:15" x14ac:dyDescent="0.2">
      <c r="A11" s="169">
        <f>A10+1</f>
        <v>4</v>
      </c>
      <c r="B11" s="280" t="s">
        <v>69</v>
      </c>
      <c r="C11" s="206" t="s">
        <v>146</v>
      </c>
      <c r="D11" s="207"/>
      <c r="E11" s="206"/>
      <c r="F11" s="206"/>
      <c r="G11" s="218" t="s">
        <v>146</v>
      </c>
      <c r="H11" s="217" t="s">
        <v>146</v>
      </c>
      <c r="I11" s="301"/>
      <c r="J11" s="189" t="s">
        <v>146</v>
      </c>
      <c r="K11" s="191"/>
      <c r="L11" s="191"/>
      <c r="M11" s="202"/>
      <c r="N11" s="208"/>
      <c r="O11" s="228"/>
    </row>
    <row r="12" spans="1:15" x14ac:dyDescent="0.2">
      <c r="A12" s="169">
        <f>A11+1</f>
        <v>5</v>
      </c>
      <c r="B12" s="281" t="str">
        <f>'Sch 141A Rates'!B13</f>
        <v>General Service: Demand &lt;= 50 kW</v>
      </c>
      <c r="C12" s="215" t="s">
        <v>174</v>
      </c>
      <c r="D12" s="230"/>
      <c r="E12" s="215"/>
      <c r="F12" s="215"/>
      <c r="G12" s="224">
        <v>2693210047.3914232</v>
      </c>
      <c r="H12" s="217">
        <v>1.6659999999999999E-3</v>
      </c>
      <c r="I12" s="301">
        <f>ROUND('Rate Spread and Design'!E19,6)</f>
        <v>1.771E-3</v>
      </c>
      <c r="J12" s="229">
        <v>383411809.18099695</v>
      </c>
      <c r="K12" s="191">
        <f>J12+G12*(I12-H12)</f>
        <v>383694596.23597306</v>
      </c>
      <c r="L12" s="191">
        <f>+K12-J12</f>
        <v>282787.05497610569</v>
      </c>
      <c r="M12" s="172">
        <f>IF(J12=0,"n/a",+L12/J12)</f>
        <v>7.3755436896992023E-4</v>
      </c>
      <c r="N12" s="208">
        <f>I12-ROUND('Rate Spread and Design'!E19,6)</f>
        <v>0</v>
      </c>
      <c r="O12" s="228"/>
    </row>
    <row r="13" spans="1:15" x14ac:dyDescent="0.2">
      <c r="A13" s="169">
        <f t="shared" ref="A13:A49" si="0">A12+1</f>
        <v>6</v>
      </c>
      <c r="B13" s="281" t="str">
        <f>'Sch 141A Rates'!B14</f>
        <v>Small General Service: Demand &gt; 50 kW but &lt;= 350 kW</v>
      </c>
      <c r="C13" s="215" t="s">
        <v>230</v>
      </c>
      <c r="D13" s="215"/>
      <c r="E13" s="215"/>
      <c r="F13" s="215"/>
      <c r="G13" s="224">
        <v>2971751015.5674863</v>
      </c>
      <c r="H13" s="217">
        <v>1.6720000000000001E-3</v>
      </c>
      <c r="I13" s="301">
        <f>ROUND('Rate Spread and Design'!E25,6)</f>
        <v>1.725E-3</v>
      </c>
      <c r="J13" s="275">
        <v>396039264.11994725</v>
      </c>
      <c r="K13" s="276">
        <f>J13+G13*(I13-H13)</f>
        <v>396196766.92377234</v>
      </c>
      <c r="L13" s="276">
        <f>+K13-J13</f>
        <v>157502.80382508039</v>
      </c>
      <c r="M13" s="277">
        <f>IF(J13=0,"n/a",+L13/J13)</f>
        <v>3.9769492091919955E-4</v>
      </c>
      <c r="N13" s="226">
        <f>I13-ROUND('Rate Spread and Design'!E25,6)</f>
        <v>0</v>
      </c>
      <c r="O13" s="228"/>
    </row>
    <row r="14" spans="1:15" x14ac:dyDescent="0.2">
      <c r="A14" s="169">
        <f t="shared" si="0"/>
        <v>7</v>
      </c>
      <c r="B14" s="281" t="str">
        <f>'Sch 141A Rates'!B15</f>
        <v>Large General Service: Demand &gt; 350 kW</v>
      </c>
      <c r="C14" s="215" t="s">
        <v>231</v>
      </c>
      <c r="D14" s="215"/>
      <c r="E14" s="215"/>
      <c r="F14" s="215"/>
      <c r="G14" s="224">
        <v>2037371160.2613628</v>
      </c>
      <c r="H14" s="217">
        <v>1.549E-3</v>
      </c>
      <c r="I14" s="301">
        <f>ROUND('Rate Spread and Design'!E31,6)</f>
        <v>1.539E-3</v>
      </c>
      <c r="J14" s="275">
        <v>248391681.73746395</v>
      </c>
      <c r="K14" s="276">
        <f>J14+G14*(I14-H14)</f>
        <v>248371308.02586132</v>
      </c>
      <c r="L14" s="276">
        <f>+K14-J14</f>
        <v>-20373.711602628231</v>
      </c>
      <c r="M14" s="277">
        <f>IF(J14=0,"n/a",+L14/J14)</f>
        <v>-8.2022519675848478E-5</v>
      </c>
      <c r="N14" s="226">
        <f>I14-ROUND('Rate Spread and Design'!E31,6)</f>
        <v>0</v>
      </c>
      <c r="O14" s="228"/>
    </row>
    <row r="15" spans="1:15" ht="12" customHeight="1" x14ac:dyDescent="0.2">
      <c r="A15" s="169">
        <f t="shared" si="0"/>
        <v>8</v>
      </c>
      <c r="B15" s="281" t="str">
        <f>'Sch 141A Rates'!B16</f>
        <v>Irrigation &amp; Pumping Service: Demand &gt; 50 kW but &lt;= 350 kW</v>
      </c>
      <c r="C15" s="215">
        <v>29</v>
      </c>
      <c r="D15" s="215"/>
      <c r="E15" s="215"/>
      <c r="F15" s="215"/>
      <c r="G15" s="224">
        <v>14436685.877551533</v>
      </c>
      <c r="H15" s="217">
        <v>1.6720000000000001E-3</v>
      </c>
      <c r="I15" s="301">
        <f>ROUND('Rate Spread and Design'!E37,6)</f>
        <v>1.645E-3</v>
      </c>
      <c r="J15" s="278">
        <v>1754980.8617207329</v>
      </c>
      <c r="K15" s="276">
        <f>J15+G15*(I15-H15)</f>
        <v>1754591.071202039</v>
      </c>
      <c r="L15" s="276">
        <f>+K15-J15</f>
        <v>-389.79051869385876</v>
      </c>
      <c r="M15" s="277">
        <f>IF(J15=0,"n/a",+L15/J15)</f>
        <v>-2.2210528171325749E-4</v>
      </c>
      <c r="N15" s="226">
        <f>I15-ROUND('Rate Spread and Design'!E37,6)</f>
        <v>0</v>
      </c>
    </row>
    <row r="16" spans="1:15" x14ac:dyDescent="0.2">
      <c r="A16" s="169">
        <f t="shared" si="0"/>
        <v>9</v>
      </c>
      <c r="B16" s="219" t="s">
        <v>78</v>
      </c>
      <c r="C16" s="215" t="s">
        <v>146</v>
      </c>
      <c r="D16" s="215"/>
      <c r="E16" s="215"/>
      <c r="F16" s="215"/>
      <c r="G16" s="306">
        <f>SUM(G12:G15)</f>
        <v>7716768909.0978241</v>
      </c>
      <c r="H16" s="212"/>
      <c r="I16" s="300"/>
      <c r="J16" s="227">
        <f>SUM(J12:J15)</f>
        <v>1029597735.9001288</v>
      </c>
      <c r="K16" s="210">
        <f>SUM(K12:K15)</f>
        <v>1030017262.2568088</v>
      </c>
      <c r="L16" s="210">
        <f>SUM(L12:L15)</f>
        <v>419526.35667986399</v>
      </c>
      <c r="M16" s="209">
        <f>IF(J16=0,"n/a",+L16/J16)</f>
        <v>4.0746627741279157E-4</v>
      </c>
      <c r="N16" s="208"/>
    </row>
    <row r="17" spans="1:15" x14ac:dyDescent="0.2">
      <c r="A17" s="169">
        <f t="shared" si="0"/>
        <v>10</v>
      </c>
      <c r="B17" s="124"/>
      <c r="C17" s="215" t="s">
        <v>146</v>
      </c>
      <c r="D17" s="215"/>
      <c r="E17" s="215"/>
      <c r="F17" s="215"/>
      <c r="G17" s="168" t="s">
        <v>146</v>
      </c>
      <c r="H17" s="205" t="s">
        <v>146</v>
      </c>
      <c r="I17" s="302"/>
      <c r="J17" s="189" t="s">
        <v>146</v>
      </c>
      <c r="K17" s="191"/>
      <c r="L17" s="191"/>
      <c r="M17" s="202"/>
      <c r="N17" s="208"/>
    </row>
    <row r="18" spans="1:15" x14ac:dyDescent="0.2">
      <c r="A18" s="169">
        <f t="shared" si="0"/>
        <v>11</v>
      </c>
      <c r="B18" s="152" t="s">
        <v>80</v>
      </c>
      <c r="C18" s="215" t="s">
        <v>146</v>
      </c>
      <c r="D18" s="215"/>
      <c r="E18" s="215"/>
      <c r="F18" s="215"/>
      <c r="G18" s="168" t="s">
        <v>146</v>
      </c>
      <c r="H18" s="205" t="s">
        <v>146</v>
      </c>
      <c r="I18" s="302"/>
      <c r="J18" s="189" t="s">
        <v>146</v>
      </c>
      <c r="K18" s="191"/>
      <c r="L18" s="191"/>
      <c r="M18" s="202"/>
      <c r="N18" s="208"/>
    </row>
    <row r="19" spans="1:15" x14ac:dyDescent="0.2">
      <c r="A19" s="169">
        <f t="shared" si="0"/>
        <v>12</v>
      </c>
      <c r="B19" s="281" t="str">
        <f>'Sch 141A Rates'!B20</f>
        <v>General Service</v>
      </c>
      <c r="C19" s="215" t="s">
        <v>232</v>
      </c>
      <c r="D19" s="215"/>
      <c r="E19" s="215"/>
      <c r="F19" s="215"/>
      <c r="G19" s="224">
        <v>1378502364.5436404</v>
      </c>
      <c r="H19" s="217">
        <v>1.518E-3</v>
      </c>
      <c r="I19" s="301">
        <f>ROUND('Rate Spread and Design'!E44,6)</f>
        <v>1.619E-3</v>
      </c>
      <c r="J19" s="275">
        <v>162575865.43602517</v>
      </c>
      <c r="K19" s="276">
        <f>J19+G19*(I19-H19)</f>
        <v>162715094.17484409</v>
      </c>
      <c r="L19" s="276">
        <f>+K19-J19</f>
        <v>139228.7388189137</v>
      </c>
      <c r="M19" s="279">
        <f>IF(J19=0,"n/a",+L19/J19)</f>
        <v>8.5639241990503965E-4</v>
      </c>
      <c r="N19" s="226">
        <f>I19-ROUND('Rate Spread and Design'!E44,6)</f>
        <v>0</v>
      </c>
    </row>
    <row r="20" spans="1:15" x14ac:dyDescent="0.2">
      <c r="A20" s="169">
        <f t="shared" si="0"/>
        <v>13</v>
      </c>
      <c r="B20" s="281" t="str">
        <f>'Sch 141A Rates'!B21</f>
        <v>Irrigation &amp; Pumping Service</v>
      </c>
      <c r="C20" s="215">
        <v>35</v>
      </c>
      <c r="D20" s="215"/>
      <c r="E20" s="215"/>
      <c r="F20" s="215"/>
      <c r="G20" s="224">
        <v>5934926.6636967957</v>
      </c>
      <c r="H20" s="217">
        <v>1.6299999999999999E-3</v>
      </c>
      <c r="I20" s="301">
        <f>ROUND('Rate Spread and Design'!E50,6)</f>
        <v>1.263E-3</v>
      </c>
      <c r="J20" s="275">
        <v>568549.99044456286</v>
      </c>
      <c r="K20" s="276">
        <f>J20+G20*(I20-H20)</f>
        <v>566371.87235898618</v>
      </c>
      <c r="L20" s="276">
        <f>+K20-J20</f>
        <v>-2178.118085576687</v>
      </c>
      <c r="M20" s="279">
        <f>IF(J20=0,"n/a",+L20/J20)</f>
        <v>-3.8310054035416733E-3</v>
      </c>
      <c r="N20" s="226">
        <f>I20-ROUND('Rate Spread and Design'!E50,6)</f>
        <v>0</v>
      </c>
    </row>
    <row r="21" spans="1:15" ht="12" customHeight="1" x14ac:dyDescent="0.2">
      <c r="A21" s="169">
        <f t="shared" si="0"/>
        <v>14</v>
      </c>
      <c r="B21" s="281" t="str">
        <f>'Sch 141A Rates'!B22</f>
        <v>All Electric Schools</v>
      </c>
      <c r="C21" s="215">
        <v>43</v>
      </c>
      <c r="D21" s="215"/>
      <c r="E21" s="215"/>
      <c r="F21" s="215"/>
      <c r="G21" s="224">
        <v>109828264.79087074</v>
      </c>
      <c r="H21" s="217">
        <v>1.493E-3</v>
      </c>
      <c r="I21" s="301">
        <f>ROUND('Rate Spread and Design'!E56,6)</f>
        <v>1.748E-3</v>
      </c>
      <c r="J21" s="275">
        <v>13034472.310765376</v>
      </c>
      <c r="K21" s="276">
        <f>J21+G21*(I21-H21)</f>
        <v>13062478.518287048</v>
      </c>
      <c r="L21" s="276">
        <f>+K21-J21</f>
        <v>28006.207521671429</v>
      </c>
      <c r="M21" s="279">
        <f>IF(J21=0,"n/a",+L21/J21)</f>
        <v>2.1486261088253383E-3</v>
      </c>
      <c r="N21" s="226">
        <f>I21-ROUND('Rate Spread and Design'!E56,6)</f>
        <v>0</v>
      </c>
    </row>
    <row r="22" spans="1:15" x14ac:dyDescent="0.2">
      <c r="A22" s="169">
        <f t="shared" si="0"/>
        <v>15</v>
      </c>
      <c r="B22" s="220" t="s">
        <v>86</v>
      </c>
      <c r="C22" s="215" t="s">
        <v>146</v>
      </c>
      <c r="D22" s="215"/>
      <c r="E22" s="215"/>
      <c r="F22" s="215"/>
      <c r="G22" s="306">
        <f>SUM(G19:G21)</f>
        <v>1494265555.9982078</v>
      </c>
      <c r="H22" s="225"/>
      <c r="I22" s="303"/>
      <c r="J22" s="210">
        <f>SUM(J19:J21)</f>
        <v>176178887.73723513</v>
      </c>
      <c r="K22" s="210">
        <f>SUM(K19:K21)</f>
        <v>176343944.56549013</v>
      </c>
      <c r="L22" s="210">
        <f>SUM(L19:L21)</f>
        <v>165056.82825500844</v>
      </c>
      <c r="M22" s="209">
        <f>IF(J22=0,"n/a",+L22/J22)</f>
        <v>9.3687064537031895E-4</v>
      </c>
      <c r="N22" s="208"/>
    </row>
    <row r="23" spans="1:15" x14ac:dyDescent="0.2">
      <c r="A23" s="169">
        <f t="shared" si="0"/>
        <v>16</v>
      </c>
      <c r="C23" s="215" t="s">
        <v>146</v>
      </c>
      <c r="D23" s="215"/>
      <c r="E23" s="215"/>
      <c r="F23" s="215"/>
      <c r="G23" s="119" t="s">
        <v>146</v>
      </c>
      <c r="H23" s="190" t="s">
        <v>146</v>
      </c>
      <c r="I23" s="304"/>
      <c r="J23" s="189" t="s">
        <v>146</v>
      </c>
      <c r="K23" s="119"/>
      <c r="N23" s="208"/>
    </row>
    <row r="24" spans="1:15" x14ac:dyDescent="0.2">
      <c r="A24" s="169">
        <f t="shared" si="0"/>
        <v>17</v>
      </c>
      <c r="B24" s="152" t="s">
        <v>156</v>
      </c>
      <c r="C24" s="215" t="s">
        <v>146</v>
      </c>
      <c r="D24" s="215"/>
      <c r="E24" s="215"/>
      <c r="F24" s="215"/>
      <c r="G24" s="168" t="s">
        <v>146</v>
      </c>
      <c r="H24" s="205" t="s">
        <v>146</v>
      </c>
      <c r="I24" s="302"/>
      <c r="J24" s="189" t="s">
        <v>146</v>
      </c>
      <c r="K24" s="191"/>
      <c r="L24" s="191"/>
      <c r="M24" s="202"/>
      <c r="N24" s="208"/>
    </row>
    <row r="25" spans="1:15" x14ac:dyDescent="0.2">
      <c r="A25" s="169">
        <f t="shared" si="0"/>
        <v>18</v>
      </c>
      <c r="B25" s="281" t="str">
        <f>'Sch 141A Rates'!B26</f>
        <v>Interruptible Service</v>
      </c>
      <c r="C25" s="215">
        <v>46</v>
      </c>
      <c r="D25" s="215"/>
      <c r="E25" s="215"/>
      <c r="F25" s="215"/>
      <c r="G25" s="224">
        <v>93576444.299349248</v>
      </c>
      <c r="H25" s="217">
        <v>1.5560000000000001E-3</v>
      </c>
      <c r="I25" s="301">
        <f>ROUND('Rate Spread and Design'!E63,6)</f>
        <v>1.6479999999999999E-3</v>
      </c>
      <c r="J25" s="275">
        <v>8632954.8083425947</v>
      </c>
      <c r="K25" s="276">
        <f>J25+G25*(I25-H25)</f>
        <v>8641563.8412181344</v>
      </c>
      <c r="L25" s="276">
        <f>+K25-J25</f>
        <v>8609.032875539735</v>
      </c>
      <c r="M25" s="279">
        <f>IF(J25=0,"n/a",+L25/J25)</f>
        <v>9.9722899825911964E-4</v>
      </c>
      <c r="N25" s="208">
        <f>I25-ROUND('Rate Spread and Design'!E63,6)</f>
        <v>0</v>
      </c>
    </row>
    <row r="26" spans="1:15" ht="12" customHeight="1" x14ac:dyDescent="0.2">
      <c r="A26" s="169">
        <f t="shared" si="0"/>
        <v>19</v>
      </c>
      <c r="B26" s="281" t="str">
        <f>'Sch 141A Rates'!B27</f>
        <v>General Service</v>
      </c>
      <c r="C26" s="215">
        <v>49</v>
      </c>
      <c r="D26" s="215"/>
      <c r="E26" s="215"/>
      <c r="F26" s="215"/>
      <c r="G26" s="224">
        <v>530780105.2278645</v>
      </c>
      <c r="H26" s="217">
        <v>1.5560000000000001E-3</v>
      </c>
      <c r="I26" s="301">
        <f>ROUND('Rate Spread and Design'!E69,6)</f>
        <v>1.6410000000000001E-3</v>
      </c>
      <c r="J26" s="275">
        <v>51266328.677455448</v>
      </c>
      <c r="K26" s="276">
        <f>J26+G26*(I26-H26)</f>
        <v>51311444.986399814</v>
      </c>
      <c r="L26" s="276">
        <f>+K26-J26</f>
        <v>45116.308944366872</v>
      </c>
      <c r="M26" s="279">
        <f>IF(J26=0,"n/a",+L26/J26)</f>
        <v>8.8003783591016006E-4</v>
      </c>
      <c r="N26" s="208">
        <f>I26-ROUND('Rate Spread and Design'!E69,6)</f>
        <v>0</v>
      </c>
    </row>
    <row r="27" spans="1:15" x14ac:dyDescent="0.2">
      <c r="A27" s="169">
        <f t="shared" si="0"/>
        <v>20</v>
      </c>
      <c r="B27" s="219" t="s">
        <v>3</v>
      </c>
      <c r="C27" s="215" t="s">
        <v>146</v>
      </c>
      <c r="D27" s="215"/>
      <c r="E27" s="215"/>
      <c r="F27" s="215"/>
      <c r="G27" s="306">
        <f>SUM(G25:G26)</f>
        <v>624356549.52721381</v>
      </c>
      <c r="H27" s="223"/>
      <c r="I27" s="303"/>
      <c r="J27" s="222">
        <f>SUM(J25:J26)</f>
        <v>59899283.485798046</v>
      </c>
      <c r="K27" s="221">
        <f>SUM(K25:K26)</f>
        <v>59953008.827617951</v>
      </c>
      <c r="L27" s="210">
        <f>SUM(L25:L26)</f>
        <v>53725.341819906607</v>
      </c>
      <c r="M27" s="209">
        <f>IF(J27=0,"n/a",+L27/J27)</f>
        <v>8.969279546164311E-4</v>
      </c>
      <c r="N27" s="208"/>
    </row>
    <row r="28" spans="1:15" x14ac:dyDescent="0.2">
      <c r="A28" s="169">
        <f t="shared" si="0"/>
        <v>21</v>
      </c>
      <c r="B28" s="124"/>
      <c r="C28" s="215" t="s">
        <v>146</v>
      </c>
      <c r="D28" s="215"/>
      <c r="E28" s="215"/>
      <c r="F28" s="215"/>
      <c r="G28" s="119" t="s">
        <v>146</v>
      </c>
      <c r="H28" s="190" t="s">
        <v>146</v>
      </c>
      <c r="I28" s="304"/>
      <c r="J28" s="189" t="s">
        <v>146</v>
      </c>
      <c r="K28" s="119"/>
      <c r="N28" s="208"/>
      <c r="O28" s="170"/>
    </row>
    <row r="29" spans="1:15" x14ac:dyDescent="0.2">
      <c r="A29" s="169">
        <f t="shared" si="0"/>
        <v>22</v>
      </c>
      <c r="B29" s="220" t="s">
        <v>154</v>
      </c>
      <c r="C29" s="215" t="s">
        <v>233</v>
      </c>
      <c r="D29" s="215"/>
      <c r="E29" s="215"/>
      <c r="F29" s="215"/>
      <c r="G29" s="213">
        <v>1954312680.3583896</v>
      </c>
      <c r="H29" s="212">
        <v>0</v>
      </c>
      <c r="I29" s="300">
        <f>ROUND('Rate Spread and Design'!E81,6)</f>
        <v>0</v>
      </c>
      <c r="J29" s="211">
        <v>12709106.378682548</v>
      </c>
      <c r="K29" s="210">
        <f>J29+G29*(I29-H29)</f>
        <v>12709106.378682548</v>
      </c>
      <c r="L29" s="210">
        <f>+K29-J29</f>
        <v>0</v>
      </c>
      <c r="M29" s="209">
        <f>IF(J29=0,"n/a",+L29/J29)</f>
        <v>0</v>
      </c>
      <c r="N29" s="208">
        <f>I29-ROUND('Rate Spread and Design'!E81,6)</f>
        <v>0</v>
      </c>
      <c r="O29" s="191"/>
    </row>
    <row r="30" spans="1:15" x14ac:dyDescent="0.2">
      <c r="A30" s="169">
        <f t="shared" si="0"/>
        <v>23</v>
      </c>
      <c r="B30" s="124"/>
      <c r="C30" s="215" t="s">
        <v>146</v>
      </c>
      <c r="D30" s="215"/>
      <c r="E30" s="215"/>
      <c r="F30" s="215"/>
      <c r="G30" s="218" t="s">
        <v>146</v>
      </c>
      <c r="H30" s="217"/>
      <c r="I30" s="301"/>
      <c r="J30" s="203" t="s">
        <v>146</v>
      </c>
      <c r="K30" s="191"/>
      <c r="L30" s="191"/>
      <c r="M30" s="202"/>
      <c r="N30" s="208"/>
    </row>
    <row r="31" spans="1:15" x14ac:dyDescent="0.2">
      <c r="A31" s="169">
        <f>A30+1</f>
        <v>24</v>
      </c>
      <c r="B31" s="219" t="s">
        <v>153</v>
      </c>
      <c r="C31" s="215" t="s">
        <v>234</v>
      </c>
      <c r="D31" s="215"/>
      <c r="E31" s="215"/>
      <c r="F31" s="215"/>
      <c r="G31" s="213">
        <v>319873933.30400002</v>
      </c>
      <c r="H31" s="212">
        <v>0</v>
      </c>
      <c r="I31" s="300">
        <f>ROUND('Rate Spread and Design'!E87,6)</f>
        <v>0</v>
      </c>
      <c r="J31" s="211">
        <v>6474248.41007296</v>
      </c>
      <c r="K31" s="210">
        <f>J31+G31*(I31-H31)</f>
        <v>6474248.41007296</v>
      </c>
      <c r="L31" s="210">
        <f>+K31-J31</f>
        <v>0</v>
      </c>
      <c r="M31" s="209">
        <f>IF(J31=0,"n/a",+L31/J31)</f>
        <v>0</v>
      </c>
      <c r="N31" s="208">
        <f>I31-ROUND('Rate Spread and Design'!E87,6)</f>
        <v>0</v>
      </c>
    </row>
    <row r="32" spans="1:15" x14ac:dyDescent="0.2">
      <c r="A32" s="169">
        <f t="shared" si="0"/>
        <v>25</v>
      </c>
      <c r="C32" s="215" t="s">
        <v>146</v>
      </c>
      <c r="D32" s="215"/>
      <c r="E32" s="215"/>
      <c r="F32" s="215"/>
      <c r="G32" s="218" t="s">
        <v>146</v>
      </c>
      <c r="H32" s="217" t="s">
        <v>146</v>
      </c>
      <c r="I32" s="301"/>
      <c r="J32" s="203" t="s">
        <v>146</v>
      </c>
      <c r="K32" s="191"/>
      <c r="L32" s="191"/>
      <c r="M32" s="202"/>
      <c r="N32" s="208"/>
    </row>
    <row r="33" spans="1:14" x14ac:dyDescent="0.2">
      <c r="A33" s="169">
        <f>A32+1</f>
        <v>26</v>
      </c>
      <c r="B33" s="152" t="s">
        <v>214</v>
      </c>
      <c r="C33" s="215" t="s">
        <v>235</v>
      </c>
      <c r="D33" s="215"/>
      <c r="E33" s="215"/>
      <c r="F33" s="215"/>
      <c r="G33" s="213">
        <v>64491873.674880393</v>
      </c>
      <c r="H33" s="212">
        <v>1.7960000000000001E-3</v>
      </c>
      <c r="I33" s="300">
        <f>ROUND('Rate Spread and Design'!E75,6)</f>
        <v>1.946E-3</v>
      </c>
      <c r="J33" s="211">
        <v>22561829.701769948</v>
      </c>
      <c r="K33" s="210">
        <f>J33+G33*(I33-H33)</f>
        <v>22571503.482821181</v>
      </c>
      <c r="L33" s="210">
        <f>+K33-J33</f>
        <v>9673.7810512334108</v>
      </c>
      <c r="M33" s="209">
        <f>IF(J33=0,"n/a",+L33/J33)</f>
        <v>4.2876757688116554E-4</v>
      </c>
      <c r="N33" s="208">
        <f>I33-ROUND('Rate Spread and Design'!E75,6)</f>
        <v>0</v>
      </c>
    </row>
    <row r="34" spans="1:14" x14ac:dyDescent="0.2">
      <c r="A34" s="169">
        <f t="shared" si="0"/>
        <v>27</v>
      </c>
      <c r="B34" s="216"/>
      <c r="C34" s="215"/>
      <c r="D34" s="215"/>
      <c r="E34" s="215"/>
      <c r="F34" s="215"/>
      <c r="G34" s="282"/>
      <c r="H34" s="283"/>
      <c r="I34" s="305"/>
      <c r="J34" s="284"/>
      <c r="K34" s="285"/>
      <c r="L34" s="285"/>
      <c r="M34" s="286"/>
      <c r="N34" s="208"/>
    </row>
    <row r="35" spans="1:14" x14ac:dyDescent="0.2">
      <c r="A35" s="169">
        <f t="shared" si="0"/>
        <v>28</v>
      </c>
      <c r="B35" s="219" t="s">
        <v>93</v>
      </c>
      <c r="C35" s="215">
        <v>5</v>
      </c>
      <c r="D35" s="215"/>
      <c r="E35" s="215"/>
      <c r="F35" s="215"/>
      <c r="G35" s="213">
        <v>7578921.5862422688</v>
      </c>
      <c r="H35" s="212">
        <v>1.7719999999999999E-3</v>
      </c>
      <c r="I35" s="300">
        <f>ROUND('Rate Spread and Design'!E93,6)</f>
        <v>1.642E-3</v>
      </c>
      <c r="J35" s="211">
        <v>816401.87017098127</v>
      </c>
      <c r="K35" s="210">
        <f>J35+G35*(I35-H35)</f>
        <v>815416.61036476982</v>
      </c>
      <c r="L35" s="210">
        <f>+K35-J35</f>
        <v>-985.25980621145573</v>
      </c>
      <c r="M35" s="209">
        <f>IF(J35=0,"n/a",+L35/J35)</f>
        <v>-1.2068318829366598E-3</v>
      </c>
      <c r="N35" s="208">
        <f>I35-ROUND('Rate Spread and Design'!E93,6)</f>
        <v>0</v>
      </c>
    </row>
    <row r="36" spans="1:14" x14ac:dyDescent="0.2">
      <c r="A36" s="169">
        <f t="shared" si="0"/>
        <v>29</v>
      </c>
      <c r="C36" s="206" t="s">
        <v>146</v>
      </c>
      <c r="D36" s="207"/>
      <c r="E36" s="206"/>
      <c r="F36" s="206"/>
      <c r="H36" s="205" t="s">
        <v>146</v>
      </c>
      <c r="I36" s="204"/>
      <c r="J36" s="203"/>
      <c r="K36" s="191"/>
      <c r="L36" s="191"/>
      <c r="M36" s="202"/>
    </row>
    <row r="37" spans="1:14" ht="12" thickBot="1" x14ac:dyDescent="0.25">
      <c r="A37" s="169">
        <f t="shared" si="0"/>
        <v>30</v>
      </c>
      <c r="B37" s="201" t="s">
        <v>6</v>
      </c>
      <c r="C37" s="199" t="s">
        <v>146</v>
      </c>
      <c r="D37" s="200"/>
      <c r="E37" s="199"/>
      <c r="F37" s="199"/>
      <c r="G37" s="307">
        <f>SUM(G9,G16,G22,G27,G29,G33,G31,G35)</f>
        <v>23500779044.944908</v>
      </c>
      <c r="H37" s="198"/>
      <c r="I37" s="197"/>
      <c r="J37" s="196">
        <f>SUM(J9,J16,J22,J27,J29,J33,J31,J35)</f>
        <v>2950813133.6080503</v>
      </c>
      <c r="K37" s="195">
        <f>SUM(K9,K16,K22,K27,K29,K33,K31,K35)</f>
        <v>2952003448.925878</v>
      </c>
      <c r="L37" s="195">
        <f>SUM(L9,L16,L22,L27,L29,L33,L31,L35)</f>
        <v>1190315.3178269286</v>
      </c>
      <c r="M37" s="194">
        <f>IF(J37=0,"n/a",+L37/J37)</f>
        <v>4.0338552932069044E-4</v>
      </c>
    </row>
    <row r="38" spans="1:14" ht="12" thickTop="1" x14ac:dyDescent="0.2">
      <c r="A38" s="169">
        <f t="shared" si="0"/>
        <v>31</v>
      </c>
      <c r="C38" s="190" t="s">
        <v>146</v>
      </c>
      <c r="D38" s="190"/>
      <c r="E38" s="189"/>
      <c r="F38" s="193" t="s">
        <v>95</v>
      </c>
      <c r="G38" s="192">
        <v>0</v>
      </c>
      <c r="H38" s="192" t="s">
        <v>146</v>
      </c>
      <c r="J38" s="192">
        <v>0</v>
      </c>
      <c r="L38" s="191"/>
    </row>
    <row r="39" spans="1:14" x14ac:dyDescent="0.2">
      <c r="A39" s="169">
        <f t="shared" si="0"/>
        <v>32</v>
      </c>
      <c r="C39" s="190" t="s">
        <v>146</v>
      </c>
      <c r="D39" s="190"/>
      <c r="E39" s="189"/>
      <c r="F39" s="189"/>
      <c r="H39" s="189" t="s">
        <v>146</v>
      </c>
      <c r="J39" s="189"/>
    </row>
    <row r="40" spans="1:14" ht="13.5" x14ac:dyDescent="0.2">
      <c r="A40" s="169">
        <f t="shared" si="0"/>
        <v>33</v>
      </c>
      <c r="B40" s="188" t="s">
        <v>173</v>
      </c>
      <c r="C40" s="187"/>
      <c r="D40" s="184"/>
      <c r="E40" s="185"/>
      <c r="F40" s="185"/>
      <c r="G40" s="186"/>
      <c r="H40" s="186"/>
      <c r="I40" s="184"/>
      <c r="J40" s="185"/>
      <c r="K40" s="185"/>
      <c r="L40" s="184"/>
      <c r="M40" s="184"/>
    </row>
    <row r="41" spans="1:14" s="152" customFormat="1" ht="13.5" x14ac:dyDescent="0.35">
      <c r="A41" s="169">
        <f t="shared" si="0"/>
        <v>34</v>
      </c>
      <c r="B41" s="183"/>
      <c r="C41" s="183" t="s">
        <v>172</v>
      </c>
      <c r="D41" s="183"/>
      <c r="E41" s="183"/>
      <c r="F41" s="183"/>
      <c r="G41" s="183"/>
      <c r="H41" s="182"/>
      <c r="I41" s="181"/>
      <c r="J41" s="181"/>
      <c r="K41" s="181"/>
      <c r="L41" s="180"/>
      <c r="M41" s="180"/>
      <c r="N41" s="177"/>
    </row>
    <row r="42" spans="1:14" s="152" customFormat="1" ht="40.5" x14ac:dyDescent="0.35">
      <c r="A42" s="169">
        <f t="shared" si="0"/>
        <v>35</v>
      </c>
      <c r="C42" s="179" t="s">
        <v>43</v>
      </c>
      <c r="D42" s="179" t="s">
        <v>44</v>
      </c>
      <c r="E42" s="179" t="s">
        <v>45</v>
      </c>
      <c r="F42" s="179" t="s">
        <v>171</v>
      </c>
      <c r="G42" s="179" t="s">
        <v>170</v>
      </c>
      <c r="H42" s="179"/>
      <c r="I42" s="179"/>
      <c r="J42" s="179"/>
      <c r="K42" s="178"/>
      <c r="L42" s="178"/>
      <c r="M42" s="178"/>
      <c r="N42" s="177"/>
    </row>
    <row r="43" spans="1:14" x14ac:dyDescent="0.2">
      <c r="A43" s="169">
        <f t="shared" si="0"/>
        <v>36</v>
      </c>
      <c r="B43" s="176" t="s">
        <v>169</v>
      </c>
      <c r="C43" s="309">
        <v>7.49</v>
      </c>
      <c r="D43" s="309">
        <v>53.66</v>
      </c>
      <c r="E43" s="309">
        <v>21.77</v>
      </c>
      <c r="F43" s="309">
        <v>31.03</v>
      </c>
      <c r="G43" s="174">
        <f>SUM(C43:F43)</f>
        <v>113.95</v>
      </c>
      <c r="H43" s="174"/>
      <c r="I43" s="133"/>
      <c r="J43" s="133"/>
      <c r="K43" s="174"/>
      <c r="L43" s="173"/>
      <c r="M43" s="172"/>
    </row>
    <row r="44" spans="1:14" x14ac:dyDescent="0.2">
      <c r="A44" s="169">
        <f t="shared" si="0"/>
        <v>37</v>
      </c>
      <c r="B44" s="176" t="s">
        <v>168</v>
      </c>
      <c r="C44" s="309">
        <f>C43</f>
        <v>7.49</v>
      </c>
      <c r="D44" s="309">
        <f>D43</f>
        <v>53.66</v>
      </c>
      <c r="E44" s="309">
        <f>E43</f>
        <v>21.77</v>
      </c>
      <c r="F44" s="309">
        <f>F43+(800*(I9-H9))</f>
        <v>31.0684</v>
      </c>
      <c r="G44" s="174">
        <f>SUM(C44:F44)</f>
        <v>113.9884</v>
      </c>
      <c r="H44" s="174"/>
      <c r="I44" s="133"/>
      <c r="J44" s="133"/>
      <c r="K44" s="174"/>
      <c r="L44" s="173"/>
      <c r="M44" s="172"/>
    </row>
    <row r="45" spans="1:14" x14ac:dyDescent="0.2">
      <c r="A45" s="169">
        <f t="shared" si="0"/>
        <v>38</v>
      </c>
      <c r="B45" s="176"/>
      <c r="C45" s="175"/>
      <c r="D45" s="175"/>
      <c r="E45" s="175"/>
      <c r="F45" s="175"/>
      <c r="G45" s="174">
        <f>G44-G43</f>
        <v>3.8399999999995771E-2</v>
      </c>
      <c r="H45" s="174"/>
      <c r="I45" s="133"/>
      <c r="J45" s="133"/>
      <c r="K45" s="174"/>
      <c r="L45" s="173"/>
      <c r="M45" s="172"/>
    </row>
    <row r="46" spans="1:14" x14ac:dyDescent="0.2">
      <c r="A46" s="169">
        <f t="shared" si="0"/>
        <v>39</v>
      </c>
      <c r="E46" s="170"/>
      <c r="F46" s="170"/>
      <c r="G46" s="171">
        <f>G45/G43</f>
        <v>3.3698990785428496E-4</v>
      </c>
      <c r="H46" s="170"/>
      <c r="I46" s="170"/>
      <c r="K46" s="170"/>
      <c r="L46" s="170"/>
      <c r="M46" s="170"/>
    </row>
    <row r="47" spans="1:14" x14ac:dyDescent="0.2">
      <c r="A47" s="169">
        <f t="shared" si="0"/>
        <v>40</v>
      </c>
      <c r="E47" s="170"/>
      <c r="F47" s="170"/>
      <c r="G47" s="171"/>
      <c r="H47" s="170"/>
      <c r="I47" s="170"/>
      <c r="K47" s="170"/>
      <c r="L47" s="170"/>
      <c r="M47" s="170"/>
    </row>
    <row r="48" spans="1:14" ht="11.25" customHeight="1" x14ac:dyDescent="0.2">
      <c r="A48" s="169">
        <f t="shared" si="0"/>
        <v>41</v>
      </c>
      <c r="B48" s="341" t="s">
        <v>167</v>
      </c>
      <c r="C48" s="341"/>
      <c r="D48" s="341"/>
      <c r="E48" s="341"/>
      <c r="F48" s="341"/>
      <c r="G48" s="341"/>
      <c r="H48" s="341"/>
      <c r="I48" s="341"/>
      <c r="J48" s="341"/>
      <c r="K48" s="341"/>
      <c r="L48" s="341"/>
      <c r="M48" s="341"/>
    </row>
    <row r="49" spans="1:14" x14ac:dyDescent="0.2">
      <c r="A49" s="169">
        <f t="shared" si="0"/>
        <v>42</v>
      </c>
      <c r="B49" s="341" t="s">
        <v>206</v>
      </c>
      <c r="C49" s="341"/>
      <c r="D49" s="341"/>
      <c r="E49" s="341"/>
      <c r="F49" s="341"/>
      <c r="G49" s="341"/>
      <c r="H49" s="341"/>
      <c r="I49" s="341"/>
      <c r="J49" s="341"/>
      <c r="K49" s="341"/>
      <c r="L49" s="341"/>
      <c r="M49" s="341"/>
    </row>
    <row r="50" spans="1:14" x14ac:dyDescent="0.2">
      <c r="A50" s="169"/>
      <c r="D50" s="119"/>
      <c r="E50" s="119"/>
      <c r="F50" s="119"/>
      <c r="G50" s="119"/>
      <c r="H50" s="119"/>
      <c r="J50" s="119"/>
      <c r="K50" s="119"/>
    </row>
    <row r="51" spans="1:14" x14ac:dyDescent="0.2">
      <c r="A51" s="169"/>
      <c r="D51" s="119"/>
      <c r="E51" s="119"/>
      <c r="F51" s="119"/>
      <c r="G51" s="119"/>
      <c r="H51" s="119"/>
      <c r="J51" s="119"/>
      <c r="K51" s="119"/>
      <c r="N51" s="119"/>
    </row>
    <row r="52" spans="1:14" x14ac:dyDescent="0.2">
      <c r="A52" s="169"/>
      <c r="D52" s="119"/>
      <c r="E52" s="119"/>
      <c r="F52" s="119"/>
      <c r="G52" s="119"/>
      <c r="H52" s="119"/>
      <c r="J52" s="119"/>
      <c r="K52" s="119"/>
      <c r="N52" s="119"/>
    </row>
    <row r="53" spans="1:14" x14ac:dyDescent="0.2">
      <c r="A53" s="169"/>
      <c r="D53" s="119"/>
      <c r="E53" s="119"/>
      <c r="F53" s="119"/>
      <c r="G53" s="119"/>
      <c r="H53" s="119"/>
      <c r="J53" s="119"/>
      <c r="K53" s="119"/>
      <c r="N53" s="119"/>
    </row>
    <row r="54" spans="1:14" x14ac:dyDescent="0.2">
      <c r="A54" s="169"/>
      <c r="D54" s="119"/>
      <c r="E54" s="119"/>
      <c r="F54" s="119"/>
      <c r="G54" s="119"/>
      <c r="H54" s="119"/>
      <c r="J54" s="119"/>
      <c r="K54" s="119"/>
      <c r="N54" s="119"/>
    </row>
    <row r="55" spans="1:14" x14ac:dyDescent="0.2">
      <c r="A55" s="169"/>
      <c r="D55" s="119"/>
      <c r="E55" s="119"/>
      <c r="F55" s="119"/>
      <c r="G55" s="119"/>
      <c r="H55" s="119"/>
      <c r="J55" s="119"/>
      <c r="K55" s="119"/>
      <c r="N55" s="119"/>
    </row>
    <row r="56" spans="1:14" x14ac:dyDescent="0.2">
      <c r="A56" s="169"/>
      <c r="D56" s="119"/>
      <c r="E56" s="119"/>
      <c r="F56" s="119"/>
      <c r="G56" s="119"/>
      <c r="H56" s="119"/>
      <c r="J56" s="119"/>
      <c r="K56" s="119"/>
      <c r="N56" s="119"/>
    </row>
    <row r="57" spans="1:14" x14ac:dyDescent="0.2">
      <c r="A57" s="169"/>
      <c r="D57" s="119"/>
      <c r="E57" s="119"/>
      <c r="F57" s="119"/>
      <c r="G57" s="119"/>
      <c r="H57" s="119"/>
      <c r="J57" s="119"/>
      <c r="K57" s="119"/>
      <c r="N57" s="119"/>
    </row>
    <row r="58" spans="1:14" x14ac:dyDescent="0.2">
      <c r="A58" s="169"/>
      <c r="D58" s="119"/>
      <c r="E58" s="119"/>
      <c r="F58" s="119"/>
      <c r="G58" s="119"/>
      <c r="H58" s="119"/>
      <c r="J58" s="119"/>
      <c r="K58" s="119"/>
      <c r="N58" s="119"/>
    </row>
    <row r="59" spans="1:14" x14ac:dyDescent="0.2">
      <c r="A59" s="169"/>
      <c r="D59" s="119"/>
      <c r="E59" s="119"/>
      <c r="F59" s="119"/>
      <c r="G59" s="119"/>
      <c r="H59" s="119"/>
      <c r="J59" s="119"/>
      <c r="K59" s="119"/>
      <c r="N59" s="119"/>
    </row>
    <row r="60" spans="1:14" x14ac:dyDescent="0.2">
      <c r="A60" s="169"/>
      <c r="D60" s="119"/>
      <c r="E60" s="119"/>
      <c r="F60" s="119"/>
      <c r="G60" s="119"/>
      <c r="H60" s="119"/>
      <c r="J60" s="119"/>
      <c r="K60" s="119"/>
      <c r="N60" s="119"/>
    </row>
    <row r="61" spans="1:14" x14ac:dyDescent="0.2">
      <c r="A61" s="169"/>
      <c r="D61" s="119"/>
      <c r="E61" s="119"/>
      <c r="F61" s="119"/>
      <c r="G61" s="119"/>
      <c r="H61" s="119"/>
      <c r="J61" s="119"/>
      <c r="K61" s="119"/>
      <c r="N61" s="119"/>
    </row>
    <row r="62" spans="1:14" x14ac:dyDescent="0.2">
      <c r="A62" s="169"/>
      <c r="D62" s="119"/>
      <c r="E62" s="119"/>
      <c r="F62" s="119"/>
      <c r="G62" s="119"/>
      <c r="H62" s="119"/>
      <c r="J62" s="119"/>
      <c r="K62" s="119"/>
      <c r="N62" s="119"/>
    </row>
    <row r="63" spans="1:14" x14ac:dyDescent="0.2">
      <c r="A63" s="169"/>
      <c r="D63" s="119"/>
      <c r="E63" s="119"/>
      <c r="F63" s="119"/>
      <c r="G63" s="119"/>
      <c r="H63" s="119"/>
      <c r="J63" s="119"/>
      <c r="K63" s="119"/>
      <c r="N63" s="119"/>
    </row>
    <row r="64" spans="1:14" x14ac:dyDescent="0.2">
      <c r="A64" s="169"/>
      <c r="D64" s="119"/>
      <c r="E64" s="119"/>
      <c r="F64" s="119"/>
      <c r="G64" s="119"/>
      <c r="H64" s="119"/>
      <c r="J64" s="119"/>
      <c r="K64" s="119"/>
      <c r="N64" s="119"/>
    </row>
    <row r="65" spans="1:14" x14ac:dyDescent="0.2">
      <c r="A65" s="169"/>
      <c r="D65" s="119"/>
      <c r="E65" s="119"/>
      <c r="F65" s="119"/>
      <c r="G65" s="119"/>
      <c r="H65" s="119"/>
      <c r="J65" s="119"/>
      <c r="K65" s="119"/>
      <c r="N65" s="119"/>
    </row>
    <row r="66" spans="1:14" x14ac:dyDescent="0.2">
      <c r="A66" s="169"/>
      <c r="D66" s="119"/>
      <c r="E66" s="119"/>
      <c r="F66" s="119"/>
      <c r="G66" s="119"/>
      <c r="H66" s="119"/>
      <c r="J66" s="119"/>
      <c r="K66" s="119"/>
      <c r="N66" s="119"/>
    </row>
    <row r="67" spans="1:14" x14ac:dyDescent="0.2">
      <c r="A67" s="169"/>
      <c r="D67" s="119"/>
      <c r="E67" s="119"/>
      <c r="F67" s="119"/>
      <c r="G67" s="119"/>
      <c r="H67" s="119"/>
      <c r="J67" s="119"/>
      <c r="K67" s="119"/>
      <c r="N67" s="119"/>
    </row>
    <row r="68" spans="1:14" x14ac:dyDescent="0.2">
      <c r="A68" s="169"/>
      <c r="D68" s="119"/>
      <c r="E68" s="119"/>
      <c r="F68" s="119"/>
      <c r="G68" s="119"/>
      <c r="H68" s="119"/>
      <c r="J68" s="119"/>
      <c r="K68" s="119"/>
      <c r="N68" s="119"/>
    </row>
    <row r="69" spans="1:14" x14ac:dyDescent="0.2">
      <c r="A69" s="169"/>
      <c r="D69" s="119"/>
      <c r="E69" s="119"/>
      <c r="F69" s="119"/>
      <c r="G69" s="119"/>
      <c r="H69" s="119"/>
      <c r="J69" s="119"/>
      <c r="K69" s="119"/>
      <c r="N69" s="119"/>
    </row>
    <row r="70" spans="1:14" x14ac:dyDescent="0.2">
      <c r="A70" s="169"/>
      <c r="D70" s="119"/>
      <c r="E70" s="119"/>
      <c r="F70" s="119"/>
      <c r="G70" s="119"/>
      <c r="H70" s="119"/>
      <c r="J70" s="119"/>
      <c r="K70" s="119"/>
      <c r="N70" s="119"/>
    </row>
    <row r="71" spans="1:14" x14ac:dyDescent="0.2">
      <c r="A71" s="169"/>
      <c r="D71" s="119"/>
      <c r="E71" s="119"/>
      <c r="F71" s="119"/>
      <c r="G71" s="119"/>
      <c r="H71" s="119"/>
      <c r="J71" s="119"/>
      <c r="K71" s="119"/>
      <c r="N71" s="119"/>
    </row>
    <row r="72" spans="1:14" x14ac:dyDescent="0.2">
      <c r="A72" s="169"/>
      <c r="D72" s="119"/>
      <c r="E72" s="119"/>
      <c r="F72" s="119"/>
      <c r="G72" s="119"/>
      <c r="H72" s="119"/>
      <c r="J72" s="119"/>
      <c r="K72" s="119"/>
      <c r="N72" s="119"/>
    </row>
    <row r="73" spans="1:14" x14ac:dyDescent="0.2">
      <c r="A73" s="169"/>
      <c r="D73" s="119"/>
      <c r="E73" s="119"/>
      <c r="F73" s="119"/>
      <c r="G73" s="119"/>
      <c r="H73" s="119"/>
      <c r="J73" s="119"/>
      <c r="K73" s="119"/>
      <c r="N73" s="119"/>
    </row>
    <row r="74" spans="1:14" x14ac:dyDescent="0.2">
      <c r="A74" s="169"/>
      <c r="D74" s="119"/>
      <c r="E74" s="119"/>
      <c r="F74" s="119"/>
      <c r="G74" s="119"/>
      <c r="H74" s="119"/>
      <c r="J74" s="119"/>
      <c r="K74" s="119"/>
      <c r="N74" s="119"/>
    </row>
    <row r="75" spans="1:14" x14ac:dyDescent="0.2">
      <c r="A75" s="169"/>
      <c r="D75" s="119"/>
      <c r="E75" s="119"/>
      <c r="F75" s="119"/>
      <c r="G75" s="119"/>
      <c r="H75" s="119"/>
      <c r="J75" s="119"/>
      <c r="K75" s="119"/>
      <c r="N75" s="119"/>
    </row>
    <row r="76" spans="1:14" x14ac:dyDescent="0.2">
      <c r="A76" s="169"/>
      <c r="D76" s="119"/>
      <c r="E76" s="119"/>
      <c r="F76" s="119"/>
      <c r="G76" s="119"/>
      <c r="H76" s="119"/>
      <c r="J76" s="119"/>
      <c r="K76" s="119"/>
      <c r="N76" s="119"/>
    </row>
    <row r="77" spans="1:14" x14ac:dyDescent="0.2">
      <c r="A77" s="169"/>
      <c r="D77" s="119"/>
      <c r="E77" s="119"/>
      <c r="F77" s="119"/>
      <c r="G77" s="119"/>
      <c r="H77" s="119"/>
      <c r="J77" s="119"/>
      <c r="K77" s="119"/>
      <c r="N77" s="119"/>
    </row>
    <row r="78" spans="1:14" x14ac:dyDescent="0.2">
      <c r="A78" s="169"/>
      <c r="D78" s="119"/>
      <c r="E78" s="119"/>
      <c r="F78" s="119"/>
      <c r="G78" s="119"/>
      <c r="H78" s="119"/>
      <c r="J78" s="119"/>
      <c r="K78" s="119"/>
      <c r="N78" s="119"/>
    </row>
    <row r="79" spans="1:14" x14ac:dyDescent="0.2">
      <c r="A79" s="169"/>
      <c r="D79" s="119"/>
      <c r="E79" s="119"/>
      <c r="F79" s="119"/>
      <c r="G79" s="119"/>
      <c r="H79" s="119"/>
      <c r="J79" s="119"/>
      <c r="K79" s="119"/>
      <c r="N79" s="119"/>
    </row>
    <row r="80" spans="1:14" x14ac:dyDescent="0.2">
      <c r="A80" s="169"/>
      <c r="D80" s="119"/>
      <c r="E80" s="119"/>
      <c r="F80" s="119"/>
      <c r="G80" s="119"/>
      <c r="H80" s="119"/>
      <c r="J80" s="119"/>
      <c r="K80" s="119"/>
      <c r="N80" s="119"/>
    </row>
    <row r="81" spans="1:14" x14ac:dyDescent="0.2">
      <c r="A81" s="169"/>
      <c r="D81" s="119"/>
      <c r="E81" s="119"/>
      <c r="F81" s="119"/>
      <c r="G81" s="119"/>
      <c r="H81" s="119"/>
      <c r="J81" s="119"/>
      <c r="K81" s="119"/>
      <c r="N81" s="119"/>
    </row>
    <row r="82" spans="1:14" x14ac:dyDescent="0.2">
      <c r="A82" s="169"/>
      <c r="D82" s="119"/>
      <c r="E82" s="119"/>
      <c r="F82" s="119"/>
      <c r="G82" s="119"/>
      <c r="H82" s="119"/>
      <c r="J82" s="119"/>
      <c r="K82" s="119"/>
      <c r="N82" s="119"/>
    </row>
    <row r="83" spans="1:14" x14ac:dyDescent="0.2">
      <c r="A83" s="169"/>
      <c r="D83" s="119"/>
      <c r="E83" s="119"/>
      <c r="F83" s="119"/>
      <c r="G83" s="119"/>
      <c r="H83" s="119"/>
      <c r="J83" s="119"/>
      <c r="K83" s="119"/>
      <c r="N83" s="119"/>
    </row>
    <row r="84" spans="1:14" x14ac:dyDescent="0.2">
      <c r="A84" s="169"/>
      <c r="D84" s="119"/>
      <c r="E84" s="119"/>
      <c r="F84" s="119"/>
      <c r="G84" s="119"/>
      <c r="H84" s="119"/>
      <c r="J84" s="119"/>
      <c r="K84" s="119"/>
      <c r="N84" s="119"/>
    </row>
    <row r="85" spans="1:14" x14ac:dyDescent="0.2">
      <c r="A85" s="169"/>
      <c r="D85" s="119"/>
      <c r="E85" s="119"/>
      <c r="F85" s="119"/>
      <c r="G85" s="119"/>
      <c r="H85" s="119"/>
      <c r="J85" s="119"/>
      <c r="K85" s="119"/>
      <c r="N85" s="119"/>
    </row>
    <row r="86" spans="1:14" x14ac:dyDescent="0.2">
      <c r="A86" s="169"/>
      <c r="D86" s="119"/>
      <c r="E86" s="119"/>
      <c r="F86" s="119"/>
      <c r="G86" s="119"/>
      <c r="H86" s="119"/>
      <c r="J86" s="119"/>
      <c r="K86" s="119"/>
      <c r="N86" s="119"/>
    </row>
    <row r="87" spans="1:14" x14ac:dyDescent="0.2">
      <c r="A87" s="169"/>
      <c r="D87" s="119"/>
      <c r="E87" s="119"/>
      <c r="F87" s="119"/>
      <c r="G87" s="119"/>
      <c r="H87" s="119"/>
      <c r="J87" s="119"/>
      <c r="K87" s="119"/>
      <c r="N87" s="119"/>
    </row>
    <row r="88" spans="1:14" x14ac:dyDescent="0.2">
      <c r="A88" s="169"/>
      <c r="D88" s="119"/>
      <c r="E88" s="119"/>
      <c r="F88" s="119"/>
      <c r="G88" s="119"/>
      <c r="H88" s="119"/>
      <c r="J88" s="119"/>
      <c r="K88" s="119"/>
      <c r="N88" s="119"/>
    </row>
    <row r="89" spans="1:14" x14ac:dyDescent="0.2">
      <c r="A89" s="169"/>
      <c r="D89" s="119"/>
      <c r="E89" s="119"/>
      <c r="F89" s="119"/>
      <c r="G89" s="119"/>
      <c r="H89" s="119"/>
      <c r="J89" s="119"/>
      <c r="K89" s="119"/>
      <c r="N89" s="119"/>
    </row>
    <row r="90" spans="1:14" x14ac:dyDescent="0.2">
      <c r="A90" s="169"/>
      <c r="D90" s="119"/>
      <c r="E90" s="119"/>
      <c r="F90" s="119"/>
      <c r="G90" s="119"/>
      <c r="H90" s="119"/>
      <c r="J90" s="119"/>
      <c r="K90" s="119"/>
      <c r="N90" s="119"/>
    </row>
    <row r="91" spans="1:14" x14ac:dyDescent="0.2">
      <c r="A91" s="169"/>
      <c r="D91" s="119"/>
      <c r="E91" s="119"/>
      <c r="F91" s="119"/>
      <c r="G91" s="119"/>
      <c r="H91" s="119"/>
      <c r="J91" s="119"/>
      <c r="K91" s="119"/>
      <c r="N91" s="119"/>
    </row>
    <row r="92" spans="1:14" x14ac:dyDescent="0.2">
      <c r="A92" s="169"/>
      <c r="D92" s="119"/>
      <c r="E92" s="119"/>
      <c r="F92" s="119"/>
      <c r="G92" s="119"/>
      <c r="H92" s="119"/>
      <c r="J92" s="119"/>
      <c r="K92" s="119"/>
      <c r="N92" s="119"/>
    </row>
    <row r="93" spans="1:14" x14ac:dyDescent="0.2">
      <c r="A93" s="169"/>
      <c r="D93" s="119"/>
      <c r="E93" s="119"/>
      <c r="F93" s="119"/>
      <c r="G93" s="119"/>
      <c r="H93" s="119"/>
      <c r="J93" s="119"/>
      <c r="K93" s="119"/>
      <c r="N93" s="119"/>
    </row>
    <row r="94" spans="1:14" x14ac:dyDescent="0.2">
      <c r="A94" s="169"/>
      <c r="D94" s="119"/>
      <c r="E94" s="119"/>
      <c r="F94" s="119"/>
      <c r="G94" s="119"/>
      <c r="H94" s="119"/>
      <c r="J94" s="119"/>
      <c r="K94" s="119"/>
      <c r="N94" s="119"/>
    </row>
    <row r="95" spans="1:14" x14ac:dyDescent="0.2">
      <c r="A95" s="169"/>
      <c r="D95" s="119"/>
      <c r="E95" s="119"/>
      <c r="F95" s="119"/>
      <c r="G95" s="119"/>
      <c r="H95" s="119"/>
      <c r="J95" s="119"/>
      <c r="K95" s="119"/>
      <c r="N95" s="119"/>
    </row>
    <row r="96" spans="1:14" x14ac:dyDescent="0.2">
      <c r="A96" s="169"/>
      <c r="D96" s="119"/>
      <c r="E96" s="119"/>
      <c r="F96" s="119"/>
      <c r="G96" s="119"/>
      <c r="H96" s="119"/>
      <c r="J96" s="119"/>
      <c r="K96" s="119"/>
      <c r="N96" s="119"/>
    </row>
    <row r="97" spans="1:14" x14ac:dyDescent="0.2">
      <c r="A97" s="169"/>
      <c r="D97" s="119"/>
      <c r="E97" s="119"/>
      <c r="F97" s="119"/>
      <c r="G97" s="119"/>
      <c r="H97" s="119"/>
      <c r="J97" s="119"/>
      <c r="K97" s="119"/>
      <c r="N97" s="119"/>
    </row>
    <row r="98" spans="1:14" x14ac:dyDescent="0.2">
      <c r="A98" s="169"/>
      <c r="D98" s="119"/>
      <c r="E98" s="119"/>
      <c r="F98" s="119"/>
      <c r="G98" s="119"/>
      <c r="H98" s="119"/>
      <c r="J98" s="119"/>
      <c r="K98" s="119"/>
      <c r="N98" s="119"/>
    </row>
    <row r="99" spans="1:14" x14ac:dyDescent="0.2">
      <c r="A99" s="169"/>
      <c r="D99" s="119"/>
      <c r="E99" s="119"/>
      <c r="F99" s="119"/>
      <c r="G99" s="119"/>
      <c r="H99" s="119"/>
      <c r="J99" s="119"/>
      <c r="K99" s="119"/>
      <c r="N99" s="119"/>
    </row>
    <row r="100" spans="1:14" x14ac:dyDescent="0.2">
      <c r="A100" s="169"/>
      <c r="D100" s="119"/>
      <c r="E100" s="119"/>
      <c r="F100" s="119"/>
      <c r="G100" s="119"/>
      <c r="H100" s="119"/>
      <c r="J100" s="119"/>
      <c r="K100" s="119"/>
      <c r="N100" s="119"/>
    </row>
    <row r="101" spans="1:14" x14ac:dyDescent="0.2">
      <c r="A101" s="169"/>
      <c r="D101" s="119"/>
      <c r="E101" s="119"/>
      <c r="F101" s="119"/>
      <c r="G101" s="119"/>
      <c r="H101" s="119"/>
      <c r="J101" s="119"/>
      <c r="K101" s="119"/>
      <c r="N101" s="119"/>
    </row>
    <row r="102" spans="1:14" x14ac:dyDescent="0.2">
      <c r="A102" s="169"/>
      <c r="D102" s="119"/>
      <c r="E102" s="119"/>
      <c r="F102" s="119"/>
      <c r="G102" s="119"/>
      <c r="H102" s="119"/>
      <c r="J102" s="119"/>
      <c r="K102" s="119"/>
      <c r="N102" s="119"/>
    </row>
    <row r="103" spans="1:14" x14ac:dyDescent="0.2">
      <c r="A103" s="169"/>
      <c r="D103" s="119"/>
      <c r="E103" s="119"/>
      <c r="F103" s="119"/>
      <c r="G103" s="119"/>
      <c r="H103" s="119"/>
      <c r="J103" s="119"/>
      <c r="K103" s="119"/>
      <c r="N103" s="119"/>
    </row>
    <row r="104" spans="1:14" x14ac:dyDescent="0.2">
      <c r="A104" s="169"/>
      <c r="D104" s="119"/>
      <c r="E104" s="119"/>
      <c r="F104" s="119"/>
      <c r="G104" s="119"/>
      <c r="H104" s="119"/>
      <c r="J104" s="119"/>
      <c r="K104" s="119"/>
      <c r="N104" s="119"/>
    </row>
    <row r="105" spans="1:14" x14ac:dyDescent="0.2">
      <c r="A105" s="169"/>
      <c r="D105" s="119"/>
      <c r="E105" s="119"/>
      <c r="F105" s="119"/>
      <c r="G105" s="119"/>
      <c r="H105" s="119"/>
      <c r="J105" s="119"/>
      <c r="K105" s="119"/>
      <c r="N105" s="119"/>
    </row>
    <row r="106" spans="1:14" x14ac:dyDescent="0.2">
      <c r="A106" s="169"/>
      <c r="D106" s="119"/>
      <c r="E106" s="119"/>
      <c r="F106" s="119"/>
      <c r="G106" s="119"/>
      <c r="H106" s="119"/>
      <c r="J106" s="119"/>
      <c r="K106" s="119"/>
      <c r="N106" s="119"/>
    </row>
    <row r="107" spans="1:14" x14ac:dyDescent="0.2">
      <c r="A107" s="169"/>
      <c r="D107" s="119"/>
      <c r="E107" s="119"/>
      <c r="F107" s="119"/>
      <c r="G107" s="119"/>
      <c r="H107" s="119"/>
      <c r="J107" s="119"/>
      <c r="K107" s="119"/>
      <c r="N107" s="119"/>
    </row>
    <row r="108" spans="1:14" x14ac:dyDescent="0.2">
      <c r="A108" s="169"/>
      <c r="D108" s="119"/>
      <c r="E108" s="119"/>
      <c r="F108" s="119"/>
      <c r="G108" s="119"/>
      <c r="H108" s="119"/>
      <c r="J108" s="119"/>
      <c r="K108" s="119"/>
      <c r="N108" s="119"/>
    </row>
    <row r="109" spans="1:14" x14ac:dyDescent="0.2">
      <c r="A109" s="169"/>
      <c r="D109" s="119"/>
      <c r="E109" s="119"/>
      <c r="F109" s="119"/>
      <c r="G109" s="119"/>
      <c r="H109" s="119"/>
      <c r="J109" s="119"/>
      <c r="K109" s="119"/>
      <c r="N109" s="119"/>
    </row>
    <row r="110" spans="1:14" x14ac:dyDescent="0.2">
      <c r="A110" s="169"/>
      <c r="D110" s="119"/>
      <c r="E110" s="119"/>
      <c r="F110" s="119"/>
      <c r="G110" s="119"/>
      <c r="H110" s="119"/>
      <c r="J110" s="119"/>
      <c r="K110" s="119"/>
      <c r="N110" s="119"/>
    </row>
    <row r="111" spans="1:14" x14ac:dyDescent="0.2">
      <c r="A111" s="169"/>
      <c r="D111" s="119"/>
      <c r="E111" s="119"/>
      <c r="F111" s="119"/>
      <c r="G111" s="119"/>
      <c r="H111" s="119"/>
      <c r="J111" s="119"/>
      <c r="K111" s="119"/>
      <c r="N111" s="119"/>
    </row>
    <row r="112" spans="1:14" x14ac:dyDescent="0.2">
      <c r="A112" s="169"/>
      <c r="D112" s="119"/>
      <c r="E112" s="119"/>
      <c r="F112" s="119"/>
      <c r="G112" s="119"/>
      <c r="H112" s="119"/>
      <c r="J112" s="119"/>
      <c r="K112" s="119"/>
      <c r="N112" s="119"/>
    </row>
    <row r="113" spans="1:14" x14ac:dyDescent="0.2">
      <c r="A113" s="169"/>
      <c r="D113" s="119"/>
      <c r="E113" s="119"/>
      <c r="F113" s="119"/>
      <c r="G113" s="119"/>
      <c r="H113" s="119"/>
      <c r="J113" s="119"/>
      <c r="K113" s="119"/>
      <c r="N113" s="119"/>
    </row>
    <row r="114" spans="1:14" x14ac:dyDescent="0.2">
      <c r="A114" s="169"/>
      <c r="D114" s="119"/>
      <c r="E114" s="119"/>
      <c r="F114" s="119"/>
      <c r="G114" s="119"/>
      <c r="H114" s="119"/>
      <c r="J114" s="119"/>
      <c r="K114" s="119"/>
      <c r="N114" s="119"/>
    </row>
    <row r="115" spans="1:14" x14ac:dyDescent="0.2">
      <c r="A115" s="169"/>
      <c r="D115" s="119"/>
      <c r="E115" s="119"/>
      <c r="F115" s="119"/>
      <c r="G115" s="119"/>
      <c r="H115" s="119"/>
      <c r="J115" s="119"/>
      <c r="K115" s="119"/>
      <c r="N115" s="119"/>
    </row>
    <row r="116" spans="1:14" x14ac:dyDescent="0.2">
      <c r="A116" s="169"/>
      <c r="D116" s="119"/>
      <c r="E116" s="119"/>
      <c r="F116" s="119"/>
      <c r="G116" s="119"/>
      <c r="H116" s="119"/>
      <c r="J116" s="119"/>
      <c r="K116" s="119"/>
      <c r="N116" s="119"/>
    </row>
    <row r="117" spans="1:14" x14ac:dyDescent="0.2">
      <c r="A117" s="169"/>
      <c r="D117" s="119"/>
      <c r="E117" s="119"/>
      <c r="F117" s="119"/>
      <c r="G117" s="119"/>
      <c r="H117" s="119"/>
      <c r="J117" s="119"/>
      <c r="K117" s="119"/>
      <c r="N117" s="119"/>
    </row>
    <row r="118" spans="1:14" x14ac:dyDescent="0.2">
      <c r="A118" s="169"/>
      <c r="D118" s="119"/>
      <c r="E118" s="119"/>
      <c r="F118" s="119"/>
      <c r="G118" s="119"/>
      <c r="H118" s="119"/>
      <c r="J118" s="119"/>
      <c r="K118" s="119"/>
      <c r="N118" s="119"/>
    </row>
    <row r="119" spans="1:14" x14ac:dyDescent="0.2">
      <c r="A119" s="169"/>
      <c r="D119" s="119"/>
      <c r="E119" s="119"/>
      <c r="F119" s="119"/>
      <c r="G119" s="119"/>
      <c r="H119" s="119"/>
      <c r="J119" s="119"/>
      <c r="K119" s="119"/>
      <c r="N119" s="119"/>
    </row>
    <row r="120" spans="1:14" x14ac:dyDescent="0.2">
      <c r="A120" s="169"/>
      <c r="D120" s="119"/>
      <c r="E120" s="119"/>
      <c r="F120" s="119"/>
      <c r="G120" s="119"/>
      <c r="H120" s="119"/>
      <c r="J120" s="119"/>
      <c r="K120" s="119"/>
      <c r="N120" s="119"/>
    </row>
    <row r="121" spans="1:14" x14ac:dyDescent="0.2">
      <c r="A121" s="169"/>
      <c r="D121" s="119"/>
      <c r="E121" s="119"/>
      <c r="F121" s="119"/>
      <c r="G121" s="119"/>
      <c r="H121" s="119"/>
      <c r="J121" s="119"/>
      <c r="K121" s="119"/>
      <c r="N121" s="119"/>
    </row>
    <row r="122" spans="1:14" x14ac:dyDescent="0.2">
      <c r="A122" s="169"/>
      <c r="D122" s="119"/>
      <c r="E122" s="119"/>
      <c r="F122" s="119"/>
      <c r="G122" s="119"/>
      <c r="H122" s="119"/>
      <c r="J122" s="119"/>
      <c r="K122" s="119"/>
      <c r="N122" s="119"/>
    </row>
    <row r="123" spans="1:14" x14ac:dyDescent="0.2">
      <c r="A123" s="169"/>
      <c r="D123" s="119"/>
      <c r="E123" s="119"/>
      <c r="F123" s="119"/>
      <c r="G123" s="119"/>
      <c r="H123" s="119"/>
      <c r="J123" s="119"/>
      <c r="K123" s="119"/>
      <c r="N123" s="119"/>
    </row>
    <row r="124" spans="1:14" x14ac:dyDescent="0.2">
      <c r="A124" s="169"/>
      <c r="D124" s="119"/>
      <c r="E124" s="119"/>
      <c r="F124" s="119"/>
      <c r="G124" s="119"/>
      <c r="H124" s="119"/>
      <c r="J124" s="119"/>
      <c r="K124" s="119"/>
      <c r="N124" s="119"/>
    </row>
    <row r="125" spans="1:14" x14ac:dyDescent="0.2">
      <c r="A125" s="169"/>
      <c r="D125" s="119"/>
      <c r="E125" s="119"/>
      <c r="F125" s="119"/>
      <c r="G125" s="119"/>
      <c r="H125" s="119"/>
      <c r="J125" s="119"/>
      <c r="K125" s="119"/>
      <c r="N125" s="119"/>
    </row>
    <row r="126" spans="1:14" x14ac:dyDescent="0.2">
      <c r="A126" s="169"/>
      <c r="D126" s="119"/>
      <c r="E126" s="119"/>
      <c r="F126" s="119"/>
      <c r="G126" s="119"/>
      <c r="H126" s="119"/>
      <c r="J126" s="119"/>
      <c r="K126" s="119"/>
      <c r="N126" s="119"/>
    </row>
    <row r="127" spans="1:14" x14ac:dyDescent="0.2">
      <c r="A127" s="169"/>
      <c r="D127" s="119"/>
      <c r="E127" s="119"/>
      <c r="F127" s="119"/>
      <c r="G127" s="119"/>
      <c r="H127" s="119"/>
      <c r="J127" s="119"/>
      <c r="K127" s="119"/>
      <c r="N127" s="119"/>
    </row>
    <row r="128" spans="1:14" x14ac:dyDescent="0.2">
      <c r="A128" s="169"/>
      <c r="D128" s="119"/>
      <c r="E128" s="119"/>
      <c r="F128" s="119"/>
      <c r="G128" s="119"/>
      <c r="H128" s="119"/>
      <c r="J128" s="119"/>
      <c r="K128" s="119"/>
      <c r="N128" s="119"/>
    </row>
    <row r="129" spans="1:14" x14ac:dyDescent="0.2">
      <c r="A129" s="169"/>
      <c r="D129" s="119"/>
      <c r="E129" s="119"/>
      <c r="F129" s="119"/>
      <c r="G129" s="119"/>
      <c r="H129" s="119"/>
      <c r="J129" s="119"/>
      <c r="K129" s="119"/>
      <c r="N129" s="119"/>
    </row>
    <row r="130" spans="1:14" x14ac:dyDescent="0.2">
      <c r="A130" s="169"/>
      <c r="D130" s="119"/>
      <c r="E130" s="119"/>
      <c r="F130" s="119"/>
      <c r="G130" s="119"/>
      <c r="H130" s="119"/>
      <c r="J130" s="119"/>
      <c r="K130" s="119"/>
      <c r="N130" s="119"/>
    </row>
    <row r="131" spans="1:14" x14ac:dyDescent="0.2">
      <c r="A131" s="169"/>
      <c r="D131" s="119"/>
      <c r="E131" s="119"/>
      <c r="F131" s="119"/>
      <c r="G131" s="119"/>
      <c r="H131" s="119"/>
      <c r="J131" s="119"/>
      <c r="K131" s="119"/>
      <c r="N131" s="119"/>
    </row>
    <row r="132" spans="1:14" x14ac:dyDescent="0.2">
      <c r="A132" s="169"/>
      <c r="D132" s="119"/>
      <c r="E132" s="119"/>
      <c r="F132" s="119"/>
      <c r="G132" s="119"/>
      <c r="H132" s="119"/>
      <c r="J132" s="119"/>
      <c r="K132" s="119"/>
      <c r="N132" s="119"/>
    </row>
    <row r="133" spans="1:14" x14ac:dyDescent="0.2">
      <c r="A133" s="169"/>
      <c r="D133" s="119"/>
      <c r="E133" s="119"/>
      <c r="F133" s="119"/>
      <c r="G133" s="119"/>
      <c r="H133" s="119"/>
      <c r="J133" s="119"/>
      <c r="K133" s="119"/>
      <c r="N133" s="119"/>
    </row>
    <row r="134" spans="1:14" x14ac:dyDescent="0.2">
      <c r="A134" s="169"/>
      <c r="D134" s="119"/>
      <c r="E134" s="119"/>
      <c r="F134" s="119"/>
      <c r="G134" s="119"/>
      <c r="H134" s="119"/>
      <c r="J134" s="119"/>
      <c r="K134" s="119"/>
      <c r="N134" s="119"/>
    </row>
    <row r="135" spans="1:14" x14ac:dyDescent="0.2">
      <c r="A135" s="169"/>
      <c r="D135" s="119"/>
      <c r="E135" s="119"/>
      <c r="F135" s="119"/>
      <c r="G135" s="119"/>
      <c r="H135" s="119"/>
      <c r="J135" s="119"/>
      <c r="K135" s="119"/>
      <c r="N135" s="119"/>
    </row>
    <row r="136" spans="1:14" x14ac:dyDescent="0.2">
      <c r="A136" s="169"/>
      <c r="D136" s="119"/>
      <c r="E136" s="119"/>
      <c r="F136" s="119"/>
      <c r="G136" s="119"/>
      <c r="H136" s="119"/>
      <c r="J136" s="119"/>
      <c r="K136" s="119"/>
      <c r="N136" s="119"/>
    </row>
    <row r="137" spans="1:14" x14ac:dyDescent="0.2">
      <c r="A137" s="169"/>
      <c r="D137" s="119"/>
      <c r="E137" s="119"/>
      <c r="F137" s="119"/>
      <c r="G137" s="119"/>
      <c r="H137" s="119"/>
      <c r="J137" s="119"/>
      <c r="K137" s="119"/>
      <c r="N137" s="119"/>
    </row>
    <row r="138" spans="1:14" x14ac:dyDescent="0.2">
      <c r="A138" s="169"/>
      <c r="D138" s="119"/>
      <c r="E138" s="119"/>
      <c r="F138" s="119"/>
      <c r="G138" s="119"/>
      <c r="H138" s="119"/>
      <c r="J138" s="119"/>
      <c r="K138" s="119"/>
      <c r="N138" s="119"/>
    </row>
    <row r="139" spans="1:14" x14ac:dyDescent="0.2">
      <c r="A139" s="169"/>
      <c r="D139" s="119"/>
      <c r="E139" s="119"/>
      <c r="F139" s="119"/>
      <c r="G139" s="119"/>
      <c r="H139" s="119"/>
      <c r="J139" s="119"/>
      <c r="K139" s="119"/>
      <c r="N139" s="119"/>
    </row>
    <row r="140" spans="1:14" x14ac:dyDescent="0.2">
      <c r="A140" s="169"/>
      <c r="D140" s="119"/>
      <c r="E140" s="119"/>
      <c r="F140" s="119"/>
      <c r="G140" s="119"/>
      <c r="H140" s="119"/>
      <c r="J140" s="119"/>
      <c r="K140" s="119"/>
      <c r="N140" s="119"/>
    </row>
    <row r="141" spans="1:14" x14ac:dyDescent="0.2">
      <c r="A141" s="169"/>
      <c r="D141" s="119"/>
      <c r="E141" s="119"/>
      <c r="F141" s="119"/>
      <c r="G141" s="119"/>
      <c r="H141" s="119"/>
      <c r="J141" s="119"/>
      <c r="K141" s="119"/>
      <c r="N141" s="119"/>
    </row>
    <row r="142" spans="1:14" x14ac:dyDescent="0.2">
      <c r="A142" s="169"/>
      <c r="D142" s="119"/>
      <c r="E142" s="119"/>
      <c r="F142" s="119"/>
      <c r="G142" s="119"/>
      <c r="H142" s="119"/>
      <c r="J142" s="119"/>
      <c r="K142" s="119"/>
      <c r="N142" s="119"/>
    </row>
    <row r="143" spans="1:14" x14ac:dyDescent="0.2">
      <c r="A143" s="169"/>
      <c r="D143" s="119"/>
      <c r="E143" s="119"/>
      <c r="F143" s="119"/>
      <c r="G143" s="119"/>
      <c r="H143" s="119"/>
      <c r="J143" s="119"/>
      <c r="K143" s="119"/>
      <c r="N143" s="119"/>
    </row>
    <row r="144" spans="1:14" x14ac:dyDescent="0.2">
      <c r="A144" s="169"/>
      <c r="D144" s="119"/>
      <c r="E144" s="119"/>
      <c r="F144" s="119"/>
      <c r="G144" s="119"/>
      <c r="H144" s="119"/>
      <c r="J144" s="119"/>
      <c r="K144" s="119"/>
      <c r="N144" s="119"/>
    </row>
    <row r="145" spans="1:14" x14ac:dyDescent="0.2">
      <c r="A145" s="169"/>
      <c r="D145" s="119"/>
      <c r="E145" s="119"/>
      <c r="F145" s="119"/>
      <c r="G145" s="119"/>
      <c r="H145" s="119"/>
      <c r="J145" s="119"/>
      <c r="K145" s="119"/>
      <c r="N145" s="119"/>
    </row>
    <row r="146" spans="1:14" x14ac:dyDescent="0.2">
      <c r="A146" s="169"/>
      <c r="D146" s="119"/>
      <c r="E146" s="119"/>
      <c r="F146" s="119"/>
      <c r="G146" s="119"/>
      <c r="H146" s="119"/>
      <c r="J146" s="119"/>
      <c r="K146" s="119"/>
      <c r="N146" s="119"/>
    </row>
    <row r="147" spans="1:14" x14ac:dyDescent="0.2">
      <c r="A147" s="169"/>
      <c r="D147" s="119"/>
      <c r="E147" s="119"/>
      <c r="F147" s="119"/>
      <c r="G147" s="119"/>
      <c r="H147" s="119"/>
      <c r="J147" s="119"/>
      <c r="K147" s="119"/>
      <c r="N147" s="119"/>
    </row>
    <row r="148" spans="1:14" x14ac:dyDescent="0.2">
      <c r="A148" s="169"/>
      <c r="D148" s="119"/>
      <c r="E148" s="119"/>
      <c r="F148" s="119"/>
      <c r="G148" s="119"/>
      <c r="H148" s="119"/>
      <c r="J148" s="119"/>
      <c r="K148" s="119"/>
      <c r="N148" s="119"/>
    </row>
    <row r="149" spans="1:14" x14ac:dyDescent="0.2">
      <c r="A149" s="169"/>
      <c r="D149" s="119"/>
      <c r="E149" s="119"/>
      <c r="F149" s="119"/>
      <c r="G149" s="119"/>
      <c r="H149" s="119"/>
      <c r="J149" s="119"/>
      <c r="K149" s="119"/>
      <c r="N149" s="119"/>
    </row>
    <row r="150" spans="1:14" x14ac:dyDescent="0.2">
      <c r="A150" s="169"/>
      <c r="D150" s="119"/>
      <c r="E150" s="119"/>
      <c r="F150" s="119"/>
      <c r="G150" s="119"/>
      <c r="H150" s="119"/>
      <c r="J150" s="119"/>
      <c r="K150" s="119"/>
      <c r="N150" s="119"/>
    </row>
    <row r="151" spans="1:14" x14ac:dyDescent="0.2">
      <c r="A151" s="169"/>
      <c r="D151" s="119"/>
      <c r="E151" s="119"/>
      <c r="F151" s="119"/>
      <c r="G151" s="119"/>
      <c r="H151" s="119"/>
      <c r="J151" s="119"/>
      <c r="K151" s="119"/>
      <c r="N151" s="119"/>
    </row>
    <row r="152" spans="1:14" x14ac:dyDescent="0.2">
      <c r="A152" s="169"/>
      <c r="D152" s="119"/>
      <c r="E152" s="119"/>
      <c r="F152" s="119"/>
      <c r="G152" s="119"/>
      <c r="H152" s="119"/>
      <c r="J152" s="119"/>
      <c r="K152" s="119"/>
      <c r="N152" s="119"/>
    </row>
    <row r="153" spans="1:14" x14ac:dyDescent="0.2">
      <c r="A153" s="169"/>
      <c r="D153" s="119"/>
      <c r="E153" s="119"/>
      <c r="F153" s="119"/>
      <c r="G153" s="119"/>
      <c r="H153" s="119"/>
      <c r="J153" s="119"/>
      <c r="K153" s="119"/>
      <c r="N153" s="119"/>
    </row>
    <row r="154" spans="1:14" x14ac:dyDescent="0.2">
      <c r="A154" s="169"/>
      <c r="D154" s="119"/>
      <c r="E154" s="119"/>
      <c r="F154" s="119"/>
      <c r="G154" s="119"/>
      <c r="H154" s="119"/>
      <c r="J154" s="119"/>
      <c r="K154" s="119"/>
      <c r="N154" s="119"/>
    </row>
    <row r="155" spans="1:14" x14ac:dyDescent="0.2">
      <c r="A155" s="169"/>
      <c r="D155" s="119"/>
      <c r="E155" s="119"/>
      <c r="F155" s="119"/>
      <c r="G155" s="119"/>
      <c r="H155" s="119"/>
      <c r="J155" s="119"/>
      <c r="K155" s="119"/>
      <c r="N155" s="119"/>
    </row>
    <row r="156" spans="1:14" x14ac:dyDescent="0.2">
      <c r="A156" s="169"/>
      <c r="D156" s="119"/>
      <c r="E156" s="119"/>
      <c r="F156" s="119"/>
      <c r="G156" s="119"/>
      <c r="H156" s="119"/>
      <c r="J156" s="119"/>
      <c r="K156" s="119"/>
      <c r="N156" s="119"/>
    </row>
    <row r="157" spans="1:14" x14ac:dyDescent="0.2">
      <c r="A157" s="169"/>
      <c r="D157" s="119"/>
      <c r="E157" s="119"/>
      <c r="F157" s="119"/>
      <c r="G157" s="119"/>
      <c r="H157" s="119"/>
      <c r="J157" s="119"/>
      <c r="K157" s="119"/>
      <c r="N157" s="119"/>
    </row>
    <row r="158" spans="1:14" x14ac:dyDescent="0.2">
      <c r="A158" s="169"/>
      <c r="D158" s="119"/>
      <c r="E158" s="119"/>
      <c r="F158" s="119"/>
      <c r="G158" s="119"/>
      <c r="H158" s="119"/>
      <c r="J158" s="119"/>
      <c r="K158" s="119"/>
      <c r="N158" s="119"/>
    </row>
    <row r="159" spans="1:14" x14ac:dyDescent="0.2">
      <c r="A159" s="169"/>
      <c r="D159" s="119"/>
      <c r="E159" s="119"/>
      <c r="F159" s="119"/>
      <c r="G159" s="119"/>
      <c r="H159" s="119"/>
      <c r="J159" s="119"/>
      <c r="K159" s="119"/>
      <c r="N159" s="119"/>
    </row>
    <row r="160" spans="1:14" x14ac:dyDescent="0.2">
      <c r="A160" s="169"/>
      <c r="D160" s="119"/>
      <c r="E160" s="119"/>
      <c r="F160" s="119"/>
      <c r="G160" s="119"/>
      <c r="H160" s="119"/>
      <c r="J160" s="119"/>
      <c r="K160" s="119"/>
      <c r="N160" s="119"/>
    </row>
    <row r="161" spans="1:14" x14ac:dyDescent="0.2">
      <c r="A161" s="169"/>
      <c r="D161" s="119"/>
      <c r="E161" s="119"/>
      <c r="F161" s="119"/>
      <c r="G161" s="119"/>
      <c r="H161" s="119"/>
      <c r="J161" s="119"/>
      <c r="K161" s="119"/>
      <c r="N161" s="119"/>
    </row>
    <row r="162" spans="1:14" x14ac:dyDescent="0.2">
      <c r="A162" s="169"/>
      <c r="D162" s="119"/>
      <c r="E162" s="119"/>
      <c r="F162" s="119"/>
      <c r="G162" s="119"/>
      <c r="H162" s="119"/>
      <c r="J162" s="119"/>
      <c r="K162" s="119"/>
      <c r="N162" s="119"/>
    </row>
    <row r="163" spans="1:14" x14ac:dyDescent="0.2">
      <c r="A163" s="169"/>
      <c r="D163" s="119"/>
      <c r="E163" s="119"/>
      <c r="F163" s="119"/>
      <c r="G163" s="119"/>
      <c r="H163" s="119"/>
      <c r="J163" s="119"/>
      <c r="K163" s="119"/>
      <c r="N163" s="119"/>
    </row>
    <row r="164" spans="1:14" x14ac:dyDescent="0.2">
      <c r="A164" s="169"/>
      <c r="D164" s="119"/>
      <c r="E164" s="119"/>
      <c r="F164" s="119"/>
      <c r="G164" s="119"/>
      <c r="H164" s="119"/>
      <c r="J164" s="119"/>
      <c r="K164" s="119"/>
      <c r="N164" s="119"/>
    </row>
    <row r="165" spans="1:14" x14ac:dyDescent="0.2">
      <c r="A165" s="169"/>
      <c r="D165" s="119"/>
      <c r="E165" s="119"/>
      <c r="F165" s="119"/>
      <c r="G165" s="119"/>
      <c r="H165" s="119"/>
      <c r="J165" s="119"/>
      <c r="K165" s="119"/>
      <c r="N165" s="119"/>
    </row>
    <row r="166" spans="1:14" x14ac:dyDescent="0.2">
      <c r="A166" s="169"/>
      <c r="D166" s="119"/>
      <c r="E166" s="119"/>
      <c r="F166" s="119"/>
      <c r="G166" s="119"/>
      <c r="H166" s="119"/>
      <c r="J166" s="119"/>
      <c r="K166" s="119"/>
      <c r="N166" s="119"/>
    </row>
    <row r="167" spans="1:14" x14ac:dyDescent="0.2">
      <c r="A167" s="169"/>
      <c r="D167" s="119"/>
      <c r="E167" s="119"/>
      <c r="F167" s="119"/>
      <c r="G167" s="119"/>
      <c r="H167" s="119"/>
      <c r="J167" s="119"/>
      <c r="K167" s="119"/>
      <c r="N167" s="119"/>
    </row>
    <row r="168" spans="1:14" x14ac:dyDescent="0.2">
      <c r="A168" s="169"/>
      <c r="D168" s="119"/>
      <c r="E168" s="119"/>
      <c r="F168" s="119"/>
      <c r="G168" s="119"/>
      <c r="H168" s="119"/>
      <c r="J168" s="119"/>
      <c r="K168" s="119"/>
      <c r="N168" s="119"/>
    </row>
    <row r="169" spans="1:14" x14ac:dyDescent="0.2">
      <c r="A169" s="169"/>
      <c r="D169" s="119"/>
      <c r="E169" s="119"/>
      <c r="F169" s="119"/>
      <c r="G169" s="119"/>
      <c r="H169" s="119"/>
      <c r="J169" s="119"/>
      <c r="K169" s="119"/>
      <c r="N169" s="119"/>
    </row>
    <row r="170" spans="1:14" x14ac:dyDescent="0.2">
      <c r="A170" s="169"/>
      <c r="D170" s="119"/>
      <c r="E170" s="119"/>
      <c r="F170" s="119"/>
      <c r="G170" s="119"/>
      <c r="H170" s="119"/>
      <c r="J170" s="119"/>
      <c r="K170" s="119"/>
      <c r="N170" s="119"/>
    </row>
    <row r="171" spans="1:14" x14ac:dyDescent="0.2">
      <c r="A171" s="169"/>
      <c r="D171" s="119"/>
      <c r="E171" s="119"/>
      <c r="F171" s="119"/>
      <c r="G171" s="119"/>
      <c r="H171" s="119"/>
      <c r="J171" s="119"/>
      <c r="K171" s="119"/>
      <c r="N171" s="119"/>
    </row>
    <row r="172" spans="1:14" x14ac:dyDescent="0.2">
      <c r="A172" s="169"/>
      <c r="D172" s="119"/>
      <c r="E172" s="119"/>
      <c r="F172" s="119"/>
      <c r="G172" s="119"/>
      <c r="H172" s="119"/>
      <c r="J172" s="119"/>
      <c r="K172" s="119"/>
      <c r="N172" s="119"/>
    </row>
    <row r="173" spans="1:14" x14ac:dyDescent="0.2">
      <c r="A173" s="169"/>
      <c r="D173" s="119"/>
      <c r="E173" s="119"/>
      <c r="F173" s="119"/>
      <c r="G173" s="119"/>
      <c r="H173" s="119"/>
      <c r="J173" s="119"/>
      <c r="K173" s="119"/>
      <c r="N173" s="119"/>
    </row>
    <row r="174" spans="1:14" x14ac:dyDescent="0.2">
      <c r="A174" s="169"/>
      <c r="D174" s="119"/>
      <c r="E174" s="119"/>
      <c r="F174" s="119"/>
      <c r="G174" s="119"/>
      <c r="H174" s="119"/>
      <c r="J174" s="119"/>
      <c r="K174" s="119"/>
      <c r="N174" s="119"/>
    </row>
    <row r="175" spans="1:14" x14ac:dyDescent="0.2">
      <c r="A175" s="169"/>
      <c r="D175" s="119"/>
      <c r="E175" s="119"/>
      <c r="F175" s="119"/>
      <c r="G175" s="119"/>
      <c r="H175" s="119"/>
      <c r="J175" s="119"/>
      <c r="K175" s="119"/>
      <c r="N175" s="119"/>
    </row>
    <row r="176" spans="1:14" x14ac:dyDescent="0.2">
      <c r="A176" s="169"/>
      <c r="D176" s="119"/>
      <c r="E176" s="119"/>
      <c r="F176" s="119"/>
      <c r="G176" s="119"/>
      <c r="H176" s="119"/>
      <c r="J176" s="119"/>
      <c r="K176" s="119"/>
      <c r="N176" s="119"/>
    </row>
    <row r="177" spans="1:14" x14ac:dyDescent="0.2">
      <c r="A177" s="169"/>
      <c r="D177" s="119"/>
      <c r="E177" s="119"/>
      <c r="F177" s="119"/>
      <c r="G177" s="119"/>
      <c r="H177" s="119"/>
      <c r="J177" s="119"/>
      <c r="K177" s="119"/>
      <c r="N177" s="119"/>
    </row>
    <row r="178" spans="1:14" x14ac:dyDescent="0.2">
      <c r="A178" s="169"/>
      <c r="D178" s="119"/>
      <c r="E178" s="119"/>
      <c r="F178" s="119"/>
      <c r="G178" s="119"/>
      <c r="H178" s="119"/>
      <c r="J178" s="119"/>
      <c r="K178" s="119"/>
      <c r="N178" s="119"/>
    </row>
    <row r="179" spans="1:14" x14ac:dyDescent="0.2">
      <c r="A179" s="169"/>
      <c r="D179" s="119"/>
      <c r="E179" s="119"/>
      <c r="F179" s="119"/>
      <c r="G179" s="119"/>
      <c r="H179" s="119"/>
      <c r="J179" s="119"/>
      <c r="K179" s="119"/>
      <c r="N179" s="119"/>
    </row>
    <row r="180" spans="1:14" x14ac:dyDescent="0.2">
      <c r="A180" s="169"/>
      <c r="D180" s="119"/>
      <c r="E180" s="119"/>
      <c r="F180" s="119"/>
      <c r="G180" s="119"/>
      <c r="H180" s="119"/>
      <c r="J180" s="119"/>
      <c r="K180" s="119"/>
      <c r="N180" s="119"/>
    </row>
    <row r="181" spans="1:14" x14ac:dyDescent="0.2">
      <c r="A181" s="169"/>
      <c r="D181" s="119"/>
      <c r="E181" s="119"/>
      <c r="F181" s="119"/>
      <c r="G181" s="119"/>
      <c r="H181" s="119"/>
      <c r="J181" s="119"/>
      <c r="K181" s="119"/>
      <c r="N181" s="119"/>
    </row>
    <row r="182" spans="1:14" x14ac:dyDescent="0.2">
      <c r="A182" s="169"/>
      <c r="D182" s="119"/>
      <c r="E182" s="119"/>
      <c r="F182" s="119"/>
      <c r="G182" s="119"/>
      <c r="H182" s="119"/>
      <c r="J182" s="119"/>
      <c r="K182" s="119"/>
      <c r="N182" s="119"/>
    </row>
    <row r="183" spans="1:14" x14ac:dyDescent="0.2">
      <c r="A183" s="169"/>
      <c r="D183" s="119"/>
      <c r="E183" s="119"/>
      <c r="F183" s="119"/>
      <c r="G183" s="119"/>
      <c r="H183" s="119"/>
      <c r="J183" s="119"/>
      <c r="K183" s="119"/>
      <c r="N183" s="119"/>
    </row>
    <row r="184" spans="1:14" x14ac:dyDescent="0.2">
      <c r="A184" s="169"/>
      <c r="D184" s="119"/>
      <c r="E184" s="119"/>
      <c r="F184" s="119"/>
      <c r="G184" s="119"/>
      <c r="H184" s="119"/>
      <c r="J184" s="119"/>
      <c r="K184" s="119"/>
      <c r="N184" s="119"/>
    </row>
    <row r="185" spans="1:14" x14ac:dyDescent="0.2">
      <c r="A185" s="169"/>
      <c r="D185" s="119"/>
      <c r="E185" s="119"/>
      <c r="F185" s="119"/>
      <c r="G185" s="119"/>
      <c r="H185" s="119"/>
      <c r="J185" s="119"/>
      <c r="K185" s="119"/>
      <c r="N185" s="119"/>
    </row>
    <row r="186" spans="1:14" x14ac:dyDescent="0.2">
      <c r="A186" s="169"/>
      <c r="D186" s="119"/>
      <c r="E186" s="119"/>
      <c r="F186" s="119"/>
      <c r="G186" s="119"/>
      <c r="H186" s="119"/>
      <c r="J186" s="119"/>
      <c r="K186" s="119"/>
      <c r="N186" s="119"/>
    </row>
    <row r="187" spans="1:14" x14ac:dyDescent="0.2">
      <c r="A187" s="169"/>
      <c r="D187" s="119"/>
      <c r="E187" s="119"/>
      <c r="F187" s="119"/>
      <c r="G187" s="119"/>
      <c r="H187" s="119"/>
      <c r="J187" s="119"/>
      <c r="K187" s="119"/>
      <c r="N187" s="119"/>
    </row>
    <row r="188" spans="1:14" x14ac:dyDescent="0.2">
      <c r="A188" s="169"/>
      <c r="D188" s="119"/>
      <c r="E188" s="119"/>
      <c r="F188" s="119"/>
      <c r="G188" s="119"/>
      <c r="H188" s="119"/>
      <c r="J188" s="119"/>
      <c r="K188" s="119"/>
      <c r="N188" s="119"/>
    </row>
    <row r="189" spans="1:14" x14ac:dyDescent="0.2">
      <c r="A189" s="169"/>
      <c r="D189" s="119"/>
      <c r="E189" s="119"/>
      <c r="F189" s="119"/>
      <c r="G189" s="119"/>
      <c r="H189" s="119"/>
      <c r="J189" s="119"/>
      <c r="K189" s="119"/>
      <c r="N189" s="119"/>
    </row>
    <row r="190" spans="1:14" x14ac:dyDescent="0.2">
      <c r="A190" s="169"/>
      <c r="D190" s="119"/>
      <c r="E190" s="119"/>
      <c r="F190" s="119"/>
      <c r="G190" s="119"/>
      <c r="H190" s="119"/>
      <c r="J190" s="119"/>
      <c r="K190" s="119"/>
      <c r="N190" s="119"/>
    </row>
    <row r="191" spans="1:14" x14ac:dyDescent="0.2">
      <c r="A191" s="169"/>
      <c r="D191" s="119"/>
      <c r="E191" s="119"/>
      <c r="F191" s="119"/>
      <c r="G191" s="119"/>
      <c r="H191" s="119"/>
      <c r="J191" s="119"/>
      <c r="K191" s="119"/>
      <c r="N191" s="119"/>
    </row>
    <row r="192" spans="1:14" x14ac:dyDescent="0.2">
      <c r="A192" s="169"/>
      <c r="D192" s="119"/>
      <c r="E192" s="119"/>
      <c r="F192" s="119"/>
      <c r="G192" s="119"/>
      <c r="H192" s="119"/>
      <c r="J192" s="119"/>
      <c r="K192" s="119"/>
      <c r="N192" s="119"/>
    </row>
    <row r="193" spans="1:14" x14ac:dyDescent="0.2">
      <c r="A193" s="169"/>
      <c r="D193" s="119"/>
      <c r="E193" s="119"/>
      <c r="F193" s="119"/>
      <c r="G193" s="119"/>
      <c r="H193" s="119"/>
      <c r="J193" s="119"/>
      <c r="K193" s="119"/>
      <c r="N193" s="119"/>
    </row>
    <row r="194" spans="1:14" x14ac:dyDescent="0.2">
      <c r="A194" s="169"/>
      <c r="D194" s="119"/>
      <c r="E194" s="119"/>
      <c r="F194" s="119"/>
      <c r="G194" s="119"/>
      <c r="H194" s="119"/>
      <c r="J194" s="119"/>
      <c r="K194" s="119"/>
      <c r="N194" s="119"/>
    </row>
    <row r="195" spans="1:14" x14ac:dyDescent="0.2">
      <c r="A195" s="169"/>
      <c r="D195" s="119"/>
      <c r="E195" s="119"/>
      <c r="F195" s="119"/>
      <c r="G195" s="119"/>
      <c r="H195" s="119"/>
      <c r="J195" s="119"/>
      <c r="K195" s="119"/>
      <c r="N195" s="119"/>
    </row>
    <row r="196" spans="1:14" x14ac:dyDescent="0.2">
      <c r="A196" s="169"/>
      <c r="D196" s="119"/>
      <c r="E196" s="119"/>
      <c r="F196" s="119"/>
      <c r="G196" s="119"/>
      <c r="H196" s="119"/>
      <c r="J196" s="119"/>
      <c r="K196" s="119"/>
      <c r="N196" s="119"/>
    </row>
    <row r="197" spans="1:14" x14ac:dyDescent="0.2">
      <c r="A197" s="169"/>
      <c r="D197" s="119"/>
      <c r="E197" s="119"/>
      <c r="F197" s="119"/>
      <c r="G197" s="119"/>
      <c r="H197" s="119"/>
      <c r="J197" s="119"/>
      <c r="K197" s="119"/>
      <c r="N197" s="119"/>
    </row>
    <row r="198" spans="1:14" x14ac:dyDescent="0.2">
      <c r="D198" s="119"/>
      <c r="E198" s="119"/>
      <c r="F198" s="119"/>
      <c r="G198" s="119"/>
      <c r="H198" s="119"/>
      <c r="J198" s="119"/>
      <c r="K198" s="119"/>
      <c r="N198" s="119"/>
    </row>
  </sheetData>
  <mergeCells count="2">
    <mergeCell ref="B48:M48"/>
    <mergeCell ref="B49:M49"/>
  </mergeCells>
  <printOptions horizontalCentered="1"/>
  <pageMargins left="0.7" right="0.7" top="0.75" bottom="0.75" header="0.3" footer="0.3"/>
  <pageSetup scale="71" orientation="landscape" r:id="rId1"/>
  <headerFooter alignWithMargins="0">
    <oddHeader>&amp;RElectric Schedule 120 Rate Design Workpapers
Page &amp;P of &amp;N</oddHeader>
    <oddFooter>&amp;L&amp;F
&amp;A&amp;R&amp;D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N104"/>
  <sheetViews>
    <sheetView zoomScaleNormal="100" workbookViewId="0">
      <pane ySplit="7" topLeftCell="A8" activePane="bottomLeft" state="frozen"/>
      <selection pane="bottomLeft" activeCell="H22" sqref="H22"/>
    </sheetView>
  </sheetViews>
  <sheetFormatPr defaultColWidth="9.140625" defaultRowHeight="11.25" x14ac:dyDescent="0.2"/>
  <cols>
    <col min="1" max="1" width="4.7109375" style="7" customWidth="1"/>
    <col min="2" max="2" width="18.85546875" style="7" bestFit="1" customWidth="1"/>
    <col min="3" max="3" width="32" style="15" bestFit="1" customWidth="1"/>
    <col min="4" max="4" width="13.85546875" style="7" bestFit="1" customWidth="1"/>
    <col min="5" max="5" width="16.85546875" style="7" customWidth="1"/>
    <col min="6" max="6" width="1.28515625" style="7" customWidth="1"/>
    <col min="7" max="7" width="7.28515625" style="7" bestFit="1" customWidth="1"/>
    <col min="8" max="8" width="32.140625" style="7" customWidth="1"/>
    <col min="9" max="9" width="11.5703125" style="7" bestFit="1" customWidth="1"/>
    <col min="10" max="10" width="14.140625" style="7" customWidth="1"/>
    <col min="11" max="11" width="1.140625" style="7" customWidth="1"/>
    <col min="12" max="12" width="12.85546875" style="7" bestFit="1" customWidth="1"/>
    <col min="13" max="13" width="14.140625" style="7" customWidth="1"/>
    <col min="14" max="14" width="11.28515625" style="7" bestFit="1" customWidth="1"/>
    <col min="15" max="16384" width="9.140625" style="7"/>
  </cols>
  <sheetData>
    <row r="1" spans="1:14" s="8" customFormat="1" ht="12" customHeight="1" x14ac:dyDescent="0.25">
      <c r="A1" s="342" t="str">
        <f>'Sch 141A Rates'!A1</f>
        <v>PUGET SOUND ENERGY</v>
      </c>
      <c r="B1" s="343"/>
      <c r="C1" s="343"/>
      <c r="D1" s="343"/>
      <c r="E1" s="343"/>
      <c r="F1" s="343"/>
    </row>
    <row r="2" spans="1:14" s="8" customFormat="1" ht="12" customHeight="1" x14ac:dyDescent="0.25">
      <c r="A2" s="342" t="str">
        <f>'Sch 141A Rates'!A2</f>
        <v>Schedule 141A Energy Charge Credit Recovery Adjustment</v>
      </c>
      <c r="B2" s="343"/>
      <c r="C2" s="343"/>
      <c r="D2" s="343"/>
      <c r="E2" s="343"/>
      <c r="F2" s="343"/>
    </row>
    <row r="3" spans="1:14" s="8" customFormat="1" ht="12" customHeight="1" x14ac:dyDescent="0.25">
      <c r="A3" s="342" t="str">
        <f>'Sch 141A Rates'!A3</f>
        <v>Effective January 1, 2025 - December 31, 2025</v>
      </c>
      <c r="B3" s="343"/>
      <c r="C3" s="343"/>
      <c r="D3" s="343"/>
      <c r="E3" s="343"/>
      <c r="F3" s="343"/>
    </row>
    <row r="4" spans="1:14" s="8" customFormat="1" ht="15" x14ac:dyDescent="0.25">
      <c r="A4" s="344" t="s">
        <v>103</v>
      </c>
      <c r="B4" s="345"/>
      <c r="C4" s="345"/>
      <c r="D4" s="345"/>
      <c r="E4" s="345"/>
      <c r="F4" s="346"/>
    </row>
    <row r="5" spans="1:14" s="10" customFormat="1" ht="12" thickBot="1" x14ac:dyDescent="0.25">
      <c r="B5" s="11"/>
      <c r="C5" s="15"/>
    </row>
    <row r="6" spans="1:14" s="9" customFormat="1" x14ac:dyDescent="0.2">
      <c r="A6" s="16" t="s">
        <v>60</v>
      </c>
      <c r="B6" s="16"/>
      <c r="C6" s="15"/>
      <c r="D6" s="347" t="s">
        <v>207</v>
      </c>
      <c r="E6" s="348"/>
      <c r="F6" s="15"/>
      <c r="G6" s="17" t="s">
        <v>0</v>
      </c>
      <c r="H6" s="18" t="s">
        <v>61</v>
      </c>
      <c r="I6" s="18" t="s">
        <v>1</v>
      </c>
      <c r="J6" s="18"/>
      <c r="K6" s="99"/>
      <c r="L6" s="100"/>
      <c r="M6" s="100"/>
      <c r="N6" s="100"/>
    </row>
    <row r="7" spans="1:14" s="9" customFormat="1" ht="45" x14ac:dyDescent="0.2">
      <c r="A7" s="19" t="s">
        <v>62</v>
      </c>
      <c r="B7" s="19" t="s">
        <v>5</v>
      </c>
      <c r="C7" s="19" t="s">
        <v>63</v>
      </c>
      <c r="D7" s="326" t="s">
        <v>64</v>
      </c>
      <c r="E7" s="20" t="s">
        <v>65</v>
      </c>
      <c r="F7" s="21"/>
      <c r="G7" s="76"/>
      <c r="H7" s="77"/>
      <c r="I7" s="78"/>
      <c r="J7" s="79" t="s">
        <v>210</v>
      </c>
      <c r="K7" s="80"/>
      <c r="L7" s="81" t="s">
        <v>208</v>
      </c>
      <c r="M7" s="81" t="str">
        <f>"SCH 141A "&amp;TEXT(Inputs!B5,"mmmm d, yyyy")</f>
        <v>SCH 141A September 2023 - August 2024</v>
      </c>
      <c r="N7" s="81" t="s">
        <v>106</v>
      </c>
    </row>
    <row r="8" spans="1:14" x14ac:dyDescent="0.2">
      <c r="A8" s="22"/>
      <c r="B8" s="16"/>
      <c r="C8" s="23"/>
      <c r="D8" s="327"/>
      <c r="E8" s="16"/>
      <c r="F8" s="16"/>
      <c r="G8" s="24"/>
      <c r="H8" s="53"/>
      <c r="I8" s="54"/>
      <c r="J8" s="55"/>
      <c r="K8" s="55"/>
      <c r="L8" s="25"/>
      <c r="M8" s="25"/>
      <c r="N8" s="25"/>
    </row>
    <row r="9" spans="1:14" x14ac:dyDescent="0.2">
      <c r="A9" s="16">
        <v>1</v>
      </c>
      <c r="B9" s="288" t="s">
        <v>175</v>
      </c>
      <c r="C9" s="26" t="s">
        <v>68</v>
      </c>
      <c r="D9" s="328"/>
      <c r="E9" s="15"/>
      <c r="F9" s="15"/>
      <c r="G9" s="27">
        <v>1</v>
      </c>
      <c r="H9" s="56" t="s">
        <v>2</v>
      </c>
      <c r="I9" s="57">
        <v>7</v>
      </c>
      <c r="J9" s="290">
        <v>0.56752866730222584</v>
      </c>
      <c r="K9" s="55"/>
      <c r="L9" s="64">
        <f>+$J9*L$35</f>
        <v>20852366.370169081</v>
      </c>
      <c r="M9" s="64">
        <f>+$J9*M$35</f>
        <v>-590434.36256901396</v>
      </c>
      <c r="N9" s="64">
        <f>SUM(L9:M9)</f>
        <v>20261932.007600065</v>
      </c>
    </row>
    <row r="10" spans="1:14" x14ac:dyDescent="0.2">
      <c r="A10" s="16">
        <f>A9+1</f>
        <v>2</v>
      </c>
      <c r="B10" s="16" t="str">
        <f>B9</f>
        <v>7 (307) (317) (327)</v>
      </c>
      <c r="C10" s="294" t="s">
        <v>212</v>
      </c>
      <c r="D10" s="329">
        <v>11319130621.398149</v>
      </c>
      <c r="E10" s="15"/>
      <c r="F10" s="15"/>
      <c r="G10" s="27">
        <f>+G9+1</f>
        <v>2</v>
      </c>
      <c r="H10" s="55"/>
      <c r="I10" s="57"/>
      <c r="J10" s="291"/>
      <c r="K10" s="55"/>
      <c r="L10" s="59"/>
      <c r="M10" s="59"/>
      <c r="N10" s="59"/>
    </row>
    <row r="11" spans="1:14" x14ac:dyDescent="0.2">
      <c r="A11" s="16">
        <f t="shared" ref="A11:A74" si="0">A10+1</f>
        <v>3</v>
      </c>
      <c r="B11" s="16" t="str">
        <f t="shared" ref="B11:B14" si="1">B10</f>
        <v>7 (307) (317) (327)</v>
      </c>
      <c r="C11" s="295" t="s">
        <v>72</v>
      </c>
      <c r="D11" s="330">
        <v>0</v>
      </c>
      <c r="E11" s="15"/>
      <c r="F11" s="15"/>
      <c r="G11" s="27">
        <f t="shared" ref="G11:G33" si="2">+G10+1</f>
        <v>3</v>
      </c>
      <c r="H11" s="55" t="s">
        <v>69</v>
      </c>
      <c r="I11" s="57"/>
      <c r="J11" s="291"/>
      <c r="K11" s="55"/>
      <c r="L11" s="59"/>
      <c r="M11" s="59"/>
      <c r="N11" s="59"/>
    </row>
    <row r="12" spans="1:14" x14ac:dyDescent="0.2">
      <c r="A12" s="16">
        <f t="shared" si="0"/>
        <v>4</v>
      </c>
      <c r="B12" s="16" t="str">
        <f t="shared" si="1"/>
        <v>7 (307) (317) (327)</v>
      </c>
      <c r="C12" s="35" t="s">
        <v>48</v>
      </c>
      <c r="D12" s="331">
        <f>SUM(D10:D11)</f>
        <v>11319130621.398149</v>
      </c>
      <c r="E12" s="32">
        <f>+E$14/D$12</f>
        <v>1.7900607993069782E-3</v>
      </c>
      <c r="F12" s="15"/>
      <c r="G12" s="27">
        <f t="shared" si="2"/>
        <v>4</v>
      </c>
      <c r="H12" s="60" t="s">
        <v>70</v>
      </c>
      <c r="I12" s="61" t="s">
        <v>71</v>
      </c>
      <c r="J12" s="290">
        <v>0.12899396970328134</v>
      </c>
      <c r="K12" s="55"/>
      <c r="L12" s="62">
        <f t="shared" ref="L12:M14" si="3">+$J12*L$35</f>
        <v>4739548.274418531</v>
      </c>
      <c r="M12" s="62">
        <f t="shared" si="3"/>
        <v>-134200.2204735234</v>
      </c>
      <c r="N12" s="74">
        <f t="shared" ref="N12:N14" si="4">SUM(L12:M12)</f>
        <v>4605348.0539450077</v>
      </c>
    </row>
    <row r="13" spans="1:14" ht="12" thickBot="1" x14ac:dyDescent="0.25">
      <c r="A13" s="16">
        <f t="shared" si="0"/>
        <v>5</v>
      </c>
      <c r="B13" s="16" t="str">
        <f t="shared" si="1"/>
        <v>7 (307) (317) (327)</v>
      </c>
      <c r="C13" s="35" t="s">
        <v>77</v>
      </c>
      <c r="D13" s="332"/>
      <c r="E13" s="36">
        <f>+E12*D12</f>
        <v>20261932.007600065</v>
      </c>
      <c r="F13" s="34"/>
      <c r="G13" s="27">
        <f t="shared" si="2"/>
        <v>5</v>
      </c>
      <c r="H13" s="60" t="s">
        <v>73</v>
      </c>
      <c r="I13" s="61" t="s">
        <v>74</v>
      </c>
      <c r="J13" s="290">
        <v>0.13762287279751242</v>
      </c>
      <c r="K13" s="55"/>
      <c r="L13" s="62">
        <f t="shared" si="3"/>
        <v>5056594.8996558292</v>
      </c>
      <c r="M13" s="62">
        <f t="shared" si="3"/>
        <v>-143177.38971914141</v>
      </c>
      <c r="N13" s="74">
        <f t="shared" si="4"/>
        <v>4913417.5099366875</v>
      </c>
    </row>
    <row r="14" spans="1:14" ht="12" thickTop="1" x14ac:dyDescent="0.2">
      <c r="A14" s="16">
        <f t="shared" si="0"/>
        <v>6</v>
      </c>
      <c r="B14" s="16" t="str">
        <f t="shared" si="1"/>
        <v>7 (307) (317) (327)</v>
      </c>
      <c r="C14" s="38" t="s">
        <v>79</v>
      </c>
      <c r="D14" s="328"/>
      <c r="E14" s="30">
        <f>$N$9</f>
        <v>20261932.007600065</v>
      </c>
      <c r="F14" s="34"/>
      <c r="G14" s="27">
        <f t="shared" si="2"/>
        <v>6</v>
      </c>
      <c r="H14" s="60" t="s">
        <v>75</v>
      </c>
      <c r="I14" s="61" t="s">
        <v>76</v>
      </c>
      <c r="J14" s="290">
        <v>7.7371217508168041E-2</v>
      </c>
      <c r="K14" s="55"/>
      <c r="L14" s="72">
        <f t="shared" si="3"/>
        <v>2842804.3673205171</v>
      </c>
      <c r="M14" s="72">
        <f t="shared" si="3"/>
        <v>-80493.952328044033</v>
      </c>
      <c r="N14" s="75">
        <f t="shared" si="4"/>
        <v>2762310.4149924731</v>
      </c>
    </row>
    <row r="15" spans="1:14" x14ac:dyDescent="0.2">
      <c r="A15" s="16">
        <f t="shared" si="0"/>
        <v>7</v>
      </c>
      <c r="B15" s="16"/>
      <c r="D15" s="328"/>
      <c r="E15" s="30"/>
      <c r="F15" s="34"/>
      <c r="G15" s="27">
        <f t="shared" si="2"/>
        <v>7</v>
      </c>
      <c r="H15" s="63" t="s">
        <v>78</v>
      </c>
      <c r="I15" s="57"/>
      <c r="J15" s="291"/>
      <c r="K15" s="55"/>
      <c r="L15" s="73">
        <f t="shared" ref="L15:N15" si="5">SUM(L12:L14)</f>
        <v>12638947.541394876</v>
      </c>
      <c r="M15" s="73">
        <f t="shared" si="5"/>
        <v>-357871.56252070883</v>
      </c>
      <c r="N15" s="73">
        <f t="shared" si="5"/>
        <v>12281075.978874169</v>
      </c>
    </row>
    <row r="16" spans="1:14" x14ac:dyDescent="0.2">
      <c r="A16" s="16">
        <f t="shared" si="0"/>
        <v>8</v>
      </c>
      <c r="B16" s="16"/>
      <c r="C16" s="26" t="s">
        <v>81</v>
      </c>
      <c r="D16" s="328"/>
      <c r="E16" s="15"/>
      <c r="F16" s="34"/>
      <c r="G16" s="27">
        <f t="shared" si="2"/>
        <v>8</v>
      </c>
      <c r="H16" s="55"/>
      <c r="I16" s="57"/>
      <c r="J16" s="291"/>
      <c r="K16" s="55"/>
      <c r="L16" s="59"/>
      <c r="M16" s="59"/>
      <c r="N16" s="59"/>
    </row>
    <row r="17" spans="1:14" x14ac:dyDescent="0.2">
      <c r="A17" s="16">
        <f t="shared" si="0"/>
        <v>9</v>
      </c>
      <c r="B17" s="287" t="s">
        <v>174</v>
      </c>
      <c r="C17" s="28" t="str">
        <f>$C$10</f>
        <v>F2024 2025 Load</v>
      </c>
      <c r="D17" s="329">
        <v>2693210047.3914232</v>
      </c>
      <c r="E17" s="15"/>
      <c r="F17" s="15"/>
      <c r="G17" s="27">
        <f t="shared" si="2"/>
        <v>9</v>
      </c>
      <c r="H17" s="55" t="s">
        <v>80</v>
      </c>
      <c r="I17" s="57"/>
      <c r="J17" s="291"/>
      <c r="K17" s="55"/>
      <c r="L17" s="59"/>
      <c r="M17" s="59"/>
      <c r="N17" s="59"/>
    </row>
    <row r="18" spans="1:14" x14ac:dyDescent="0.2">
      <c r="A18" s="16">
        <f t="shared" si="0"/>
        <v>10</v>
      </c>
      <c r="B18" s="16" t="str">
        <f>B17</f>
        <v>08 (24) (324)</v>
      </c>
      <c r="C18" s="28" t="str">
        <f>$C$11</f>
        <v xml:space="preserve">Excluding Green Direct Load </v>
      </c>
      <c r="D18" s="329">
        <v>-92177443.54216142</v>
      </c>
      <c r="E18" s="15"/>
      <c r="F18" s="15"/>
      <c r="G18" s="27">
        <f t="shared" si="2"/>
        <v>10</v>
      </c>
      <c r="H18" s="60" t="s">
        <v>82</v>
      </c>
      <c r="I18" s="61" t="s">
        <v>83</v>
      </c>
      <c r="J18" s="290">
        <v>5.750384760956908E-2</v>
      </c>
      <c r="K18" s="55"/>
      <c r="L18" s="62">
        <f t="shared" ref="L18:M20" si="6">+$J18*L$35</f>
        <v>2112829.4782870486</v>
      </c>
      <c r="M18" s="62">
        <f t="shared" si="6"/>
        <v>-59824.727039807949</v>
      </c>
      <c r="N18" s="74">
        <f t="shared" ref="N18:N20" si="7">SUM(L18:M18)</f>
        <v>2053004.7512472407</v>
      </c>
    </row>
    <row r="19" spans="1:14" x14ac:dyDescent="0.2">
      <c r="A19" s="16">
        <f t="shared" si="0"/>
        <v>11</v>
      </c>
      <c r="B19" s="16" t="str">
        <f t="shared" ref="B19:B20" si="8">B18</f>
        <v>08 (24) (324)</v>
      </c>
      <c r="C19" s="35" t="s">
        <v>48</v>
      </c>
      <c r="D19" s="331">
        <f>SUM(D17:D18)</f>
        <v>2601032603.8492618</v>
      </c>
      <c r="E19" s="32">
        <f>+E$21/D$19</f>
        <v>1.7705845159839844E-3</v>
      </c>
      <c r="F19" s="15"/>
      <c r="G19" s="27">
        <f t="shared" si="2"/>
        <v>11</v>
      </c>
      <c r="H19" s="60" t="s">
        <v>84</v>
      </c>
      <c r="I19" s="61">
        <v>35</v>
      </c>
      <c r="J19" s="290">
        <v>2.0990512948198327E-4</v>
      </c>
      <c r="K19" s="55"/>
      <c r="L19" s="62">
        <f t="shared" si="6"/>
        <v>7712.4186232608436</v>
      </c>
      <c r="M19" s="62">
        <f t="shared" si="6"/>
        <v>-218.37698862824487</v>
      </c>
      <c r="N19" s="74">
        <f t="shared" si="7"/>
        <v>7494.0416346325983</v>
      </c>
    </row>
    <row r="20" spans="1:14" ht="12" thickBot="1" x14ac:dyDescent="0.25">
      <c r="A20" s="16">
        <f t="shared" si="0"/>
        <v>12</v>
      </c>
      <c r="B20" s="16" t="str">
        <f t="shared" si="8"/>
        <v>08 (24) (324)</v>
      </c>
      <c r="C20" s="35" t="s">
        <v>77</v>
      </c>
      <c r="D20" s="332"/>
      <c r="E20" s="36">
        <f>+E19*D19</f>
        <v>4605348.0539450077</v>
      </c>
      <c r="F20" s="15"/>
      <c r="G20" s="27">
        <f t="shared" si="2"/>
        <v>12</v>
      </c>
      <c r="H20" s="65" t="s">
        <v>85</v>
      </c>
      <c r="I20" s="57">
        <v>43</v>
      </c>
      <c r="J20" s="290">
        <v>5.0156981366476124E-3</v>
      </c>
      <c r="K20" s="55"/>
      <c r="L20" s="72">
        <f t="shared" si="6"/>
        <v>184288.79662541091</v>
      </c>
      <c r="M20" s="72">
        <f t="shared" si="6"/>
        <v>-5218.1338190852466</v>
      </c>
      <c r="N20" s="74">
        <f t="shared" si="7"/>
        <v>179070.66280632565</v>
      </c>
    </row>
    <row r="21" spans="1:14" ht="12" thickTop="1" x14ac:dyDescent="0.2">
      <c r="A21" s="16">
        <f t="shared" si="0"/>
        <v>13</v>
      </c>
      <c r="B21" s="16" t="str">
        <f t="shared" ref="B21" si="9">+B20</f>
        <v>08 (24) (324)</v>
      </c>
      <c r="C21" s="38" t="s">
        <v>79</v>
      </c>
      <c r="D21" s="328"/>
      <c r="E21" s="30">
        <f>$N$12</f>
        <v>4605348.0539450077</v>
      </c>
      <c r="F21" s="15"/>
      <c r="G21" s="27">
        <f t="shared" si="2"/>
        <v>13</v>
      </c>
      <c r="H21" s="56" t="s">
        <v>86</v>
      </c>
      <c r="I21" s="57"/>
      <c r="J21" s="291"/>
      <c r="K21" s="55"/>
      <c r="L21" s="64">
        <f t="shared" ref="L21" si="10">SUM(L18:L20)</f>
        <v>2304830.69353572</v>
      </c>
      <c r="M21" s="64">
        <f t="shared" ref="M21:N21" si="11">SUM(M18:M20)</f>
        <v>-65261.237847521443</v>
      </c>
      <c r="N21" s="64">
        <f t="shared" si="11"/>
        <v>2239569.455688199</v>
      </c>
    </row>
    <row r="22" spans="1:14" x14ac:dyDescent="0.2">
      <c r="A22" s="16">
        <f t="shared" si="0"/>
        <v>14</v>
      </c>
      <c r="B22" s="16"/>
      <c r="D22" s="328"/>
      <c r="E22" s="30"/>
      <c r="F22" s="34"/>
      <c r="G22" s="27">
        <f t="shared" si="2"/>
        <v>14</v>
      </c>
      <c r="H22" s="55"/>
      <c r="I22" s="57"/>
      <c r="J22" s="290"/>
      <c r="K22" s="55"/>
      <c r="L22" s="25"/>
      <c r="M22" s="25"/>
      <c r="N22" s="25"/>
    </row>
    <row r="23" spans="1:14" x14ac:dyDescent="0.2">
      <c r="A23" s="16">
        <f t="shared" si="0"/>
        <v>15</v>
      </c>
      <c r="B23" s="288" t="s">
        <v>90</v>
      </c>
      <c r="C23" s="28" t="str">
        <f>$C$10</f>
        <v>F2024 2025 Load</v>
      </c>
      <c r="D23" s="329">
        <v>2971751015.5674858</v>
      </c>
      <c r="E23" s="15"/>
      <c r="F23" s="34"/>
      <c r="G23" s="27">
        <f t="shared" si="2"/>
        <v>15</v>
      </c>
      <c r="H23" s="63" t="s">
        <v>3</v>
      </c>
      <c r="I23" s="57" t="s">
        <v>87</v>
      </c>
      <c r="J23" s="290">
        <v>2.189074021831227E-2</v>
      </c>
      <c r="K23" s="55"/>
      <c r="L23" s="58">
        <f>+$J23*L$35</f>
        <v>804318.37446434528</v>
      </c>
      <c r="M23" s="58">
        <f>+$J23*M$35</f>
        <v>-22774.259683485052</v>
      </c>
      <c r="N23" s="58">
        <f t="shared" ref="N23" si="12">SUM(L23:M23)</f>
        <v>781544.11478086025</v>
      </c>
    </row>
    <row r="24" spans="1:14" x14ac:dyDescent="0.2">
      <c r="A24" s="16">
        <f t="shared" si="0"/>
        <v>16</v>
      </c>
      <c r="B24" s="16" t="str">
        <f>B23</f>
        <v>7A, 11, 25</v>
      </c>
      <c r="C24" s="28" t="str">
        <f>$C$11</f>
        <v xml:space="preserve">Excluding Green Direct Load </v>
      </c>
      <c r="D24" s="329">
        <v>-137339587.44648561</v>
      </c>
      <c r="E24" s="15"/>
      <c r="F24" s="34"/>
      <c r="G24" s="27">
        <f t="shared" si="2"/>
        <v>16</v>
      </c>
      <c r="H24" s="55"/>
      <c r="I24" s="57"/>
      <c r="J24" s="291"/>
      <c r="K24" s="55"/>
      <c r="L24" s="25"/>
      <c r="M24" s="25"/>
      <c r="N24" s="25"/>
    </row>
    <row r="25" spans="1:14" x14ac:dyDescent="0.2">
      <c r="A25" s="16">
        <f t="shared" si="0"/>
        <v>17</v>
      </c>
      <c r="B25" s="16" t="str">
        <f t="shared" ref="B25:B26" si="13">B24</f>
        <v>7A, 11, 25</v>
      </c>
      <c r="C25" s="35" t="s">
        <v>48</v>
      </c>
      <c r="D25" s="331">
        <f>SUM(D23:D24)</f>
        <v>2834411428.1210003</v>
      </c>
      <c r="E25" s="32">
        <f>+E$27/D$25</f>
        <v>1.7251072331727947E-3</v>
      </c>
      <c r="F25" s="34"/>
      <c r="G25" s="27">
        <f t="shared" si="2"/>
        <v>17</v>
      </c>
      <c r="H25" s="63" t="s">
        <v>88</v>
      </c>
      <c r="I25" s="61" t="s">
        <v>89</v>
      </c>
      <c r="J25" s="290">
        <v>0</v>
      </c>
      <c r="K25" s="55"/>
      <c r="L25" s="64">
        <f>+$J25*L$35</f>
        <v>0</v>
      </c>
      <c r="M25" s="64">
        <f>+$J25*M$35</f>
        <v>0</v>
      </c>
      <c r="N25" s="64">
        <f t="shared" ref="N25" si="14">SUM(L25:M25)</f>
        <v>0</v>
      </c>
    </row>
    <row r="26" spans="1:14" ht="12" thickBot="1" x14ac:dyDescent="0.25">
      <c r="A26" s="16">
        <f t="shared" si="0"/>
        <v>18</v>
      </c>
      <c r="B26" s="16" t="str">
        <f t="shared" si="13"/>
        <v>7A, 11, 25</v>
      </c>
      <c r="C26" s="35" t="s">
        <v>77</v>
      </c>
      <c r="D26" s="332"/>
      <c r="E26" s="36">
        <f>+E25*D25</f>
        <v>4889663.6564391684</v>
      </c>
      <c r="F26" s="15"/>
      <c r="G26" s="27">
        <f t="shared" si="2"/>
        <v>18</v>
      </c>
      <c r="H26" s="55"/>
      <c r="I26" s="57"/>
      <c r="J26" s="290"/>
      <c r="K26" s="55"/>
      <c r="L26" s="25"/>
      <c r="M26" s="25"/>
      <c r="N26" s="25"/>
    </row>
    <row r="27" spans="1:14" ht="12" thickTop="1" x14ac:dyDescent="0.2">
      <c r="A27" s="16">
        <f t="shared" si="0"/>
        <v>19</v>
      </c>
      <c r="B27" s="16" t="str">
        <f t="shared" ref="B27" si="15">+B26</f>
        <v>7A, 11, 25</v>
      </c>
      <c r="C27" s="40" t="s">
        <v>79</v>
      </c>
      <c r="D27" s="328"/>
      <c r="E27" s="30">
        <f>$N$13*($D$23/($D$23+$D$35))</f>
        <v>4889663.6564391684</v>
      </c>
      <c r="F27" s="15"/>
      <c r="G27" s="27">
        <f t="shared" si="2"/>
        <v>19</v>
      </c>
      <c r="H27" s="55" t="s">
        <v>91</v>
      </c>
      <c r="I27" s="57" t="s">
        <v>4</v>
      </c>
      <c r="J27" s="290">
        <v>3.5146183995530111E-3</v>
      </c>
      <c r="K27" s="55"/>
      <c r="L27" s="58">
        <f>+$J27*L$35</f>
        <v>129135.52167716065</v>
      </c>
      <c r="M27" s="58">
        <f>+$J27*M$35</f>
        <v>-3656.469873632534</v>
      </c>
      <c r="N27" s="58">
        <f t="shared" ref="N27" si="16">SUM(L27:M27)</f>
        <v>125479.05180352811</v>
      </c>
    </row>
    <row r="28" spans="1:14" x14ac:dyDescent="0.2">
      <c r="A28" s="16">
        <f t="shared" si="0"/>
        <v>20</v>
      </c>
      <c r="B28" s="16"/>
      <c r="D28" s="328"/>
      <c r="E28" s="30"/>
      <c r="F28" s="15"/>
      <c r="G28" s="27">
        <f t="shared" si="2"/>
        <v>20</v>
      </c>
      <c r="H28" s="55"/>
      <c r="I28" s="57"/>
      <c r="J28" s="291"/>
      <c r="K28" s="55"/>
      <c r="L28" s="25"/>
      <c r="M28" s="25"/>
      <c r="N28" s="25"/>
    </row>
    <row r="29" spans="1:14" ht="12" thickBot="1" x14ac:dyDescent="0.25">
      <c r="A29" s="16">
        <f t="shared" si="0"/>
        <v>21</v>
      </c>
      <c r="B29" s="287" t="s">
        <v>94</v>
      </c>
      <c r="C29" s="28" t="str">
        <f>$C$10</f>
        <v>F2024 2025 Load</v>
      </c>
      <c r="D29" s="329">
        <v>2037371160.2613628</v>
      </c>
      <c r="E29" s="15"/>
      <c r="F29" s="15"/>
      <c r="G29" s="27">
        <f t="shared" si="2"/>
        <v>21</v>
      </c>
      <c r="H29" s="63" t="s">
        <v>92</v>
      </c>
      <c r="I29" s="57"/>
      <c r="J29" s="291"/>
      <c r="K29" s="55"/>
      <c r="L29" s="66">
        <f t="shared" ref="L29:N29" si="17">SUM(L27,L25,L23,L21,L15,L9)</f>
        <v>36729598.501241185</v>
      </c>
      <c r="M29" s="66">
        <f t="shared" si="17"/>
        <v>-1039997.8924943618</v>
      </c>
      <c r="N29" s="66">
        <f t="shared" si="17"/>
        <v>35689600.608746827</v>
      </c>
    </row>
    <row r="30" spans="1:14" ht="12" thickTop="1" x14ac:dyDescent="0.2">
      <c r="A30" s="16">
        <f t="shared" si="0"/>
        <v>22</v>
      </c>
      <c r="B30" s="16" t="str">
        <f t="shared" ref="B30:B33" si="18">+B29</f>
        <v>12, 26, 26P</v>
      </c>
      <c r="C30" s="28" t="str">
        <f>$C$11</f>
        <v xml:space="preserve">Excluding Green Direct Load </v>
      </c>
      <c r="D30" s="329">
        <v>-242830708.31372479</v>
      </c>
      <c r="E30" s="15"/>
      <c r="F30" s="15"/>
      <c r="G30" s="27">
        <f t="shared" si="2"/>
        <v>22</v>
      </c>
      <c r="H30" s="55"/>
      <c r="I30" s="57"/>
      <c r="J30" s="291"/>
      <c r="K30" s="55"/>
      <c r="L30" s="25"/>
      <c r="M30" s="25"/>
      <c r="N30" s="25"/>
    </row>
    <row r="31" spans="1:14" x14ac:dyDescent="0.2">
      <c r="A31" s="16">
        <f t="shared" si="0"/>
        <v>23</v>
      </c>
      <c r="B31" s="16" t="str">
        <f t="shared" si="18"/>
        <v>12, 26, 26P</v>
      </c>
      <c r="C31" s="35" t="s">
        <v>48</v>
      </c>
      <c r="D31" s="331">
        <f>SUM(D29:D30)</f>
        <v>1794540451.947638</v>
      </c>
      <c r="E31" s="32">
        <f>+E$33/D$31</f>
        <v>1.5392856772855144E-3</v>
      </c>
      <c r="F31" s="34"/>
      <c r="G31" s="27">
        <f t="shared" si="2"/>
        <v>23</v>
      </c>
      <c r="H31" s="63" t="s">
        <v>93</v>
      </c>
      <c r="I31" s="61"/>
      <c r="J31" s="290">
        <v>3.4846319524841561E-4</v>
      </c>
      <c r="K31" s="55"/>
      <c r="L31" s="58">
        <f>+$J31*L$35</f>
        <v>12803.374758812339</v>
      </c>
      <c r="M31" s="58">
        <f>+$J31*M$35</f>
        <v>-362.52731609713561</v>
      </c>
      <c r="N31" s="58">
        <f t="shared" ref="N31" si="19">SUM(L31:M31)</f>
        <v>12440.847442715203</v>
      </c>
    </row>
    <row r="32" spans="1:14" ht="12" thickBot="1" x14ac:dyDescent="0.25">
      <c r="A32" s="16">
        <f t="shared" si="0"/>
        <v>24</v>
      </c>
      <c r="B32" s="16" t="str">
        <f t="shared" si="18"/>
        <v>12, 26, 26P</v>
      </c>
      <c r="C32" s="35" t="s">
        <v>77</v>
      </c>
      <c r="D32" s="332"/>
      <c r="E32" s="36">
        <f>+E31*D31</f>
        <v>2762310.4149924731</v>
      </c>
      <c r="F32" s="34"/>
      <c r="G32" s="27">
        <f t="shared" si="2"/>
        <v>24</v>
      </c>
      <c r="H32" s="55"/>
      <c r="I32" s="57"/>
      <c r="J32" s="292"/>
      <c r="K32" s="55"/>
      <c r="L32" s="25"/>
      <c r="M32" s="25"/>
      <c r="N32" s="25"/>
    </row>
    <row r="33" spans="1:14" ht="12.75" thickTop="1" thickBot="1" x14ac:dyDescent="0.25">
      <c r="A33" s="16">
        <f t="shared" si="0"/>
        <v>25</v>
      </c>
      <c r="B33" s="16" t="str">
        <f t="shared" si="18"/>
        <v>12, 26, 26P</v>
      </c>
      <c r="C33" s="40" t="s">
        <v>79</v>
      </c>
      <c r="D33" s="328"/>
      <c r="E33" s="30">
        <f>$N$14</f>
        <v>2762310.4149924731</v>
      </c>
      <c r="F33" s="34"/>
      <c r="G33" s="27">
        <f t="shared" si="2"/>
        <v>25</v>
      </c>
      <c r="H33" s="55" t="s">
        <v>55</v>
      </c>
      <c r="I33" s="57"/>
      <c r="J33" s="325">
        <f>SUM(J9:J32)</f>
        <v>0.99999999999999989</v>
      </c>
      <c r="K33" s="55"/>
      <c r="L33" s="66">
        <f t="shared" ref="L33:N33" si="20">SUM(L31,L29)</f>
        <v>36742401.875999995</v>
      </c>
      <c r="M33" s="66">
        <f t="shared" si="20"/>
        <v>-1040360.419810459</v>
      </c>
      <c r="N33" s="66">
        <f t="shared" si="20"/>
        <v>35702041.456189543</v>
      </c>
    </row>
    <row r="34" spans="1:14" ht="12" thickTop="1" x14ac:dyDescent="0.2">
      <c r="A34" s="16">
        <f t="shared" si="0"/>
        <v>26</v>
      </c>
      <c r="B34" s="16"/>
      <c r="D34" s="328"/>
      <c r="E34" s="30"/>
      <c r="F34" s="34"/>
      <c r="G34" s="41"/>
      <c r="H34" s="55"/>
      <c r="I34" s="55"/>
      <c r="J34" s="55"/>
      <c r="K34" s="55"/>
      <c r="L34" s="25"/>
      <c r="M34" s="25"/>
      <c r="N34" s="25"/>
    </row>
    <row r="35" spans="1:14" ht="12" thickBot="1" x14ac:dyDescent="0.25">
      <c r="A35" s="16">
        <f t="shared" si="0"/>
        <v>27</v>
      </c>
      <c r="B35" s="288">
        <v>29</v>
      </c>
      <c r="C35" s="28" t="str">
        <f>$C$10</f>
        <v>F2024 2025 Load</v>
      </c>
      <c r="D35" s="329">
        <v>14436685.877551533</v>
      </c>
      <c r="E35" s="15"/>
      <c r="F35" s="15"/>
      <c r="G35" s="41"/>
      <c r="H35" s="55"/>
      <c r="I35" s="55"/>
      <c r="J35" s="67"/>
      <c r="K35" s="55"/>
      <c r="L35" s="66">
        <f>L37*L38</f>
        <v>36742401.875999995</v>
      </c>
      <c r="M35" s="315">
        <f>-'SCH 141A True-up'!N29</f>
        <v>-1040360.419810459</v>
      </c>
      <c r="N35" s="66">
        <f t="shared" ref="N35" si="21">SUM(L35:M35)</f>
        <v>35702041.456189536</v>
      </c>
    </row>
    <row r="36" spans="1:14" ht="12" thickTop="1" x14ac:dyDescent="0.2">
      <c r="A36" s="16">
        <f t="shared" si="0"/>
        <v>28</v>
      </c>
      <c r="B36" s="16">
        <f t="shared" ref="B36:B39" si="22">+B35</f>
        <v>29</v>
      </c>
      <c r="C36" s="28" t="str">
        <f>$C$11</f>
        <v xml:space="preserve">Excluding Green Direct Load </v>
      </c>
      <c r="D36" s="330">
        <v>0</v>
      </c>
      <c r="E36" s="15"/>
      <c r="F36" s="15"/>
      <c r="G36" s="41"/>
      <c r="H36" s="55"/>
      <c r="I36" s="55"/>
      <c r="J36" s="55"/>
      <c r="K36" s="55"/>
      <c r="L36" s="25"/>
      <c r="M36" s="316">
        <f>M33-M35</f>
        <v>0</v>
      </c>
      <c r="N36" s="55"/>
    </row>
    <row r="37" spans="1:14" x14ac:dyDescent="0.2">
      <c r="A37" s="16">
        <f t="shared" si="0"/>
        <v>29</v>
      </c>
      <c r="B37" s="16">
        <f t="shared" si="22"/>
        <v>29</v>
      </c>
      <c r="C37" s="35" t="s">
        <v>48</v>
      </c>
      <c r="D37" s="331">
        <f>SUM(D35:D36)</f>
        <v>14436685.877551533</v>
      </c>
      <c r="E37" s="32">
        <f>+E$39/D$37</f>
        <v>1.6453813360623815E-3</v>
      </c>
      <c r="F37" s="15"/>
      <c r="G37" s="41"/>
      <c r="H37" s="55"/>
      <c r="I37" s="55"/>
      <c r="J37" s="68" t="s">
        <v>209</v>
      </c>
      <c r="K37" s="55"/>
      <c r="L37" s="69">
        <v>4.9757999999999997E-2</v>
      </c>
      <c r="M37" s="317" t="s">
        <v>95</v>
      </c>
    </row>
    <row r="38" spans="1:14" ht="12" thickBot="1" x14ac:dyDescent="0.25">
      <c r="A38" s="16">
        <f t="shared" si="0"/>
        <v>30</v>
      </c>
      <c r="B38" s="16">
        <f t="shared" si="22"/>
        <v>29</v>
      </c>
      <c r="C38" s="35" t="s">
        <v>77</v>
      </c>
      <c r="D38" s="332"/>
      <c r="E38" s="36">
        <f>+E37*D37</f>
        <v>23753.853497518656</v>
      </c>
      <c r="F38" s="34"/>
      <c r="G38" s="41"/>
      <c r="H38" s="55"/>
      <c r="I38" s="55"/>
      <c r="J38" s="68" t="s">
        <v>211</v>
      </c>
      <c r="K38" s="55"/>
      <c r="L38" s="70">
        <v>738422000</v>
      </c>
    </row>
    <row r="39" spans="1:14" ht="12" thickTop="1" x14ac:dyDescent="0.2">
      <c r="A39" s="16">
        <f t="shared" si="0"/>
        <v>31</v>
      </c>
      <c r="B39" s="16">
        <f t="shared" si="22"/>
        <v>29</v>
      </c>
      <c r="C39" s="40" t="s">
        <v>79</v>
      </c>
      <c r="D39" s="328"/>
      <c r="E39" s="30">
        <f>$N$13*($D$35/($D$23+$D$35))</f>
        <v>23753.853497518656</v>
      </c>
      <c r="F39" s="34"/>
      <c r="G39" s="41"/>
      <c r="H39" s="55"/>
      <c r="I39" s="55"/>
      <c r="J39" s="71" t="s">
        <v>95</v>
      </c>
      <c r="K39" s="55"/>
      <c r="L39" s="44">
        <f>L35-L33</f>
        <v>0</v>
      </c>
    </row>
    <row r="40" spans="1:14" ht="12" thickBot="1" x14ac:dyDescent="0.25">
      <c r="A40" s="16">
        <f t="shared" si="0"/>
        <v>32</v>
      </c>
      <c r="B40" s="16"/>
      <c r="D40" s="328"/>
      <c r="E40" s="30"/>
      <c r="F40" s="34"/>
      <c r="G40" s="45"/>
      <c r="H40" s="46"/>
      <c r="I40" s="46"/>
      <c r="J40" s="47"/>
      <c r="K40" s="47"/>
      <c r="L40" s="48"/>
    </row>
    <row r="41" spans="1:14" x14ac:dyDescent="0.2">
      <c r="A41" s="16">
        <f t="shared" si="0"/>
        <v>33</v>
      </c>
      <c r="B41" s="16"/>
      <c r="C41" s="26" t="s">
        <v>96</v>
      </c>
      <c r="D41" s="328"/>
      <c r="E41" s="15"/>
      <c r="F41" s="15"/>
      <c r="G41" s="15"/>
      <c r="H41" s="15"/>
      <c r="I41" s="15"/>
      <c r="J41" s="15"/>
      <c r="K41" s="15"/>
      <c r="L41" s="15"/>
    </row>
    <row r="42" spans="1:14" x14ac:dyDescent="0.2">
      <c r="A42" s="16">
        <f t="shared" si="0"/>
        <v>34</v>
      </c>
      <c r="B42" s="288" t="s">
        <v>97</v>
      </c>
      <c r="C42" s="28" t="str">
        <f>$C$10</f>
        <v>F2024 2025 Load</v>
      </c>
      <c r="D42" s="329">
        <v>1378502364.5436404</v>
      </c>
      <c r="E42" s="15"/>
      <c r="F42" s="15"/>
      <c r="G42" s="15"/>
      <c r="H42" s="15"/>
      <c r="I42" s="15"/>
      <c r="J42" s="15"/>
      <c r="K42" s="15"/>
      <c r="L42" s="15"/>
    </row>
    <row r="43" spans="1:14" x14ac:dyDescent="0.2">
      <c r="A43" s="16">
        <f t="shared" si="0"/>
        <v>35</v>
      </c>
      <c r="B43" s="16" t="str">
        <f t="shared" ref="B43:B46" si="23">+B42</f>
        <v>10, 31</v>
      </c>
      <c r="C43" s="28" t="str">
        <f>$C$11</f>
        <v xml:space="preserve">Excluding Green Direct Load </v>
      </c>
      <c r="D43" s="329">
        <v>-110277530.61509895</v>
      </c>
      <c r="E43" s="15"/>
      <c r="F43" s="15"/>
      <c r="G43" s="15"/>
      <c r="H43" s="15"/>
      <c r="I43" s="15"/>
      <c r="J43" s="15"/>
      <c r="K43" s="15"/>
      <c r="L43" s="15"/>
    </row>
    <row r="44" spans="1:14" x14ac:dyDescent="0.2">
      <c r="A44" s="16">
        <f t="shared" si="0"/>
        <v>36</v>
      </c>
      <c r="B44" s="16" t="str">
        <f t="shared" si="23"/>
        <v>10, 31</v>
      </c>
      <c r="C44" s="35" t="s">
        <v>48</v>
      </c>
      <c r="D44" s="331">
        <f>SUM(D42:D43)</f>
        <v>1268224833.9285414</v>
      </c>
      <c r="E44" s="32">
        <f>+E$46/D$44</f>
        <v>1.6188018845899039E-3</v>
      </c>
      <c r="F44" s="15"/>
      <c r="G44" s="15"/>
      <c r="H44" s="15"/>
      <c r="I44" s="15"/>
      <c r="J44" s="15"/>
      <c r="K44" s="15"/>
      <c r="L44" s="15"/>
    </row>
    <row r="45" spans="1:14" ht="12" thickBot="1" x14ac:dyDescent="0.25">
      <c r="A45" s="16">
        <f t="shared" si="0"/>
        <v>37</v>
      </c>
      <c r="B45" s="16" t="str">
        <f t="shared" si="23"/>
        <v>10, 31</v>
      </c>
      <c r="C45" s="35" t="s">
        <v>77</v>
      </c>
      <c r="D45" s="332"/>
      <c r="E45" s="36">
        <f>+E44*D44</f>
        <v>2053004.7512472407</v>
      </c>
      <c r="F45" s="15"/>
      <c r="G45" s="15"/>
      <c r="H45" s="15"/>
      <c r="I45" s="15"/>
      <c r="J45" s="15"/>
      <c r="K45" s="15"/>
      <c r="L45" s="15"/>
    </row>
    <row r="46" spans="1:14" ht="12" thickTop="1" x14ac:dyDescent="0.2">
      <c r="A46" s="16">
        <f t="shared" si="0"/>
        <v>38</v>
      </c>
      <c r="B46" s="16" t="str">
        <f t="shared" si="23"/>
        <v>10, 31</v>
      </c>
      <c r="C46" s="40" t="s">
        <v>79</v>
      </c>
      <c r="D46" s="328"/>
      <c r="E46" s="30">
        <f>$N$18</f>
        <v>2053004.7512472407</v>
      </c>
      <c r="F46" s="15"/>
      <c r="G46" s="15"/>
      <c r="H46" s="15"/>
      <c r="I46" s="15"/>
      <c r="J46" s="15"/>
      <c r="K46" s="15"/>
      <c r="L46" s="15"/>
    </row>
    <row r="47" spans="1:14" x14ac:dyDescent="0.2">
      <c r="A47" s="16">
        <f t="shared" si="0"/>
        <v>39</v>
      </c>
      <c r="B47" s="16"/>
      <c r="D47" s="328"/>
      <c r="E47" s="30"/>
      <c r="F47" s="34"/>
      <c r="G47" s="15"/>
      <c r="H47" s="15"/>
      <c r="I47" s="15"/>
      <c r="J47" s="15"/>
      <c r="K47" s="15"/>
      <c r="L47" s="15"/>
    </row>
    <row r="48" spans="1:14" x14ac:dyDescent="0.2">
      <c r="A48" s="16">
        <f t="shared" si="0"/>
        <v>40</v>
      </c>
      <c r="B48" s="288">
        <v>35</v>
      </c>
      <c r="C48" s="28" t="str">
        <f>$C$10</f>
        <v>F2024 2025 Load</v>
      </c>
      <c r="D48" s="329">
        <v>5934926.6636967957</v>
      </c>
      <c r="E48" s="15"/>
      <c r="F48" s="34"/>
      <c r="G48" s="15"/>
      <c r="H48" s="15"/>
      <c r="I48" s="15"/>
      <c r="J48" s="15"/>
      <c r="K48" s="15"/>
      <c r="L48" s="15"/>
    </row>
    <row r="49" spans="1:12" x14ac:dyDescent="0.2">
      <c r="A49" s="16">
        <f t="shared" si="0"/>
        <v>41</v>
      </c>
      <c r="B49" s="16">
        <f t="shared" ref="B49:B52" si="24">+B48</f>
        <v>35</v>
      </c>
      <c r="C49" s="28" t="str">
        <f>$C$11</f>
        <v xml:space="preserve">Excluding Green Direct Load </v>
      </c>
      <c r="D49" s="330">
        <v>0</v>
      </c>
      <c r="E49" s="15"/>
      <c r="F49" s="34"/>
      <c r="G49" s="15"/>
      <c r="H49" s="15"/>
      <c r="I49" s="15"/>
      <c r="J49" s="15"/>
      <c r="K49" s="15"/>
      <c r="L49" s="15"/>
    </row>
    <row r="50" spans="1:12" x14ac:dyDescent="0.2">
      <c r="A50" s="16">
        <f t="shared" si="0"/>
        <v>42</v>
      </c>
      <c r="B50" s="16">
        <f t="shared" si="24"/>
        <v>35</v>
      </c>
      <c r="C50" s="35" t="s">
        <v>48</v>
      </c>
      <c r="D50" s="331">
        <f>SUM(D48:D49)</f>
        <v>5934926.6636967957</v>
      </c>
      <c r="E50" s="32">
        <f>+E$52/D$50</f>
        <v>1.2627016405228246E-3</v>
      </c>
      <c r="F50" s="34"/>
      <c r="G50" s="15"/>
      <c r="H50" s="15"/>
      <c r="I50" s="15"/>
      <c r="J50" s="15"/>
      <c r="K50" s="15"/>
      <c r="L50" s="15"/>
    </row>
    <row r="51" spans="1:12" ht="12" thickBot="1" x14ac:dyDescent="0.25">
      <c r="A51" s="16">
        <f t="shared" si="0"/>
        <v>43</v>
      </c>
      <c r="B51" s="16">
        <f t="shared" si="24"/>
        <v>35</v>
      </c>
      <c r="C51" s="35" t="s">
        <v>77</v>
      </c>
      <c r="D51" s="332"/>
      <c r="E51" s="36">
        <f>+E50*D50</f>
        <v>7494.0416346325983</v>
      </c>
      <c r="F51" s="15"/>
      <c r="G51" s="15"/>
      <c r="H51" s="15"/>
      <c r="I51" s="15"/>
      <c r="J51" s="15"/>
      <c r="K51" s="15"/>
      <c r="L51" s="15"/>
    </row>
    <row r="52" spans="1:12" ht="12" thickTop="1" x14ac:dyDescent="0.2">
      <c r="A52" s="16">
        <f t="shared" si="0"/>
        <v>44</v>
      </c>
      <c r="B52" s="16">
        <f t="shared" si="24"/>
        <v>35</v>
      </c>
      <c r="C52" s="40" t="s">
        <v>79</v>
      </c>
      <c r="D52" s="328"/>
      <c r="E52" s="30">
        <f>$N$19</f>
        <v>7494.0416346325983</v>
      </c>
      <c r="F52" s="15"/>
      <c r="G52" s="15"/>
      <c r="H52" s="15"/>
      <c r="I52" s="15"/>
      <c r="J52" s="15"/>
      <c r="K52" s="15"/>
      <c r="L52" s="15"/>
    </row>
    <row r="53" spans="1:12" x14ac:dyDescent="0.2">
      <c r="A53" s="16">
        <f t="shared" si="0"/>
        <v>45</v>
      </c>
      <c r="B53" s="16"/>
      <c r="D53" s="328"/>
      <c r="E53" s="30"/>
      <c r="F53" s="15"/>
      <c r="G53" s="15"/>
      <c r="H53" s="15"/>
      <c r="I53" s="15"/>
      <c r="J53" s="15"/>
      <c r="K53" s="15"/>
      <c r="L53" s="15"/>
    </row>
    <row r="54" spans="1:12" x14ac:dyDescent="0.2">
      <c r="A54" s="16">
        <f t="shared" si="0"/>
        <v>46</v>
      </c>
      <c r="B54" s="288">
        <v>43</v>
      </c>
      <c r="C54" s="28" t="str">
        <f>$C$10</f>
        <v>F2024 2025 Load</v>
      </c>
      <c r="D54" s="329">
        <v>109828264.79087074</v>
      </c>
      <c r="E54" s="15"/>
      <c r="F54" s="15"/>
      <c r="G54" s="15"/>
      <c r="H54" s="15"/>
      <c r="I54" s="15"/>
      <c r="J54" s="15"/>
      <c r="K54" s="15"/>
      <c r="L54" s="15"/>
    </row>
    <row r="55" spans="1:12" x14ac:dyDescent="0.2">
      <c r="A55" s="16">
        <f t="shared" si="0"/>
        <v>47</v>
      </c>
      <c r="B55" s="16">
        <f t="shared" ref="B55:B58" si="25">+B54</f>
        <v>43</v>
      </c>
      <c r="C55" s="28" t="str">
        <f>$C$11</f>
        <v xml:space="preserve">Excluding Green Direct Load </v>
      </c>
      <c r="D55" s="329">
        <v>-7391764.9333909638</v>
      </c>
      <c r="E55" s="15"/>
      <c r="F55" s="34"/>
      <c r="G55" s="15"/>
      <c r="H55" s="15"/>
      <c r="I55" s="15"/>
      <c r="J55" s="15"/>
      <c r="K55" s="15"/>
      <c r="L55" s="15"/>
    </row>
    <row r="56" spans="1:12" x14ac:dyDescent="0.2">
      <c r="A56" s="16">
        <f t="shared" si="0"/>
        <v>48</v>
      </c>
      <c r="B56" s="16">
        <f t="shared" si="25"/>
        <v>43</v>
      </c>
      <c r="C56" s="35" t="s">
        <v>48</v>
      </c>
      <c r="D56" s="331">
        <f>SUM(D54:D55)</f>
        <v>102436499.85747978</v>
      </c>
      <c r="E56" s="32">
        <f>+E$58/D$56</f>
        <v>1.7481138369181612E-3</v>
      </c>
      <c r="F56" s="34"/>
      <c r="G56" s="15"/>
      <c r="H56" s="15"/>
      <c r="I56" s="15"/>
      <c r="J56" s="15"/>
      <c r="K56" s="15"/>
      <c r="L56" s="15"/>
    </row>
    <row r="57" spans="1:12" ht="12" thickBot="1" x14ac:dyDescent="0.25">
      <c r="A57" s="16">
        <f t="shared" si="0"/>
        <v>49</v>
      </c>
      <c r="B57" s="16">
        <f t="shared" si="25"/>
        <v>43</v>
      </c>
      <c r="C57" s="35" t="s">
        <v>77</v>
      </c>
      <c r="D57" s="332"/>
      <c r="E57" s="36">
        <f>+E56*D56</f>
        <v>179070.66280632565</v>
      </c>
      <c r="F57" s="34"/>
      <c r="G57" s="15"/>
      <c r="H57" s="15"/>
      <c r="I57" s="15"/>
      <c r="J57" s="15"/>
      <c r="K57" s="15"/>
      <c r="L57" s="15"/>
    </row>
    <row r="58" spans="1:12" ht="12" thickTop="1" x14ac:dyDescent="0.2">
      <c r="A58" s="16">
        <f t="shared" si="0"/>
        <v>50</v>
      </c>
      <c r="B58" s="16">
        <f t="shared" si="25"/>
        <v>43</v>
      </c>
      <c r="C58" s="40" t="s">
        <v>79</v>
      </c>
      <c r="D58" s="328"/>
      <c r="E58" s="30">
        <f>$N$20</f>
        <v>179070.66280632565</v>
      </c>
      <c r="F58" s="15"/>
      <c r="G58" s="15"/>
      <c r="H58" s="15"/>
      <c r="I58" s="15"/>
      <c r="J58" s="15"/>
      <c r="K58" s="15"/>
      <c r="L58" s="15"/>
    </row>
    <row r="59" spans="1:12" x14ac:dyDescent="0.2">
      <c r="A59" s="16">
        <f t="shared" si="0"/>
        <v>51</v>
      </c>
      <c r="B59" s="16"/>
      <c r="D59" s="328"/>
      <c r="E59" s="30"/>
      <c r="F59" s="15"/>
      <c r="G59" s="15"/>
      <c r="H59" s="15"/>
      <c r="I59" s="15"/>
      <c r="J59" s="15"/>
      <c r="K59" s="15"/>
      <c r="L59" s="15"/>
    </row>
    <row r="60" spans="1:12" x14ac:dyDescent="0.2">
      <c r="A60" s="16">
        <f t="shared" si="0"/>
        <v>52</v>
      </c>
      <c r="B60" s="16"/>
      <c r="C60" s="26" t="s">
        <v>98</v>
      </c>
      <c r="D60" s="328"/>
      <c r="E60" s="15"/>
      <c r="F60" s="15"/>
      <c r="G60" s="15"/>
      <c r="H60" s="15"/>
      <c r="I60" s="15"/>
      <c r="J60" s="15"/>
      <c r="K60" s="15"/>
      <c r="L60" s="15"/>
    </row>
    <row r="61" spans="1:12" x14ac:dyDescent="0.2">
      <c r="A61" s="16">
        <f t="shared" si="0"/>
        <v>53</v>
      </c>
      <c r="B61" s="288">
        <v>46</v>
      </c>
      <c r="C61" s="28" t="str">
        <f>$C$10</f>
        <v>F2024 2025 Load</v>
      </c>
      <c r="D61" s="329">
        <v>93576444.299349248</v>
      </c>
      <c r="E61" s="15"/>
      <c r="F61" s="34"/>
      <c r="G61" s="15"/>
      <c r="H61" s="15"/>
      <c r="I61" s="15"/>
      <c r="J61" s="15"/>
      <c r="K61" s="15"/>
      <c r="L61" s="15"/>
    </row>
    <row r="62" spans="1:12" x14ac:dyDescent="0.2">
      <c r="A62" s="16">
        <f t="shared" si="0"/>
        <v>54</v>
      </c>
      <c r="B62" s="16">
        <f t="shared" ref="B62:B65" si="26">+B61</f>
        <v>46</v>
      </c>
      <c r="C62" s="28" t="str">
        <f>$C$11</f>
        <v xml:space="preserve">Excluding Green Direct Load </v>
      </c>
      <c r="D62" s="329">
        <v>-22481627.585433222</v>
      </c>
      <c r="E62" s="15"/>
      <c r="F62" s="34"/>
      <c r="G62" s="15"/>
      <c r="H62" s="15"/>
      <c r="I62" s="15"/>
      <c r="J62" s="15"/>
      <c r="K62" s="15"/>
      <c r="L62" s="15"/>
    </row>
    <row r="63" spans="1:12" x14ac:dyDescent="0.2">
      <c r="A63" s="16">
        <f t="shared" si="0"/>
        <v>55</v>
      </c>
      <c r="B63" s="16">
        <f t="shared" si="26"/>
        <v>46</v>
      </c>
      <c r="C63" s="35" t="s">
        <v>48</v>
      </c>
      <c r="D63" s="331">
        <f>SUM(D61:D62)</f>
        <v>71094816.713916034</v>
      </c>
      <c r="E63" s="32">
        <f>+E$65/D$63</f>
        <v>1.6475910542600072E-3</v>
      </c>
      <c r="F63" s="34"/>
      <c r="G63" s="15"/>
      <c r="H63" s="15"/>
      <c r="I63" s="15"/>
      <c r="J63" s="15"/>
      <c r="K63" s="15"/>
      <c r="L63" s="15"/>
    </row>
    <row r="64" spans="1:12" ht="12" thickBot="1" x14ac:dyDescent="0.25">
      <c r="A64" s="16">
        <f t="shared" si="0"/>
        <v>56</v>
      </c>
      <c r="B64" s="16">
        <f t="shared" si="26"/>
        <v>46</v>
      </c>
      <c r="C64" s="35" t="s">
        <v>77</v>
      </c>
      <c r="D64" s="332"/>
      <c r="E64" s="36">
        <f>+E63*D63</f>
        <v>117135.1840221029</v>
      </c>
      <c r="F64" s="15"/>
      <c r="G64" s="15"/>
      <c r="H64" s="15"/>
      <c r="I64" s="15"/>
      <c r="J64" s="15"/>
      <c r="K64" s="15"/>
      <c r="L64" s="15"/>
    </row>
    <row r="65" spans="1:12" ht="12" thickTop="1" x14ac:dyDescent="0.2">
      <c r="A65" s="16">
        <f t="shared" si="0"/>
        <v>57</v>
      </c>
      <c r="B65" s="16">
        <f t="shared" si="26"/>
        <v>46</v>
      </c>
      <c r="C65" s="40" t="s">
        <v>79</v>
      </c>
      <c r="D65" s="328"/>
      <c r="E65" s="30">
        <f>$N23*($D$61/($D$61+$D$67))</f>
        <v>117135.1840221029</v>
      </c>
      <c r="F65" s="15"/>
      <c r="G65" s="15"/>
      <c r="H65" s="15"/>
      <c r="I65" s="15"/>
      <c r="J65" s="15"/>
      <c r="K65" s="15"/>
      <c r="L65" s="15"/>
    </row>
    <row r="66" spans="1:12" x14ac:dyDescent="0.2">
      <c r="A66" s="16">
        <f t="shared" si="0"/>
        <v>58</v>
      </c>
      <c r="B66" s="16"/>
      <c r="D66" s="328"/>
      <c r="E66" s="30"/>
      <c r="F66" s="15"/>
      <c r="G66" s="15"/>
      <c r="H66" s="15"/>
      <c r="I66" s="15"/>
      <c r="J66" s="15"/>
      <c r="K66" s="15"/>
      <c r="L66" s="15"/>
    </row>
    <row r="67" spans="1:12" x14ac:dyDescent="0.2">
      <c r="A67" s="16">
        <f t="shared" si="0"/>
        <v>59</v>
      </c>
      <c r="B67" s="288">
        <v>49</v>
      </c>
      <c r="C67" s="28" t="str">
        <f>$C$10</f>
        <v>F2024 2025 Load</v>
      </c>
      <c r="D67" s="329">
        <v>530780105.2278645</v>
      </c>
      <c r="E67" s="15"/>
      <c r="F67" s="34"/>
      <c r="G67" s="15"/>
      <c r="H67" s="15"/>
      <c r="I67" s="15"/>
      <c r="J67" s="15"/>
      <c r="K67" s="15"/>
      <c r="L67" s="15"/>
    </row>
    <row r="68" spans="1:12" x14ac:dyDescent="0.2">
      <c r="A68" s="16">
        <f t="shared" si="0"/>
        <v>60</v>
      </c>
      <c r="B68" s="16">
        <f t="shared" ref="B68:B71" si="27">+B67</f>
        <v>49</v>
      </c>
      <c r="C68" s="28" t="str">
        <f>$C$11</f>
        <v xml:space="preserve">Excluding Green Direct Load </v>
      </c>
      <c r="D68" s="329">
        <v>-125923337.56370513</v>
      </c>
      <c r="E68" s="15"/>
      <c r="F68" s="34"/>
      <c r="G68" s="15"/>
      <c r="H68" s="15"/>
      <c r="I68" s="15"/>
      <c r="J68" s="15"/>
      <c r="K68" s="15"/>
      <c r="L68" s="15"/>
    </row>
    <row r="69" spans="1:12" x14ac:dyDescent="0.2">
      <c r="A69" s="16">
        <f t="shared" si="0"/>
        <v>61</v>
      </c>
      <c r="B69" s="16">
        <f t="shared" si="27"/>
        <v>49</v>
      </c>
      <c r="C69" s="35" t="s">
        <v>48</v>
      </c>
      <c r="D69" s="331">
        <f>SUM(D67:D68)</f>
        <v>404856767.66415936</v>
      </c>
      <c r="E69" s="32">
        <f>+E$71/D$69</f>
        <v>1.6410962686682913E-3</v>
      </c>
      <c r="F69" s="34"/>
      <c r="G69" s="15"/>
      <c r="H69" s="15"/>
      <c r="I69" s="15"/>
      <c r="J69" s="15"/>
      <c r="K69" s="15"/>
      <c r="L69" s="15"/>
    </row>
    <row r="70" spans="1:12" ht="12" thickBot="1" x14ac:dyDescent="0.25">
      <c r="A70" s="16">
        <f t="shared" si="0"/>
        <v>62</v>
      </c>
      <c r="B70" s="16">
        <f t="shared" si="27"/>
        <v>49</v>
      </c>
      <c r="C70" s="35" t="s">
        <v>77</v>
      </c>
      <c r="D70" s="332"/>
      <c r="E70" s="36">
        <f>+E69*D69</f>
        <v>664408.93075875728</v>
      </c>
      <c r="F70" s="15"/>
      <c r="G70" s="15"/>
      <c r="H70" s="15"/>
      <c r="I70" s="15"/>
      <c r="J70" s="15"/>
      <c r="K70" s="15"/>
      <c r="L70" s="15"/>
    </row>
    <row r="71" spans="1:12" ht="12" thickTop="1" x14ac:dyDescent="0.2">
      <c r="A71" s="16">
        <f t="shared" si="0"/>
        <v>63</v>
      </c>
      <c r="B71" s="16">
        <f t="shared" si="27"/>
        <v>49</v>
      </c>
      <c r="C71" s="40" t="s">
        <v>79</v>
      </c>
      <c r="D71" s="328"/>
      <c r="E71" s="30">
        <f>$N$23*($D$67/($D$61+$D$67))</f>
        <v>664408.93075875728</v>
      </c>
      <c r="F71" s="15"/>
      <c r="G71" s="15"/>
      <c r="H71" s="15"/>
      <c r="I71" s="15"/>
      <c r="J71" s="15"/>
      <c r="K71" s="15"/>
      <c r="L71" s="15"/>
    </row>
    <row r="72" spans="1:12" x14ac:dyDescent="0.2">
      <c r="A72" s="16">
        <f t="shared" si="0"/>
        <v>64</v>
      </c>
      <c r="B72" s="16"/>
      <c r="D72" s="328"/>
      <c r="E72" s="30"/>
      <c r="F72" s="15"/>
      <c r="G72" s="15"/>
      <c r="H72" s="15"/>
      <c r="I72" s="15"/>
      <c r="J72" s="15"/>
      <c r="K72" s="15"/>
      <c r="L72" s="15"/>
    </row>
    <row r="73" spans="1:12" x14ac:dyDescent="0.2">
      <c r="A73" s="16">
        <f t="shared" si="0"/>
        <v>65</v>
      </c>
      <c r="B73" s="288" t="s">
        <v>99</v>
      </c>
      <c r="C73" s="28" t="str">
        <f>$C$10</f>
        <v>F2024 2025 Load</v>
      </c>
      <c r="D73" s="329">
        <v>64491873.674880393</v>
      </c>
      <c r="E73" s="15"/>
      <c r="F73" s="15"/>
      <c r="G73" s="15"/>
      <c r="H73" s="15"/>
      <c r="I73" s="15"/>
      <c r="J73" s="15"/>
      <c r="K73" s="15"/>
      <c r="L73" s="15"/>
    </row>
    <row r="74" spans="1:12" x14ac:dyDescent="0.2">
      <c r="A74" s="16">
        <f t="shared" si="0"/>
        <v>66</v>
      </c>
      <c r="B74" s="16" t="str">
        <f>+B73</f>
        <v>3, 50-59</v>
      </c>
      <c r="C74" s="28" t="str">
        <f>$C$11</f>
        <v xml:space="preserve">Excluding Green Direct Load </v>
      </c>
      <c r="D74" s="330">
        <v>0</v>
      </c>
      <c r="E74" s="15"/>
      <c r="F74" s="34"/>
      <c r="G74" s="15"/>
      <c r="H74" s="15"/>
      <c r="I74" s="15"/>
      <c r="J74" s="15"/>
      <c r="K74" s="15"/>
      <c r="L74" s="15"/>
    </row>
    <row r="75" spans="1:12" x14ac:dyDescent="0.2">
      <c r="A75" s="16">
        <f t="shared" ref="A75:A99" si="28">A74+1</f>
        <v>67</v>
      </c>
      <c r="B75" s="16" t="str">
        <f t="shared" ref="B75:B77" si="29">+B74</f>
        <v>3, 50-59</v>
      </c>
      <c r="C75" s="35" t="s">
        <v>48</v>
      </c>
      <c r="D75" s="331">
        <f>SUM(D73:D74)</f>
        <v>64491873.674880393</v>
      </c>
      <c r="E75" s="32">
        <f>+E$77/D$75</f>
        <v>1.9456567882660579E-3</v>
      </c>
      <c r="F75" s="34"/>
      <c r="G75" s="15"/>
      <c r="H75" s="15"/>
      <c r="I75" s="15"/>
      <c r="J75" s="15"/>
      <c r="K75" s="15"/>
      <c r="L75" s="15"/>
    </row>
    <row r="76" spans="1:12" ht="12" thickBot="1" x14ac:dyDescent="0.25">
      <c r="A76" s="16">
        <f t="shared" si="28"/>
        <v>68</v>
      </c>
      <c r="B76" s="16" t="str">
        <f t="shared" si="29"/>
        <v>3, 50-59</v>
      </c>
      <c r="C76" s="35" t="s">
        <v>77</v>
      </c>
      <c r="D76" s="332"/>
      <c r="E76" s="36">
        <f>+E75*D75</f>
        <v>125479.05180352811</v>
      </c>
      <c r="F76" s="34"/>
      <c r="G76" s="15"/>
      <c r="H76" s="15"/>
      <c r="I76" s="15"/>
      <c r="J76" s="15"/>
      <c r="K76" s="15"/>
      <c r="L76" s="15"/>
    </row>
    <row r="77" spans="1:12" ht="12" thickTop="1" x14ac:dyDescent="0.2">
      <c r="A77" s="16">
        <f t="shared" si="28"/>
        <v>69</v>
      </c>
      <c r="B77" s="16" t="str">
        <f t="shared" si="29"/>
        <v>3, 50-59</v>
      </c>
      <c r="C77" s="40" t="s">
        <v>79</v>
      </c>
      <c r="D77" s="328"/>
      <c r="E77" s="30">
        <f>$N$27</f>
        <v>125479.05180352811</v>
      </c>
      <c r="F77" s="34"/>
      <c r="G77" s="15"/>
      <c r="H77" s="15"/>
      <c r="I77" s="15"/>
      <c r="J77" s="15"/>
      <c r="K77" s="15"/>
      <c r="L77" s="15"/>
    </row>
    <row r="78" spans="1:12" x14ac:dyDescent="0.2">
      <c r="A78" s="16">
        <f t="shared" si="28"/>
        <v>70</v>
      </c>
      <c r="B78" s="16"/>
      <c r="D78" s="328"/>
      <c r="E78" s="30"/>
      <c r="F78" s="15"/>
      <c r="G78" s="15"/>
      <c r="H78" s="15"/>
      <c r="I78" s="15"/>
      <c r="J78" s="15"/>
      <c r="K78" s="15"/>
      <c r="L78" s="15"/>
    </row>
    <row r="79" spans="1:12" x14ac:dyDescent="0.2">
      <c r="A79" s="16">
        <f t="shared" si="28"/>
        <v>71</v>
      </c>
      <c r="B79" s="288" t="s">
        <v>100</v>
      </c>
      <c r="C79" s="28" t="str">
        <f>$C$10</f>
        <v>F2024 2025 Load</v>
      </c>
      <c r="D79" s="329">
        <v>1954312680.3583896</v>
      </c>
      <c r="E79" s="15"/>
      <c r="F79" s="15"/>
      <c r="G79" s="15"/>
      <c r="H79" s="15"/>
      <c r="I79" s="15"/>
      <c r="J79" s="15"/>
      <c r="K79" s="15"/>
      <c r="L79" s="15"/>
    </row>
    <row r="80" spans="1:12" x14ac:dyDescent="0.2">
      <c r="A80" s="16">
        <f t="shared" si="28"/>
        <v>72</v>
      </c>
      <c r="B80" s="16" t="str">
        <f>B79</f>
        <v>449, 459</v>
      </c>
      <c r="C80" s="28" t="str">
        <f>$C$11</f>
        <v xml:space="preserve">Excluding Green Direct Load </v>
      </c>
      <c r="D80" s="330">
        <v>0</v>
      </c>
      <c r="E80" s="15"/>
      <c r="F80" s="15"/>
      <c r="G80" s="15"/>
      <c r="H80" s="15"/>
      <c r="I80" s="15"/>
      <c r="J80" s="15"/>
      <c r="K80" s="15"/>
      <c r="L80" s="15"/>
    </row>
    <row r="81" spans="1:12" x14ac:dyDescent="0.2">
      <c r="A81" s="16">
        <f t="shared" si="28"/>
        <v>73</v>
      </c>
      <c r="B81" s="16" t="str">
        <f t="shared" ref="B81:B83" si="30">B80</f>
        <v>449, 459</v>
      </c>
      <c r="C81" s="35" t="s">
        <v>48</v>
      </c>
      <c r="D81" s="331">
        <f>SUM(D79:D80)</f>
        <v>1954312680.3583896</v>
      </c>
      <c r="E81" s="32">
        <f>+E$83/D$81</f>
        <v>0</v>
      </c>
      <c r="F81" s="15"/>
      <c r="G81" s="15"/>
      <c r="H81" s="15"/>
      <c r="I81" s="15"/>
      <c r="J81" s="15"/>
      <c r="K81" s="15"/>
      <c r="L81" s="15"/>
    </row>
    <row r="82" spans="1:12" ht="12" thickBot="1" x14ac:dyDescent="0.25">
      <c r="A82" s="16">
        <f t="shared" si="28"/>
        <v>74</v>
      </c>
      <c r="B82" s="16" t="str">
        <f t="shared" si="30"/>
        <v>449, 459</v>
      </c>
      <c r="C82" s="35" t="s">
        <v>77</v>
      </c>
      <c r="D82" s="332"/>
      <c r="E82" s="36">
        <f>+E81*D81</f>
        <v>0</v>
      </c>
      <c r="F82" s="15"/>
      <c r="G82" s="15"/>
      <c r="H82" s="15"/>
      <c r="I82" s="15"/>
      <c r="J82" s="15"/>
      <c r="K82" s="15"/>
      <c r="L82" s="15"/>
    </row>
    <row r="83" spans="1:12" ht="12" thickTop="1" x14ac:dyDescent="0.2">
      <c r="A83" s="16">
        <f t="shared" si="28"/>
        <v>75</v>
      </c>
      <c r="B83" s="16" t="str">
        <f t="shared" si="30"/>
        <v>449, 459</v>
      </c>
      <c r="C83" s="40" t="s">
        <v>79</v>
      </c>
      <c r="D83" s="328"/>
      <c r="E83" s="30">
        <f>$N$25</f>
        <v>0</v>
      </c>
      <c r="F83" s="34"/>
      <c r="G83" s="15"/>
      <c r="H83" s="15"/>
      <c r="I83" s="15"/>
      <c r="J83" s="15"/>
      <c r="K83" s="15"/>
      <c r="L83" s="15"/>
    </row>
    <row r="84" spans="1:12" x14ac:dyDescent="0.2">
      <c r="A84" s="16">
        <f t="shared" si="28"/>
        <v>76</v>
      </c>
      <c r="B84" s="16"/>
      <c r="D84" s="328"/>
      <c r="E84" s="30"/>
      <c r="F84" s="34"/>
      <c r="G84" s="15"/>
      <c r="H84" s="15"/>
      <c r="I84" s="15"/>
      <c r="J84" s="15"/>
      <c r="K84" s="15"/>
      <c r="L84" s="15"/>
    </row>
    <row r="85" spans="1:12" x14ac:dyDescent="0.2">
      <c r="A85" s="16">
        <f t="shared" si="28"/>
        <v>77</v>
      </c>
      <c r="B85" s="288" t="s">
        <v>42</v>
      </c>
      <c r="C85" s="28" t="str">
        <f>$C$10</f>
        <v>F2024 2025 Load</v>
      </c>
      <c r="D85" s="329">
        <v>319873933.30400002</v>
      </c>
      <c r="E85" s="15"/>
      <c r="F85" s="34"/>
      <c r="G85" s="15"/>
      <c r="H85" s="15"/>
      <c r="I85" s="15"/>
      <c r="J85" s="15"/>
      <c r="K85" s="15"/>
      <c r="L85" s="15"/>
    </row>
    <row r="86" spans="1:12" x14ac:dyDescent="0.2">
      <c r="A86" s="16">
        <f t="shared" si="28"/>
        <v>78</v>
      </c>
      <c r="B86" s="16" t="str">
        <f>B85</f>
        <v>SC</v>
      </c>
      <c r="C86" s="28" t="str">
        <f>$C$11</f>
        <v xml:space="preserve">Excluding Green Direct Load </v>
      </c>
      <c r="D86" s="330">
        <v>0</v>
      </c>
      <c r="E86" s="15"/>
      <c r="F86" s="34"/>
      <c r="G86" s="15"/>
      <c r="H86" s="15"/>
      <c r="I86" s="15"/>
      <c r="J86" s="15"/>
      <c r="K86" s="15"/>
      <c r="L86" s="15"/>
    </row>
    <row r="87" spans="1:12" x14ac:dyDescent="0.2">
      <c r="A87" s="16">
        <f t="shared" si="28"/>
        <v>79</v>
      </c>
      <c r="B87" s="16" t="str">
        <f t="shared" ref="B87:B89" si="31">B86</f>
        <v>SC</v>
      </c>
      <c r="C87" s="35" t="s">
        <v>48</v>
      </c>
      <c r="D87" s="331">
        <f>SUM(D85:D86)</f>
        <v>319873933.30400002</v>
      </c>
      <c r="E87" s="32">
        <f>+E$89/D$87</f>
        <v>0</v>
      </c>
      <c r="F87" s="34"/>
      <c r="G87" s="15"/>
      <c r="H87" s="15"/>
      <c r="I87" s="15"/>
      <c r="J87" s="15"/>
      <c r="K87" s="15"/>
      <c r="L87" s="15"/>
    </row>
    <row r="88" spans="1:12" ht="12" thickBot="1" x14ac:dyDescent="0.25">
      <c r="A88" s="16">
        <f t="shared" si="28"/>
        <v>80</v>
      </c>
      <c r="B88" s="16" t="str">
        <f t="shared" si="31"/>
        <v>SC</v>
      </c>
      <c r="C88" s="35" t="s">
        <v>77</v>
      </c>
      <c r="D88" s="332"/>
      <c r="E88" s="36">
        <f>+E87*D87</f>
        <v>0</v>
      </c>
      <c r="F88" s="15"/>
      <c r="G88" s="15"/>
      <c r="H88" s="15"/>
      <c r="I88" s="15"/>
      <c r="J88" s="15"/>
      <c r="K88" s="15"/>
      <c r="L88" s="15"/>
    </row>
    <row r="89" spans="1:12" ht="12" thickTop="1" x14ac:dyDescent="0.2">
      <c r="A89" s="16">
        <f t="shared" si="28"/>
        <v>81</v>
      </c>
      <c r="B89" s="16" t="str">
        <f t="shared" si="31"/>
        <v>SC</v>
      </c>
      <c r="C89" s="40" t="s">
        <v>79</v>
      </c>
      <c r="D89" s="328"/>
      <c r="E89" s="30">
        <f>$N$25</f>
        <v>0</v>
      </c>
      <c r="F89" s="15"/>
      <c r="G89" s="15"/>
      <c r="H89" s="15"/>
      <c r="I89" s="15"/>
      <c r="J89" s="15"/>
      <c r="K89" s="15"/>
      <c r="L89" s="15"/>
    </row>
    <row r="90" spans="1:12" x14ac:dyDescent="0.2">
      <c r="A90" s="16">
        <f t="shared" si="28"/>
        <v>82</v>
      </c>
      <c r="B90" s="16"/>
      <c r="C90" s="31"/>
      <c r="D90" s="328"/>
      <c r="E90" s="30"/>
      <c r="F90" s="34"/>
      <c r="G90" s="15"/>
      <c r="H90" s="15"/>
      <c r="I90" s="15"/>
      <c r="J90" s="15"/>
      <c r="K90" s="15"/>
      <c r="L90" s="15"/>
    </row>
    <row r="91" spans="1:12" x14ac:dyDescent="0.2">
      <c r="A91" s="16">
        <f t="shared" si="28"/>
        <v>83</v>
      </c>
      <c r="B91" s="287" t="s">
        <v>93</v>
      </c>
      <c r="C91" s="28" t="str">
        <f>$C$10</f>
        <v>F2024 2025 Load</v>
      </c>
      <c r="D91" s="329">
        <v>7578921.5862422688</v>
      </c>
      <c r="E91" s="15"/>
      <c r="F91" s="34"/>
      <c r="G91" s="15"/>
      <c r="H91" s="15"/>
      <c r="I91" s="15"/>
      <c r="J91" s="15"/>
      <c r="K91" s="15"/>
      <c r="L91" s="15"/>
    </row>
    <row r="92" spans="1:12" x14ac:dyDescent="0.2">
      <c r="A92" s="16">
        <f t="shared" si="28"/>
        <v>84</v>
      </c>
      <c r="B92" s="16" t="str">
        <f>B91</f>
        <v>Firm Resale</v>
      </c>
      <c r="C92" s="28" t="str">
        <f>$C$11</f>
        <v xml:space="preserve">Excluding Green Direct Load </v>
      </c>
      <c r="D92" s="330">
        <v>0</v>
      </c>
      <c r="E92" s="15"/>
      <c r="F92" s="34"/>
      <c r="G92" s="15"/>
      <c r="H92" s="15"/>
      <c r="I92" s="15"/>
      <c r="J92" s="15"/>
      <c r="K92" s="15"/>
      <c r="L92" s="15"/>
    </row>
    <row r="93" spans="1:12" x14ac:dyDescent="0.2">
      <c r="A93" s="16">
        <f t="shared" si="28"/>
        <v>85</v>
      </c>
      <c r="B93" s="16" t="str">
        <f t="shared" ref="B93:B95" si="32">B92</f>
        <v>Firm Resale</v>
      </c>
      <c r="C93" s="35" t="s">
        <v>48</v>
      </c>
      <c r="D93" s="331">
        <f>SUM(D91:D92)</f>
        <v>7578921.5862422688</v>
      </c>
      <c r="E93" s="32">
        <f>+E$95/D$93</f>
        <v>1.6415062883482798E-3</v>
      </c>
      <c r="F93" s="34"/>
      <c r="G93" s="15"/>
      <c r="H93" s="15"/>
      <c r="I93" s="15"/>
      <c r="J93" s="15"/>
      <c r="K93" s="15"/>
      <c r="L93" s="15"/>
    </row>
    <row r="94" spans="1:12" ht="12" thickBot="1" x14ac:dyDescent="0.25">
      <c r="A94" s="16">
        <f t="shared" si="28"/>
        <v>86</v>
      </c>
      <c r="B94" s="16" t="str">
        <f t="shared" si="32"/>
        <v>Firm Resale</v>
      </c>
      <c r="C94" s="35" t="s">
        <v>77</v>
      </c>
      <c r="D94" s="332"/>
      <c r="E94" s="36">
        <f>+E93*D93</f>
        <v>12440.847442715203</v>
      </c>
      <c r="F94" s="15"/>
      <c r="G94" s="15"/>
      <c r="H94" s="15"/>
      <c r="I94" s="15"/>
      <c r="J94" s="15"/>
      <c r="K94" s="15"/>
      <c r="L94" s="15"/>
    </row>
    <row r="95" spans="1:12" ht="12" thickTop="1" x14ac:dyDescent="0.2">
      <c r="A95" s="16">
        <f t="shared" si="28"/>
        <v>87</v>
      </c>
      <c r="B95" s="16" t="str">
        <f t="shared" si="32"/>
        <v>Firm Resale</v>
      </c>
      <c r="C95" s="40" t="s">
        <v>79</v>
      </c>
      <c r="D95" s="328"/>
      <c r="E95" s="30">
        <f>$N$31</f>
        <v>12440.847442715203</v>
      </c>
      <c r="F95" s="15"/>
      <c r="G95" s="15"/>
      <c r="H95" s="15"/>
      <c r="I95" s="15"/>
      <c r="J95" s="15"/>
      <c r="K95" s="15"/>
      <c r="L95" s="15"/>
    </row>
    <row r="96" spans="1:12" x14ac:dyDescent="0.2">
      <c r="A96" s="16">
        <f t="shared" si="28"/>
        <v>88</v>
      </c>
      <c r="B96" s="16"/>
      <c r="C96" s="49"/>
      <c r="D96" s="328"/>
      <c r="E96" s="30"/>
      <c r="F96" s="15"/>
      <c r="G96" s="15"/>
      <c r="H96" s="15"/>
      <c r="I96" s="15"/>
      <c r="J96" s="15"/>
      <c r="K96" s="15"/>
      <c r="L96" s="15"/>
    </row>
    <row r="97" spans="1:12" x14ac:dyDescent="0.2">
      <c r="A97" s="16">
        <f t="shared" si="28"/>
        <v>89</v>
      </c>
      <c r="B97" s="16"/>
      <c r="C97" s="37" t="s">
        <v>6</v>
      </c>
      <c r="D97" s="51">
        <f>SUM(D93,D87,D81,D75,D69,D63,D56,D50,D44,D37,D31,D25,D19,D12)</f>
        <v>22762357044.944908</v>
      </c>
      <c r="E97" s="30">
        <f>SUM(E94,E88,E82,E76,E70,E64,E57,E51,E45,E38,E32,E26,E20,E13)</f>
        <v>35702041.456189536</v>
      </c>
      <c r="F97" s="50"/>
      <c r="G97" s="15"/>
      <c r="H97" s="15"/>
      <c r="I97" s="15"/>
      <c r="J97" s="15"/>
      <c r="K97" s="15"/>
      <c r="L97" s="15"/>
    </row>
    <row r="98" spans="1:12" x14ac:dyDescent="0.2">
      <c r="A98" s="16">
        <f t="shared" si="28"/>
        <v>90</v>
      </c>
      <c r="B98" s="16"/>
      <c r="D98" s="333">
        <f>D97+L38-'Rate Impacts'!G37</f>
        <v>0</v>
      </c>
      <c r="E98" s="39">
        <f>E97-N35</f>
        <v>0</v>
      </c>
      <c r="F98" s="15"/>
      <c r="G98" s="15"/>
      <c r="H98" s="15"/>
      <c r="I98" s="15"/>
      <c r="J98" s="15"/>
      <c r="K98" s="15"/>
      <c r="L98" s="15"/>
    </row>
    <row r="99" spans="1:12" x14ac:dyDescent="0.2">
      <c r="A99" s="16">
        <f t="shared" si="28"/>
        <v>91</v>
      </c>
      <c r="B99" s="16"/>
      <c r="D99" s="334" t="s">
        <v>105</v>
      </c>
      <c r="E99" s="52" t="s">
        <v>105</v>
      </c>
      <c r="F99" s="15"/>
      <c r="G99" s="15"/>
      <c r="H99" s="15"/>
      <c r="I99" s="15"/>
      <c r="J99" s="15"/>
      <c r="K99" s="15"/>
      <c r="L99" s="15"/>
    </row>
    <row r="100" spans="1:12" x14ac:dyDescent="0.2">
      <c r="F100" s="34"/>
      <c r="G100" s="15"/>
      <c r="H100" s="15"/>
      <c r="I100" s="15"/>
      <c r="J100" s="15"/>
      <c r="K100" s="15"/>
      <c r="L100" s="15"/>
    </row>
    <row r="101" spans="1:12" x14ac:dyDescent="0.2">
      <c r="B101" s="293" t="s">
        <v>213</v>
      </c>
      <c r="F101" s="15"/>
      <c r="G101" s="15"/>
      <c r="H101" s="15"/>
      <c r="I101" s="15"/>
      <c r="J101" s="15"/>
      <c r="K101" s="15"/>
      <c r="L101" s="15"/>
    </row>
    <row r="102" spans="1:12" x14ac:dyDescent="0.2">
      <c r="B102" s="293" t="s">
        <v>229</v>
      </c>
      <c r="F102" s="34"/>
      <c r="G102" s="15"/>
      <c r="H102" s="15"/>
      <c r="I102" s="15"/>
      <c r="J102" s="15"/>
      <c r="K102" s="15"/>
      <c r="L102" s="15"/>
    </row>
    <row r="103" spans="1:12" x14ac:dyDescent="0.2">
      <c r="F103" s="43"/>
      <c r="G103" s="15"/>
      <c r="H103" s="15"/>
      <c r="I103" s="15"/>
      <c r="J103" s="15"/>
      <c r="K103" s="15"/>
      <c r="L103" s="15"/>
    </row>
    <row r="104" spans="1:12" x14ac:dyDescent="0.2">
      <c r="F104" s="52"/>
      <c r="G104" s="15"/>
      <c r="H104" s="15"/>
      <c r="I104" s="15"/>
      <c r="J104" s="15"/>
      <c r="K104" s="15"/>
      <c r="L104" s="15"/>
    </row>
  </sheetData>
  <mergeCells count="5">
    <mergeCell ref="A2:F2"/>
    <mergeCell ref="A1:F1"/>
    <mergeCell ref="A4:F4"/>
    <mergeCell ref="D6:E6"/>
    <mergeCell ref="A3:F3"/>
  </mergeCells>
  <printOptions horizontalCentered="1"/>
  <pageMargins left="0.7" right="0.7" top="0.75" bottom="0.75" header="0.3" footer="0.3"/>
  <pageSetup scale="64" fitToHeight="0" orientation="landscape" r:id="rId1"/>
  <headerFooter alignWithMargins="0">
    <oddFooter xml:space="preserve">&amp;L&amp;F
&amp;A&amp;RPage &amp;P of &amp;N
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K171"/>
  <sheetViews>
    <sheetView zoomScaleNormal="100" workbookViewId="0">
      <pane ySplit="8" topLeftCell="A139" activePane="bottomLeft" state="frozen"/>
      <selection activeCell="L19" sqref="L19"/>
      <selection pane="bottomLeft" activeCell="J168" sqref="J168"/>
    </sheetView>
  </sheetViews>
  <sheetFormatPr defaultColWidth="8.85546875" defaultRowHeight="11.25" x14ac:dyDescent="0.2"/>
  <cols>
    <col min="1" max="1" width="6.7109375" style="119" bestFit="1" customWidth="1"/>
    <col min="2" max="2" width="20.140625" style="119" customWidth="1"/>
    <col min="3" max="3" width="16.42578125" style="119" customWidth="1"/>
    <col min="4" max="4" width="16.7109375" style="119" customWidth="1"/>
    <col min="5" max="5" width="15.85546875" style="119" bestFit="1" customWidth="1"/>
    <col min="6" max="6" width="11.42578125" style="119" customWidth="1"/>
    <col min="7" max="7" width="11.5703125" style="119" customWidth="1"/>
    <col min="8" max="8" width="12.28515625" style="119" customWidth="1"/>
    <col min="9" max="9" width="1.28515625" style="119" customWidth="1"/>
    <col min="10" max="16384" width="8.85546875" style="119"/>
  </cols>
  <sheetData>
    <row r="1" spans="1:11" s="152" customFormat="1" x14ac:dyDescent="0.2">
      <c r="A1" s="214" t="str">
        <f>'Sch 141A Rates'!A1</f>
        <v>PUGET SOUND ENERGY</v>
      </c>
      <c r="B1" s="214"/>
      <c r="C1" s="214"/>
      <c r="D1" s="214"/>
      <c r="E1" s="214"/>
      <c r="F1" s="214"/>
      <c r="G1" s="214"/>
      <c r="H1" s="214"/>
    </row>
    <row r="2" spans="1:11" s="152" customFormat="1" x14ac:dyDescent="0.2">
      <c r="A2" s="214" t="str">
        <f>'Sch 141A Rates'!A2</f>
        <v>Schedule 141A Energy Charge Credit Recovery Adjustment</v>
      </c>
      <c r="B2" s="214"/>
      <c r="C2" s="214"/>
      <c r="D2" s="214"/>
      <c r="E2" s="214"/>
      <c r="F2" s="214"/>
      <c r="G2" s="214"/>
      <c r="H2" s="214"/>
    </row>
    <row r="3" spans="1:11" s="152" customFormat="1" x14ac:dyDescent="0.2">
      <c r="A3" s="214" t="str">
        <f>Inputs!B2&amp;" Forecasted Rate-Year Ended "&amp;TEXT(Inputs!B4,"mmmm d, yyyy")</f>
        <v>F2024 Forecasted Rate-Year Ended December 31, 2025</v>
      </c>
      <c r="B3" s="214"/>
      <c r="C3" s="214"/>
      <c r="D3" s="214"/>
      <c r="E3" s="214"/>
      <c r="F3" s="214"/>
      <c r="G3" s="214"/>
      <c r="H3" s="214"/>
    </row>
    <row r="4" spans="1:11" s="152" customFormat="1" x14ac:dyDescent="0.2">
      <c r="A4" s="214" t="str">
        <f>"Proposed Rate Effective "&amp;TEXT(Inputs!B1,"mmmm d, yyyy")</f>
        <v>Proposed Rate Effective January 1, 2025</v>
      </c>
      <c r="B4" s="214"/>
      <c r="C4" s="214"/>
      <c r="D4" s="214"/>
      <c r="E4" s="214"/>
      <c r="F4" s="214"/>
      <c r="G4" s="214"/>
      <c r="H4" s="214"/>
    </row>
    <row r="5" spans="1:11" s="152" customFormat="1" x14ac:dyDescent="0.2">
      <c r="A5" s="269" t="s">
        <v>200</v>
      </c>
      <c r="B5" s="214"/>
      <c r="C5" s="214"/>
      <c r="D5" s="214"/>
      <c r="E5" s="214"/>
      <c r="F5" s="214"/>
      <c r="G5" s="214"/>
      <c r="H5" s="214"/>
    </row>
    <row r="6" spans="1:11" s="152" customFormat="1" x14ac:dyDescent="0.2">
      <c r="A6" s="268"/>
    </row>
    <row r="7" spans="1:11" s="268" customFormat="1" ht="45" x14ac:dyDescent="0.2">
      <c r="A7" s="160" t="s">
        <v>0</v>
      </c>
      <c r="B7" s="160" t="s">
        <v>1</v>
      </c>
      <c r="C7" s="160" t="s">
        <v>7</v>
      </c>
      <c r="D7" s="160" t="s">
        <v>10</v>
      </c>
      <c r="E7" s="161" t="s">
        <v>199</v>
      </c>
      <c r="F7" s="161" t="s">
        <v>198</v>
      </c>
      <c r="G7" s="161" t="s">
        <v>197</v>
      </c>
      <c r="H7" s="161" t="s">
        <v>196</v>
      </c>
    </row>
    <row r="8" spans="1:11" s="121" customFormat="1" x14ac:dyDescent="0.2">
      <c r="A8" s="267"/>
      <c r="B8" s="266" t="s">
        <v>57</v>
      </c>
      <c r="C8" s="266" t="s">
        <v>66</v>
      </c>
      <c r="D8" s="265" t="s">
        <v>58</v>
      </c>
      <c r="E8" s="265" t="s">
        <v>67</v>
      </c>
      <c r="F8" s="265" t="s">
        <v>195</v>
      </c>
      <c r="G8" s="265" t="s">
        <v>164</v>
      </c>
      <c r="H8" s="265" t="s">
        <v>194</v>
      </c>
    </row>
    <row r="9" spans="1:11" x14ac:dyDescent="0.2">
      <c r="A9" s="134">
        <v>1</v>
      </c>
      <c r="B9" s="134"/>
      <c r="C9" s="134"/>
      <c r="D9" s="136"/>
      <c r="F9" s="263"/>
      <c r="G9" s="264"/>
      <c r="H9" s="263"/>
    </row>
    <row r="10" spans="1:11" ht="13.5" x14ac:dyDescent="0.35">
      <c r="A10" s="134">
        <f t="shared" ref="A10:A41" si="0">+A9+1</f>
        <v>2</v>
      </c>
      <c r="B10" s="259" t="s">
        <v>145</v>
      </c>
    </row>
    <row r="11" spans="1:11" x14ac:dyDescent="0.2">
      <c r="A11" s="134">
        <f t="shared" si="0"/>
        <v>3</v>
      </c>
      <c r="B11" s="258" t="s">
        <v>11</v>
      </c>
      <c r="C11" s="132" t="s">
        <v>49</v>
      </c>
      <c r="D11" s="262">
        <v>22</v>
      </c>
      <c r="E11" s="296">
        <v>0.5</v>
      </c>
      <c r="F11" s="33">
        <f>E11*$H$168</f>
        <v>1.6274194172573215E-2</v>
      </c>
      <c r="G11" s="42">
        <v>649</v>
      </c>
      <c r="H11" s="30">
        <f>F11*G11</f>
        <v>10.561952018000017</v>
      </c>
      <c r="J11" s="254"/>
      <c r="K11" s="253"/>
    </row>
    <row r="12" spans="1:11" x14ac:dyDescent="0.2">
      <c r="A12" s="134">
        <f t="shared" si="0"/>
        <v>4</v>
      </c>
      <c r="B12" s="228"/>
      <c r="C12" s="136"/>
      <c r="D12" s="262"/>
      <c r="E12" s="296"/>
      <c r="F12" s="33"/>
      <c r="G12" s="42"/>
      <c r="H12" s="29"/>
      <c r="J12" s="254"/>
      <c r="K12" s="253"/>
    </row>
    <row r="13" spans="1:11" x14ac:dyDescent="0.2">
      <c r="A13" s="134">
        <f t="shared" si="0"/>
        <v>5</v>
      </c>
      <c r="B13" s="258" t="s">
        <v>50</v>
      </c>
      <c r="C13" s="168" t="s">
        <v>8</v>
      </c>
      <c r="D13" s="255">
        <v>100</v>
      </c>
      <c r="E13" s="296">
        <v>2.2799999999999998</v>
      </c>
      <c r="F13" s="33">
        <f>E13*$H$168</f>
        <v>7.4210325426933857E-2</v>
      </c>
      <c r="G13" s="42">
        <v>33</v>
      </c>
      <c r="H13" s="30">
        <f>F13*G13</f>
        <v>2.4489407390888172</v>
      </c>
      <c r="J13" s="254"/>
      <c r="K13" s="253"/>
    </row>
    <row r="14" spans="1:11" x14ac:dyDescent="0.2">
      <c r="A14" s="134">
        <f t="shared" si="0"/>
        <v>6</v>
      </c>
      <c r="B14" s="258" t="str">
        <f>+B13</f>
        <v>50E</v>
      </c>
      <c r="C14" s="168" t="s">
        <v>8</v>
      </c>
      <c r="D14" s="255">
        <v>175</v>
      </c>
      <c r="E14" s="296">
        <v>3.98</v>
      </c>
      <c r="F14" s="33">
        <f>E14*$H$168</f>
        <v>0.12954258561368279</v>
      </c>
      <c r="G14" s="42">
        <v>240</v>
      </c>
      <c r="H14" s="30">
        <f>F14*G14</f>
        <v>31.09022054728387</v>
      </c>
      <c r="J14" s="254"/>
      <c r="K14" s="253"/>
    </row>
    <row r="15" spans="1:11" x14ac:dyDescent="0.2">
      <c r="A15" s="134">
        <f t="shared" si="0"/>
        <v>7</v>
      </c>
      <c r="B15" s="258" t="str">
        <f>+B14</f>
        <v>50E</v>
      </c>
      <c r="C15" s="168" t="s">
        <v>8</v>
      </c>
      <c r="D15" s="255">
        <v>400</v>
      </c>
      <c r="E15" s="296">
        <v>9.1</v>
      </c>
      <c r="F15" s="33">
        <f>E15*$H$168</f>
        <v>0.2961903339408325</v>
      </c>
      <c r="G15" s="42">
        <v>229</v>
      </c>
      <c r="H15" s="30">
        <f>F15*G15</f>
        <v>67.827586472450648</v>
      </c>
      <c r="J15" s="254"/>
      <c r="K15" s="253"/>
    </row>
    <row r="16" spans="1:11" x14ac:dyDescent="0.2">
      <c r="A16" s="134">
        <f t="shared" si="0"/>
        <v>8</v>
      </c>
      <c r="B16" s="258" t="str">
        <f>+B15</f>
        <v>50E</v>
      </c>
      <c r="C16" s="168" t="s">
        <v>8</v>
      </c>
      <c r="D16" s="255">
        <v>700</v>
      </c>
      <c r="E16" s="296">
        <v>15.93</v>
      </c>
      <c r="F16" s="33">
        <f>E16*$H$168</f>
        <v>0.51849582633818259</v>
      </c>
      <c r="G16" s="297">
        <v>0</v>
      </c>
      <c r="H16" s="30">
        <f>F16*G16</f>
        <v>0</v>
      </c>
      <c r="J16" s="254"/>
      <c r="K16" s="253"/>
    </row>
    <row r="17" spans="1:11" x14ac:dyDescent="0.2">
      <c r="A17" s="134">
        <f t="shared" si="0"/>
        <v>9</v>
      </c>
      <c r="D17" s="176"/>
      <c r="E17" s="296"/>
      <c r="F17" s="33"/>
      <c r="G17" s="42"/>
      <c r="H17" s="29"/>
      <c r="J17" s="254"/>
      <c r="K17" s="253"/>
    </row>
    <row r="18" spans="1:11" ht="13.5" x14ac:dyDescent="0.35">
      <c r="A18" s="134">
        <f t="shared" si="0"/>
        <v>10</v>
      </c>
      <c r="B18" s="259" t="s">
        <v>12</v>
      </c>
      <c r="D18" s="176"/>
      <c r="E18" s="296"/>
      <c r="F18" s="33"/>
      <c r="G18" s="42"/>
      <c r="H18" s="29"/>
      <c r="J18" s="254"/>
      <c r="K18" s="253"/>
    </row>
    <row r="19" spans="1:11" x14ac:dyDescent="0.2">
      <c r="A19" s="134">
        <f t="shared" si="0"/>
        <v>11</v>
      </c>
      <c r="B19" s="258" t="s">
        <v>13</v>
      </c>
      <c r="C19" s="168" t="s">
        <v>14</v>
      </c>
      <c r="D19" s="176" t="s">
        <v>51</v>
      </c>
      <c r="E19" s="296">
        <v>0.33999999999999997</v>
      </c>
      <c r="F19" s="33">
        <f t="shared" ref="F19:F28" si="1">E19*$H$168</f>
        <v>1.1066452037349786E-2</v>
      </c>
      <c r="G19" s="42">
        <v>408</v>
      </c>
      <c r="H19" s="30">
        <f t="shared" ref="H19:H29" si="2">F19*G19</f>
        <v>4.5151124312387125</v>
      </c>
      <c r="J19" s="254"/>
      <c r="K19" s="253"/>
    </row>
    <row r="20" spans="1:11" x14ac:dyDescent="0.2">
      <c r="A20" s="134">
        <f t="shared" si="0"/>
        <v>12</v>
      </c>
      <c r="B20" s="258" t="s">
        <v>13</v>
      </c>
      <c r="C20" s="168" t="s">
        <v>14</v>
      </c>
      <c r="D20" s="257" t="s">
        <v>52</v>
      </c>
      <c r="E20" s="296">
        <v>1.02</v>
      </c>
      <c r="F20" s="33">
        <f t="shared" si="1"/>
        <v>3.3199356112049362E-2</v>
      </c>
      <c r="G20" s="42">
        <v>62884</v>
      </c>
      <c r="H20" s="30">
        <f t="shared" si="2"/>
        <v>2087.7083097501122</v>
      </c>
      <c r="J20" s="254"/>
      <c r="K20" s="253"/>
    </row>
    <row r="21" spans="1:11" x14ac:dyDescent="0.2">
      <c r="A21" s="134">
        <f t="shared" si="0"/>
        <v>13</v>
      </c>
      <c r="B21" s="258" t="s">
        <v>13</v>
      </c>
      <c r="C21" s="168" t="s">
        <v>14</v>
      </c>
      <c r="D21" s="255" t="s">
        <v>16</v>
      </c>
      <c r="E21" s="296">
        <v>1.7</v>
      </c>
      <c r="F21" s="33">
        <f t="shared" si="1"/>
        <v>5.533226018674893E-2</v>
      </c>
      <c r="G21" s="42">
        <v>35897</v>
      </c>
      <c r="H21" s="30">
        <f t="shared" si="2"/>
        <v>1986.2621439237264</v>
      </c>
      <c r="J21" s="254"/>
      <c r="K21" s="253"/>
    </row>
    <row r="22" spans="1:11" x14ac:dyDescent="0.2">
      <c r="A22" s="134">
        <f t="shared" si="0"/>
        <v>14</v>
      </c>
      <c r="B22" s="258" t="s">
        <v>13</v>
      </c>
      <c r="C22" s="168" t="s">
        <v>14</v>
      </c>
      <c r="D22" s="255" t="s">
        <v>17</v>
      </c>
      <c r="E22" s="296">
        <v>2.38</v>
      </c>
      <c r="F22" s="33">
        <f t="shared" si="1"/>
        <v>7.7465164261448505E-2</v>
      </c>
      <c r="G22" s="42">
        <v>15040</v>
      </c>
      <c r="H22" s="30">
        <f t="shared" si="2"/>
        <v>1165.0760704921854</v>
      </c>
      <c r="J22" s="254"/>
      <c r="K22" s="253"/>
    </row>
    <row r="23" spans="1:11" x14ac:dyDescent="0.2">
      <c r="A23" s="134">
        <f t="shared" si="0"/>
        <v>15</v>
      </c>
      <c r="B23" s="258" t="s">
        <v>13</v>
      </c>
      <c r="C23" s="168" t="s">
        <v>14</v>
      </c>
      <c r="D23" s="255" t="s">
        <v>18</v>
      </c>
      <c r="E23" s="296">
        <v>3.0700000000000003</v>
      </c>
      <c r="F23" s="33">
        <f t="shared" si="1"/>
        <v>9.9923552219599546E-2</v>
      </c>
      <c r="G23" s="42">
        <v>7113</v>
      </c>
      <c r="H23" s="30">
        <f t="shared" si="2"/>
        <v>710.75622693801154</v>
      </c>
      <c r="J23" s="254"/>
      <c r="K23" s="253"/>
    </row>
    <row r="24" spans="1:11" x14ac:dyDescent="0.2">
      <c r="A24" s="134">
        <f t="shared" si="0"/>
        <v>16</v>
      </c>
      <c r="B24" s="258" t="s">
        <v>13</v>
      </c>
      <c r="C24" s="168" t="s">
        <v>14</v>
      </c>
      <c r="D24" s="255" t="s">
        <v>19</v>
      </c>
      <c r="E24" s="296">
        <v>3.75</v>
      </c>
      <c r="F24" s="33">
        <f t="shared" si="1"/>
        <v>0.12205645629429911</v>
      </c>
      <c r="G24" s="42">
        <v>905</v>
      </c>
      <c r="H24" s="30">
        <f t="shared" si="2"/>
        <v>110.46109294634068</v>
      </c>
      <c r="J24" s="254"/>
      <c r="K24" s="253"/>
    </row>
    <row r="25" spans="1:11" x14ac:dyDescent="0.2">
      <c r="A25" s="134">
        <f t="shared" si="0"/>
        <v>17</v>
      </c>
      <c r="B25" s="258" t="s">
        <v>13</v>
      </c>
      <c r="C25" s="168" t="s">
        <v>14</v>
      </c>
      <c r="D25" s="255" t="s">
        <v>20</v>
      </c>
      <c r="E25" s="296">
        <v>4.43</v>
      </c>
      <c r="F25" s="33">
        <f t="shared" si="1"/>
        <v>0.14418936036899868</v>
      </c>
      <c r="G25" s="42">
        <v>2319</v>
      </c>
      <c r="H25" s="30">
        <f t="shared" si="2"/>
        <v>334.37512669570793</v>
      </c>
      <c r="J25" s="254"/>
      <c r="K25" s="253"/>
    </row>
    <row r="26" spans="1:11" x14ac:dyDescent="0.2">
      <c r="A26" s="134">
        <f t="shared" si="0"/>
        <v>18</v>
      </c>
      <c r="B26" s="258" t="s">
        <v>13</v>
      </c>
      <c r="C26" s="168" t="s">
        <v>14</v>
      </c>
      <c r="D26" s="255" t="s">
        <v>21</v>
      </c>
      <c r="E26" s="296">
        <v>5.12</v>
      </c>
      <c r="F26" s="33">
        <f t="shared" si="1"/>
        <v>0.16664774832714974</v>
      </c>
      <c r="G26" s="42">
        <v>959</v>
      </c>
      <c r="H26" s="30">
        <f t="shared" si="2"/>
        <v>159.81519064573661</v>
      </c>
      <c r="J26" s="254"/>
      <c r="K26" s="253"/>
    </row>
    <row r="27" spans="1:11" x14ac:dyDescent="0.2">
      <c r="A27" s="134">
        <f t="shared" si="0"/>
        <v>19</v>
      </c>
      <c r="B27" s="258" t="s">
        <v>13</v>
      </c>
      <c r="C27" s="168" t="s">
        <v>14</v>
      </c>
      <c r="D27" s="255" t="s">
        <v>22</v>
      </c>
      <c r="E27" s="296">
        <v>5.8</v>
      </c>
      <c r="F27" s="33">
        <f t="shared" si="1"/>
        <v>0.1887806524018493</v>
      </c>
      <c r="G27" s="42">
        <v>74</v>
      </c>
      <c r="H27" s="30">
        <f t="shared" si="2"/>
        <v>13.969768277736849</v>
      </c>
      <c r="J27" s="254"/>
      <c r="K27" s="253"/>
    </row>
    <row r="28" spans="1:11" x14ac:dyDescent="0.2">
      <c r="A28" s="134">
        <f t="shared" si="0"/>
        <v>20</v>
      </c>
      <c r="B28" s="258" t="s">
        <v>13</v>
      </c>
      <c r="C28" s="168" t="s">
        <v>14</v>
      </c>
      <c r="D28" s="255" t="s">
        <v>23</v>
      </c>
      <c r="E28" s="296">
        <v>6.48</v>
      </c>
      <c r="F28" s="33">
        <f t="shared" si="1"/>
        <v>0.21091355647654889</v>
      </c>
      <c r="G28" s="42">
        <v>947</v>
      </c>
      <c r="H28" s="30">
        <f t="shared" si="2"/>
        <v>199.73513798329179</v>
      </c>
      <c r="J28" s="254"/>
      <c r="K28" s="253"/>
    </row>
    <row r="29" spans="1:11" x14ac:dyDescent="0.2">
      <c r="A29" s="134">
        <f t="shared" si="0"/>
        <v>21</v>
      </c>
      <c r="B29" s="258" t="s">
        <v>193</v>
      </c>
      <c r="C29" s="168" t="s">
        <v>46</v>
      </c>
      <c r="D29" s="261" t="s">
        <v>53</v>
      </c>
      <c r="E29" s="324">
        <v>6.4988000000000004E-2</v>
      </c>
      <c r="F29" s="324">
        <f>'Rate Impacts'!I33</f>
        <v>1.946E-3</v>
      </c>
      <c r="G29" s="42">
        <v>152499</v>
      </c>
      <c r="H29" s="30">
        <f t="shared" si="2"/>
        <v>296.76305400000001</v>
      </c>
      <c r="J29" s="254"/>
      <c r="K29" s="253"/>
    </row>
    <row r="30" spans="1:11" x14ac:dyDescent="0.2">
      <c r="A30" s="134">
        <f t="shared" si="0"/>
        <v>22</v>
      </c>
      <c r="D30" s="176"/>
      <c r="E30" s="296"/>
      <c r="F30" s="33"/>
      <c r="G30" s="42"/>
      <c r="H30" s="29"/>
      <c r="J30" s="254"/>
      <c r="K30" s="253"/>
    </row>
    <row r="31" spans="1:11" ht="13.5" x14ac:dyDescent="0.35">
      <c r="A31" s="134">
        <f t="shared" si="0"/>
        <v>23</v>
      </c>
      <c r="B31" s="259" t="s">
        <v>139</v>
      </c>
      <c r="D31" s="176"/>
      <c r="E31" s="296"/>
      <c r="F31" s="33"/>
      <c r="G31" s="42"/>
      <c r="H31" s="29"/>
      <c r="J31" s="254"/>
      <c r="K31" s="253"/>
    </row>
    <row r="32" spans="1:11" x14ac:dyDescent="0.2">
      <c r="A32" s="134">
        <f t="shared" si="0"/>
        <v>24</v>
      </c>
      <c r="B32" s="258" t="s">
        <v>24</v>
      </c>
      <c r="C32" s="168" t="s">
        <v>9</v>
      </c>
      <c r="D32" s="255">
        <v>50</v>
      </c>
      <c r="E32" s="296">
        <v>1.1299999999999999</v>
      </c>
      <c r="F32" s="33">
        <f t="shared" ref="F32:F39" si="3">E32*$H$168</f>
        <v>3.6779678830015462E-2</v>
      </c>
      <c r="G32" s="297">
        <v>0</v>
      </c>
      <c r="H32" s="30">
        <f t="shared" ref="H32:H39" si="4">F32*G32</f>
        <v>0</v>
      </c>
      <c r="J32" s="254"/>
      <c r="K32" s="253"/>
    </row>
    <row r="33" spans="1:11" x14ac:dyDescent="0.2">
      <c r="A33" s="134">
        <f t="shared" si="0"/>
        <v>25</v>
      </c>
      <c r="B33" s="258" t="str">
        <f t="shared" ref="B33:B39" si="5">+B32</f>
        <v xml:space="preserve">52E </v>
      </c>
      <c r="C33" s="168" t="s">
        <v>9</v>
      </c>
      <c r="D33" s="255">
        <v>70</v>
      </c>
      <c r="E33" s="296">
        <v>1.6</v>
      </c>
      <c r="F33" s="33">
        <f t="shared" si="3"/>
        <v>5.2077421352234289E-2</v>
      </c>
      <c r="G33" s="42">
        <v>7987</v>
      </c>
      <c r="H33" s="30">
        <f t="shared" si="4"/>
        <v>415.94236434029528</v>
      </c>
      <c r="J33" s="254"/>
      <c r="K33" s="253"/>
    </row>
    <row r="34" spans="1:11" x14ac:dyDescent="0.2">
      <c r="A34" s="134">
        <f t="shared" si="0"/>
        <v>26</v>
      </c>
      <c r="B34" s="258" t="str">
        <f t="shared" si="5"/>
        <v xml:space="preserve">52E </v>
      </c>
      <c r="C34" s="168" t="s">
        <v>9</v>
      </c>
      <c r="D34" s="255">
        <v>100</v>
      </c>
      <c r="E34" s="296">
        <v>2.2799999999999998</v>
      </c>
      <c r="F34" s="33">
        <f t="shared" si="3"/>
        <v>7.4210325426933857E-2</v>
      </c>
      <c r="G34" s="42">
        <v>112813</v>
      </c>
      <c r="H34" s="30">
        <f t="shared" si="4"/>
        <v>8371.8894423886886</v>
      </c>
      <c r="J34" s="254"/>
      <c r="K34" s="253"/>
    </row>
    <row r="35" spans="1:11" x14ac:dyDescent="0.2">
      <c r="A35" s="134">
        <f t="shared" si="0"/>
        <v>27</v>
      </c>
      <c r="B35" s="258" t="str">
        <f t="shared" si="5"/>
        <v xml:space="preserve">52E </v>
      </c>
      <c r="C35" s="168" t="s">
        <v>9</v>
      </c>
      <c r="D35" s="255">
        <v>150</v>
      </c>
      <c r="E35" s="296">
        <v>3.41</v>
      </c>
      <c r="F35" s="33">
        <f t="shared" si="3"/>
        <v>0.11099000425694933</v>
      </c>
      <c r="G35" s="42">
        <v>52631</v>
      </c>
      <c r="H35" s="30">
        <f t="shared" si="4"/>
        <v>5841.5149140474996</v>
      </c>
      <c r="J35" s="254"/>
      <c r="K35" s="253"/>
    </row>
    <row r="36" spans="1:11" x14ac:dyDescent="0.2">
      <c r="A36" s="134">
        <f t="shared" si="0"/>
        <v>28</v>
      </c>
      <c r="B36" s="258" t="str">
        <f t="shared" si="5"/>
        <v xml:space="preserve">52E </v>
      </c>
      <c r="C36" s="168" t="s">
        <v>9</v>
      </c>
      <c r="D36" s="255">
        <v>200</v>
      </c>
      <c r="E36" s="296">
        <v>4.55</v>
      </c>
      <c r="F36" s="33">
        <f t="shared" si="3"/>
        <v>0.14809516697041625</v>
      </c>
      <c r="G36" s="42">
        <v>10988</v>
      </c>
      <c r="H36" s="30">
        <f t="shared" si="4"/>
        <v>1627.2696946709336</v>
      </c>
      <c r="J36" s="254"/>
      <c r="K36" s="253"/>
    </row>
    <row r="37" spans="1:11" x14ac:dyDescent="0.2">
      <c r="A37" s="134">
        <f t="shared" si="0"/>
        <v>29</v>
      </c>
      <c r="B37" s="258" t="str">
        <f t="shared" si="5"/>
        <v xml:space="preserve">52E </v>
      </c>
      <c r="C37" s="168" t="s">
        <v>9</v>
      </c>
      <c r="D37" s="255">
        <v>250</v>
      </c>
      <c r="E37" s="296">
        <v>5.68</v>
      </c>
      <c r="F37" s="33">
        <f t="shared" si="3"/>
        <v>0.1848748458004317</v>
      </c>
      <c r="G37" s="42">
        <v>16314</v>
      </c>
      <c r="H37" s="30">
        <f t="shared" si="4"/>
        <v>3016.0482343882427</v>
      </c>
      <c r="J37" s="254"/>
      <c r="K37" s="253"/>
    </row>
    <row r="38" spans="1:11" x14ac:dyDescent="0.2">
      <c r="A38" s="134">
        <f t="shared" si="0"/>
        <v>30</v>
      </c>
      <c r="B38" s="258" t="str">
        <f t="shared" si="5"/>
        <v xml:space="preserve">52E </v>
      </c>
      <c r="C38" s="168" t="s">
        <v>9</v>
      </c>
      <c r="D38" s="255">
        <v>310</v>
      </c>
      <c r="E38" s="296">
        <v>7.05</v>
      </c>
      <c r="F38" s="33">
        <f t="shared" si="3"/>
        <v>0.22946613783328232</v>
      </c>
      <c r="G38" s="42">
        <v>1679</v>
      </c>
      <c r="H38" s="30">
        <f t="shared" si="4"/>
        <v>385.27364542208102</v>
      </c>
      <c r="J38" s="254"/>
      <c r="K38" s="253"/>
    </row>
    <row r="39" spans="1:11" x14ac:dyDescent="0.2">
      <c r="A39" s="134">
        <f t="shared" si="0"/>
        <v>31</v>
      </c>
      <c r="B39" s="258" t="str">
        <f t="shared" si="5"/>
        <v xml:space="preserve">52E </v>
      </c>
      <c r="C39" s="168" t="s">
        <v>9</v>
      </c>
      <c r="D39" s="255">
        <v>400</v>
      </c>
      <c r="E39" s="296">
        <v>9.1</v>
      </c>
      <c r="F39" s="33">
        <f t="shared" si="3"/>
        <v>0.2961903339408325</v>
      </c>
      <c r="G39" s="42">
        <v>6867</v>
      </c>
      <c r="H39" s="30">
        <f t="shared" si="4"/>
        <v>2033.9390231716968</v>
      </c>
      <c r="J39" s="254"/>
      <c r="K39" s="253"/>
    </row>
    <row r="40" spans="1:11" x14ac:dyDescent="0.2">
      <c r="A40" s="134">
        <f t="shared" si="0"/>
        <v>32</v>
      </c>
      <c r="B40" s="124"/>
      <c r="C40" s="168"/>
      <c r="D40" s="255"/>
      <c r="E40" s="296"/>
      <c r="F40" s="33"/>
      <c r="G40" s="42"/>
      <c r="H40" s="29"/>
      <c r="J40" s="254"/>
      <c r="K40" s="253"/>
    </row>
    <row r="41" spans="1:11" x14ac:dyDescent="0.2">
      <c r="A41" s="134">
        <f t="shared" si="0"/>
        <v>33</v>
      </c>
      <c r="B41" s="258" t="str">
        <f>+B36</f>
        <v xml:space="preserve">52E </v>
      </c>
      <c r="C41" s="168" t="s">
        <v>25</v>
      </c>
      <c r="D41" s="255">
        <v>70</v>
      </c>
      <c r="E41" s="296">
        <v>1.6</v>
      </c>
      <c r="F41" s="33">
        <f t="shared" ref="F41:F47" si="6">E41*$H$168</f>
        <v>5.2077421352234289E-2</v>
      </c>
      <c r="G41" s="42">
        <v>838</v>
      </c>
      <c r="H41" s="30">
        <f t="shared" ref="H41:H47" si="7">F41*G41</f>
        <v>43.640879093172337</v>
      </c>
      <c r="J41" s="254"/>
      <c r="K41" s="253"/>
    </row>
    <row r="42" spans="1:11" x14ac:dyDescent="0.2">
      <c r="A42" s="134">
        <f t="shared" ref="A42:A73" si="8">+A41+1</f>
        <v>34</v>
      </c>
      <c r="B42" s="258" t="str">
        <f>+B37</f>
        <v xml:space="preserve">52E </v>
      </c>
      <c r="C42" s="168" t="s">
        <v>25</v>
      </c>
      <c r="D42" s="255">
        <v>100</v>
      </c>
      <c r="E42" s="296">
        <v>2.2799999999999998</v>
      </c>
      <c r="F42" s="33">
        <f t="shared" si="6"/>
        <v>7.4210325426933857E-2</v>
      </c>
      <c r="G42" s="42">
        <v>50</v>
      </c>
      <c r="H42" s="30">
        <f t="shared" si="7"/>
        <v>3.7105162713466928</v>
      </c>
      <c r="J42" s="254"/>
      <c r="K42" s="253"/>
    </row>
    <row r="43" spans="1:11" x14ac:dyDescent="0.2">
      <c r="A43" s="134">
        <f t="shared" si="8"/>
        <v>35</v>
      </c>
      <c r="B43" s="258" t="str">
        <f>+B38</f>
        <v xml:space="preserve">52E </v>
      </c>
      <c r="C43" s="168" t="s">
        <v>25</v>
      </c>
      <c r="D43" s="255">
        <v>150</v>
      </c>
      <c r="E43" s="296">
        <v>3.41</v>
      </c>
      <c r="F43" s="33">
        <f t="shared" si="6"/>
        <v>0.11099000425694933</v>
      </c>
      <c r="G43" s="42">
        <v>2364</v>
      </c>
      <c r="H43" s="30">
        <f t="shared" si="7"/>
        <v>262.38037006342819</v>
      </c>
      <c r="J43" s="254"/>
      <c r="K43" s="253"/>
    </row>
    <row r="44" spans="1:11" x14ac:dyDescent="0.2">
      <c r="A44" s="134">
        <f t="shared" si="8"/>
        <v>36</v>
      </c>
      <c r="B44" s="258" t="str">
        <f>+B39</f>
        <v xml:space="preserve">52E </v>
      </c>
      <c r="C44" s="168" t="s">
        <v>25</v>
      </c>
      <c r="D44" s="255">
        <v>175</v>
      </c>
      <c r="E44" s="296">
        <v>3.98</v>
      </c>
      <c r="F44" s="33">
        <f t="shared" si="6"/>
        <v>0.12954258561368279</v>
      </c>
      <c r="G44" s="42">
        <v>2450</v>
      </c>
      <c r="H44" s="30">
        <f t="shared" si="7"/>
        <v>317.37933475352281</v>
      </c>
      <c r="J44" s="254"/>
      <c r="K44" s="253"/>
    </row>
    <row r="45" spans="1:11" x14ac:dyDescent="0.2">
      <c r="A45" s="134">
        <f t="shared" si="8"/>
        <v>37</v>
      </c>
      <c r="B45" s="258" t="str">
        <f t="shared" ref="B45:C47" si="9">+B44</f>
        <v xml:space="preserve">52E </v>
      </c>
      <c r="C45" s="168" t="str">
        <f t="shared" si="9"/>
        <v>Metal Halide</v>
      </c>
      <c r="D45" s="255">
        <v>250</v>
      </c>
      <c r="E45" s="296">
        <v>5.68</v>
      </c>
      <c r="F45" s="33">
        <f t="shared" si="6"/>
        <v>0.1848748458004317</v>
      </c>
      <c r="G45" s="42">
        <v>404</v>
      </c>
      <c r="H45" s="30">
        <f t="shared" si="7"/>
        <v>74.689437703374409</v>
      </c>
      <c r="J45" s="254"/>
      <c r="K45" s="253"/>
    </row>
    <row r="46" spans="1:11" x14ac:dyDescent="0.2">
      <c r="A46" s="134">
        <f t="shared" si="8"/>
        <v>38</v>
      </c>
      <c r="B46" s="258" t="str">
        <f t="shared" si="9"/>
        <v xml:space="preserve">52E </v>
      </c>
      <c r="C46" s="168" t="str">
        <f t="shared" si="9"/>
        <v>Metal Halide</v>
      </c>
      <c r="D46" s="255">
        <v>400</v>
      </c>
      <c r="E46" s="296">
        <v>9.1</v>
      </c>
      <c r="F46" s="33">
        <f t="shared" si="6"/>
        <v>0.2961903339408325</v>
      </c>
      <c r="G46" s="42">
        <v>684</v>
      </c>
      <c r="H46" s="30">
        <f t="shared" si="7"/>
        <v>202.59418841552943</v>
      </c>
      <c r="J46" s="254"/>
      <c r="K46" s="253"/>
    </row>
    <row r="47" spans="1:11" x14ac:dyDescent="0.2">
      <c r="A47" s="134">
        <f t="shared" si="8"/>
        <v>39</v>
      </c>
      <c r="B47" s="258" t="str">
        <f t="shared" si="9"/>
        <v xml:space="preserve">52E </v>
      </c>
      <c r="C47" s="168" t="str">
        <f t="shared" si="9"/>
        <v>Metal Halide</v>
      </c>
      <c r="D47" s="255">
        <v>1000</v>
      </c>
      <c r="E47" s="296">
        <v>22.74</v>
      </c>
      <c r="F47" s="33">
        <f t="shared" si="6"/>
        <v>0.7401503509686298</v>
      </c>
      <c r="G47" s="42">
        <v>216</v>
      </c>
      <c r="H47" s="30">
        <f t="shared" si="7"/>
        <v>159.87247580922403</v>
      </c>
      <c r="J47" s="254"/>
      <c r="K47" s="253"/>
    </row>
    <row r="48" spans="1:11" x14ac:dyDescent="0.2">
      <c r="A48" s="134">
        <f t="shared" si="8"/>
        <v>40</v>
      </c>
      <c r="D48" s="176"/>
      <c r="E48" s="296"/>
      <c r="F48" s="33"/>
      <c r="G48" s="42"/>
      <c r="H48" s="29"/>
      <c r="J48" s="254"/>
      <c r="K48" s="253"/>
    </row>
    <row r="49" spans="1:11" ht="13.5" x14ac:dyDescent="0.35">
      <c r="A49" s="134">
        <f t="shared" si="8"/>
        <v>41</v>
      </c>
      <c r="B49" s="259" t="s">
        <v>136</v>
      </c>
      <c r="D49" s="176"/>
      <c r="E49" s="296"/>
      <c r="F49" s="33"/>
      <c r="G49" s="42"/>
      <c r="H49" s="29"/>
      <c r="J49" s="254"/>
      <c r="K49" s="253"/>
    </row>
    <row r="50" spans="1:11" x14ac:dyDescent="0.2">
      <c r="A50" s="134">
        <f t="shared" si="8"/>
        <v>42</v>
      </c>
      <c r="B50" s="258" t="s">
        <v>54</v>
      </c>
      <c r="C50" s="168" t="s">
        <v>9</v>
      </c>
      <c r="D50" s="255">
        <v>50</v>
      </c>
      <c r="E50" s="296">
        <v>1.1299999999999999</v>
      </c>
      <c r="F50" s="33">
        <f t="shared" ref="F50:F58" si="10">E50*$H$168</f>
        <v>3.6779678830015462E-2</v>
      </c>
      <c r="G50" s="42">
        <v>0</v>
      </c>
      <c r="H50" s="30">
        <f t="shared" ref="H50:H58" si="11">F50*G50</f>
        <v>0</v>
      </c>
      <c r="J50" s="254"/>
      <c r="K50" s="253"/>
    </row>
    <row r="51" spans="1:11" x14ac:dyDescent="0.2">
      <c r="A51" s="134">
        <f t="shared" si="8"/>
        <v>43</v>
      </c>
      <c r="B51" s="258" t="str">
        <f t="shared" ref="B51:B58" si="12">+B50</f>
        <v>53E</v>
      </c>
      <c r="C51" s="168" t="s">
        <v>9</v>
      </c>
      <c r="D51" s="255">
        <v>70</v>
      </c>
      <c r="E51" s="296">
        <v>1.6</v>
      </c>
      <c r="F51" s="33">
        <f t="shared" si="10"/>
        <v>5.2077421352234289E-2</v>
      </c>
      <c r="G51" s="42">
        <v>42559</v>
      </c>
      <c r="H51" s="30">
        <f t="shared" si="11"/>
        <v>2216.3629753297391</v>
      </c>
      <c r="J51" s="254"/>
      <c r="K51" s="253"/>
    </row>
    <row r="52" spans="1:11" x14ac:dyDescent="0.2">
      <c r="A52" s="134">
        <f t="shared" si="8"/>
        <v>44</v>
      </c>
      <c r="B52" s="258" t="str">
        <f t="shared" si="12"/>
        <v>53E</v>
      </c>
      <c r="C52" s="168" t="s">
        <v>9</v>
      </c>
      <c r="D52" s="255">
        <v>100</v>
      </c>
      <c r="E52" s="296">
        <v>2.2799999999999998</v>
      </c>
      <c r="F52" s="33">
        <f t="shared" si="10"/>
        <v>7.4210325426933857E-2</v>
      </c>
      <c r="G52" s="42">
        <v>325021</v>
      </c>
      <c r="H52" s="30">
        <f t="shared" si="11"/>
        <v>24119.914180587468</v>
      </c>
      <c r="J52" s="254"/>
      <c r="K52" s="253"/>
    </row>
    <row r="53" spans="1:11" x14ac:dyDescent="0.2">
      <c r="A53" s="134">
        <f t="shared" si="8"/>
        <v>45</v>
      </c>
      <c r="B53" s="258" t="str">
        <f t="shared" si="12"/>
        <v>53E</v>
      </c>
      <c r="C53" s="168" t="s">
        <v>9</v>
      </c>
      <c r="D53" s="255">
        <v>150</v>
      </c>
      <c r="E53" s="296">
        <v>3.41</v>
      </c>
      <c r="F53" s="33">
        <f t="shared" si="10"/>
        <v>0.11099000425694933</v>
      </c>
      <c r="G53" s="42">
        <v>39168</v>
      </c>
      <c r="H53" s="30">
        <f t="shared" si="11"/>
        <v>4347.2564867361916</v>
      </c>
      <c r="J53" s="254"/>
      <c r="K53" s="253"/>
    </row>
    <row r="54" spans="1:11" x14ac:dyDescent="0.2">
      <c r="A54" s="134">
        <f t="shared" si="8"/>
        <v>46</v>
      </c>
      <c r="B54" s="258" t="str">
        <f t="shared" si="12"/>
        <v>53E</v>
      </c>
      <c r="C54" s="168" t="s">
        <v>9</v>
      </c>
      <c r="D54" s="255">
        <v>200</v>
      </c>
      <c r="E54" s="296">
        <v>4.55</v>
      </c>
      <c r="F54" s="33">
        <f t="shared" si="10"/>
        <v>0.14809516697041625</v>
      </c>
      <c r="G54" s="42">
        <v>52444</v>
      </c>
      <c r="H54" s="30">
        <f t="shared" si="11"/>
        <v>7766.70293659651</v>
      </c>
      <c r="J54" s="254"/>
      <c r="K54" s="253"/>
    </row>
    <row r="55" spans="1:11" x14ac:dyDescent="0.2">
      <c r="A55" s="134">
        <f t="shared" si="8"/>
        <v>47</v>
      </c>
      <c r="B55" s="258" t="str">
        <f t="shared" si="12"/>
        <v>53E</v>
      </c>
      <c r="C55" s="168" t="s">
        <v>9</v>
      </c>
      <c r="D55" s="255">
        <v>250</v>
      </c>
      <c r="E55" s="296">
        <v>5.68</v>
      </c>
      <c r="F55" s="33">
        <f t="shared" si="10"/>
        <v>0.1848748458004317</v>
      </c>
      <c r="G55" s="42">
        <v>20979</v>
      </c>
      <c r="H55" s="30">
        <f t="shared" si="11"/>
        <v>3878.4893900472566</v>
      </c>
      <c r="J55" s="254"/>
      <c r="K55" s="253"/>
    </row>
    <row r="56" spans="1:11" x14ac:dyDescent="0.2">
      <c r="A56" s="134">
        <f t="shared" si="8"/>
        <v>48</v>
      </c>
      <c r="B56" s="258" t="str">
        <f t="shared" si="12"/>
        <v>53E</v>
      </c>
      <c r="C56" s="168" t="s">
        <v>9</v>
      </c>
      <c r="D56" s="255">
        <v>310</v>
      </c>
      <c r="E56" s="296">
        <v>7.05</v>
      </c>
      <c r="F56" s="33">
        <f t="shared" si="10"/>
        <v>0.22946613783328232</v>
      </c>
      <c r="G56" s="42">
        <v>235</v>
      </c>
      <c r="H56" s="30">
        <f t="shared" si="11"/>
        <v>53.924542390821344</v>
      </c>
      <c r="J56" s="254"/>
      <c r="K56" s="253"/>
    </row>
    <row r="57" spans="1:11" x14ac:dyDescent="0.2">
      <c r="A57" s="134">
        <f t="shared" si="8"/>
        <v>49</v>
      </c>
      <c r="B57" s="258" t="str">
        <f t="shared" si="12"/>
        <v>53E</v>
      </c>
      <c r="C57" s="168" t="s">
        <v>9</v>
      </c>
      <c r="D57" s="255">
        <v>400</v>
      </c>
      <c r="E57" s="296">
        <v>9.1</v>
      </c>
      <c r="F57" s="33">
        <f t="shared" si="10"/>
        <v>0.2961903339408325</v>
      </c>
      <c r="G57" s="42">
        <v>14431</v>
      </c>
      <c r="H57" s="30">
        <f t="shared" si="11"/>
        <v>4274.3227091001536</v>
      </c>
      <c r="J57" s="254"/>
      <c r="K57" s="253"/>
    </row>
    <row r="58" spans="1:11" x14ac:dyDescent="0.2">
      <c r="A58" s="134">
        <f t="shared" si="8"/>
        <v>50</v>
      </c>
      <c r="B58" s="258" t="str">
        <f t="shared" si="12"/>
        <v>53E</v>
      </c>
      <c r="C58" s="168" t="s">
        <v>9</v>
      </c>
      <c r="D58" s="255">
        <v>1000</v>
      </c>
      <c r="E58" s="296">
        <v>22.74</v>
      </c>
      <c r="F58" s="33">
        <f t="shared" si="10"/>
        <v>0.7401503509686298</v>
      </c>
      <c r="G58" s="42">
        <v>0</v>
      </c>
      <c r="H58" s="30">
        <f t="shared" si="11"/>
        <v>0</v>
      </c>
      <c r="J58" s="254"/>
      <c r="K58" s="253"/>
    </row>
    <row r="59" spans="1:11" x14ac:dyDescent="0.2">
      <c r="A59" s="134">
        <f t="shared" si="8"/>
        <v>51</v>
      </c>
      <c r="B59" s="258"/>
      <c r="C59" s="168"/>
      <c r="D59" s="255"/>
      <c r="E59" s="296"/>
      <c r="F59" s="33"/>
      <c r="G59" s="42"/>
      <c r="H59" s="29"/>
      <c r="J59" s="254"/>
      <c r="K59" s="253"/>
    </row>
    <row r="60" spans="1:11" x14ac:dyDescent="0.2">
      <c r="A60" s="134">
        <f t="shared" si="8"/>
        <v>52</v>
      </c>
      <c r="B60" s="258" t="str">
        <f>+B58</f>
        <v>53E</v>
      </c>
      <c r="C60" s="168" t="s">
        <v>25</v>
      </c>
      <c r="D60" s="255">
        <v>70</v>
      </c>
      <c r="E60" s="296">
        <v>1.6</v>
      </c>
      <c r="F60" s="33">
        <f t="shared" ref="F60:F65" si="13">E60*$H$168</f>
        <v>5.2077421352234289E-2</v>
      </c>
      <c r="G60" s="297">
        <v>0</v>
      </c>
      <c r="H60" s="30">
        <f t="shared" ref="H60:H65" si="14">F60*G60</f>
        <v>0</v>
      </c>
      <c r="J60" s="254"/>
      <c r="K60" s="253"/>
    </row>
    <row r="61" spans="1:11" x14ac:dyDescent="0.2">
      <c r="A61" s="134">
        <f t="shared" si="8"/>
        <v>53</v>
      </c>
      <c r="B61" s="258" t="str">
        <f>+B60</f>
        <v>53E</v>
      </c>
      <c r="C61" s="168" t="s">
        <v>25</v>
      </c>
      <c r="D61" s="255">
        <v>100</v>
      </c>
      <c r="E61" s="296">
        <v>2.2799999999999998</v>
      </c>
      <c r="F61" s="33">
        <f t="shared" si="13"/>
        <v>7.4210325426933857E-2</v>
      </c>
      <c r="G61" s="297">
        <v>0</v>
      </c>
      <c r="H61" s="30">
        <f t="shared" si="14"/>
        <v>0</v>
      </c>
      <c r="J61" s="254"/>
      <c r="K61" s="253"/>
    </row>
    <row r="62" spans="1:11" x14ac:dyDescent="0.2">
      <c r="A62" s="134">
        <f t="shared" si="8"/>
        <v>54</v>
      </c>
      <c r="B62" s="258" t="str">
        <f>+B61</f>
        <v>53E</v>
      </c>
      <c r="C62" s="168" t="s">
        <v>25</v>
      </c>
      <c r="D62" s="255">
        <v>150</v>
      </c>
      <c r="E62" s="296">
        <v>3.41</v>
      </c>
      <c r="F62" s="33">
        <f t="shared" si="13"/>
        <v>0.11099000425694933</v>
      </c>
      <c r="G62" s="297">
        <v>0</v>
      </c>
      <c r="H62" s="30">
        <f t="shared" si="14"/>
        <v>0</v>
      </c>
      <c r="J62" s="254"/>
      <c r="K62" s="253"/>
    </row>
    <row r="63" spans="1:11" x14ac:dyDescent="0.2">
      <c r="A63" s="134">
        <f t="shared" si="8"/>
        <v>55</v>
      </c>
      <c r="B63" s="258" t="str">
        <f>+B62</f>
        <v>53E</v>
      </c>
      <c r="C63" s="168" t="s">
        <v>25</v>
      </c>
      <c r="D63" s="255">
        <v>175</v>
      </c>
      <c r="E63" s="296">
        <v>3.98</v>
      </c>
      <c r="F63" s="33">
        <f t="shared" si="13"/>
        <v>0.12954258561368279</v>
      </c>
      <c r="G63" s="42">
        <v>48</v>
      </c>
      <c r="H63" s="30">
        <f t="shared" si="14"/>
        <v>6.2180441094567733</v>
      </c>
      <c r="J63" s="254"/>
      <c r="K63" s="253"/>
    </row>
    <row r="64" spans="1:11" x14ac:dyDescent="0.2">
      <c r="A64" s="134">
        <f t="shared" si="8"/>
        <v>56</v>
      </c>
      <c r="B64" s="258" t="str">
        <f>+B63</f>
        <v>53E</v>
      </c>
      <c r="C64" s="168" t="s">
        <v>25</v>
      </c>
      <c r="D64" s="255">
        <v>250</v>
      </c>
      <c r="E64" s="296">
        <v>5.68</v>
      </c>
      <c r="F64" s="33">
        <f t="shared" si="13"/>
        <v>0.1848748458004317</v>
      </c>
      <c r="G64" s="297">
        <v>0</v>
      </c>
      <c r="H64" s="30">
        <f t="shared" si="14"/>
        <v>0</v>
      </c>
      <c r="J64" s="254"/>
      <c r="K64" s="253"/>
    </row>
    <row r="65" spans="1:11" x14ac:dyDescent="0.2">
      <c r="A65" s="134">
        <f t="shared" si="8"/>
        <v>57</v>
      </c>
      <c r="B65" s="258" t="str">
        <f>+B64</f>
        <v>53E</v>
      </c>
      <c r="C65" s="168" t="s">
        <v>25</v>
      </c>
      <c r="D65" s="255">
        <v>400</v>
      </c>
      <c r="E65" s="296">
        <v>9.1</v>
      </c>
      <c r="F65" s="33">
        <f t="shared" si="13"/>
        <v>0.2961903339408325</v>
      </c>
      <c r="G65" s="297">
        <v>0</v>
      </c>
      <c r="H65" s="30">
        <f t="shared" si="14"/>
        <v>0</v>
      </c>
      <c r="J65" s="254"/>
      <c r="K65" s="253"/>
    </row>
    <row r="66" spans="1:11" x14ac:dyDescent="0.2">
      <c r="A66" s="134">
        <f t="shared" si="8"/>
        <v>58</v>
      </c>
      <c r="B66" s="258"/>
      <c r="C66" s="168"/>
      <c r="D66" s="255"/>
      <c r="E66" s="296"/>
      <c r="F66" s="33"/>
      <c r="G66" s="42"/>
      <c r="H66" s="29"/>
      <c r="J66" s="254"/>
      <c r="K66" s="253"/>
    </row>
    <row r="67" spans="1:11" x14ac:dyDescent="0.2">
      <c r="A67" s="134">
        <f t="shared" si="8"/>
        <v>59</v>
      </c>
      <c r="B67" s="258" t="str">
        <f>+B64</f>
        <v>53E</v>
      </c>
      <c r="C67" s="168" t="s">
        <v>14</v>
      </c>
      <c r="D67" s="176" t="s">
        <v>51</v>
      </c>
      <c r="E67" s="296">
        <v>0.33999999999999997</v>
      </c>
      <c r="F67" s="33">
        <f t="shared" ref="F67:F76" si="15">E67*$H$168</f>
        <v>1.1066452037349786E-2</v>
      </c>
      <c r="G67" s="42">
        <v>1595</v>
      </c>
      <c r="H67" s="30">
        <f t="shared" ref="H67:H77" si="16">F67*G67</f>
        <v>17.650990999572908</v>
      </c>
      <c r="J67" s="254"/>
      <c r="K67" s="253"/>
    </row>
    <row r="68" spans="1:11" x14ac:dyDescent="0.2">
      <c r="A68" s="134">
        <f t="shared" si="8"/>
        <v>60</v>
      </c>
      <c r="B68" s="258" t="str">
        <f>+B65</f>
        <v>53E</v>
      </c>
      <c r="C68" s="168" t="s">
        <v>14</v>
      </c>
      <c r="D68" s="257" t="s">
        <v>52</v>
      </c>
      <c r="E68" s="296">
        <v>1.02</v>
      </c>
      <c r="F68" s="33">
        <f t="shared" si="15"/>
        <v>3.3199356112049362E-2</v>
      </c>
      <c r="G68" s="42">
        <v>230234</v>
      </c>
      <c r="H68" s="30">
        <f t="shared" si="16"/>
        <v>7643.6205551015728</v>
      </c>
      <c r="J68" s="254"/>
      <c r="K68" s="253"/>
    </row>
    <row r="69" spans="1:11" x14ac:dyDescent="0.2">
      <c r="A69" s="134">
        <f t="shared" si="8"/>
        <v>61</v>
      </c>
      <c r="B69" s="258" t="str">
        <f t="shared" ref="B69:B76" si="17">B68</f>
        <v>53E</v>
      </c>
      <c r="C69" s="168" t="s">
        <v>14</v>
      </c>
      <c r="D69" s="255" t="s">
        <v>16</v>
      </c>
      <c r="E69" s="296">
        <v>1.7</v>
      </c>
      <c r="F69" s="33">
        <f t="shared" si="15"/>
        <v>5.533226018674893E-2</v>
      </c>
      <c r="G69" s="42">
        <v>14998</v>
      </c>
      <c r="H69" s="30">
        <f t="shared" si="16"/>
        <v>829.87323828086051</v>
      </c>
      <c r="J69" s="254"/>
      <c r="K69" s="253"/>
    </row>
    <row r="70" spans="1:11" x14ac:dyDescent="0.2">
      <c r="A70" s="134">
        <f t="shared" si="8"/>
        <v>62</v>
      </c>
      <c r="B70" s="258" t="str">
        <f t="shared" si="17"/>
        <v>53E</v>
      </c>
      <c r="C70" s="168" t="s">
        <v>14</v>
      </c>
      <c r="D70" s="255" t="s">
        <v>17</v>
      </c>
      <c r="E70" s="296">
        <v>2.38</v>
      </c>
      <c r="F70" s="33">
        <f t="shared" si="15"/>
        <v>7.7465164261448505E-2</v>
      </c>
      <c r="G70" s="42">
        <v>34477</v>
      </c>
      <c r="H70" s="30">
        <f t="shared" si="16"/>
        <v>2670.76646824196</v>
      </c>
      <c r="J70" s="254"/>
      <c r="K70" s="253"/>
    </row>
    <row r="71" spans="1:11" x14ac:dyDescent="0.2">
      <c r="A71" s="134">
        <f t="shared" si="8"/>
        <v>63</v>
      </c>
      <c r="B71" s="258" t="str">
        <f t="shared" si="17"/>
        <v>53E</v>
      </c>
      <c r="C71" s="168" t="s">
        <v>14</v>
      </c>
      <c r="D71" s="255" t="s">
        <v>18</v>
      </c>
      <c r="E71" s="296">
        <v>3.0700000000000003</v>
      </c>
      <c r="F71" s="33">
        <f t="shared" si="15"/>
        <v>9.9923552219599546E-2</v>
      </c>
      <c r="G71" s="42">
        <v>21256</v>
      </c>
      <c r="H71" s="30">
        <f t="shared" si="16"/>
        <v>2123.9750259798079</v>
      </c>
      <c r="J71" s="254"/>
      <c r="K71" s="253"/>
    </row>
    <row r="72" spans="1:11" x14ac:dyDescent="0.2">
      <c r="A72" s="134">
        <f t="shared" si="8"/>
        <v>64</v>
      </c>
      <c r="B72" s="258" t="str">
        <f t="shared" si="17"/>
        <v>53E</v>
      </c>
      <c r="C72" s="168" t="s">
        <v>14</v>
      </c>
      <c r="D72" s="255" t="s">
        <v>19</v>
      </c>
      <c r="E72" s="296">
        <v>3.75</v>
      </c>
      <c r="F72" s="33">
        <f t="shared" si="15"/>
        <v>0.12205645629429911</v>
      </c>
      <c r="G72" s="42">
        <v>17354</v>
      </c>
      <c r="H72" s="30">
        <f t="shared" si="16"/>
        <v>2118.1677425312669</v>
      </c>
      <c r="J72" s="254"/>
      <c r="K72" s="253"/>
    </row>
    <row r="73" spans="1:11" x14ac:dyDescent="0.2">
      <c r="A73" s="134">
        <f t="shared" si="8"/>
        <v>65</v>
      </c>
      <c r="B73" s="258" t="str">
        <f t="shared" si="17"/>
        <v>53E</v>
      </c>
      <c r="C73" s="168" t="s">
        <v>14</v>
      </c>
      <c r="D73" s="255" t="s">
        <v>20</v>
      </c>
      <c r="E73" s="296">
        <v>4.43</v>
      </c>
      <c r="F73" s="33">
        <f t="shared" si="15"/>
        <v>0.14418936036899868</v>
      </c>
      <c r="G73" s="42">
        <v>5552</v>
      </c>
      <c r="H73" s="30">
        <f t="shared" si="16"/>
        <v>800.53932876868066</v>
      </c>
      <c r="J73" s="254"/>
      <c r="K73" s="253"/>
    </row>
    <row r="74" spans="1:11" x14ac:dyDescent="0.2">
      <c r="A74" s="134">
        <f t="shared" ref="A74:A105" si="18">+A73+1</f>
        <v>66</v>
      </c>
      <c r="B74" s="258" t="str">
        <f t="shared" si="17"/>
        <v>53E</v>
      </c>
      <c r="C74" s="168" t="s">
        <v>14</v>
      </c>
      <c r="D74" s="255" t="s">
        <v>21</v>
      </c>
      <c r="E74" s="296">
        <v>5.12</v>
      </c>
      <c r="F74" s="33">
        <f t="shared" si="15"/>
        <v>0.16664774832714974</v>
      </c>
      <c r="G74" s="42">
        <v>778</v>
      </c>
      <c r="H74" s="30">
        <f t="shared" si="16"/>
        <v>129.65194819852249</v>
      </c>
      <c r="J74" s="254"/>
      <c r="K74" s="253"/>
    </row>
    <row r="75" spans="1:11" x14ac:dyDescent="0.2">
      <c r="A75" s="134">
        <f t="shared" si="18"/>
        <v>67</v>
      </c>
      <c r="B75" s="258" t="str">
        <f t="shared" si="17"/>
        <v>53E</v>
      </c>
      <c r="C75" s="168" t="s">
        <v>14</v>
      </c>
      <c r="D75" s="255" t="s">
        <v>22</v>
      </c>
      <c r="E75" s="296">
        <v>5.8</v>
      </c>
      <c r="F75" s="33">
        <f t="shared" si="15"/>
        <v>0.1887806524018493</v>
      </c>
      <c r="G75" s="42">
        <v>290</v>
      </c>
      <c r="H75" s="30">
        <f t="shared" si="16"/>
        <v>54.746389196536299</v>
      </c>
      <c r="J75" s="254"/>
      <c r="K75" s="253"/>
    </row>
    <row r="76" spans="1:11" x14ac:dyDescent="0.2">
      <c r="A76" s="134">
        <f t="shared" si="18"/>
        <v>68</v>
      </c>
      <c r="B76" s="258" t="str">
        <f t="shared" si="17"/>
        <v>53E</v>
      </c>
      <c r="C76" s="168" t="s">
        <v>14</v>
      </c>
      <c r="D76" s="255" t="s">
        <v>23</v>
      </c>
      <c r="E76" s="296">
        <v>6.48</v>
      </c>
      <c r="F76" s="33">
        <f t="shared" si="15"/>
        <v>0.21091355647654889</v>
      </c>
      <c r="G76" s="42">
        <v>1790</v>
      </c>
      <c r="H76" s="30">
        <f t="shared" si="16"/>
        <v>377.53526609302253</v>
      </c>
      <c r="J76" s="254"/>
      <c r="K76" s="253"/>
    </row>
    <row r="77" spans="1:11" x14ac:dyDescent="0.2">
      <c r="A77" s="134">
        <f t="shared" si="18"/>
        <v>69</v>
      </c>
      <c r="B77" s="258" t="s">
        <v>192</v>
      </c>
      <c r="C77" s="168" t="s">
        <v>46</v>
      </c>
      <c r="D77" s="261" t="s">
        <v>53</v>
      </c>
      <c r="E77" s="324">
        <v>6.4988000000000004E-2</v>
      </c>
      <c r="F77" s="324">
        <f>'Rate Impacts'!I33</f>
        <v>1.946E-3</v>
      </c>
      <c r="G77" s="42">
        <v>2016760</v>
      </c>
      <c r="H77" s="30">
        <f t="shared" si="16"/>
        <v>3924.6149599999999</v>
      </c>
      <c r="J77" s="254"/>
      <c r="K77" s="253"/>
    </row>
    <row r="78" spans="1:11" x14ac:dyDescent="0.2">
      <c r="A78" s="134">
        <f t="shared" si="18"/>
        <v>70</v>
      </c>
      <c r="B78" s="256"/>
      <c r="C78" s="168"/>
      <c r="D78" s="255"/>
      <c r="E78" s="296"/>
      <c r="F78" s="33"/>
      <c r="G78" s="42"/>
      <c r="H78" s="29"/>
      <c r="J78" s="254"/>
      <c r="K78" s="253"/>
    </row>
    <row r="79" spans="1:11" ht="13.5" x14ac:dyDescent="0.35">
      <c r="A79" s="134">
        <f t="shared" si="18"/>
        <v>71</v>
      </c>
      <c r="B79" s="259" t="s">
        <v>130</v>
      </c>
      <c r="D79" s="176"/>
      <c r="E79" s="296"/>
      <c r="F79" s="33"/>
      <c r="G79" s="42"/>
      <c r="H79" s="29"/>
      <c r="J79" s="254"/>
      <c r="K79" s="253"/>
    </row>
    <row r="80" spans="1:11" x14ac:dyDescent="0.2">
      <c r="A80" s="134">
        <f t="shared" si="18"/>
        <v>72</v>
      </c>
      <c r="B80" s="258" t="s">
        <v>26</v>
      </c>
      <c r="C80" s="168" t="s">
        <v>9</v>
      </c>
      <c r="D80" s="255">
        <v>50</v>
      </c>
      <c r="E80" s="296">
        <v>1.1299999999999999</v>
      </c>
      <c r="F80" s="33">
        <f t="shared" ref="F80:F88" si="19">E80*$H$168</f>
        <v>3.6779678830015462E-2</v>
      </c>
      <c r="G80" s="42">
        <v>422</v>
      </c>
      <c r="H80" s="30">
        <f t="shared" ref="H80:H88" si="20">F80*G80</f>
        <v>15.521024466266525</v>
      </c>
      <c r="J80" s="254"/>
      <c r="K80" s="253"/>
    </row>
    <row r="81" spans="1:11" x14ac:dyDescent="0.2">
      <c r="A81" s="134">
        <f t="shared" si="18"/>
        <v>73</v>
      </c>
      <c r="B81" s="258" t="str">
        <f t="shared" ref="B81:B88" si="21">+B80</f>
        <v>54E</v>
      </c>
      <c r="C81" s="168" t="s">
        <v>9</v>
      </c>
      <c r="D81" s="255">
        <v>70</v>
      </c>
      <c r="E81" s="296">
        <v>1.6</v>
      </c>
      <c r="F81" s="33">
        <f t="shared" si="19"/>
        <v>5.2077421352234289E-2</v>
      </c>
      <c r="G81" s="42">
        <v>1778</v>
      </c>
      <c r="H81" s="30">
        <f t="shared" si="20"/>
        <v>92.593655164272562</v>
      </c>
      <c r="J81" s="254"/>
      <c r="K81" s="253"/>
    </row>
    <row r="82" spans="1:11" x14ac:dyDescent="0.2">
      <c r="A82" s="134">
        <f t="shared" si="18"/>
        <v>74</v>
      </c>
      <c r="B82" s="258" t="str">
        <f t="shared" si="21"/>
        <v>54E</v>
      </c>
      <c r="C82" s="168" t="s">
        <v>9</v>
      </c>
      <c r="D82" s="255">
        <v>100</v>
      </c>
      <c r="E82" s="296">
        <v>2.2799999999999998</v>
      </c>
      <c r="F82" s="33">
        <f t="shared" si="19"/>
        <v>7.4210325426933857E-2</v>
      </c>
      <c r="G82" s="42">
        <v>9944</v>
      </c>
      <c r="H82" s="30">
        <f t="shared" si="20"/>
        <v>737.94747604543022</v>
      </c>
      <c r="J82" s="254"/>
      <c r="K82" s="253"/>
    </row>
    <row r="83" spans="1:11" x14ac:dyDescent="0.2">
      <c r="A83" s="134">
        <f t="shared" si="18"/>
        <v>75</v>
      </c>
      <c r="B83" s="258" t="str">
        <f t="shared" si="21"/>
        <v>54E</v>
      </c>
      <c r="C83" s="168" t="s">
        <v>9</v>
      </c>
      <c r="D83" s="255">
        <v>150</v>
      </c>
      <c r="E83" s="296">
        <v>3.41</v>
      </c>
      <c r="F83" s="33">
        <f t="shared" si="19"/>
        <v>0.11099000425694933</v>
      </c>
      <c r="G83" s="42">
        <v>3449</v>
      </c>
      <c r="H83" s="30">
        <f t="shared" si="20"/>
        <v>382.80452468221824</v>
      </c>
      <c r="J83" s="254"/>
      <c r="K83" s="253"/>
    </row>
    <row r="84" spans="1:11" x14ac:dyDescent="0.2">
      <c r="A84" s="134">
        <f t="shared" si="18"/>
        <v>76</v>
      </c>
      <c r="B84" s="258" t="str">
        <f t="shared" si="21"/>
        <v>54E</v>
      </c>
      <c r="C84" s="168" t="s">
        <v>9</v>
      </c>
      <c r="D84" s="255">
        <v>200</v>
      </c>
      <c r="E84" s="296">
        <v>4.55</v>
      </c>
      <c r="F84" s="33">
        <f t="shared" si="19"/>
        <v>0.14809516697041625</v>
      </c>
      <c r="G84" s="42">
        <v>3300</v>
      </c>
      <c r="H84" s="30">
        <f t="shared" si="20"/>
        <v>488.71405100237359</v>
      </c>
      <c r="J84" s="254"/>
      <c r="K84" s="253"/>
    </row>
    <row r="85" spans="1:11" x14ac:dyDescent="0.2">
      <c r="A85" s="134">
        <f t="shared" si="18"/>
        <v>77</v>
      </c>
      <c r="B85" s="258" t="str">
        <f t="shared" si="21"/>
        <v>54E</v>
      </c>
      <c r="C85" s="168" t="s">
        <v>9</v>
      </c>
      <c r="D85" s="255">
        <v>250</v>
      </c>
      <c r="E85" s="296">
        <v>5.68</v>
      </c>
      <c r="F85" s="33">
        <f t="shared" si="19"/>
        <v>0.1848748458004317</v>
      </c>
      <c r="G85" s="42">
        <v>3581</v>
      </c>
      <c r="H85" s="30">
        <f t="shared" si="20"/>
        <v>662.03682281134593</v>
      </c>
      <c r="J85" s="254"/>
      <c r="K85" s="253"/>
    </row>
    <row r="86" spans="1:11" x14ac:dyDescent="0.2">
      <c r="A86" s="134">
        <f t="shared" si="18"/>
        <v>78</v>
      </c>
      <c r="B86" s="258" t="str">
        <f t="shared" si="21"/>
        <v>54E</v>
      </c>
      <c r="C86" s="168" t="s">
        <v>9</v>
      </c>
      <c r="D86" s="255">
        <v>310</v>
      </c>
      <c r="E86" s="296">
        <v>7.05</v>
      </c>
      <c r="F86" s="33">
        <f t="shared" si="19"/>
        <v>0.22946613783328232</v>
      </c>
      <c r="G86" s="42">
        <v>670</v>
      </c>
      <c r="H86" s="30">
        <f t="shared" si="20"/>
        <v>153.74231234829915</v>
      </c>
      <c r="J86" s="254"/>
      <c r="K86" s="253"/>
    </row>
    <row r="87" spans="1:11" x14ac:dyDescent="0.2">
      <c r="A87" s="134">
        <f t="shared" si="18"/>
        <v>79</v>
      </c>
      <c r="B87" s="258" t="str">
        <f t="shared" si="21"/>
        <v>54E</v>
      </c>
      <c r="C87" s="168" t="s">
        <v>9</v>
      </c>
      <c r="D87" s="255">
        <v>400</v>
      </c>
      <c r="E87" s="296">
        <v>9.1</v>
      </c>
      <c r="F87" s="33">
        <f t="shared" si="19"/>
        <v>0.2961903339408325</v>
      </c>
      <c r="G87" s="42">
        <v>6770</v>
      </c>
      <c r="H87" s="30">
        <f t="shared" si="20"/>
        <v>2005.2085607794361</v>
      </c>
      <c r="J87" s="254"/>
      <c r="K87" s="253"/>
    </row>
    <row r="88" spans="1:11" x14ac:dyDescent="0.2">
      <c r="A88" s="134">
        <f t="shared" si="18"/>
        <v>80</v>
      </c>
      <c r="B88" s="258" t="str">
        <f t="shared" si="21"/>
        <v>54E</v>
      </c>
      <c r="C88" s="168" t="s">
        <v>9</v>
      </c>
      <c r="D88" s="255">
        <v>1000</v>
      </c>
      <c r="E88" s="296">
        <v>22.74</v>
      </c>
      <c r="F88" s="33">
        <f t="shared" si="19"/>
        <v>0.7401503509686298</v>
      </c>
      <c r="G88" s="42">
        <v>0</v>
      </c>
      <c r="H88" s="30">
        <f t="shared" si="20"/>
        <v>0</v>
      </c>
      <c r="J88" s="254"/>
      <c r="K88" s="253"/>
    </row>
    <row r="89" spans="1:11" x14ac:dyDescent="0.2">
      <c r="A89" s="134">
        <f t="shared" si="18"/>
        <v>81</v>
      </c>
      <c r="B89" s="256"/>
      <c r="C89" s="168"/>
      <c r="D89" s="255"/>
      <c r="E89" s="296"/>
      <c r="F89" s="33"/>
      <c r="G89" s="42"/>
      <c r="H89" s="29"/>
      <c r="J89" s="254"/>
      <c r="K89" s="253"/>
    </row>
    <row r="90" spans="1:11" x14ac:dyDescent="0.2">
      <c r="A90" s="134">
        <f t="shared" si="18"/>
        <v>82</v>
      </c>
      <c r="B90" s="258" t="str">
        <f>+B87</f>
        <v>54E</v>
      </c>
      <c r="C90" s="168" t="s">
        <v>14</v>
      </c>
      <c r="D90" s="257" t="s">
        <v>47</v>
      </c>
      <c r="E90" s="296">
        <v>0.33999999999999997</v>
      </c>
      <c r="F90" s="33">
        <f t="shared" ref="F90:F99" si="22">E90*$H$168</f>
        <v>1.1066452037349786E-2</v>
      </c>
      <c r="G90" s="42">
        <v>2764</v>
      </c>
      <c r="H90" s="30">
        <f t="shared" ref="H90:H99" si="23">F90*G90</f>
        <v>30.587673431234808</v>
      </c>
      <c r="J90" s="254"/>
      <c r="K90" s="253"/>
    </row>
    <row r="91" spans="1:11" x14ac:dyDescent="0.2">
      <c r="A91" s="134">
        <f t="shared" si="18"/>
        <v>83</v>
      </c>
      <c r="B91" s="258" t="str">
        <f>+B88</f>
        <v>54E</v>
      </c>
      <c r="C91" s="168" t="s">
        <v>14</v>
      </c>
      <c r="D91" s="257" t="s">
        <v>15</v>
      </c>
      <c r="E91" s="296">
        <v>1.02</v>
      </c>
      <c r="F91" s="33">
        <f t="shared" si="22"/>
        <v>3.3199356112049362E-2</v>
      </c>
      <c r="G91" s="42">
        <v>31614</v>
      </c>
      <c r="H91" s="30">
        <f t="shared" si="23"/>
        <v>1049.5644441263285</v>
      </c>
      <c r="J91" s="254"/>
      <c r="K91" s="253"/>
    </row>
    <row r="92" spans="1:11" x14ac:dyDescent="0.2">
      <c r="A92" s="134">
        <f t="shared" si="18"/>
        <v>84</v>
      </c>
      <c r="B92" s="258" t="str">
        <f t="shared" ref="B92:B99" si="24">+B91</f>
        <v>54E</v>
      </c>
      <c r="C92" s="168" t="s">
        <v>14</v>
      </c>
      <c r="D92" s="255" t="s">
        <v>16</v>
      </c>
      <c r="E92" s="296">
        <v>1.7</v>
      </c>
      <c r="F92" s="33">
        <f t="shared" si="22"/>
        <v>5.533226018674893E-2</v>
      </c>
      <c r="G92" s="42">
        <v>2651</v>
      </c>
      <c r="H92" s="30">
        <f t="shared" si="23"/>
        <v>146.6858217550714</v>
      </c>
      <c r="J92" s="254"/>
      <c r="K92" s="253"/>
    </row>
    <row r="93" spans="1:11" x14ac:dyDescent="0.2">
      <c r="A93" s="134">
        <f t="shared" si="18"/>
        <v>85</v>
      </c>
      <c r="B93" s="258" t="str">
        <f t="shared" si="24"/>
        <v>54E</v>
      </c>
      <c r="C93" s="168" t="s">
        <v>14</v>
      </c>
      <c r="D93" s="255" t="s">
        <v>17</v>
      </c>
      <c r="E93" s="296">
        <v>2.38</v>
      </c>
      <c r="F93" s="33">
        <f t="shared" si="22"/>
        <v>7.7465164261448505E-2</v>
      </c>
      <c r="G93" s="42">
        <v>35407</v>
      </c>
      <c r="H93" s="30">
        <f t="shared" si="23"/>
        <v>2742.8090710051074</v>
      </c>
      <c r="J93" s="254"/>
      <c r="K93" s="253"/>
    </row>
    <row r="94" spans="1:11" x14ac:dyDescent="0.2">
      <c r="A94" s="134">
        <f t="shared" si="18"/>
        <v>86</v>
      </c>
      <c r="B94" s="258" t="str">
        <f t="shared" si="24"/>
        <v>54E</v>
      </c>
      <c r="C94" s="168" t="s">
        <v>14</v>
      </c>
      <c r="D94" s="255" t="s">
        <v>18</v>
      </c>
      <c r="E94" s="296">
        <v>3.0700000000000003</v>
      </c>
      <c r="F94" s="33">
        <f t="shared" si="22"/>
        <v>9.9923552219599546E-2</v>
      </c>
      <c r="G94" s="42">
        <v>12747</v>
      </c>
      <c r="H94" s="30">
        <f t="shared" si="23"/>
        <v>1273.7255201432354</v>
      </c>
      <c r="J94" s="254"/>
      <c r="K94" s="253"/>
    </row>
    <row r="95" spans="1:11" x14ac:dyDescent="0.2">
      <c r="A95" s="134">
        <f t="shared" si="18"/>
        <v>87</v>
      </c>
      <c r="B95" s="258" t="str">
        <f t="shared" si="24"/>
        <v>54E</v>
      </c>
      <c r="C95" s="168" t="s">
        <v>14</v>
      </c>
      <c r="D95" s="255" t="s">
        <v>19</v>
      </c>
      <c r="E95" s="296">
        <v>3.75</v>
      </c>
      <c r="F95" s="33">
        <f t="shared" si="22"/>
        <v>0.12205645629429911</v>
      </c>
      <c r="G95" s="42">
        <v>5352</v>
      </c>
      <c r="H95" s="30">
        <f t="shared" si="23"/>
        <v>653.24615408708883</v>
      </c>
      <c r="J95" s="254"/>
      <c r="K95" s="253"/>
    </row>
    <row r="96" spans="1:11" x14ac:dyDescent="0.2">
      <c r="A96" s="134">
        <f t="shared" si="18"/>
        <v>88</v>
      </c>
      <c r="B96" s="258" t="str">
        <f t="shared" si="24"/>
        <v>54E</v>
      </c>
      <c r="C96" s="168" t="s">
        <v>14</v>
      </c>
      <c r="D96" s="255" t="s">
        <v>20</v>
      </c>
      <c r="E96" s="296">
        <v>4.43</v>
      </c>
      <c r="F96" s="33">
        <f t="shared" si="22"/>
        <v>0.14418936036899868</v>
      </c>
      <c r="G96" s="42">
        <v>1866</v>
      </c>
      <c r="H96" s="30">
        <f t="shared" si="23"/>
        <v>269.05734644855153</v>
      </c>
      <c r="J96" s="254"/>
      <c r="K96" s="253"/>
    </row>
    <row r="97" spans="1:11" x14ac:dyDescent="0.2">
      <c r="A97" s="134">
        <f t="shared" si="18"/>
        <v>89</v>
      </c>
      <c r="B97" s="258" t="str">
        <f t="shared" si="24"/>
        <v>54E</v>
      </c>
      <c r="C97" s="168" t="s">
        <v>14</v>
      </c>
      <c r="D97" s="255" t="s">
        <v>21</v>
      </c>
      <c r="E97" s="296">
        <v>5.12</v>
      </c>
      <c r="F97" s="33">
        <f t="shared" si="22"/>
        <v>0.16664774832714974</v>
      </c>
      <c r="G97" s="42">
        <v>468</v>
      </c>
      <c r="H97" s="30">
        <f t="shared" si="23"/>
        <v>77.991146217106078</v>
      </c>
      <c r="J97" s="254"/>
      <c r="K97" s="253"/>
    </row>
    <row r="98" spans="1:11" x14ac:dyDescent="0.2">
      <c r="A98" s="134">
        <f t="shared" si="18"/>
        <v>90</v>
      </c>
      <c r="B98" s="258" t="str">
        <f t="shared" si="24"/>
        <v>54E</v>
      </c>
      <c r="C98" s="168" t="s">
        <v>14</v>
      </c>
      <c r="D98" s="255" t="s">
        <v>22</v>
      </c>
      <c r="E98" s="296">
        <v>5.8</v>
      </c>
      <c r="F98" s="33">
        <f t="shared" si="22"/>
        <v>0.1887806524018493</v>
      </c>
      <c r="G98" s="42">
        <v>47</v>
      </c>
      <c r="H98" s="30">
        <f t="shared" si="23"/>
        <v>8.8726906628869173</v>
      </c>
      <c r="J98" s="254"/>
      <c r="K98" s="253"/>
    </row>
    <row r="99" spans="1:11" x14ac:dyDescent="0.2">
      <c r="A99" s="134">
        <f t="shared" si="18"/>
        <v>91</v>
      </c>
      <c r="B99" s="258" t="str">
        <f t="shared" si="24"/>
        <v>54E</v>
      </c>
      <c r="C99" s="168" t="s">
        <v>14</v>
      </c>
      <c r="D99" s="255" t="s">
        <v>23</v>
      </c>
      <c r="E99" s="296">
        <v>6.48</v>
      </c>
      <c r="F99" s="33">
        <f t="shared" si="22"/>
        <v>0.21091355647654889</v>
      </c>
      <c r="G99" s="297">
        <v>0</v>
      </c>
      <c r="H99" s="30">
        <f t="shared" si="23"/>
        <v>0</v>
      </c>
      <c r="J99" s="254"/>
      <c r="K99" s="253"/>
    </row>
    <row r="100" spans="1:11" x14ac:dyDescent="0.2">
      <c r="A100" s="134">
        <f t="shared" si="18"/>
        <v>92</v>
      </c>
      <c r="B100" s="256"/>
      <c r="C100" s="168"/>
      <c r="D100" s="255"/>
      <c r="E100" s="296"/>
      <c r="F100" s="33"/>
      <c r="G100" s="42"/>
      <c r="H100" s="29"/>
      <c r="J100" s="254"/>
      <c r="K100" s="253"/>
    </row>
    <row r="101" spans="1:11" ht="13.5" x14ac:dyDescent="0.35">
      <c r="A101" s="134">
        <f t="shared" si="18"/>
        <v>93</v>
      </c>
      <c r="B101" s="259" t="s">
        <v>27</v>
      </c>
      <c r="C101" s="168"/>
      <c r="D101" s="255"/>
      <c r="E101" s="296"/>
      <c r="F101" s="33"/>
      <c r="G101" s="42"/>
      <c r="H101" s="29"/>
      <c r="J101" s="254"/>
      <c r="K101" s="253"/>
    </row>
    <row r="102" spans="1:11" x14ac:dyDescent="0.2">
      <c r="A102" s="134">
        <f t="shared" si="18"/>
        <v>94</v>
      </c>
      <c r="B102" s="258" t="s">
        <v>28</v>
      </c>
      <c r="C102" s="168" t="s">
        <v>9</v>
      </c>
      <c r="D102" s="255">
        <v>70</v>
      </c>
      <c r="E102" s="296">
        <v>1.6</v>
      </c>
      <c r="F102" s="33">
        <f t="shared" ref="F102:F107" si="25">E102*$H$168</f>
        <v>5.2077421352234289E-2</v>
      </c>
      <c r="G102" s="42">
        <v>163</v>
      </c>
      <c r="H102" s="30">
        <f t="shared" ref="H102:H107" si="26">F102*G102</f>
        <v>8.4886196804141889</v>
      </c>
      <c r="J102" s="254"/>
      <c r="K102" s="253"/>
    </row>
    <row r="103" spans="1:11" x14ac:dyDescent="0.2">
      <c r="A103" s="134">
        <f t="shared" si="18"/>
        <v>95</v>
      </c>
      <c r="B103" s="256" t="str">
        <f>+B102</f>
        <v>55E &amp; 56E</v>
      </c>
      <c r="C103" s="168" t="s">
        <v>9</v>
      </c>
      <c r="D103" s="255">
        <v>100</v>
      </c>
      <c r="E103" s="296">
        <v>2.2799999999999998</v>
      </c>
      <c r="F103" s="33">
        <f t="shared" si="25"/>
        <v>7.4210325426933857E-2</v>
      </c>
      <c r="G103" s="42">
        <v>40180</v>
      </c>
      <c r="H103" s="30">
        <f t="shared" si="26"/>
        <v>2981.7708756542024</v>
      </c>
      <c r="J103" s="254"/>
      <c r="K103" s="253"/>
    </row>
    <row r="104" spans="1:11" x14ac:dyDescent="0.2">
      <c r="A104" s="134">
        <f t="shared" si="18"/>
        <v>96</v>
      </c>
      <c r="B104" s="256" t="str">
        <f>+B103</f>
        <v>55E &amp; 56E</v>
      </c>
      <c r="C104" s="168" t="s">
        <v>9</v>
      </c>
      <c r="D104" s="255">
        <v>150</v>
      </c>
      <c r="E104" s="296">
        <v>3.42</v>
      </c>
      <c r="F104" s="33">
        <f t="shared" si="25"/>
        <v>0.11131548814040079</v>
      </c>
      <c r="G104" s="42">
        <v>5432</v>
      </c>
      <c r="H104" s="30">
        <f t="shared" si="26"/>
        <v>604.66573157865707</v>
      </c>
      <c r="J104" s="254"/>
      <c r="K104" s="253"/>
    </row>
    <row r="105" spans="1:11" x14ac:dyDescent="0.2">
      <c r="A105" s="134">
        <f t="shared" si="18"/>
        <v>97</v>
      </c>
      <c r="B105" s="256" t="str">
        <f>+B104</f>
        <v>55E &amp; 56E</v>
      </c>
      <c r="C105" s="168" t="s">
        <v>9</v>
      </c>
      <c r="D105" s="255">
        <v>200</v>
      </c>
      <c r="E105" s="296">
        <v>4.5599999999999996</v>
      </c>
      <c r="F105" s="33">
        <f t="shared" si="25"/>
        <v>0.14842065085386771</v>
      </c>
      <c r="G105" s="42">
        <v>11220</v>
      </c>
      <c r="H105" s="30">
        <f t="shared" si="26"/>
        <v>1665.2797025803957</v>
      </c>
      <c r="J105" s="254"/>
      <c r="K105" s="253"/>
    </row>
    <row r="106" spans="1:11" x14ac:dyDescent="0.2">
      <c r="A106" s="134">
        <f t="shared" ref="A106:A137" si="27">+A105+1</f>
        <v>98</v>
      </c>
      <c r="B106" s="256" t="str">
        <f>+B105</f>
        <v>55E &amp; 56E</v>
      </c>
      <c r="C106" s="168" t="s">
        <v>9</v>
      </c>
      <c r="D106" s="255">
        <v>250</v>
      </c>
      <c r="E106" s="296">
        <v>5.6999999999999993</v>
      </c>
      <c r="F106" s="33">
        <f t="shared" si="25"/>
        <v>0.18552581356733464</v>
      </c>
      <c r="G106" s="42">
        <v>1183</v>
      </c>
      <c r="H106" s="30">
        <f t="shared" si="26"/>
        <v>219.47703745015687</v>
      </c>
      <c r="J106" s="254"/>
      <c r="K106" s="253"/>
    </row>
    <row r="107" spans="1:11" x14ac:dyDescent="0.2">
      <c r="A107" s="134">
        <f t="shared" si="27"/>
        <v>99</v>
      </c>
      <c r="B107" s="256" t="str">
        <f>+B106</f>
        <v>55E &amp; 56E</v>
      </c>
      <c r="C107" s="168" t="s">
        <v>9</v>
      </c>
      <c r="D107" s="255">
        <v>400</v>
      </c>
      <c r="E107" s="296">
        <v>9.1199999999999992</v>
      </c>
      <c r="F107" s="33">
        <f t="shared" si="25"/>
        <v>0.29684130170773543</v>
      </c>
      <c r="G107" s="42">
        <v>414</v>
      </c>
      <c r="H107" s="30">
        <f t="shared" si="26"/>
        <v>122.89229890700247</v>
      </c>
      <c r="J107" s="254"/>
      <c r="K107" s="253"/>
    </row>
    <row r="108" spans="1:11" x14ac:dyDescent="0.2">
      <c r="A108" s="134">
        <f t="shared" si="27"/>
        <v>100</v>
      </c>
      <c r="B108" s="256"/>
      <c r="C108" s="168"/>
      <c r="D108" s="255"/>
      <c r="E108" s="296"/>
      <c r="F108" s="33"/>
      <c r="G108" s="42"/>
      <c r="H108" s="29"/>
      <c r="J108" s="254"/>
      <c r="K108" s="253"/>
    </row>
    <row r="109" spans="1:11" x14ac:dyDescent="0.2">
      <c r="A109" s="134">
        <f t="shared" si="27"/>
        <v>101</v>
      </c>
      <c r="B109" s="256" t="str">
        <f>+B107</f>
        <v>55E &amp; 56E</v>
      </c>
      <c r="C109" s="168" t="s">
        <v>25</v>
      </c>
      <c r="D109" s="255">
        <v>250</v>
      </c>
      <c r="E109" s="296">
        <v>5.6999999999999993</v>
      </c>
      <c r="F109" s="33">
        <f>E109*$H$168</f>
        <v>0.18552581356733464</v>
      </c>
      <c r="G109" s="42">
        <v>80</v>
      </c>
      <c r="H109" s="30">
        <f>F109*G109</f>
        <v>14.842065085386771</v>
      </c>
      <c r="J109" s="254"/>
      <c r="K109" s="253"/>
    </row>
    <row r="110" spans="1:11" x14ac:dyDescent="0.2">
      <c r="A110" s="134">
        <f t="shared" si="27"/>
        <v>102</v>
      </c>
      <c r="B110" s="256"/>
      <c r="C110" s="168"/>
      <c r="D110" s="255"/>
      <c r="E110" s="296"/>
      <c r="F110" s="33"/>
      <c r="G110" s="42"/>
      <c r="H110" s="29"/>
      <c r="J110" s="254"/>
      <c r="K110" s="253"/>
    </row>
    <row r="111" spans="1:11" x14ac:dyDescent="0.2">
      <c r="A111" s="134">
        <f t="shared" si="27"/>
        <v>103</v>
      </c>
      <c r="B111" s="256" t="s">
        <v>28</v>
      </c>
      <c r="C111" s="168" t="s">
        <v>14</v>
      </c>
      <c r="D111" s="176" t="s">
        <v>51</v>
      </c>
      <c r="E111" s="296">
        <v>0.35</v>
      </c>
      <c r="F111" s="33">
        <f t="shared" ref="F111:F120" si="28">E111*$H$168</f>
        <v>1.139193592080125E-2</v>
      </c>
      <c r="G111" s="42">
        <v>41</v>
      </c>
      <c r="H111" s="30">
        <f t="shared" ref="H111:H120" si="29">F111*G111</f>
        <v>0.46706937275285126</v>
      </c>
      <c r="J111" s="254"/>
      <c r="K111" s="253"/>
    </row>
    <row r="112" spans="1:11" x14ac:dyDescent="0.2">
      <c r="A112" s="134">
        <f t="shared" si="27"/>
        <v>104</v>
      </c>
      <c r="B112" s="256" t="s">
        <v>28</v>
      </c>
      <c r="C112" s="168" t="s">
        <v>14</v>
      </c>
      <c r="D112" s="257" t="s">
        <v>15</v>
      </c>
      <c r="E112" s="296">
        <v>1.03</v>
      </c>
      <c r="F112" s="33">
        <f t="shared" si="28"/>
        <v>3.3524839995500821E-2</v>
      </c>
      <c r="G112" s="42">
        <v>9512</v>
      </c>
      <c r="H112" s="30">
        <f t="shared" si="29"/>
        <v>318.8882780372038</v>
      </c>
      <c r="J112" s="254"/>
      <c r="K112" s="253"/>
    </row>
    <row r="113" spans="1:11" x14ac:dyDescent="0.2">
      <c r="A113" s="134">
        <f t="shared" si="27"/>
        <v>105</v>
      </c>
      <c r="B113" s="256" t="s">
        <v>28</v>
      </c>
      <c r="C113" s="168" t="s">
        <v>14</v>
      </c>
      <c r="D113" s="255" t="s">
        <v>16</v>
      </c>
      <c r="E113" s="296">
        <v>1.71</v>
      </c>
      <c r="F113" s="33">
        <f t="shared" si="28"/>
        <v>5.5657744070200396E-2</v>
      </c>
      <c r="G113" s="42">
        <v>404</v>
      </c>
      <c r="H113" s="30">
        <f t="shared" si="29"/>
        <v>22.485728604360961</v>
      </c>
      <c r="J113" s="254"/>
      <c r="K113" s="253"/>
    </row>
    <row r="114" spans="1:11" x14ac:dyDescent="0.2">
      <c r="A114" s="134">
        <f t="shared" si="27"/>
        <v>106</v>
      </c>
      <c r="B114" s="256" t="s">
        <v>28</v>
      </c>
      <c r="C114" s="168" t="s">
        <v>14</v>
      </c>
      <c r="D114" s="255" t="s">
        <v>17</v>
      </c>
      <c r="E114" s="296">
        <v>2.39</v>
      </c>
      <c r="F114" s="33">
        <f t="shared" si="28"/>
        <v>7.7790648144899971E-2</v>
      </c>
      <c r="G114" s="42">
        <v>2079</v>
      </c>
      <c r="H114" s="30">
        <f t="shared" si="29"/>
        <v>161.72675749324705</v>
      </c>
      <c r="J114" s="254"/>
      <c r="K114" s="253"/>
    </row>
    <row r="115" spans="1:11" x14ac:dyDescent="0.2">
      <c r="A115" s="134">
        <f t="shared" si="27"/>
        <v>107</v>
      </c>
      <c r="B115" s="256" t="s">
        <v>28</v>
      </c>
      <c r="C115" s="168" t="s">
        <v>14</v>
      </c>
      <c r="D115" s="255" t="s">
        <v>18</v>
      </c>
      <c r="E115" s="296">
        <v>3.08</v>
      </c>
      <c r="F115" s="33">
        <f t="shared" si="28"/>
        <v>0.10024903610305101</v>
      </c>
      <c r="G115" s="42">
        <v>0</v>
      </c>
      <c r="H115" s="30">
        <f t="shared" si="29"/>
        <v>0</v>
      </c>
      <c r="J115" s="254"/>
      <c r="K115" s="253"/>
    </row>
    <row r="116" spans="1:11" x14ac:dyDescent="0.2">
      <c r="A116" s="134">
        <f t="shared" si="27"/>
        <v>108</v>
      </c>
      <c r="B116" s="256" t="s">
        <v>28</v>
      </c>
      <c r="C116" s="168" t="s">
        <v>14</v>
      </c>
      <c r="D116" s="255" t="s">
        <v>19</v>
      </c>
      <c r="E116" s="296">
        <v>3.76</v>
      </c>
      <c r="F116" s="33">
        <f t="shared" si="28"/>
        <v>0.12238194017775057</v>
      </c>
      <c r="G116" s="42">
        <v>0</v>
      </c>
      <c r="H116" s="30">
        <f t="shared" si="29"/>
        <v>0</v>
      </c>
      <c r="J116" s="254"/>
      <c r="K116" s="253"/>
    </row>
    <row r="117" spans="1:11" x14ac:dyDescent="0.2">
      <c r="A117" s="134">
        <f t="shared" si="27"/>
        <v>109</v>
      </c>
      <c r="B117" s="256" t="s">
        <v>28</v>
      </c>
      <c r="C117" s="168" t="s">
        <v>14</v>
      </c>
      <c r="D117" s="255" t="s">
        <v>20</v>
      </c>
      <c r="E117" s="296">
        <v>4.4400000000000004</v>
      </c>
      <c r="F117" s="33">
        <f t="shared" si="28"/>
        <v>0.14451484425245015</v>
      </c>
      <c r="G117" s="42">
        <v>0</v>
      </c>
      <c r="H117" s="30">
        <f t="shared" si="29"/>
        <v>0</v>
      </c>
      <c r="J117" s="254"/>
      <c r="K117" s="253"/>
    </row>
    <row r="118" spans="1:11" x14ac:dyDescent="0.2">
      <c r="A118" s="134">
        <f t="shared" si="27"/>
        <v>110</v>
      </c>
      <c r="B118" s="256" t="s">
        <v>28</v>
      </c>
      <c r="C118" s="168" t="s">
        <v>14</v>
      </c>
      <c r="D118" s="255" t="s">
        <v>21</v>
      </c>
      <c r="E118" s="296">
        <v>5.13</v>
      </c>
      <c r="F118" s="33">
        <f t="shared" si="28"/>
        <v>0.16697323221060117</v>
      </c>
      <c r="G118" s="42">
        <v>0</v>
      </c>
      <c r="H118" s="30">
        <f t="shared" si="29"/>
        <v>0</v>
      </c>
      <c r="J118" s="254"/>
      <c r="K118" s="253"/>
    </row>
    <row r="119" spans="1:11" x14ac:dyDescent="0.2">
      <c r="A119" s="134">
        <f t="shared" si="27"/>
        <v>111</v>
      </c>
      <c r="B119" s="256" t="s">
        <v>28</v>
      </c>
      <c r="C119" s="168" t="s">
        <v>14</v>
      </c>
      <c r="D119" s="255" t="s">
        <v>22</v>
      </c>
      <c r="E119" s="296">
        <v>5.8100000000000005</v>
      </c>
      <c r="F119" s="33">
        <f t="shared" si="28"/>
        <v>0.18910613628530076</v>
      </c>
      <c r="G119" s="42">
        <v>0</v>
      </c>
      <c r="H119" s="30">
        <f>F119*G119</f>
        <v>0</v>
      </c>
      <c r="J119" s="254"/>
      <c r="K119" s="253"/>
    </row>
    <row r="120" spans="1:11" x14ac:dyDescent="0.2">
      <c r="A120" s="134">
        <f t="shared" si="27"/>
        <v>112</v>
      </c>
      <c r="B120" s="256" t="s">
        <v>28</v>
      </c>
      <c r="C120" s="168" t="s">
        <v>14</v>
      </c>
      <c r="D120" s="255" t="s">
        <v>23</v>
      </c>
      <c r="E120" s="296">
        <v>6.5</v>
      </c>
      <c r="F120" s="33">
        <f t="shared" si="28"/>
        <v>0.21156452424345179</v>
      </c>
      <c r="G120" s="42">
        <v>0</v>
      </c>
      <c r="H120" s="30">
        <f t="shared" si="29"/>
        <v>0</v>
      </c>
      <c r="J120" s="254"/>
      <c r="K120" s="253"/>
    </row>
    <row r="121" spans="1:11" x14ac:dyDescent="0.2">
      <c r="A121" s="134">
        <f t="shared" si="27"/>
        <v>113</v>
      </c>
      <c r="B121" s="256"/>
      <c r="C121" s="168"/>
      <c r="D121" s="255"/>
      <c r="E121" s="296"/>
      <c r="F121" s="33"/>
      <c r="G121" s="42"/>
      <c r="H121" s="29"/>
      <c r="J121" s="254"/>
      <c r="K121" s="253"/>
    </row>
    <row r="122" spans="1:11" ht="13.5" x14ac:dyDescent="0.35">
      <c r="A122" s="134">
        <f t="shared" si="27"/>
        <v>114</v>
      </c>
      <c r="B122" s="259" t="s">
        <v>39</v>
      </c>
      <c r="C122" s="168"/>
      <c r="D122" s="255"/>
      <c r="E122" s="296"/>
      <c r="F122" s="33"/>
      <c r="G122" s="42"/>
      <c r="H122" s="29"/>
      <c r="J122" s="254"/>
      <c r="K122" s="253"/>
    </row>
    <row r="123" spans="1:11" x14ac:dyDescent="0.2">
      <c r="A123" s="134">
        <f t="shared" si="27"/>
        <v>115</v>
      </c>
      <c r="B123" s="256" t="s">
        <v>40</v>
      </c>
      <c r="C123" s="168" t="s">
        <v>41</v>
      </c>
      <c r="D123" s="260">
        <v>0</v>
      </c>
      <c r="E123" s="298">
        <v>4.2689999999999999E-2</v>
      </c>
      <c r="F123" s="299">
        <f>E123*$H$168</f>
        <v>1.3894906984543011E-3</v>
      </c>
      <c r="G123" s="42">
        <v>5266504</v>
      </c>
      <c r="H123" s="30">
        <f>F123*G123</f>
        <v>7317.7583213723701</v>
      </c>
      <c r="J123" s="254"/>
      <c r="K123" s="253"/>
    </row>
    <row r="124" spans="1:11" x14ac:dyDescent="0.2">
      <c r="A124" s="134">
        <f t="shared" si="27"/>
        <v>116</v>
      </c>
      <c r="B124" s="256"/>
      <c r="C124" s="168"/>
      <c r="D124" s="255"/>
      <c r="E124" s="296"/>
      <c r="F124" s="33"/>
      <c r="G124" s="42"/>
      <c r="H124" s="29"/>
      <c r="J124" s="254"/>
      <c r="K124" s="253"/>
    </row>
    <row r="125" spans="1:11" ht="13.5" x14ac:dyDescent="0.35">
      <c r="A125" s="134">
        <f t="shared" si="27"/>
        <v>117</v>
      </c>
      <c r="B125" s="259" t="s">
        <v>29</v>
      </c>
      <c r="C125" s="168"/>
      <c r="D125" s="255"/>
      <c r="E125" s="296"/>
      <c r="F125" s="33"/>
      <c r="G125" s="42"/>
      <c r="H125" s="29"/>
      <c r="J125" s="254"/>
      <c r="K125" s="253"/>
    </row>
    <row r="126" spans="1:11" x14ac:dyDescent="0.2">
      <c r="A126" s="134">
        <f t="shared" si="27"/>
        <v>118</v>
      </c>
      <c r="B126" s="258" t="s">
        <v>30</v>
      </c>
      <c r="C126" s="168" t="s">
        <v>9</v>
      </c>
      <c r="D126" s="255">
        <v>70</v>
      </c>
      <c r="E126" s="296">
        <v>1.6</v>
      </c>
      <c r="F126" s="33">
        <f t="shared" ref="F126:F131" si="30">E126*$H$168</f>
        <v>5.2077421352234289E-2</v>
      </c>
      <c r="G126" s="42">
        <v>584</v>
      </c>
      <c r="H126" s="30">
        <f t="shared" ref="H126:H131" si="31">F126*G126</f>
        <v>30.413214069704825</v>
      </c>
      <c r="J126" s="254"/>
      <c r="K126" s="253"/>
    </row>
    <row r="127" spans="1:11" x14ac:dyDescent="0.2">
      <c r="A127" s="134">
        <f t="shared" si="27"/>
        <v>119</v>
      </c>
      <c r="B127" s="256" t="str">
        <f>+B126</f>
        <v>58E &amp; 59E - Directional</v>
      </c>
      <c r="C127" s="168" t="s">
        <v>9</v>
      </c>
      <c r="D127" s="255">
        <v>100</v>
      </c>
      <c r="E127" s="296">
        <v>2.2799999999999998</v>
      </c>
      <c r="F127" s="33">
        <f t="shared" si="30"/>
        <v>7.4210325426933857E-2</v>
      </c>
      <c r="G127" s="42">
        <v>119</v>
      </c>
      <c r="H127" s="30">
        <f t="shared" si="31"/>
        <v>8.8310287258051297</v>
      </c>
      <c r="J127" s="254"/>
      <c r="K127" s="253"/>
    </row>
    <row r="128" spans="1:11" x14ac:dyDescent="0.2">
      <c r="A128" s="134">
        <f t="shared" si="27"/>
        <v>120</v>
      </c>
      <c r="B128" s="256" t="str">
        <f>+B127</f>
        <v>58E &amp; 59E - Directional</v>
      </c>
      <c r="C128" s="168" t="s">
        <v>9</v>
      </c>
      <c r="D128" s="255">
        <v>150</v>
      </c>
      <c r="E128" s="296">
        <v>3.42</v>
      </c>
      <c r="F128" s="33">
        <f t="shared" si="30"/>
        <v>0.11131548814040079</v>
      </c>
      <c r="G128" s="42">
        <v>1635</v>
      </c>
      <c r="H128" s="30">
        <f t="shared" si="31"/>
        <v>182.00082310955528</v>
      </c>
      <c r="J128" s="254"/>
      <c r="K128" s="253"/>
    </row>
    <row r="129" spans="1:11" x14ac:dyDescent="0.2">
      <c r="A129" s="134">
        <f t="shared" si="27"/>
        <v>121</v>
      </c>
      <c r="B129" s="256" t="str">
        <f>+B128</f>
        <v>58E &amp; 59E - Directional</v>
      </c>
      <c r="C129" s="168" t="s">
        <v>9</v>
      </c>
      <c r="D129" s="255">
        <v>200</v>
      </c>
      <c r="E129" s="296">
        <v>4.5599999999999996</v>
      </c>
      <c r="F129" s="33">
        <f t="shared" si="30"/>
        <v>0.14842065085386771</v>
      </c>
      <c r="G129" s="42">
        <v>2918</v>
      </c>
      <c r="H129" s="30">
        <f t="shared" si="31"/>
        <v>433.09145919158601</v>
      </c>
      <c r="J129" s="254"/>
      <c r="K129" s="253"/>
    </row>
    <row r="130" spans="1:11" x14ac:dyDescent="0.2">
      <c r="A130" s="134">
        <f t="shared" si="27"/>
        <v>122</v>
      </c>
      <c r="B130" s="256" t="str">
        <f>+B129</f>
        <v>58E &amp; 59E - Directional</v>
      </c>
      <c r="C130" s="168" t="s">
        <v>9</v>
      </c>
      <c r="D130" s="255">
        <v>250</v>
      </c>
      <c r="E130" s="296">
        <v>5.6999999999999993</v>
      </c>
      <c r="F130" s="33">
        <f t="shared" si="30"/>
        <v>0.18552581356733464</v>
      </c>
      <c r="G130" s="42">
        <v>441</v>
      </c>
      <c r="H130" s="30">
        <f t="shared" si="31"/>
        <v>81.816883783194569</v>
      </c>
      <c r="J130" s="254"/>
      <c r="K130" s="253"/>
    </row>
    <row r="131" spans="1:11" x14ac:dyDescent="0.2">
      <c r="A131" s="134">
        <f t="shared" si="27"/>
        <v>123</v>
      </c>
      <c r="B131" s="256" t="str">
        <f>+B130</f>
        <v>58E &amp; 59E - Directional</v>
      </c>
      <c r="C131" s="168" t="s">
        <v>9</v>
      </c>
      <c r="D131" s="255">
        <v>400</v>
      </c>
      <c r="E131" s="296">
        <v>9.1199999999999992</v>
      </c>
      <c r="F131" s="33">
        <f t="shared" si="30"/>
        <v>0.29684130170773543</v>
      </c>
      <c r="G131" s="42">
        <v>3843</v>
      </c>
      <c r="H131" s="30">
        <f t="shared" si="31"/>
        <v>1140.7611224628272</v>
      </c>
      <c r="J131" s="254"/>
      <c r="K131" s="253"/>
    </row>
    <row r="132" spans="1:11" x14ac:dyDescent="0.2">
      <c r="A132" s="134">
        <f t="shared" si="27"/>
        <v>124</v>
      </c>
      <c r="B132" s="256"/>
      <c r="C132" s="168"/>
      <c r="D132" s="255"/>
      <c r="E132" s="296"/>
      <c r="F132" s="33"/>
      <c r="G132" s="42"/>
      <c r="H132" s="29"/>
      <c r="J132" s="254"/>
      <c r="K132" s="253"/>
    </row>
    <row r="133" spans="1:11" x14ac:dyDescent="0.2">
      <c r="A133" s="134">
        <f t="shared" si="27"/>
        <v>125</v>
      </c>
      <c r="B133" s="258" t="s">
        <v>31</v>
      </c>
      <c r="C133" s="168" t="s">
        <v>9</v>
      </c>
      <c r="D133" s="255">
        <v>100</v>
      </c>
      <c r="E133" s="296">
        <v>2.2799999999999998</v>
      </c>
      <c r="F133" s="33">
        <f>E133*$H$168</f>
        <v>7.4210325426933857E-2</v>
      </c>
      <c r="G133" s="297">
        <v>0</v>
      </c>
      <c r="H133" s="30">
        <f>F133*G133</f>
        <v>0</v>
      </c>
      <c r="J133" s="254"/>
      <c r="K133" s="253"/>
    </row>
    <row r="134" spans="1:11" x14ac:dyDescent="0.2">
      <c r="A134" s="134">
        <f t="shared" si="27"/>
        <v>126</v>
      </c>
      <c r="B134" s="256" t="str">
        <f>B133</f>
        <v>58E &amp; 59E - Horizontal</v>
      </c>
      <c r="C134" s="168" t="s">
        <v>9</v>
      </c>
      <c r="D134" s="255">
        <v>150</v>
      </c>
      <c r="E134" s="296">
        <v>3.42</v>
      </c>
      <c r="F134" s="33">
        <f>E134*$H$168</f>
        <v>0.11131548814040079</v>
      </c>
      <c r="G134" s="42">
        <v>163</v>
      </c>
      <c r="H134" s="30">
        <f>F134*G134</f>
        <v>18.144424566885331</v>
      </c>
      <c r="J134" s="254"/>
      <c r="K134" s="253"/>
    </row>
    <row r="135" spans="1:11" x14ac:dyDescent="0.2">
      <c r="A135" s="134">
        <f t="shared" si="27"/>
        <v>127</v>
      </c>
      <c r="B135" s="256" t="str">
        <f>B134</f>
        <v>58E &amp; 59E - Horizontal</v>
      </c>
      <c r="C135" s="168" t="s">
        <v>9</v>
      </c>
      <c r="D135" s="255">
        <v>200</v>
      </c>
      <c r="E135" s="296">
        <v>4.5599999999999996</v>
      </c>
      <c r="F135" s="33">
        <f>E135*$H$168</f>
        <v>0.14842065085386771</v>
      </c>
      <c r="G135" s="42">
        <v>82</v>
      </c>
      <c r="H135" s="30">
        <f>F135*G135</f>
        <v>12.170493370017153</v>
      </c>
      <c r="J135" s="254"/>
      <c r="K135" s="253"/>
    </row>
    <row r="136" spans="1:11" x14ac:dyDescent="0.2">
      <c r="A136" s="134">
        <f t="shared" si="27"/>
        <v>128</v>
      </c>
      <c r="B136" s="256" t="str">
        <f>B135</f>
        <v>58E &amp; 59E - Horizontal</v>
      </c>
      <c r="C136" s="168" t="s">
        <v>9</v>
      </c>
      <c r="D136" s="255">
        <v>250</v>
      </c>
      <c r="E136" s="296">
        <v>5.6999999999999993</v>
      </c>
      <c r="F136" s="33">
        <f>E136*$H$168</f>
        <v>0.18552581356733464</v>
      </c>
      <c r="G136" s="42">
        <v>358</v>
      </c>
      <c r="H136" s="30">
        <f>F136*G136</f>
        <v>66.418241257105805</v>
      </c>
      <c r="J136" s="254"/>
      <c r="K136" s="253"/>
    </row>
    <row r="137" spans="1:11" x14ac:dyDescent="0.2">
      <c r="A137" s="134">
        <f t="shared" si="27"/>
        <v>129</v>
      </c>
      <c r="B137" s="256" t="str">
        <f>B136</f>
        <v>58E &amp; 59E - Horizontal</v>
      </c>
      <c r="C137" s="168" t="s">
        <v>9</v>
      </c>
      <c r="D137" s="255">
        <v>400</v>
      </c>
      <c r="E137" s="296">
        <v>9.1199999999999992</v>
      </c>
      <c r="F137" s="33">
        <f>E137*$H$168</f>
        <v>0.29684130170773543</v>
      </c>
      <c r="G137" s="42">
        <v>523</v>
      </c>
      <c r="H137" s="30">
        <f>F137*G137</f>
        <v>155.24800079314562</v>
      </c>
      <c r="J137" s="254"/>
      <c r="K137" s="253"/>
    </row>
    <row r="138" spans="1:11" x14ac:dyDescent="0.2">
      <c r="A138" s="134">
        <f t="shared" ref="A138:A171" si="32">+A137+1</f>
        <v>130</v>
      </c>
      <c r="B138" s="256"/>
      <c r="C138" s="168"/>
      <c r="D138" s="255"/>
      <c r="E138" s="296"/>
      <c r="F138" s="33"/>
      <c r="G138" s="42"/>
      <c r="H138" s="29"/>
      <c r="J138" s="254"/>
      <c r="K138" s="253"/>
    </row>
    <row r="139" spans="1:11" x14ac:dyDescent="0.2">
      <c r="A139" s="134">
        <f t="shared" si="32"/>
        <v>131</v>
      </c>
      <c r="B139" s="256" t="str">
        <f>B127</f>
        <v>58E &amp; 59E - Directional</v>
      </c>
      <c r="C139" s="168" t="s">
        <v>25</v>
      </c>
      <c r="D139" s="255">
        <v>175</v>
      </c>
      <c r="E139" s="296">
        <v>3.9899999999999998</v>
      </c>
      <c r="F139" s="33">
        <f>E139*$H$168</f>
        <v>0.12986806949713425</v>
      </c>
      <c r="G139" s="42">
        <v>36</v>
      </c>
      <c r="H139" s="30">
        <f>F139*G139</f>
        <v>4.6752505018968336</v>
      </c>
      <c r="J139" s="254"/>
      <c r="K139" s="253"/>
    </row>
    <row r="140" spans="1:11" x14ac:dyDescent="0.2">
      <c r="A140" s="134">
        <f t="shared" si="32"/>
        <v>132</v>
      </c>
      <c r="B140" s="256" t="str">
        <f>B139</f>
        <v>58E &amp; 59E - Directional</v>
      </c>
      <c r="C140" s="168" t="s">
        <v>25</v>
      </c>
      <c r="D140" s="255">
        <v>250</v>
      </c>
      <c r="E140" s="296">
        <v>5.6999999999999993</v>
      </c>
      <c r="F140" s="33">
        <f>E140*$H$168</f>
        <v>0.18552581356733464</v>
      </c>
      <c r="G140" s="42">
        <v>173</v>
      </c>
      <c r="H140" s="30">
        <f>F140*G140</f>
        <v>32.095965747148895</v>
      </c>
      <c r="J140" s="254"/>
      <c r="K140" s="253"/>
    </row>
    <row r="141" spans="1:11" x14ac:dyDescent="0.2">
      <c r="A141" s="134">
        <f t="shared" si="32"/>
        <v>133</v>
      </c>
      <c r="B141" s="256" t="str">
        <f>B140</f>
        <v>58E &amp; 59E - Directional</v>
      </c>
      <c r="C141" s="168" t="s">
        <v>25</v>
      </c>
      <c r="D141" s="255">
        <v>400</v>
      </c>
      <c r="E141" s="296">
        <v>9.1199999999999992</v>
      </c>
      <c r="F141" s="33">
        <f>E141*$H$168</f>
        <v>0.29684130170773543</v>
      </c>
      <c r="G141" s="42">
        <v>907</v>
      </c>
      <c r="H141" s="30">
        <f>F141*G141</f>
        <v>269.23506064891603</v>
      </c>
      <c r="J141" s="254"/>
      <c r="K141" s="253"/>
    </row>
    <row r="142" spans="1:11" x14ac:dyDescent="0.2">
      <c r="A142" s="134">
        <f t="shared" si="32"/>
        <v>134</v>
      </c>
      <c r="B142" s="256" t="str">
        <f>B141</f>
        <v>58E &amp; 59E - Directional</v>
      </c>
      <c r="C142" s="168" t="s">
        <v>25</v>
      </c>
      <c r="D142" s="255">
        <v>1000</v>
      </c>
      <c r="E142" s="296">
        <v>22.79</v>
      </c>
      <c r="F142" s="33">
        <f>E142*$H$168</f>
        <v>0.7417777703858871</v>
      </c>
      <c r="G142" s="42">
        <v>1361</v>
      </c>
      <c r="H142" s="30">
        <f>F142*G142</f>
        <v>1009.5595454951923</v>
      </c>
      <c r="J142" s="254"/>
      <c r="K142" s="253"/>
    </row>
    <row r="143" spans="1:11" x14ac:dyDescent="0.2">
      <c r="A143" s="134">
        <f t="shared" si="32"/>
        <v>135</v>
      </c>
      <c r="B143" s="256"/>
      <c r="C143" s="168"/>
      <c r="D143" s="255"/>
      <c r="E143" s="296"/>
      <c r="F143" s="33"/>
      <c r="G143" s="42"/>
      <c r="H143" s="29"/>
      <c r="J143" s="254"/>
      <c r="K143" s="253"/>
    </row>
    <row r="144" spans="1:11" x14ac:dyDescent="0.2">
      <c r="A144" s="134">
        <f t="shared" si="32"/>
        <v>136</v>
      </c>
      <c r="B144" s="256" t="str">
        <f>B133</f>
        <v>58E &amp; 59E - Horizontal</v>
      </c>
      <c r="C144" s="168" t="s">
        <v>25</v>
      </c>
      <c r="D144" s="255">
        <v>250</v>
      </c>
      <c r="E144" s="296">
        <v>5.6999999999999993</v>
      </c>
      <c r="F144" s="33">
        <f>E144*$H$168</f>
        <v>0.18552581356733464</v>
      </c>
      <c r="G144" s="42">
        <v>43</v>
      </c>
      <c r="H144" s="30">
        <f>F144*G144</f>
        <v>7.9776099833953893</v>
      </c>
      <c r="J144" s="254"/>
      <c r="K144" s="253"/>
    </row>
    <row r="145" spans="1:11" x14ac:dyDescent="0.2">
      <c r="A145" s="134">
        <f t="shared" si="32"/>
        <v>137</v>
      </c>
      <c r="B145" s="256" t="str">
        <f>B144</f>
        <v>58E &amp; 59E - Horizontal</v>
      </c>
      <c r="C145" s="168" t="s">
        <v>25</v>
      </c>
      <c r="D145" s="255">
        <v>400</v>
      </c>
      <c r="E145" s="296">
        <v>9.1199999999999992</v>
      </c>
      <c r="F145" s="33">
        <f>E145*$H$168</f>
        <v>0.29684130170773543</v>
      </c>
      <c r="G145" s="42">
        <v>455</v>
      </c>
      <c r="H145" s="30">
        <f>F145*G145</f>
        <v>135.06279227701961</v>
      </c>
      <c r="J145" s="254"/>
      <c r="K145" s="253"/>
    </row>
    <row r="146" spans="1:11" x14ac:dyDescent="0.2">
      <c r="A146" s="134">
        <f t="shared" si="32"/>
        <v>138</v>
      </c>
      <c r="B146" s="256"/>
      <c r="C146" s="168"/>
      <c r="D146" s="255"/>
      <c r="E146" s="296"/>
      <c r="F146" s="33"/>
      <c r="G146" s="42"/>
      <c r="H146" s="29"/>
      <c r="J146" s="254"/>
      <c r="K146" s="253"/>
    </row>
    <row r="147" spans="1:11" x14ac:dyDescent="0.2">
      <c r="A147" s="134">
        <f t="shared" si="32"/>
        <v>139</v>
      </c>
      <c r="B147" s="256" t="s">
        <v>32</v>
      </c>
      <c r="C147" s="168" t="s">
        <v>14</v>
      </c>
      <c r="D147" s="176" t="s">
        <v>51</v>
      </c>
      <c r="E147" s="296">
        <v>0.35</v>
      </c>
      <c r="F147" s="33">
        <f t="shared" ref="F147:F162" si="33">E147*$H$168</f>
        <v>1.139193592080125E-2</v>
      </c>
      <c r="G147" s="297">
        <v>0</v>
      </c>
      <c r="H147" s="30">
        <f t="shared" ref="H147:H162" si="34">F147*G147</f>
        <v>0</v>
      </c>
      <c r="J147" s="254"/>
      <c r="K147" s="253"/>
    </row>
    <row r="148" spans="1:11" x14ac:dyDescent="0.2">
      <c r="A148" s="134">
        <f t="shared" si="32"/>
        <v>140</v>
      </c>
      <c r="B148" s="256" t="s">
        <v>32</v>
      </c>
      <c r="C148" s="168" t="s">
        <v>14</v>
      </c>
      <c r="D148" s="257" t="s">
        <v>52</v>
      </c>
      <c r="E148" s="296">
        <v>1.03</v>
      </c>
      <c r="F148" s="33">
        <f t="shared" si="33"/>
        <v>3.3524839995500821E-2</v>
      </c>
      <c r="G148" s="42">
        <v>81</v>
      </c>
      <c r="H148" s="30">
        <f t="shared" si="34"/>
        <v>2.7155120396355663</v>
      </c>
      <c r="J148" s="254"/>
      <c r="K148" s="253"/>
    </row>
    <row r="149" spans="1:11" x14ac:dyDescent="0.2">
      <c r="A149" s="134">
        <f t="shared" si="32"/>
        <v>141</v>
      </c>
      <c r="B149" s="256" t="str">
        <f t="shared" ref="B149:B162" si="35">B148</f>
        <v>58E &amp; 59E</v>
      </c>
      <c r="C149" s="168" t="s">
        <v>14</v>
      </c>
      <c r="D149" s="255" t="s">
        <v>16</v>
      </c>
      <c r="E149" s="296">
        <v>1.71</v>
      </c>
      <c r="F149" s="33">
        <f t="shared" si="33"/>
        <v>5.5657744070200396E-2</v>
      </c>
      <c r="G149" s="42">
        <v>843</v>
      </c>
      <c r="H149" s="30">
        <f t="shared" si="34"/>
        <v>46.919478251178937</v>
      </c>
      <c r="J149" s="254"/>
      <c r="K149" s="253"/>
    </row>
    <row r="150" spans="1:11" x14ac:dyDescent="0.2">
      <c r="A150" s="134">
        <f t="shared" si="32"/>
        <v>142</v>
      </c>
      <c r="B150" s="256" t="str">
        <f t="shared" si="35"/>
        <v>58E &amp; 59E</v>
      </c>
      <c r="C150" s="168" t="s">
        <v>14</v>
      </c>
      <c r="D150" s="255" t="s">
        <v>17</v>
      </c>
      <c r="E150" s="296">
        <v>2.39</v>
      </c>
      <c r="F150" s="33">
        <f t="shared" si="33"/>
        <v>7.7790648144899971E-2</v>
      </c>
      <c r="G150" s="42">
        <v>190</v>
      </c>
      <c r="H150" s="30">
        <f t="shared" si="34"/>
        <v>14.780223147530995</v>
      </c>
      <c r="J150" s="254"/>
      <c r="K150" s="253"/>
    </row>
    <row r="151" spans="1:11" x14ac:dyDescent="0.2">
      <c r="A151" s="134">
        <f t="shared" si="32"/>
        <v>143</v>
      </c>
      <c r="B151" s="256" t="str">
        <f t="shared" si="35"/>
        <v>58E &amp; 59E</v>
      </c>
      <c r="C151" s="168" t="s">
        <v>14</v>
      </c>
      <c r="D151" s="255" t="s">
        <v>18</v>
      </c>
      <c r="E151" s="296">
        <v>3.08</v>
      </c>
      <c r="F151" s="33">
        <f t="shared" si="33"/>
        <v>0.10024903610305101</v>
      </c>
      <c r="G151" s="42">
        <v>1792</v>
      </c>
      <c r="H151" s="30">
        <f t="shared" si="34"/>
        <v>179.64627269666741</v>
      </c>
      <c r="J151" s="254"/>
      <c r="K151" s="253"/>
    </row>
    <row r="152" spans="1:11" x14ac:dyDescent="0.2">
      <c r="A152" s="134">
        <f t="shared" si="32"/>
        <v>144</v>
      </c>
      <c r="B152" s="256" t="str">
        <f t="shared" si="35"/>
        <v>58E &amp; 59E</v>
      </c>
      <c r="C152" s="168" t="s">
        <v>14</v>
      </c>
      <c r="D152" s="255" t="s">
        <v>19</v>
      </c>
      <c r="E152" s="296">
        <v>3.76</v>
      </c>
      <c r="F152" s="33">
        <f t="shared" si="33"/>
        <v>0.12238194017775057</v>
      </c>
      <c r="G152" s="42">
        <v>405</v>
      </c>
      <c r="H152" s="30">
        <f t="shared" si="34"/>
        <v>49.564685771988984</v>
      </c>
      <c r="J152" s="254"/>
      <c r="K152" s="253"/>
    </row>
    <row r="153" spans="1:11" x14ac:dyDescent="0.2">
      <c r="A153" s="134">
        <f t="shared" si="32"/>
        <v>145</v>
      </c>
      <c r="B153" s="256" t="str">
        <f t="shared" si="35"/>
        <v>58E &amp; 59E</v>
      </c>
      <c r="C153" s="168" t="s">
        <v>14</v>
      </c>
      <c r="D153" s="255" t="s">
        <v>20</v>
      </c>
      <c r="E153" s="296">
        <v>4.4400000000000004</v>
      </c>
      <c r="F153" s="33">
        <f t="shared" si="33"/>
        <v>0.14451484425245015</v>
      </c>
      <c r="G153" s="297">
        <v>0</v>
      </c>
      <c r="H153" s="30">
        <f t="shared" si="34"/>
        <v>0</v>
      </c>
      <c r="J153" s="254"/>
      <c r="K153" s="253"/>
    </row>
    <row r="154" spans="1:11" x14ac:dyDescent="0.2">
      <c r="A154" s="134">
        <f t="shared" si="32"/>
        <v>146</v>
      </c>
      <c r="B154" s="256" t="str">
        <f t="shared" si="35"/>
        <v>58E &amp; 59E</v>
      </c>
      <c r="C154" s="168" t="s">
        <v>14</v>
      </c>
      <c r="D154" s="255" t="s">
        <v>21</v>
      </c>
      <c r="E154" s="296">
        <v>5.13</v>
      </c>
      <c r="F154" s="33">
        <f t="shared" si="33"/>
        <v>0.16697323221060117</v>
      </c>
      <c r="G154" s="42">
        <v>170</v>
      </c>
      <c r="H154" s="30">
        <f t="shared" si="34"/>
        <v>28.385449475802201</v>
      </c>
      <c r="J154" s="254"/>
      <c r="K154" s="253"/>
    </row>
    <row r="155" spans="1:11" x14ac:dyDescent="0.2">
      <c r="A155" s="134">
        <f t="shared" si="32"/>
        <v>147</v>
      </c>
      <c r="B155" s="256" t="str">
        <f t="shared" si="35"/>
        <v>58E &amp; 59E</v>
      </c>
      <c r="C155" s="168" t="s">
        <v>14</v>
      </c>
      <c r="D155" s="255" t="s">
        <v>22</v>
      </c>
      <c r="E155" s="296">
        <v>5.8100000000000005</v>
      </c>
      <c r="F155" s="33">
        <f t="shared" si="33"/>
        <v>0.18910613628530076</v>
      </c>
      <c r="G155" s="42">
        <v>253</v>
      </c>
      <c r="H155" s="30">
        <f t="shared" si="34"/>
        <v>47.843852480181091</v>
      </c>
      <c r="J155" s="254"/>
      <c r="K155" s="253"/>
    </row>
    <row r="156" spans="1:11" x14ac:dyDescent="0.2">
      <c r="A156" s="134">
        <f t="shared" si="32"/>
        <v>148</v>
      </c>
      <c r="B156" s="256" t="str">
        <f t="shared" si="35"/>
        <v>58E &amp; 59E</v>
      </c>
      <c r="C156" s="168" t="s">
        <v>14</v>
      </c>
      <c r="D156" s="255" t="s">
        <v>23</v>
      </c>
      <c r="E156" s="296">
        <v>6.5</v>
      </c>
      <c r="F156" s="33">
        <f t="shared" si="33"/>
        <v>0.21156452424345179</v>
      </c>
      <c r="G156" s="297">
        <v>0</v>
      </c>
      <c r="H156" s="30">
        <f t="shared" si="34"/>
        <v>0</v>
      </c>
      <c r="J156" s="254"/>
      <c r="K156" s="253"/>
    </row>
    <row r="157" spans="1:11" x14ac:dyDescent="0.2">
      <c r="A157" s="134">
        <f t="shared" si="32"/>
        <v>149</v>
      </c>
      <c r="B157" s="256" t="str">
        <f t="shared" si="35"/>
        <v>58E &amp; 59E</v>
      </c>
      <c r="C157" s="168" t="s">
        <v>14</v>
      </c>
      <c r="D157" s="255" t="s">
        <v>33</v>
      </c>
      <c r="E157" s="296">
        <v>7.9799999999999995</v>
      </c>
      <c r="F157" s="33">
        <f t="shared" si="33"/>
        <v>0.25973613899426851</v>
      </c>
      <c r="G157" s="297">
        <v>0</v>
      </c>
      <c r="H157" s="30">
        <f t="shared" si="34"/>
        <v>0</v>
      </c>
      <c r="J157" s="254"/>
      <c r="K157" s="253"/>
    </row>
    <row r="158" spans="1:11" x14ac:dyDescent="0.2">
      <c r="A158" s="134">
        <f t="shared" si="32"/>
        <v>150</v>
      </c>
      <c r="B158" s="256" t="str">
        <f t="shared" si="35"/>
        <v>58E &amp; 59E</v>
      </c>
      <c r="C158" s="168" t="s">
        <v>14</v>
      </c>
      <c r="D158" s="255" t="s">
        <v>34</v>
      </c>
      <c r="E158" s="296">
        <v>10.26</v>
      </c>
      <c r="F158" s="33">
        <f t="shared" si="33"/>
        <v>0.33394646442120235</v>
      </c>
      <c r="G158" s="297">
        <v>0</v>
      </c>
      <c r="H158" s="30">
        <f t="shared" si="34"/>
        <v>0</v>
      </c>
      <c r="J158" s="254"/>
      <c r="K158" s="253"/>
    </row>
    <row r="159" spans="1:11" x14ac:dyDescent="0.2">
      <c r="A159" s="134">
        <f t="shared" si="32"/>
        <v>151</v>
      </c>
      <c r="B159" s="256" t="str">
        <f t="shared" si="35"/>
        <v>58E &amp; 59E</v>
      </c>
      <c r="C159" s="168" t="s">
        <v>14</v>
      </c>
      <c r="D159" s="255" t="s">
        <v>35</v>
      </c>
      <c r="E159" s="296">
        <v>12.54</v>
      </c>
      <c r="F159" s="33">
        <f t="shared" si="33"/>
        <v>0.40815678984813619</v>
      </c>
      <c r="G159" s="297">
        <v>0</v>
      </c>
      <c r="H159" s="30">
        <f t="shared" si="34"/>
        <v>0</v>
      </c>
      <c r="J159" s="254"/>
      <c r="K159" s="253"/>
    </row>
    <row r="160" spans="1:11" x14ac:dyDescent="0.2">
      <c r="A160" s="134">
        <f t="shared" si="32"/>
        <v>152</v>
      </c>
      <c r="B160" s="256" t="str">
        <f t="shared" si="35"/>
        <v>58E &amp; 59E</v>
      </c>
      <c r="C160" s="168" t="s">
        <v>14</v>
      </c>
      <c r="D160" s="255" t="s">
        <v>36</v>
      </c>
      <c r="E160" s="296">
        <v>14.82</v>
      </c>
      <c r="F160" s="33">
        <f t="shared" si="33"/>
        <v>0.48236711527507009</v>
      </c>
      <c r="G160" s="297">
        <v>0</v>
      </c>
      <c r="H160" s="30">
        <f t="shared" si="34"/>
        <v>0</v>
      </c>
      <c r="J160" s="254"/>
      <c r="K160" s="253"/>
    </row>
    <row r="161" spans="1:11" x14ac:dyDescent="0.2">
      <c r="A161" s="134">
        <f t="shared" si="32"/>
        <v>153</v>
      </c>
      <c r="B161" s="256" t="str">
        <f t="shared" si="35"/>
        <v>58E &amp; 59E</v>
      </c>
      <c r="C161" s="168" t="s">
        <v>14</v>
      </c>
      <c r="D161" s="255" t="s">
        <v>37</v>
      </c>
      <c r="E161" s="296">
        <v>17.100000000000001</v>
      </c>
      <c r="F161" s="33">
        <f t="shared" si="33"/>
        <v>0.55657744070200399</v>
      </c>
      <c r="G161" s="297">
        <v>0</v>
      </c>
      <c r="H161" s="30">
        <f t="shared" si="34"/>
        <v>0</v>
      </c>
      <c r="J161" s="254"/>
      <c r="K161" s="253"/>
    </row>
    <row r="162" spans="1:11" x14ac:dyDescent="0.2">
      <c r="A162" s="134">
        <f t="shared" si="32"/>
        <v>154</v>
      </c>
      <c r="B162" s="256" t="str">
        <f t="shared" si="35"/>
        <v>58E &amp; 59E</v>
      </c>
      <c r="C162" s="168" t="s">
        <v>14</v>
      </c>
      <c r="D162" s="255" t="s">
        <v>38</v>
      </c>
      <c r="E162" s="296">
        <v>19.38</v>
      </c>
      <c r="F162" s="33">
        <f t="shared" si="33"/>
        <v>0.63078776612893783</v>
      </c>
      <c r="G162" s="297">
        <v>0</v>
      </c>
      <c r="H162" s="30">
        <f t="shared" si="34"/>
        <v>0</v>
      </c>
      <c r="J162" s="254"/>
      <c r="K162" s="253"/>
    </row>
    <row r="163" spans="1:11" x14ac:dyDescent="0.2">
      <c r="A163" s="134">
        <f t="shared" si="32"/>
        <v>155</v>
      </c>
      <c r="F163" s="252" t="s">
        <v>95</v>
      </c>
      <c r="G163" s="251">
        <v>0</v>
      </c>
    </row>
    <row r="164" spans="1:11" x14ac:dyDescent="0.2">
      <c r="A164" s="134">
        <f t="shared" si="32"/>
        <v>156</v>
      </c>
      <c r="D164" s="206"/>
    </row>
    <row r="165" spans="1:11" x14ac:dyDescent="0.2">
      <c r="A165" s="134">
        <f t="shared" si="32"/>
        <v>157</v>
      </c>
      <c r="D165" s="206"/>
      <c r="G165" s="250" t="s">
        <v>191</v>
      </c>
      <c r="H165" s="191">
        <f>SUM(H11:H162)</f>
        <v>125479.05180352807</v>
      </c>
    </row>
    <row r="166" spans="1:11" ht="13.5" x14ac:dyDescent="0.35">
      <c r="A166" s="134">
        <f t="shared" si="32"/>
        <v>158</v>
      </c>
      <c r="D166" s="206"/>
      <c r="G166" s="249" t="s">
        <v>190</v>
      </c>
      <c r="H166" s="248">
        <f>'Rate Spread and Design'!E77</f>
        <v>125479.05180352811</v>
      </c>
    </row>
    <row r="167" spans="1:11" x14ac:dyDescent="0.2">
      <c r="A167" s="134">
        <f t="shared" si="32"/>
        <v>159</v>
      </c>
      <c r="G167" s="247" t="s">
        <v>189</v>
      </c>
      <c r="H167" s="246">
        <f>+H166-H165</f>
        <v>0</v>
      </c>
    </row>
    <row r="168" spans="1:11" ht="13.5" x14ac:dyDescent="0.35">
      <c r="A168" s="134">
        <f t="shared" si="32"/>
        <v>160</v>
      </c>
      <c r="B168" s="176"/>
      <c r="F168" s="191"/>
      <c r="G168" s="245" t="s">
        <v>188</v>
      </c>
      <c r="H168" s="244">
        <v>3.254838834514643E-2</v>
      </c>
    </row>
    <row r="169" spans="1:11" ht="13.5" x14ac:dyDescent="0.35">
      <c r="A169" s="134">
        <f t="shared" si="32"/>
        <v>161</v>
      </c>
      <c r="B169" s="176"/>
      <c r="F169" s="191"/>
      <c r="G169" s="245"/>
      <c r="H169" s="244"/>
    </row>
    <row r="170" spans="1:11" x14ac:dyDescent="0.2">
      <c r="A170" s="134">
        <f t="shared" si="32"/>
        <v>162</v>
      </c>
      <c r="B170" s="349" t="s">
        <v>187</v>
      </c>
      <c r="C170" s="349"/>
      <c r="D170" s="349"/>
      <c r="E170" s="349"/>
      <c r="F170" s="349"/>
      <c r="G170" s="349"/>
      <c r="H170" s="349"/>
    </row>
    <row r="171" spans="1:11" x14ac:dyDescent="0.2">
      <c r="A171" s="134">
        <f t="shared" si="32"/>
        <v>163</v>
      </c>
      <c r="B171" s="349" t="s">
        <v>186</v>
      </c>
      <c r="C171" s="349"/>
      <c r="D171" s="349"/>
      <c r="E171" s="349"/>
      <c r="F171" s="349"/>
      <c r="G171" s="349"/>
      <c r="H171" s="349"/>
    </row>
  </sheetData>
  <mergeCells count="2">
    <mergeCell ref="B170:H170"/>
    <mergeCell ref="B171:H171"/>
  </mergeCells>
  <printOptions horizontalCentered="1"/>
  <pageMargins left="0.7" right="0.7" top="0.75" bottom="0.75" header="0.3" footer="0.3"/>
  <pageSetup scale="55" fitToHeight="0" orientation="landscape" r:id="rId1"/>
  <headerFooter alignWithMargins="0">
    <oddHeader>&amp;RElectric Schedule 120 Rate Design Workpapers
Page &amp;P of &amp;N</oddHeader>
    <oddFooter>&amp;L&amp;F
&amp;A&amp;R&amp;D</oddFooter>
  </headerFooter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8168889431442"/>
  </sheetPr>
  <dimension ref="A1:O33"/>
  <sheetViews>
    <sheetView workbookViewId="0">
      <pane ySplit="5" topLeftCell="A16" activePane="bottomLeft" state="frozen"/>
      <selection pane="bottomLeft" activeCell="F32" sqref="F32"/>
    </sheetView>
  </sheetViews>
  <sheetFormatPr defaultRowHeight="11.25" x14ac:dyDescent="0.2"/>
  <cols>
    <col min="1" max="1" width="68.7109375" style="1" bestFit="1" customWidth="1"/>
    <col min="2" max="2" width="12.5703125" style="1" bestFit="1" customWidth="1"/>
    <col min="3" max="12" width="10.42578125" style="1" bestFit="1" customWidth="1"/>
    <col min="13" max="13" width="11.140625" style="1" customWidth="1"/>
    <col min="14" max="14" width="16.42578125" style="1" bestFit="1" customWidth="1"/>
    <col min="15" max="16384" width="9.140625" style="1"/>
  </cols>
  <sheetData>
    <row r="1" spans="1:15" x14ac:dyDescent="0.2">
      <c r="A1" s="214" t="str">
        <f>'Sch 141A Rates'!A1</f>
        <v>PUGET SOUND ENERGY</v>
      </c>
      <c r="B1" s="82"/>
      <c r="C1" s="82"/>
      <c r="D1" s="82"/>
      <c r="E1" s="82"/>
    </row>
    <row r="2" spans="1:15" x14ac:dyDescent="0.2">
      <c r="A2" s="214" t="str">
        <f>'Sch 141A Rates'!A2</f>
        <v>Schedule 141A Energy Charge Credit Recovery Adjustment</v>
      </c>
      <c r="B2" s="82"/>
      <c r="C2" s="82"/>
      <c r="D2" s="82"/>
      <c r="E2" s="82"/>
    </row>
    <row r="3" spans="1:15" ht="14.25" customHeight="1" x14ac:dyDescent="0.2">
      <c r="A3" s="310" t="str">
        <f>"SCH 141A True-Up for the 12-month period: "&amp;TEXT(Inputs!B5,"mmmm d, yyyy")</f>
        <v>SCH 141A True-Up for the 12-month period: September 2023 - August 2024</v>
      </c>
      <c r="B3" s="82"/>
      <c r="C3" s="82"/>
      <c r="D3" s="82"/>
      <c r="E3" s="82"/>
    </row>
    <row r="5" spans="1:15" ht="23.25" customHeight="1" x14ac:dyDescent="0.2">
      <c r="A5" s="83" t="s">
        <v>107</v>
      </c>
      <c r="B5" s="289">
        <v>45170</v>
      </c>
      <c r="C5" s="289">
        <v>45200</v>
      </c>
      <c r="D5" s="289">
        <v>45231</v>
      </c>
      <c r="E5" s="289">
        <v>45261</v>
      </c>
      <c r="F5" s="336">
        <v>45292</v>
      </c>
      <c r="G5" s="289">
        <v>45323</v>
      </c>
      <c r="H5" s="289">
        <v>45352</v>
      </c>
      <c r="I5" s="289">
        <v>45383</v>
      </c>
      <c r="J5" s="289">
        <v>45413</v>
      </c>
      <c r="K5" s="289">
        <v>45444</v>
      </c>
      <c r="L5" s="289">
        <v>45474</v>
      </c>
      <c r="M5" s="289">
        <v>45505</v>
      </c>
      <c r="N5" s="308" t="str">
        <f>Inputs!B5</f>
        <v>September 2023 - August 2024</v>
      </c>
    </row>
    <row r="6" spans="1:15" x14ac:dyDescent="0.2">
      <c r="A6" s="83"/>
      <c r="B6" s="83"/>
      <c r="C6" s="83"/>
      <c r="D6" s="83"/>
      <c r="E6" s="83"/>
      <c r="F6" s="337"/>
      <c r="G6" s="88"/>
      <c r="H6" s="88"/>
      <c r="I6" s="88"/>
      <c r="J6" s="88"/>
      <c r="K6" s="88"/>
      <c r="L6" s="88"/>
      <c r="M6" s="88"/>
      <c r="N6" s="88"/>
    </row>
    <row r="7" spans="1:15" x14ac:dyDescent="0.2">
      <c r="A7" s="93" t="s">
        <v>114</v>
      </c>
      <c r="B7" s="92">
        <v>-2934501.59</v>
      </c>
      <c r="C7" s="92">
        <v>-2766380.69</v>
      </c>
      <c r="D7" s="92">
        <v>-2394509.66</v>
      </c>
      <c r="E7" s="92">
        <v>-3121401.03</v>
      </c>
      <c r="F7" s="92">
        <v>-3300617.19</v>
      </c>
      <c r="G7" s="92">
        <v>-2553549.63</v>
      </c>
      <c r="H7" s="92">
        <v>-2931188.39</v>
      </c>
      <c r="I7" s="92">
        <v>-2842102.21</v>
      </c>
      <c r="J7" s="92">
        <v>-2413560.23</v>
      </c>
      <c r="K7" s="92">
        <v>-2592034.38</v>
      </c>
      <c r="L7" s="92">
        <v>-3374487.57</v>
      </c>
      <c r="M7" s="92">
        <v>-3068093.66</v>
      </c>
      <c r="N7" s="87">
        <f>SUM(B7:M7)</f>
        <v>-34292426.230000004</v>
      </c>
    </row>
    <row r="8" spans="1:15" x14ac:dyDescent="0.2">
      <c r="A8" s="7" t="s">
        <v>112</v>
      </c>
      <c r="B8" s="95">
        <v>0.95234799999999997</v>
      </c>
      <c r="C8" s="95">
        <v>0.95234799999999997</v>
      </c>
      <c r="D8" s="95">
        <v>0.95234799999999997</v>
      </c>
      <c r="E8" s="95">
        <v>0.95234799999999997</v>
      </c>
      <c r="F8" s="95">
        <v>0.95234799999999997</v>
      </c>
      <c r="G8" s="95">
        <v>0.95234799999999997</v>
      </c>
      <c r="H8" s="95">
        <v>0.95234799999999997</v>
      </c>
      <c r="I8" s="95">
        <v>0.95234799999999997</v>
      </c>
      <c r="J8" s="95">
        <v>0.95234799999999997</v>
      </c>
      <c r="K8" s="95">
        <v>0.95234799999999997</v>
      </c>
      <c r="L8" s="95">
        <v>0.95234799999999997</v>
      </c>
      <c r="M8" s="95">
        <v>0.95234799999999997</v>
      </c>
      <c r="N8" s="96">
        <f t="shared" ref="N8" si="0">M8</f>
        <v>0.95234799999999997</v>
      </c>
    </row>
    <row r="9" spans="1:15" x14ac:dyDescent="0.2">
      <c r="A9" s="94" t="s">
        <v>113</v>
      </c>
      <c r="B9" s="98">
        <f t="shared" ref="B9" si="1">B7*B8</f>
        <v>-2794666.7202333198</v>
      </c>
      <c r="C9" s="98">
        <f t="shared" ref="C9:E9" si="2">C7*C8</f>
        <v>-2634557.1173601197</v>
      </c>
      <c r="D9" s="98">
        <f t="shared" si="2"/>
        <v>-2280406.48568168</v>
      </c>
      <c r="E9" s="98">
        <f t="shared" si="2"/>
        <v>-2972660.02811844</v>
      </c>
      <c r="F9" s="338">
        <f t="shared" ref="F9:N9" si="3">F7*F8</f>
        <v>-3143336.1796621201</v>
      </c>
      <c r="G9" s="98">
        <f t="shared" si="3"/>
        <v>-2431867.8830312397</v>
      </c>
      <c r="H9" s="98">
        <f t="shared" si="3"/>
        <v>-2791511.4008397199</v>
      </c>
      <c r="I9" s="98">
        <f t="shared" si="3"/>
        <v>-2706670.3554890798</v>
      </c>
      <c r="J9" s="98">
        <f t="shared" si="3"/>
        <v>-2298549.2579200398</v>
      </c>
      <c r="K9" s="98">
        <f t="shared" si="3"/>
        <v>-2468518.75772424</v>
      </c>
      <c r="L9" s="98">
        <f t="shared" si="3"/>
        <v>-3213686.4883143599</v>
      </c>
      <c r="M9" s="98">
        <f t="shared" si="3"/>
        <v>-2921892.8609136799</v>
      </c>
      <c r="N9" s="98">
        <f t="shared" si="3"/>
        <v>-32658323.535288043</v>
      </c>
    </row>
    <row r="10" spans="1:15" x14ac:dyDescent="0.2">
      <c r="A10" s="89"/>
      <c r="B10" s="89"/>
      <c r="C10" s="89"/>
      <c r="D10" s="89"/>
      <c r="E10" s="89"/>
      <c r="F10" s="92"/>
      <c r="G10" s="92"/>
      <c r="H10" s="92"/>
      <c r="I10" s="92"/>
      <c r="J10" s="92"/>
      <c r="K10" s="92"/>
      <c r="L10" s="92"/>
      <c r="M10" s="92"/>
      <c r="N10" s="87"/>
    </row>
    <row r="11" spans="1:15" x14ac:dyDescent="0.2">
      <c r="A11" s="93" t="s">
        <v>116</v>
      </c>
      <c r="B11" s="312">
        <v>148041.21711665252</v>
      </c>
      <c r="C11" s="312">
        <v>-45410.582196633099</v>
      </c>
      <c r="D11" s="312">
        <v>-48991.805807723198</v>
      </c>
      <c r="E11" s="312">
        <v>-46880.474833731074</v>
      </c>
      <c r="F11" s="92">
        <v>-31747.664572797483</v>
      </c>
      <c r="G11" s="92">
        <v>92059.952835417585</v>
      </c>
      <c r="H11" s="92">
        <v>-23384.413731288863</v>
      </c>
      <c r="I11" s="92">
        <v>221901.21773220599</v>
      </c>
      <c r="J11" s="92">
        <v>-72917.840755412588</v>
      </c>
      <c r="K11" s="92">
        <v>102786.45232569333</v>
      </c>
      <c r="L11" s="92">
        <v>-147915.80957590346</v>
      </c>
      <c r="M11" s="92">
        <v>-445.67535909893923</v>
      </c>
      <c r="N11" s="87">
        <f>SUM(B11:M11)</f>
        <v>147094.57317738072</v>
      </c>
    </row>
    <row r="12" spans="1:15" x14ac:dyDescent="0.2">
      <c r="A12" s="94"/>
      <c r="B12" s="94"/>
      <c r="C12" s="94"/>
      <c r="D12" s="94"/>
      <c r="E12" s="94"/>
      <c r="F12" s="339"/>
      <c r="G12" s="97"/>
      <c r="H12" s="97"/>
      <c r="I12" s="97"/>
      <c r="J12" s="97"/>
      <c r="K12" s="97"/>
      <c r="L12" s="97"/>
      <c r="M12" s="97"/>
      <c r="N12" s="97"/>
    </row>
    <row r="13" spans="1:15" ht="12" thickBot="1" x14ac:dyDescent="0.25">
      <c r="A13" s="319" t="s">
        <v>110</v>
      </c>
      <c r="B13" s="84">
        <f t="shared" ref="B13:M13" si="4">B9+B11</f>
        <v>-2646625.5031166673</v>
      </c>
      <c r="C13" s="84">
        <f t="shared" si="4"/>
        <v>-2679967.699556753</v>
      </c>
      <c r="D13" s="84">
        <f t="shared" si="4"/>
        <v>-2329398.2914894032</v>
      </c>
      <c r="E13" s="84">
        <f t="shared" si="4"/>
        <v>-3019540.502952171</v>
      </c>
      <c r="F13" s="340">
        <f t="shared" si="4"/>
        <v>-3175083.8442349173</v>
      </c>
      <c r="G13" s="84">
        <f t="shared" si="4"/>
        <v>-2339807.9301958224</v>
      </c>
      <c r="H13" s="84">
        <f t="shared" si="4"/>
        <v>-2814895.814571009</v>
      </c>
      <c r="I13" s="84">
        <f t="shared" si="4"/>
        <v>-2484769.1377568739</v>
      </c>
      <c r="J13" s="84">
        <f t="shared" si="4"/>
        <v>-2371467.0986754522</v>
      </c>
      <c r="K13" s="84">
        <f t="shared" si="4"/>
        <v>-2365732.3053985466</v>
      </c>
      <c r="L13" s="84">
        <f t="shared" si="4"/>
        <v>-3361602.2978902636</v>
      </c>
      <c r="M13" s="84">
        <f t="shared" si="4"/>
        <v>-2922338.5362727791</v>
      </c>
      <c r="N13" s="84">
        <f>N9+N11</f>
        <v>-32511228.962110661</v>
      </c>
      <c r="O13" s="319"/>
    </row>
    <row r="14" spans="1:15" ht="12" thickTop="1" x14ac:dyDescent="0.2">
      <c r="A14" s="83"/>
      <c r="B14" s="322"/>
      <c r="C14" s="322"/>
      <c r="D14" s="322"/>
      <c r="E14" s="322"/>
      <c r="F14" s="322"/>
      <c r="G14" s="322"/>
      <c r="H14" s="322"/>
      <c r="I14" s="322"/>
      <c r="J14" s="322"/>
      <c r="K14" s="322"/>
      <c r="L14" s="322"/>
      <c r="M14" s="322"/>
      <c r="N14" s="322"/>
    </row>
    <row r="15" spans="1:15" s="90" customFormat="1" ht="12" thickTop="1" x14ac:dyDescent="0.2">
      <c r="A15" s="83" t="s">
        <v>109</v>
      </c>
      <c r="B15" s="322"/>
      <c r="C15" s="322"/>
      <c r="D15" s="322"/>
      <c r="E15" s="322"/>
      <c r="F15" s="322"/>
      <c r="G15" s="322"/>
      <c r="H15" s="322"/>
      <c r="I15" s="322"/>
      <c r="J15" s="322"/>
      <c r="K15" s="322"/>
      <c r="L15" s="322"/>
      <c r="M15" s="322"/>
      <c r="N15" s="322"/>
    </row>
    <row r="16" spans="1:15" ht="22.5" x14ac:dyDescent="0.2">
      <c r="A16" s="83" t="s">
        <v>108</v>
      </c>
      <c r="B16" s="311">
        <f t="shared" ref="B16:N16" si="5">B5</f>
        <v>45170</v>
      </c>
      <c r="C16" s="311">
        <f t="shared" si="5"/>
        <v>45200</v>
      </c>
      <c r="D16" s="311">
        <f t="shared" si="5"/>
        <v>45231</v>
      </c>
      <c r="E16" s="311">
        <f t="shared" si="5"/>
        <v>45261</v>
      </c>
      <c r="F16" s="311">
        <f t="shared" si="5"/>
        <v>45292</v>
      </c>
      <c r="G16" s="311">
        <f t="shared" si="5"/>
        <v>45323</v>
      </c>
      <c r="H16" s="311">
        <f t="shared" si="5"/>
        <v>45352</v>
      </c>
      <c r="I16" s="311">
        <f t="shared" si="5"/>
        <v>45383</v>
      </c>
      <c r="J16" s="311">
        <f t="shared" si="5"/>
        <v>45413</v>
      </c>
      <c r="K16" s="311">
        <f t="shared" si="5"/>
        <v>45444</v>
      </c>
      <c r="L16" s="311">
        <f t="shared" si="5"/>
        <v>45474</v>
      </c>
      <c r="M16" s="311">
        <f t="shared" si="5"/>
        <v>45505</v>
      </c>
      <c r="N16" s="311" t="str">
        <f t="shared" si="5"/>
        <v>September 2023 - August 2024</v>
      </c>
    </row>
    <row r="17" spans="1:15" x14ac:dyDescent="0.2">
      <c r="F17" s="91"/>
      <c r="G17" s="91"/>
      <c r="H17" s="91"/>
      <c r="I17" s="91"/>
      <c r="J17" s="91"/>
      <c r="K17" s="91"/>
      <c r="L17" s="91"/>
      <c r="M17" s="91"/>
      <c r="N17" s="85"/>
    </row>
    <row r="18" spans="1:15" x14ac:dyDescent="0.2">
      <c r="A18" s="93" t="s">
        <v>115</v>
      </c>
      <c r="B18" s="312">
        <v>2721761.83</v>
      </c>
      <c r="C18" s="312">
        <v>2516471.8199999998</v>
      </c>
      <c r="D18" s="312">
        <v>2936374.15</v>
      </c>
      <c r="E18" s="312">
        <v>3602571.91</v>
      </c>
      <c r="F18" s="312">
        <v>3704140.15</v>
      </c>
      <c r="G18" s="312">
        <v>3343322.45</v>
      </c>
      <c r="H18" s="312">
        <v>3231679.73</v>
      </c>
      <c r="I18" s="312">
        <v>2932712.54</v>
      </c>
      <c r="J18" s="312">
        <v>2674023.16</v>
      </c>
      <c r="K18" s="312">
        <v>2492587.83</v>
      </c>
      <c r="L18" s="312">
        <v>2543882</v>
      </c>
      <c r="M18" s="312">
        <v>2682660.61</v>
      </c>
      <c r="N18" s="87">
        <f>SUM(B18:M18)</f>
        <v>35382188.18</v>
      </c>
    </row>
    <row r="19" spans="1:15" x14ac:dyDescent="0.2">
      <c r="A19" s="7" t="s">
        <v>112</v>
      </c>
      <c r="B19" s="313">
        <v>0.95234799999999997</v>
      </c>
      <c r="C19" s="313">
        <v>0.95234799999999997</v>
      </c>
      <c r="D19" s="313">
        <v>0.95234799999999997</v>
      </c>
      <c r="E19" s="313">
        <v>0.95234799999999997</v>
      </c>
      <c r="F19" s="313">
        <v>0.95234799999999997</v>
      </c>
      <c r="G19" s="313">
        <v>0.95234799999999997</v>
      </c>
      <c r="H19" s="313">
        <v>0.95234799999999997</v>
      </c>
      <c r="I19" s="313">
        <v>0.95234799999999997</v>
      </c>
      <c r="J19" s="313">
        <v>0.95234799999999997</v>
      </c>
      <c r="K19" s="313">
        <v>0.95234799999999997</v>
      </c>
      <c r="L19" s="313">
        <v>0.95234799999999997</v>
      </c>
      <c r="M19" s="313">
        <v>0.95234799999999997</v>
      </c>
      <c r="N19" s="96">
        <f t="shared" ref="N19" si="6">M19</f>
        <v>0.95234799999999997</v>
      </c>
    </row>
    <row r="20" spans="1:15" x14ac:dyDescent="0.2">
      <c r="A20" s="94" t="s">
        <v>113</v>
      </c>
      <c r="B20" s="98">
        <f t="shared" ref="B20:E20" si="7">B18*B19</f>
        <v>2592064.4352768399</v>
      </c>
      <c r="C20" s="98">
        <f t="shared" si="7"/>
        <v>2396556.9048333596</v>
      </c>
      <c r="D20" s="98">
        <f t="shared" si="7"/>
        <v>2796450.0490041999</v>
      </c>
      <c r="E20" s="98">
        <f t="shared" si="7"/>
        <v>3430902.1533446801</v>
      </c>
      <c r="F20" s="98">
        <f t="shared" ref="F20:N20" si="8">F18*F19</f>
        <v>3527630.4635721999</v>
      </c>
      <c r="G20" s="98">
        <f t="shared" si="8"/>
        <v>3184006.4486126001</v>
      </c>
      <c r="H20" s="98">
        <f t="shared" si="8"/>
        <v>3077683.7275060397</v>
      </c>
      <c r="I20" s="98">
        <f t="shared" si="8"/>
        <v>2792962.92204392</v>
      </c>
      <c r="J20" s="98">
        <f t="shared" si="8"/>
        <v>2546600.6083796802</v>
      </c>
      <c r="K20" s="98">
        <f t="shared" si="8"/>
        <v>2373811.03472484</v>
      </c>
      <c r="L20" s="98">
        <f t="shared" si="8"/>
        <v>2422660.934936</v>
      </c>
      <c r="M20" s="98">
        <f t="shared" si="8"/>
        <v>2554826.4666122799</v>
      </c>
      <c r="N20" s="98">
        <f t="shared" si="8"/>
        <v>33696156.148846641</v>
      </c>
    </row>
    <row r="21" spans="1:15" x14ac:dyDescent="0.2">
      <c r="A21" s="89"/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7"/>
    </row>
    <row r="22" spans="1:15" x14ac:dyDescent="0.2">
      <c r="A22" s="93" t="s">
        <v>117</v>
      </c>
      <c r="B22" s="312">
        <v>-232891.79666030756</v>
      </c>
      <c r="C22" s="312">
        <v>309642.28642503661</v>
      </c>
      <c r="D22" s="312">
        <v>392260.35484749265</v>
      </c>
      <c r="E22" s="312">
        <v>-18091.658848128747</v>
      </c>
      <c r="F22" s="312">
        <v>67908.135453221854</v>
      </c>
      <c r="G22" s="312">
        <v>-178507.52344343299</v>
      </c>
      <c r="H22" s="312">
        <v>-151122.97413702589</v>
      </c>
      <c r="I22" s="312">
        <v>-202602.46512823948</v>
      </c>
      <c r="J22" s="312">
        <v>-119013.82068549958</v>
      </c>
      <c r="K22" s="312">
        <v>-120986.27597437031</v>
      </c>
      <c r="L22" s="312">
        <v>161601.11594177899</v>
      </c>
      <c r="M22" s="312">
        <v>-102337.39944085409</v>
      </c>
      <c r="N22" s="87">
        <f>SUM(B22:M22)</f>
        <v>-194142.02165032853</v>
      </c>
    </row>
    <row r="23" spans="1:15" x14ac:dyDescent="0.2">
      <c r="A23" s="90"/>
      <c r="B23" s="90"/>
      <c r="C23" s="90"/>
      <c r="D23" s="90"/>
      <c r="E23" s="90"/>
      <c r="F23" s="91"/>
      <c r="G23" s="91"/>
      <c r="H23" s="91"/>
      <c r="I23" s="91"/>
      <c r="J23" s="91"/>
      <c r="K23" s="91"/>
      <c r="L23" s="91"/>
      <c r="M23" s="91"/>
      <c r="N23" s="85"/>
    </row>
    <row r="24" spans="1:15" ht="12" thickBot="1" x14ac:dyDescent="0.25">
      <c r="A24" s="319" t="s">
        <v>111</v>
      </c>
      <c r="B24" s="84">
        <f t="shared" ref="B24:M24" si="9">B20+B22</f>
        <v>2359172.6386165321</v>
      </c>
      <c r="C24" s="84">
        <f t="shared" si="9"/>
        <v>2706199.191258396</v>
      </c>
      <c r="D24" s="84">
        <f t="shared" si="9"/>
        <v>3188710.4038516926</v>
      </c>
      <c r="E24" s="84">
        <f t="shared" si="9"/>
        <v>3412810.4944965513</v>
      </c>
      <c r="F24" s="84">
        <f t="shared" si="9"/>
        <v>3595538.5990254218</v>
      </c>
      <c r="G24" s="84">
        <f t="shared" si="9"/>
        <v>3005498.9251691671</v>
      </c>
      <c r="H24" s="84">
        <f t="shared" si="9"/>
        <v>2926560.7533690138</v>
      </c>
      <c r="I24" s="84">
        <f t="shared" si="9"/>
        <v>2590360.4569156803</v>
      </c>
      <c r="J24" s="84">
        <f t="shared" si="9"/>
        <v>2427586.7876941804</v>
      </c>
      <c r="K24" s="84">
        <f t="shared" si="9"/>
        <v>2252824.7587504694</v>
      </c>
      <c r="L24" s="84">
        <f t="shared" si="9"/>
        <v>2584262.0508777788</v>
      </c>
      <c r="M24" s="84">
        <f t="shared" si="9"/>
        <v>2452489.0671714256</v>
      </c>
      <c r="N24" s="84">
        <f>N20+N22</f>
        <v>33502014.127196312</v>
      </c>
      <c r="O24" s="319"/>
    </row>
    <row r="25" spans="1:15" ht="12" thickTop="1" x14ac:dyDescent="0.2">
      <c r="B25" s="322"/>
      <c r="C25" s="322"/>
      <c r="D25" s="322"/>
      <c r="E25" s="322"/>
      <c r="F25" s="322"/>
      <c r="G25" s="322"/>
      <c r="H25" s="322"/>
      <c r="I25" s="322"/>
      <c r="J25" s="322"/>
      <c r="K25" s="322"/>
      <c r="L25" s="322"/>
      <c r="M25" s="322"/>
      <c r="N25" s="322"/>
      <c r="O25" s="319"/>
    </row>
    <row r="26" spans="1:15" x14ac:dyDescent="0.2">
      <c r="A26" s="317"/>
      <c r="B26" s="322"/>
      <c r="C26" s="322"/>
      <c r="D26" s="322"/>
      <c r="E26" s="322"/>
      <c r="F26" s="322"/>
      <c r="G26" s="322"/>
      <c r="H26" s="322"/>
      <c r="I26" s="322"/>
      <c r="J26" s="322"/>
      <c r="K26" s="322"/>
      <c r="L26" s="322"/>
      <c r="M26" s="322"/>
      <c r="N26" s="322"/>
      <c r="O26" s="319"/>
    </row>
    <row r="27" spans="1:15" x14ac:dyDescent="0.2">
      <c r="A27" s="320" t="s">
        <v>227</v>
      </c>
      <c r="B27" s="87">
        <f t="shared" ref="B27:N27" si="10">B24+B13</f>
        <v>-287452.86450013518</v>
      </c>
      <c r="C27" s="87">
        <f t="shared" si="10"/>
        <v>26231.491701642983</v>
      </c>
      <c r="D27" s="87">
        <f t="shared" si="10"/>
        <v>859312.11236228934</v>
      </c>
      <c r="E27" s="87">
        <f t="shared" si="10"/>
        <v>393269.99154438032</v>
      </c>
      <c r="F27" s="87">
        <f t="shared" si="10"/>
        <v>420454.75479050446</v>
      </c>
      <c r="G27" s="87">
        <f t="shared" si="10"/>
        <v>665690.99497334473</v>
      </c>
      <c r="H27" s="87">
        <f t="shared" si="10"/>
        <v>111664.93879800476</v>
      </c>
      <c r="I27" s="87">
        <f t="shared" si="10"/>
        <v>105591.31915880647</v>
      </c>
      <c r="J27" s="87">
        <f t="shared" si="10"/>
        <v>56119.689018728212</v>
      </c>
      <c r="K27" s="87">
        <f t="shared" si="10"/>
        <v>-112907.5466480772</v>
      </c>
      <c r="L27" s="87">
        <f t="shared" si="10"/>
        <v>-777340.24701248482</v>
      </c>
      <c r="M27" s="87">
        <f t="shared" si="10"/>
        <v>-469849.46910135355</v>
      </c>
      <c r="N27" s="87">
        <f t="shared" si="10"/>
        <v>990785.16508565098</v>
      </c>
      <c r="O27" s="320"/>
    </row>
    <row r="28" spans="1:15" x14ac:dyDescent="0.2">
      <c r="A28" s="7" t="s">
        <v>112</v>
      </c>
      <c r="B28" s="96">
        <f>B8</f>
        <v>0.95234799999999997</v>
      </c>
      <c r="C28" s="96">
        <f t="shared" ref="C28:N28" si="11">C8</f>
        <v>0.95234799999999997</v>
      </c>
      <c r="D28" s="96">
        <f t="shared" si="11"/>
        <v>0.95234799999999997</v>
      </c>
      <c r="E28" s="96">
        <f t="shared" si="11"/>
        <v>0.95234799999999997</v>
      </c>
      <c r="F28" s="96">
        <f t="shared" si="11"/>
        <v>0.95234799999999997</v>
      </c>
      <c r="G28" s="96">
        <f t="shared" si="11"/>
        <v>0.95234799999999997</v>
      </c>
      <c r="H28" s="96">
        <f t="shared" si="11"/>
        <v>0.95234799999999997</v>
      </c>
      <c r="I28" s="96">
        <f t="shared" si="11"/>
        <v>0.95234799999999997</v>
      </c>
      <c r="J28" s="96">
        <f t="shared" si="11"/>
        <v>0.95234799999999997</v>
      </c>
      <c r="K28" s="96">
        <f t="shared" si="11"/>
        <v>0.95234799999999997</v>
      </c>
      <c r="L28" s="96">
        <f t="shared" si="11"/>
        <v>0.95234799999999997</v>
      </c>
      <c r="M28" s="96">
        <f t="shared" si="11"/>
        <v>0.95234799999999997</v>
      </c>
      <c r="N28" s="96">
        <f t="shared" si="11"/>
        <v>0.95234799999999997</v>
      </c>
      <c r="O28" s="321"/>
    </row>
    <row r="29" spans="1:15" ht="12" thickBot="1" x14ac:dyDescent="0.25">
      <c r="A29" s="320" t="s">
        <v>228</v>
      </c>
      <c r="B29" s="314">
        <f t="shared" ref="B29:M29" si="12">B27/B28</f>
        <v>-301835.95124905516</v>
      </c>
      <c r="C29" s="314">
        <f t="shared" si="12"/>
        <v>27544.01930979325</v>
      </c>
      <c r="D29" s="314">
        <f t="shared" si="12"/>
        <v>902308.93786965415</v>
      </c>
      <c r="E29" s="314">
        <f t="shared" si="12"/>
        <v>412947.77911475673</v>
      </c>
      <c r="F29" s="314">
        <f t="shared" si="12"/>
        <v>441492.76817980874</v>
      </c>
      <c r="G29" s="314">
        <f t="shared" si="12"/>
        <v>698999.73011267383</v>
      </c>
      <c r="H29" s="314">
        <f t="shared" si="12"/>
        <v>117252.24266550122</v>
      </c>
      <c r="I29" s="314">
        <f t="shared" si="12"/>
        <v>110874.72138210661</v>
      </c>
      <c r="J29" s="314">
        <f t="shared" si="12"/>
        <v>58927.712368512577</v>
      </c>
      <c r="K29" s="314">
        <f t="shared" si="12"/>
        <v>-118557.02605358252</v>
      </c>
      <c r="L29" s="314">
        <f t="shared" si="12"/>
        <v>-816235.50111144758</v>
      </c>
      <c r="M29" s="314">
        <f t="shared" si="12"/>
        <v>-493359.01277826336</v>
      </c>
      <c r="N29" s="314">
        <f>N27/N28</f>
        <v>1040360.419810459</v>
      </c>
      <c r="O29" s="320"/>
    </row>
    <row r="30" spans="1:15" ht="12" thickTop="1" x14ac:dyDescent="0.2">
      <c r="M30" s="7"/>
      <c r="O30" s="321"/>
    </row>
    <row r="31" spans="1:15" ht="12" thickBot="1" x14ac:dyDescent="0.25">
      <c r="A31" s="86" t="s">
        <v>226</v>
      </c>
      <c r="B31" s="323">
        <f>-287452.86</f>
        <v>-287452.86</v>
      </c>
      <c r="C31" s="323">
        <f>26231.49</f>
        <v>26231.49</v>
      </c>
      <c r="D31" s="323">
        <f>859312.11</f>
        <v>859312.11</v>
      </c>
      <c r="E31" s="323">
        <f>393270</f>
        <v>393270</v>
      </c>
      <c r="F31" s="323">
        <f>450778.66</f>
        <v>450778.66</v>
      </c>
      <c r="G31" s="323">
        <f>665691</f>
        <v>665691</v>
      </c>
      <c r="H31" s="323">
        <f>111664.94</f>
        <v>111664.94</v>
      </c>
      <c r="I31" s="323">
        <f>105591.32</f>
        <v>105591.32</v>
      </c>
      <c r="J31" s="323">
        <f>56119.69</f>
        <v>56119.69</v>
      </c>
      <c r="K31" s="323">
        <f>-112907.54</f>
        <v>-112907.54</v>
      </c>
      <c r="L31" s="323">
        <f>-777340.24</f>
        <v>-777340.24</v>
      </c>
      <c r="M31" s="323">
        <f>-469849.46</f>
        <v>-469849.46</v>
      </c>
      <c r="N31" s="323">
        <f>SUM(B31:M31)</f>
        <v>1021109.1099999996</v>
      </c>
      <c r="O31" s="320"/>
    </row>
    <row r="32" spans="1:15" ht="12" thickTop="1" x14ac:dyDescent="0.2">
      <c r="A32" s="317" t="s">
        <v>95</v>
      </c>
      <c r="B32" s="318">
        <f t="shared" ref="B32:M32" si="13">B27-B31</f>
        <v>-4.5001351973041892E-3</v>
      </c>
      <c r="C32" s="318">
        <f t="shared" si="13"/>
        <v>1.7016429810610134E-3</v>
      </c>
      <c r="D32" s="318">
        <f t="shared" si="13"/>
        <v>2.3622893495485187E-3</v>
      </c>
      <c r="E32" s="318">
        <f t="shared" si="13"/>
        <v>-8.4556196816265583E-3</v>
      </c>
      <c r="F32" s="335">
        <f t="shared" si="13"/>
        <v>-30323.905209495511</v>
      </c>
      <c r="G32" s="318">
        <f t="shared" si="13"/>
        <v>-5.0266552716493607E-3</v>
      </c>
      <c r="H32" s="318">
        <f t="shared" si="13"/>
        <v>-1.2019952409900725E-3</v>
      </c>
      <c r="I32" s="318">
        <f t="shared" si="13"/>
        <v>-8.4119354141876101E-4</v>
      </c>
      <c r="J32" s="318">
        <f t="shared" si="13"/>
        <v>-9.8127179080620408E-4</v>
      </c>
      <c r="K32" s="318">
        <f t="shared" si="13"/>
        <v>-6.6480772075010464E-3</v>
      </c>
      <c r="L32" s="318">
        <f t="shared" si="13"/>
        <v>-7.0124848280102015E-3</v>
      </c>
      <c r="M32" s="318">
        <f t="shared" si="13"/>
        <v>-9.1013535275124013E-3</v>
      </c>
      <c r="N32" s="335">
        <f>N27-N31</f>
        <v>-30323.944914348656</v>
      </c>
    </row>
    <row r="33" spans="14:14" x14ac:dyDescent="0.2">
      <c r="N33" s="317" t="s">
        <v>95</v>
      </c>
    </row>
  </sheetData>
  <phoneticPr fontId="36" type="noConversion"/>
  <pageMargins left="0.7" right="0.7" top="0.75" bottom="0.75" header="0.3" footer="0.3"/>
  <pageSetup orientation="portrait" horizontalDpi="360" verticalDpi="360" r:id="rId1"/>
  <customProperties>
    <customPr name="_pios_id" r:id="rId2"/>
  </customProperties>
  <drawing r:id="rId3"/>
  <legacy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B7"/>
  <sheetViews>
    <sheetView zoomScaleNormal="100" workbookViewId="0">
      <selection activeCell="B5" sqref="B5"/>
    </sheetView>
  </sheetViews>
  <sheetFormatPr defaultColWidth="8.85546875" defaultRowHeight="12.75" x14ac:dyDescent="0.2"/>
  <cols>
    <col min="1" max="1" width="38.28515625" style="243" customWidth="1"/>
    <col min="2" max="2" width="25.140625" style="243" bestFit="1" customWidth="1"/>
    <col min="3" max="16384" width="8.85546875" style="243"/>
  </cols>
  <sheetData>
    <row r="1" spans="1:2" ht="15" x14ac:dyDescent="0.35">
      <c r="A1" s="272" t="s">
        <v>205</v>
      </c>
      <c r="B1" s="274">
        <v>45658</v>
      </c>
    </row>
    <row r="2" spans="1:2" ht="15" x14ac:dyDescent="0.35">
      <c r="A2" s="271" t="s">
        <v>204</v>
      </c>
      <c r="B2" s="273" t="s">
        <v>203</v>
      </c>
    </row>
    <row r="3" spans="1:2" ht="15" x14ac:dyDescent="0.35">
      <c r="A3" s="271" t="s">
        <v>202</v>
      </c>
      <c r="B3" s="270">
        <v>45658</v>
      </c>
    </row>
    <row r="4" spans="1:2" ht="15" x14ac:dyDescent="0.35">
      <c r="A4" s="271" t="s">
        <v>201</v>
      </c>
      <c r="B4" s="270">
        <v>46022</v>
      </c>
    </row>
    <row r="5" spans="1:2" ht="15" x14ac:dyDescent="0.35">
      <c r="A5" s="271" t="s">
        <v>215</v>
      </c>
      <c r="B5" s="270" t="s">
        <v>216</v>
      </c>
    </row>
    <row r="6" spans="1:2" ht="15" x14ac:dyDescent="0.35">
      <c r="A6" s="272"/>
      <c r="B6" s="270"/>
    </row>
    <row r="7" spans="1:2" ht="15" x14ac:dyDescent="0.35">
      <c r="A7" s="271"/>
      <c r="B7" s="270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5D421CC4DCA1A48BCD317FFCD298679" ma:contentTypeVersion="16" ma:contentTypeDescription="" ma:contentTypeScope="" ma:versionID="86f4cad2b0b0086d6838f41576208e0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2024-11-26T08:00:00+00:00</OpenedDate>
    <SignificantOrder xmlns="dc463f71-b30c-4ab2-9473-d307f9d35888">false</SignificantOrder>
    <Date1 xmlns="dc463f71-b30c-4ab2-9473-d307f9d35888">2024-11-26T08:00:00+00:00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240934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3BF65C8-B9FC-430D-AB9B-FDFE0BBCDA7C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41D26CEE-D9A1-41A5-94A6-08206F98C7E5}"/>
</file>

<file path=customXml/itemProps3.xml><?xml version="1.0" encoding="utf-8"?>
<ds:datastoreItem xmlns:ds="http://schemas.openxmlformats.org/officeDocument/2006/customXml" ds:itemID="{F0497992-A0C1-43B5-A586-BCDA46899B36}"/>
</file>

<file path=customXml/itemProps4.xml><?xml version="1.0" encoding="utf-8"?>
<ds:datastoreItem xmlns:ds="http://schemas.openxmlformats.org/officeDocument/2006/customXml" ds:itemID="{8A22E591-ABA7-42E9-A021-39A1A00542F0}"/>
</file>

<file path=customXml/itemProps5.xml><?xml version="1.0" encoding="utf-8"?>
<ds:datastoreItem xmlns:ds="http://schemas.openxmlformats.org/officeDocument/2006/customXml" ds:itemID="{D7A2762C-ECCC-4024-9762-F784BF78BC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Sch 141A Rates</vt:lpstr>
      <vt:lpstr>Lighting Rates</vt:lpstr>
      <vt:lpstr>Rate Impacts</vt:lpstr>
      <vt:lpstr>Rate Spread and Design</vt:lpstr>
      <vt:lpstr>Workpapers--&gt;</vt:lpstr>
      <vt:lpstr>Lighting RD</vt:lpstr>
      <vt:lpstr>SCH 141A True-up</vt:lpstr>
      <vt:lpstr>Inputs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prasan</dc:creator>
  <cp:lastModifiedBy>Waltari, Julie</cp:lastModifiedBy>
  <cp:lastPrinted>2021-03-15T17:22:18Z</cp:lastPrinted>
  <dcterms:created xsi:type="dcterms:W3CDTF">2014-04-04T17:25:38Z</dcterms:created>
  <dcterms:modified xsi:type="dcterms:W3CDTF">2024-11-20T20:54:45Z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689cc04-6351-41d8-9f1d-a834e5351c1d_Enabled">
    <vt:lpwstr>true</vt:lpwstr>
  </property>
  <property fmtid="{D5CDD505-2E9C-101B-9397-08002B2CF9AE}" pid="3" name="MSIP_Label_b689cc04-6351-41d8-9f1d-a834e5351c1d_SetDate">
    <vt:lpwstr>2024-10-02T20:53:16Z</vt:lpwstr>
  </property>
  <property fmtid="{D5CDD505-2E9C-101B-9397-08002B2CF9AE}" pid="4" name="MSIP_Label_b689cc04-6351-41d8-9f1d-a834e5351c1d_Method">
    <vt:lpwstr>Standard</vt:lpwstr>
  </property>
  <property fmtid="{D5CDD505-2E9C-101B-9397-08002B2CF9AE}" pid="5" name="MSIP_Label_b689cc04-6351-41d8-9f1d-a834e5351c1d_Name">
    <vt:lpwstr>Internal Use Only</vt:lpwstr>
  </property>
  <property fmtid="{D5CDD505-2E9C-101B-9397-08002B2CF9AE}" pid="6" name="MSIP_Label_b689cc04-6351-41d8-9f1d-a834e5351c1d_SiteId">
    <vt:lpwstr>58e8b525-6212-4087-a0d0-fa755583444b</vt:lpwstr>
  </property>
  <property fmtid="{D5CDD505-2E9C-101B-9397-08002B2CF9AE}" pid="7" name="MSIP_Label_b689cc04-6351-41d8-9f1d-a834e5351c1d_ActionId">
    <vt:lpwstr>2fc3dce9-e99f-4b45-908a-b6eabe0b0221</vt:lpwstr>
  </property>
  <property fmtid="{D5CDD505-2E9C-101B-9397-08002B2CF9AE}" pid="8" name="MSIP_Label_b689cc04-6351-41d8-9f1d-a834e5351c1d_ContentBits">
    <vt:lpwstr>0</vt:lpwstr>
  </property>
  <property fmtid="{D5CDD505-2E9C-101B-9397-08002B2CF9AE}" pid="9" name="ContentTypeId">
    <vt:lpwstr>0x0101006E56B4D1795A2E4DB2F0B01679ED314A00F5D421CC4DCA1A48BCD317FFCD298679</vt:lpwstr>
  </property>
</Properties>
</file>