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LeMay\Commodity Credit\2188 Joe's, RSA-1\Commodity Price Adjust 1-1-2025\"/>
    </mc:Choice>
  </mc:AlternateContent>
  <xr:revisionPtr revIDLastSave="0" documentId="13_ncr:1_{75DC1CC0-3F56-4619-B2A2-354B03383C84}" xr6:coauthVersionLast="47" xr6:coauthVersionMax="47" xr10:uidLastSave="{00000000-0000-0000-0000-000000000000}"/>
  <bookViews>
    <workbookView xWindow="28680" yWindow="-120" windowWidth="29040" windowHeight="15840" activeTab="1" xr2:uid="{9D6D6971-CAD5-44B9-8C5E-4FC3EDB58B34}"/>
  </bookViews>
  <sheets>
    <sheet name="RSA-1 CPA Eff. 1.1.2025" sheetId="1" r:id="rId1"/>
    <sheet name="Joe's CPA Eff. 1.1.2025" sheetId="2" r:id="rId2"/>
  </sheets>
  <externalReferences>
    <externalReference r:id="rId3"/>
    <externalReference r:id="rId4"/>
  </externalReferences>
  <definedNames>
    <definedName name="_xlnm.Print_Area" localSheetId="1">'Joe''s CPA Eff. 1.1.2025'!$A$1:$O$68</definedName>
    <definedName name="_xlnm.Print_Area" localSheetId="0">'RSA-1 CPA Eff. 1.1.2025'!$A$1:$P$29</definedName>
    <definedName name="_xlnm.Print_Titles" localSheetId="1">'Joe''s CPA Eff. 1.1.2025'!$1:$4</definedName>
    <definedName name="_xlnm.Print_Titles" localSheetId="0">'RSA-1 CPA Eff. 1.1.2025'!$A:$A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B6" i="2"/>
  <c r="B9" i="2"/>
  <c r="C9" i="2"/>
  <c r="C11" i="2" s="1"/>
  <c r="D9" i="2"/>
  <c r="D11" i="2" s="1"/>
  <c r="E9" i="2"/>
  <c r="F9" i="2"/>
  <c r="G9" i="2"/>
  <c r="H9" i="2"/>
  <c r="I9" i="2"/>
  <c r="J9" i="2"/>
  <c r="K9" i="2"/>
  <c r="K11" i="2" s="1"/>
  <c r="L9" i="2"/>
  <c r="L11" i="2" s="1"/>
  <c r="M9" i="2"/>
  <c r="B10" i="2"/>
  <c r="C10" i="2"/>
  <c r="D10" i="2"/>
  <c r="E10" i="2"/>
  <c r="F10" i="2"/>
  <c r="N10" i="2" s="1"/>
  <c r="G10" i="2"/>
  <c r="G11" i="2" s="1"/>
  <c r="H10" i="2"/>
  <c r="I10" i="2"/>
  <c r="J10" i="2"/>
  <c r="K10" i="2"/>
  <c r="L10" i="2"/>
  <c r="M10" i="2"/>
  <c r="B11" i="2"/>
  <c r="E11" i="2"/>
  <c r="H11" i="2"/>
  <c r="I11" i="2"/>
  <c r="J11" i="2"/>
  <c r="M11" i="2"/>
  <c r="B14" i="2"/>
  <c r="C14" i="2"/>
  <c r="C46" i="2" s="1"/>
  <c r="C50" i="2" s="1"/>
  <c r="D14" i="2"/>
  <c r="D46" i="2" s="1"/>
  <c r="D50" i="2" s="1"/>
  <c r="E14" i="2"/>
  <c r="F14" i="2"/>
  <c r="G14" i="2"/>
  <c r="H14" i="2"/>
  <c r="I14" i="2"/>
  <c r="J14" i="2"/>
  <c r="K14" i="2"/>
  <c r="K46" i="2" s="1"/>
  <c r="K50" i="2" s="1"/>
  <c r="L14" i="2"/>
  <c r="L46" i="2" s="1"/>
  <c r="L50" i="2" s="1"/>
  <c r="M14" i="2"/>
  <c r="B15" i="2"/>
  <c r="C15" i="2"/>
  <c r="D15" i="2"/>
  <c r="E15" i="2"/>
  <c r="E19" i="2" s="1"/>
  <c r="F15" i="2"/>
  <c r="G15" i="2"/>
  <c r="G47" i="2" s="1"/>
  <c r="G51" i="2" s="1"/>
  <c r="H15" i="2"/>
  <c r="H19" i="2" s="1"/>
  <c r="H20" i="2" s="1"/>
  <c r="H24" i="2" s="1"/>
  <c r="I15" i="2"/>
  <c r="J15" i="2"/>
  <c r="K15" i="2"/>
  <c r="L15" i="2"/>
  <c r="M15" i="2"/>
  <c r="M19" i="2" s="1"/>
  <c r="M20" i="2" s="1"/>
  <c r="M24" i="2" s="1"/>
  <c r="B18" i="2"/>
  <c r="C18" i="2"/>
  <c r="C20" i="2" s="1"/>
  <c r="C24" i="2" s="1"/>
  <c r="D18" i="2"/>
  <c r="D20" i="2" s="1"/>
  <c r="D24" i="2" s="1"/>
  <c r="E18" i="2"/>
  <c r="F18" i="2"/>
  <c r="G18" i="2"/>
  <c r="H18" i="2"/>
  <c r="I18" i="2"/>
  <c r="J18" i="2"/>
  <c r="K18" i="2"/>
  <c r="K20" i="2" s="1"/>
  <c r="K24" i="2" s="1"/>
  <c r="L18" i="2"/>
  <c r="L20" i="2" s="1"/>
  <c r="L24" i="2" s="1"/>
  <c r="M18" i="2"/>
  <c r="B19" i="2"/>
  <c r="C19" i="2"/>
  <c r="D19" i="2"/>
  <c r="F19" i="2"/>
  <c r="F20" i="2" s="1"/>
  <c r="G19" i="2"/>
  <c r="G20" i="2" s="1"/>
  <c r="G24" i="2" s="1"/>
  <c r="I19" i="2"/>
  <c r="J19" i="2"/>
  <c r="K19" i="2"/>
  <c r="L19" i="2"/>
  <c r="B20" i="2"/>
  <c r="B24" i="2" s="1"/>
  <c r="I20" i="2"/>
  <c r="I24" i="2" s="1"/>
  <c r="J20" i="2"/>
  <c r="J24" i="2" s="1"/>
  <c r="B22" i="2"/>
  <c r="N22" i="2" s="1"/>
  <c r="C22" i="2"/>
  <c r="D22" i="2"/>
  <c r="E22" i="2"/>
  <c r="F22" i="2"/>
  <c r="G22" i="2"/>
  <c r="H22" i="2"/>
  <c r="I22" i="2"/>
  <c r="I26" i="2" s="1"/>
  <c r="I27" i="2" s="1"/>
  <c r="J22" i="2"/>
  <c r="K22" i="2"/>
  <c r="L22" i="2"/>
  <c r="M22" i="2"/>
  <c r="B25" i="2"/>
  <c r="C25" i="2"/>
  <c r="D25" i="2"/>
  <c r="E25" i="2"/>
  <c r="E26" i="2" s="1"/>
  <c r="F25" i="2"/>
  <c r="G25" i="2"/>
  <c r="G26" i="2" s="1"/>
  <c r="H25" i="2"/>
  <c r="H26" i="2" s="1"/>
  <c r="H27" i="2" s="1"/>
  <c r="I25" i="2"/>
  <c r="J25" i="2"/>
  <c r="K25" i="2"/>
  <c r="L25" i="2"/>
  <c r="M25" i="2"/>
  <c r="M26" i="2" s="1"/>
  <c r="M27" i="2" s="1"/>
  <c r="C26" i="2"/>
  <c r="C27" i="2" s="1"/>
  <c r="D26" i="2"/>
  <c r="F26" i="2"/>
  <c r="K26" i="2"/>
  <c r="K27" i="2" s="1"/>
  <c r="L26" i="2"/>
  <c r="N33" i="2"/>
  <c r="B38" i="2"/>
  <c r="B41" i="2"/>
  <c r="C41" i="2"/>
  <c r="D41" i="2"/>
  <c r="E41" i="2"/>
  <c r="F41" i="2"/>
  <c r="G41" i="2"/>
  <c r="G43" i="2" s="1"/>
  <c r="H41" i="2"/>
  <c r="H43" i="2" s="1"/>
  <c r="I41" i="2"/>
  <c r="J41" i="2"/>
  <c r="K41" i="2"/>
  <c r="L41" i="2"/>
  <c r="M41" i="2"/>
  <c r="B42" i="2"/>
  <c r="N42" i="2" s="1"/>
  <c r="C42" i="2"/>
  <c r="C43" i="2" s="1"/>
  <c r="D42" i="2"/>
  <c r="E42" i="2"/>
  <c r="F42" i="2"/>
  <c r="G42" i="2"/>
  <c r="H42" i="2"/>
  <c r="I42" i="2"/>
  <c r="I43" i="2" s="1"/>
  <c r="J42" i="2"/>
  <c r="J43" i="2" s="1"/>
  <c r="K42" i="2"/>
  <c r="K43" i="2" s="1"/>
  <c r="L42" i="2"/>
  <c r="M42" i="2"/>
  <c r="D43" i="2"/>
  <c r="E43" i="2"/>
  <c r="F43" i="2"/>
  <c r="L43" i="2"/>
  <c r="M43" i="2"/>
  <c r="B46" i="2"/>
  <c r="E46" i="2"/>
  <c r="F46" i="2"/>
  <c r="G46" i="2"/>
  <c r="H46" i="2"/>
  <c r="I46" i="2"/>
  <c r="J46" i="2"/>
  <c r="M46" i="2"/>
  <c r="B47" i="2"/>
  <c r="C47" i="2"/>
  <c r="C51" i="2" s="1"/>
  <c r="D47" i="2"/>
  <c r="D51" i="2" s="1"/>
  <c r="E47" i="2"/>
  <c r="E51" i="2" s="1"/>
  <c r="E52" i="2" s="1"/>
  <c r="E56" i="2" s="1"/>
  <c r="F47" i="2"/>
  <c r="I47" i="2"/>
  <c r="J47" i="2"/>
  <c r="K47" i="2"/>
  <c r="K51" i="2" s="1"/>
  <c r="L47" i="2"/>
  <c r="L51" i="2" s="1"/>
  <c r="M47" i="2"/>
  <c r="M51" i="2" s="1"/>
  <c r="M52" i="2" s="1"/>
  <c r="M56" i="2" s="1"/>
  <c r="B50" i="2"/>
  <c r="E50" i="2"/>
  <c r="F50" i="2"/>
  <c r="G50" i="2"/>
  <c r="H50" i="2"/>
  <c r="I50" i="2"/>
  <c r="J50" i="2"/>
  <c r="M50" i="2"/>
  <c r="B51" i="2"/>
  <c r="F51" i="2"/>
  <c r="I51" i="2"/>
  <c r="I52" i="2" s="1"/>
  <c r="I56" i="2" s="1"/>
  <c r="J51" i="2"/>
  <c r="J52" i="2" s="1"/>
  <c r="J56" i="2" s="1"/>
  <c r="F52" i="2"/>
  <c r="F56" i="2" s="1"/>
  <c r="B54" i="2"/>
  <c r="C54" i="2"/>
  <c r="D54" i="2"/>
  <c r="E54" i="2"/>
  <c r="F54" i="2"/>
  <c r="G54" i="2"/>
  <c r="N54" i="2" s="1"/>
  <c r="H54" i="2"/>
  <c r="I54" i="2"/>
  <c r="J54" i="2"/>
  <c r="K54" i="2"/>
  <c r="L54" i="2"/>
  <c r="M54" i="2"/>
  <c r="B57" i="2"/>
  <c r="C57" i="2"/>
  <c r="C58" i="2" s="1"/>
  <c r="D57" i="2"/>
  <c r="D58" i="2" s="1"/>
  <c r="E57" i="2"/>
  <c r="E58" i="2" s="1"/>
  <c r="E59" i="2" s="1"/>
  <c r="F57" i="2"/>
  <c r="F58" i="2" s="1"/>
  <c r="F59" i="2" s="1"/>
  <c r="G57" i="2"/>
  <c r="H57" i="2"/>
  <c r="I57" i="2"/>
  <c r="J57" i="2"/>
  <c r="J58" i="2" s="1"/>
  <c r="J59" i="2" s="1"/>
  <c r="K57" i="2"/>
  <c r="K58" i="2" s="1"/>
  <c r="L57" i="2"/>
  <c r="L58" i="2" s="1"/>
  <c r="M57" i="2"/>
  <c r="M58" i="2" s="1"/>
  <c r="M59" i="2" s="1"/>
  <c r="B58" i="2"/>
  <c r="I58" i="2"/>
  <c r="I59" i="2" s="1"/>
  <c r="N65" i="2"/>
  <c r="C6" i="1"/>
  <c r="C6" i="2" s="1"/>
  <c r="C38" i="2" s="1"/>
  <c r="B9" i="1"/>
  <c r="C9" i="1"/>
  <c r="N9" i="1" s="1"/>
  <c r="D9" i="1"/>
  <c r="D14" i="1" s="1"/>
  <c r="D18" i="1" s="1"/>
  <c r="E9" i="1"/>
  <c r="E14" i="1" s="1"/>
  <c r="E18" i="1" s="1"/>
  <c r="F9" i="1"/>
  <c r="G9" i="1"/>
  <c r="H9" i="1"/>
  <c r="I9" i="1"/>
  <c r="J9" i="1"/>
  <c r="K9" i="1"/>
  <c r="L9" i="1"/>
  <c r="L14" i="1" s="1"/>
  <c r="L18" i="1" s="1"/>
  <c r="M9" i="1"/>
  <c r="M14" i="1" s="1"/>
  <c r="M18" i="1" s="1"/>
  <c r="B12" i="1"/>
  <c r="C12" i="1"/>
  <c r="D12" i="1"/>
  <c r="E12" i="1"/>
  <c r="F12" i="1"/>
  <c r="F14" i="1" s="1"/>
  <c r="F18" i="1" s="1"/>
  <c r="G12" i="1"/>
  <c r="G14" i="1" s="1"/>
  <c r="G18" i="1" s="1"/>
  <c r="H12" i="1"/>
  <c r="I12" i="1"/>
  <c r="J12" i="1"/>
  <c r="K12" i="1"/>
  <c r="L12" i="1"/>
  <c r="M12" i="1"/>
  <c r="B14" i="1"/>
  <c r="B18" i="1" s="1"/>
  <c r="C14" i="1"/>
  <c r="C18" i="1" s="1"/>
  <c r="H14" i="1"/>
  <c r="I14" i="1"/>
  <c r="I18" i="1" s="1"/>
  <c r="J14" i="1"/>
  <c r="J18" i="1" s="1"/>
  <c r="K14" i="1"/>
  <c r="K18" i="1" s="1"/>
  <c r="B16" i="1"/>
  <c r="C16" i="1"/>
  <c r="D16" i="1"/>
  <c r="E16" i="1"/>
  <c r="N16" i="1" s="1"/>
  <c r="F16" i="1"/>
  <c r="G16" i="1"/>
  <c r="H16" i="1"/>
  <c r="I16" i="1"/>
  <c r="J16" i="1"/>
  <c r="K16" i="1"/>
  <c r="L16" i="1"/>
  <c r="M16" i="1"/>
  <c r="H18" i="1"/>
  <c r="B19" i="1"/>
  <c r="B20" i="1" s="1"/>
  <c r="C19" i="1"/>
  <c r="C20" i="1" s="1"/>
  <c r="C21" i="1" s="1"/>
  <c r="D19" i="1"/>
  <c r="D20" i="1" s="1"/>
  <c r="E19" i="1"/>
  <c r="F19" i="1"/>
  <c r="G19" i="1"/>
  <c r="H19" i="1"/>
  <c r="H20" i="1" s="1"/>
  <c r="H21" i="1" s="1"/>
  <c r="I19" i="1"/>
  <c r="J19" i="1"/>
  <c r="J20" i="1" s="1"/>
  <c r="J21" i="1" s="1"/>
  <c r="K19" i="1"/>
  <c r="K20" i="1" s="1"/>
  <c r="K21" i="1" s="1"/>
  <c r="L19" i="1"/>
  <c r="L20" i="1" s="1"/>
  <c r="M19" i="1"/>
  <c r="G20" i="1"/>
  <c r="G21" i="1" s="1"/>
  <c r="I20" i="1"/>
  <c r="I21" i="1" s="1"/>
  <c r="N27" i="1"/>
  <c r="F20" i="1" l="1"/>
  <c r="F21" i="1" s="1"/>
  <c r="M20" i="1"/>
  <c r="M21" i="1" s="1"/>
  <c r="H58" i="2"/>
  <c r="J26" i="2"/>
  <c r="J27" i="2" s="1"/>
  <c r="F24" i="2"/>
  <c r="F27" i="2"/>
  <c r="E20" i="2"/>
  <c r="E24" i="2" s="1"/>
  <c r="N19" i="2"/>
  <c r="L27" i="2"/>
  <c r="L59" i="2"/>
  <c r="D59" i="2"/>
  <c r="G52" i="2"/>
  <c r="G56" i="2" s="1"/>
  <c r="E27" i="2"/>
  <c r="L52" i="2"/>
  <c r="L56" i="2" s="1"/>
  <c r="D52" i="2"/>
  <c r="D56" i="2" s="1"/>
  <c r="B21" i="1"/>
  <c r="L21" i="1"/>
  <c r="D21" i="1"/>
  <c r="D27" i="2"/>
  <c r="G27" i="2"/>
  <c r="K52" i="2"/>
  <c r="N50" i="2"/>
  <c r="C52" i="2"/>
  <c r="N51" i="2"/>
  <c r="E20" i="1"/>
  <c r="E21" i="1" s="1"/>
  <c r="B59" i="2"/>
  <c r="G58" i="2"/>
  <c r="G59" i="2" s="1"/>
  <c r="B26" i="2"/>
  <c r="B27" i="2" s="1"/>
  <c r="B52" i="2"/>
  <c r="B56" i="2" s="1"/>
  <c r="H47" i="2"/>
  <c r="H51" i="2" s="1"/>
  <c r="H52" i="2" s="1"/>
  <c r="B43" i="2"/>
  <c r="N41" i="2"/>
  <c r="N43" i="2" s="1"/>
  <c r="N14" i="1"/>
  <c r="D6" i="1"/>
  <c r="F11" i="2"/>
  <c r="N11" i="2" s="1"/>
  <c r="N18" i="2"/>
  <c r="N9" i="2"/>
  <c r="H56" i="2" l="1"/>
  <c r="H59" i="2"/>
  <c r="N24" i="1"/>
  <c r="N21" i="1"/>
  <c r="D6" i="2"/>
  <c r="D38" i="2" s="1"/>
  <c r="E6" i="1"/>
  <c r="C56" i="2"/>
  <c r="C59" i="2"/>
  <c r="N59" i="2" s="1"/>
  <c r="N52" i="2"/>
  <c r="K56" i="2"/>
  <c r="K59" i="2"/>
  <c r="N20" i="1"/>
  <c r="N20" i="2"/>
  <c r="N27" i="2"/>
  <c r="N58" i="2"/>
  <c r="N61" i="2" l="1"/>
  <c r="N63" i="2" s="1"/>
  <c r="N66" i="2" s="1"/>
  <c r="N23" i="1"/>
  <c r="N25" i="1" s="1"/>
  <c r="N28" i="1" s="1"/>
  <c r="N30" i="2"/>
  <c r="N29" i="2"/>
  <c r="N31" i="2" s="1"/>
  <c r="N34" i="2" s="1"/>
  <c r="N62" i="2"/>
  <c r="E6" i="2"/>
  <c r="E38" i="2" s="1"/>
  <c r="F6" i="1"/>
  <c r="O34" i="2" l="1"/>
  <c r="N35" i="2"/>
  <c r="G6" i="1"/>
  <c r="F6" i="2"/>
  <c r="F38" i="2" s="1"/>
  <c r="P28" i="1"/>
  <c r="N29" i="1"/>
  <c r="O66" i="2"/>
  <c r="N67" i="2"/>
  <c r="G6" i="2" l="1"/>
  <c r="G38" i="2" s="1"/>
  <c r="H6" i="1"/>
  <c r="I6" i="1" l="1"/>
  <c r="H6" i="2"/>
  <c r="H38" i="2" s="1"/>
  <c r="I6" i="2" l="1"/>
  <c r="I38" i="2" s="1"/>
  <c r="J6" i="1"/>
  <c r="J6" i="2" l="1"/>
  <c r="J38" i="2" s="1"/>
  <c r="K6" i="1"/>
  <c r="K6" i="2" l="1"/>
  <c r="K38" i="2" s="1"/>
  <c r="L6" i="1"/>
  <c r="L6" i="2" l="1"/>
  <c r="L38" i="2" s="1"/>
  <c r="M6" i="1"/>
  <c r="M6" i="2" s="1"/>
  <c r="M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Vandenburg</author>
  </authors>
  <commentList>
    <comment ref="A19" authorId="0" shapeId="0" xr:uid="{4A306234-9E4A-4281-84AC-AE0AFBC330A2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Label changed from income statement to balance sheet terminology.  Debits are expected receivables
</t>
        </r>
      </text>
    </comment>
    <comment ref="B19" authorId="0" shapeId="0" xr:uid="{5110B74A-F805-46AD-9D16-DC50D539492C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Formula change to match the debit credit direction from from our A/R position.</t>
        </r>
      </text>
    </comment>
    <comment ref="A20" authorId="0" shapeId="0" xr:uid="{54148072-9FE5-439E-9C7A-ABC11B06FBC9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"offset" used to always act as a counter to the material sales revenue (expense) from sales.  In a perfect month, the negative from commingle should exactly offset (zero out) from what we collect from customers.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Vandenburg</author>
  </authors>
  <commentList>
    <comment ref="A25" authorId="0" shapeId="0" xr:uid="{61554EEA-A1AA-43ED-A5C3-983FA7BE041C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Label changed from income statement to balance sheet terminology.  Debits are expected receivables
</t>
        </r>
      </text>
    </comment>
    <comment ref="A26" authorId="0" shapeId="0" xr:uid="{28AC6EBE-48C7-4CBE-B129-5179AE1BB17B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"offset" used to always act as a counter to the material sales revenue (expense) from sales.  In a perfect month, the negative from commingle should exactly offset (zero out) from what we collect from customers.</t>
        </r>
      </text>
    </comment>
    <comment ref="A57" authorId="0" shapeId="0" xr:uid="{65CBBE67-C39A-4919-9C20-DD389FB42D96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Label changed from income statement to balance sheet terminology.  Debits are expected receivables
</t>
        </r>
      </text>
    </comment>
    <comment ref="A58" authorId="0" shapeId="0" xr:uid="{4A65DD25-C734-4DC5-AF87-F81D17D644A6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"offset" used to always act as a counter to the material sales revenue (expense) from sales.  In a perfect month, the negative from commingle should exactly offset (zero out) from what we collect from customers.</t>
        </r>
      </text>
    </comment>
  </commentList>
</comments>
</file>

<file path=xl/sharedStrings.xml><?xml version="1.0" encoding="utf-8"?>
<sst xmlns="http://schemas.openxmlformats.org/spreadsheetml/2006/main" count="74" uniqueCount="28">
  <si>
    <t>12-Month Revenue Impact:</t>
  </si>
  <si>
    <t>Change:</t>
  </si>
  <si>
    <t>Old Debit/(Credit):</t>
  </si>
  <si>
    <t>New Commodity Debit/(Credit):</t>
  </si>
  <si>
    <t>12-Month rolling cost/(benefit) of material sales/customer:</t>
  </si>
  <si>
    <t>Prior Period True-Up Due From (To) Customer</t>
  </si>
  <si>
    <t>Due From (To) Customers</t>
  </si>
  <si>
    <t>Projected Total Offset From/(To) Customers</t>
  </si>
  <si>
    <t>Projected Due From/(To) Per Customer</t>
  </si>
  <si>
    <t>Actual Commodity Value Due From/(To) Customer</t>
  </si>
  <si>
    <t>Customers</t>
  </si>
  <si>
    <t>Earned Revenue (Expense)</t>
  </si>
  <si>
    <t>Price per Ton Revenue (Expense)</t>
  </si>
  <si>
    <t>Commingle</t>
  </si>
  <si>
    <t>Tons</t>
  </si>
  <si>
    <t>Total</t>
  </si>
  <si>
    <t>12-Month</t>
  </si>
  <si>
    <t>Effective January 1, 2025</t>
  </si>
  <si>
    <t>Commodity Credit Calculation</t>
  </si>
  <si>
    <t>Lewis Co.,  RSA-1</t>
  </si>
  <si>
    <t>Harold LeMay Enterprises, Inc. G-98</t>
  </si>
  <si>
    <t>Total Earned Revenue (Expense)</t>
  </si>
  <si>
    <t>Glass</t>
  </si>
  <si>
    <t>Total Tons</t>
  </si>
  <si>
    <t>Multi-Family</t>
  </si>
  <si>
    <t>Over/(Under) Earned:</t>
  </si>
  <si>
    <t>Single Family</t>
  </si>
  <si>
    <t>Joe's Thurston 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</si>
</sst>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_(* #,##0_);_(* \(#,##0\);_(* &quot;-&quot;??_);_(@_)"/>
    <numFmt numFmtId="167" formatCode="&quot;$&quot;#,##0"/>
    <numFmt numFmtId="168" formatCode="0.0%"/>
    <numFmt numFmtId="169" formatCode="[$-409]mmm\-yy;@"/>
    <numFmt numFmtId="170" formatCode="_(&quot;$&quot;* #,##0.0_);_(&quot;$&quot;* \(#,##0.0\);_(&quot;$&quot;* &quot;-&quot;??_);_(@_)"/>
    <numFmt numFmtId="171" formatCode="#,##0.00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166" fontId="1" fillId="0" borderId="0" xfId="1" applyNumberFormat="1" applyFont="1" applyFill="1" applyAlignment="1">
      <alignment horizontal="right"/>
    </xf>
    <xf numFmtId="164" fontId="1" fillId="0" borderId="0" xfId="2" applyNumberFormat="1" applyFont="1" applyFill="1"/>
    <xf numFmtId="166" fontId="1" fillId="0" borderId="0" xfId="6" applyNumberFormat="1" applyFont="1" applyFill="1" applyAlignment="1">
      <alignment horizontal="right"/>
    </xf>
    <xf numFmtId="43" fontId="1" fillId="0" borderId="0" xfId="1" applyFont="1" applyFill="1" applyAlignment="1">
      <alignment horizontal="right"/>
    </xf>
    <xf numFmtId="44" fontId="1" fillId="0" borderId="0" xfId="2" applyFont="1" applyFill="1"/>
    <xf numFmtId="166" fontId="1" fillId="0" borderId="0" xfId="1" applyNumberFormat="1" applyFont="1" applyFill="1" applyAlignment="1">
      <alignment horizontal="left"/>
    </xf>
    <xf numFmtId="44" fontId="1" fillId="0" borderId="0" xfId="2" applyFont="1" applyFill="1" applyAlignment="1">
      <alignment horizontal="right"/>
    </xf>
    <xf numFmtId="44" fontId="2" fillId="0" borderId="0" xfId="2" applyFont="1" applyFill="1" applyAlignment="1">
      <alignment horizontal="right"/>
    </xf>
    <xf numFmtId="166" fontId="2" fillId="0" borderId="0" xfId="6" applyNumberFormat="1" applyFont="1" applyFill="1" applyAlignment="1">
      <alignment horizontal="right"/>
    </xf>
    <xf numFmtId="44" fontId="1" fillId="0" borderId="1" xfId="2" applyFont="1" applyFill="1" applyBorder="1" applyAlignment="1">
      <alignment horizontal="right"/>
    </xf>
    <xf numFmtId="168" fontId="1" fillId="0" borderId="0" xfId="3" applyNumberFormat="1" applyFont="1" applyFill="1" applyAlignment="1">
      <alignment horizontal="right"/>
    </xf>
    <xf numFmtId="164" fontId="2" fillId="0" borderId="2" xfId="2" applyNumberFormat="1" applyFont="1" applyFill="1" applyBorder="1"/>
    <xf numFmtId="44" fontId="2" fillId="0" borderId="2" xfId="2" applyFont="1" applyFill="1" applyBorder="1"/>
    <xf numFmtId="0" fontId="1" fillId="0" borderId="0" xfId="6" applyNumberFormat="1" applyFont="1" applyFill="1"/>
    <xf numFmtId="166" fontId="1" fillId="0" borderId="0" xfId="1" applyNumberFormat="1" applyFont="1" applyFill="1"/>
    <xf numFmtId="43" fontId="1" fillId="0" borderId="0" xfId="1" applyFont="1" applyFill="1"/>
    <xf numFmtId="164" fontId="2" fillId="0" borderId="3" xfId="2" applyNumberFormat="1" applyFont="1" applyFill="1" applyBorder="1"/>
    <xf numFmtId="43" fontId="1" fillId="0" borderId="0" xfId="1" applyFont="1" applyFill="1" applyAlignment="1">
      <alignment horizontal="left"/>
    </xf>
    <xf numFmtId="44" fontId="2" fillId="0" borderId="0" xfId="2" applyFont="1" applyFill="1" applyBorder="1"/>
    <xf numFmtId="10" fontId="1" fillId="0" borderId="0" xfId="3" applyNumberFormat="1" applyFont="1" applyFill="1" applyAlignment="1">
      <alignment horizontal="right"/>
    </xf>
    <xf numFmtId="0" fontId="1" fillId="0" borderId="0" xfId="1" applyNumberFormat="1" applyFont="1" applyFill="1"/>
    <xf numFmtId="43" fontId="2" fillId="0" borderId="0" xfId="1" applyFont="1" applyFill="1" applyBorder="1"/>
    <xf numFmtId="43" fontId="2" fillId="0" borderId="0" xfId="1" applyFont="1" applyFill="1"/>
    <xf numFmtId="165" fontId="1" fillId="0" borderId="0" xfId="1" applyNumberFormat="1" applyFont="1" applyFill="1"/>
    <xf numFmtId="3" fontId="2" fillId="0" borderId="0" xfId="1" applyNumberFormat="1" applyFont="1" applyFill="1"/>
    <xf numFmtId="44" fontId="1" fillId="0" borderId="0" xfId="2" applyFont="1" applyFill="1" applyBorder="1"/>
    <xf numFmtId="43" fontId="1" fillId="0" borderId="0" xfId="1" applyFont="1" applyFill="1" applyBorder="1"/>
    <xf numFmtId="4" fontId="1" fillId="0" borderId="0" xfId="1" applyNumberFormat="1" applyFont="1" applyFill="1" applyBorder="1"/>
    <xf numFmtId="164" fontId="1" fillId="0" borderId="0" xfId="2" applyNumberFormat="1" applyFont="1" applyFill="1" applyBorder="1"/>
    <xf numFmtId="37" fontId="1" fillId="0" borderId="0" xfId="1" applyNumberFormat="1" applyFont="1" applyFill="1"/>
    <xf numFmtId="3" fontId="1" fillId="0" borderId="0" xfId="1" applyNumberFormat="1" applyFont="1" applyFill="1" applyBorder="1"/>
    <xf numFmtId="166" fontId="1" fillId="0" borderId="0" xfId="1" applyNumberFormat="1" applyFont="1" applyFill="1" applyBorder="1"/>
    <xf numFmtId="44" fontId="1" fillId="0" borderId="1" xfId="2" applyFont="1" applyFill="1" applyBorder="1"/>
    <xf numFmtId="43" fontId="9" fillId="0" borderId="0" xfId="3" applyNumberFormat="1" applyFont="1" applyFill="1" applyAlignment="1">
      <alignment horizontal="left"/>
    </xf>
    <xf numFmtId="3" fontId="1" fillId="0" borderId="0" xfId="1" applyNumberFormat="1" applyFont="1" applyFill="1"/>
    <xf numFmtId="10" fontId="1" fillId="0" borderId="0" xfId="3" applyNumberFormat="1" applyFont="1" applyFill="1"/>
    <xf numFmtId="4" fontId="1" fillId="0" borderId="0" xfId="1" applyNumberFormat="1" applyFont="1" applyFill="1"/>
    <xf numFmtId="166" fontId="9" fillId="0" borderId="0" xfId="1" applyNumberFormat="1" applyFont="1" applyFill="1" applyAlignment="1">
      <alignment horizontal="left"/>
    </xf>
    <xf numFmtId="43" fontId="9" fillId="0" borderId="0" xfId="1" applyFont="1" applyFill="1" applyAlignment="1">
      <alignment horizontal="left"/>
    </xf>
    <xf numFmtId="167" fontId="1" fillId="0" borderId="0" xfId="1" applyNumberFormat="1" applyFont="1" applyFill="1"/>
    <xf numFmtId="1" fontId="1" fillId="0" borderId="0" xfId="1" applyNumberFormat="1" applyFont="1" applyFill="1"/>
    <xf numFmtId="0" fontId="2" fillId="0" borderId="0" xfId="4" applyFont="1"/>
    <xf numFmtId="0" fontId="1" fillId="0" borderId="0" xfId="5" applyAlignment="1">
      <alignment horizontal="center"/>
    </xf>
    <xf numFmtId="0" fontId="1" fillId="0" borderId="0" xfId="4" applyAlignment="1">
      <alignment horizontal="center"/>
    </xf>
    <xf numFmtId="0" fontId="1" fillId="0" borderId="0" xfId="4"/>
    <xf numFmtId="14" fontId="1" fillId="0" borderId="0" xfId="5" applyNumberFormat="1" applyAlignment="1">
      <alignment horizontal="center"/>
    </xf>
    <xf numFmtId="0" fontId="9" fillId="0" borderId="0" xfId="5" applyFont="1" applyAlignment="1">
      <alignment horizontal="center"/>
    </xf>
    <xf numFmtId="0" fontId="2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17" fontId="2" fillId="0" borderId="4" xfId="4" applyNumberFormat="1" applyFont="1" applyBorder="1" applyAlignment="1">
      <alignment horizontal="center"/>
    </xf>
    <xf numFmtId="0" fontId="2" fillId="0" borderId="4" xfId="4" applyFont="1" applyBorder="1" applyAlignment="1">
      <alignment horizontal="center"/>
    </xf>
    <xf numFmtId="169" fontId="1" fillId="0" borderId="0" xfId="4" applyNumberFormat="1"/>
    <xf numFmtId="17" fontId="2" fillId="0" borderId="0" xfId="4" applyNumberFormat="1" applyFont="1" applyAlignment="1">
      <alignment horizontal="center"/>
    </xf>
    <xf numFmtId="17" fontId="2" fillId="0" borderId="0" xfId="4" quotePrefix="1" applyNumberFormat="1" applyFont="1" applyAlignment="1">
      <alignment horizontal="center"/>
    </xf>
    <xf numFmtId="43" fontId="1" fillId="0" borderId="0" xfId="4" applyNumberFormat="1"/>
    <xf numFmtId="43" fontId="1" fillId="0" borderId="0" xfId="7" applyFont="1" applyFill="1"/>
    <xf numFmtId="4" fontId="1" fillId="0" borderId="0" xfId="4" applyNumberFormat="1"/>
    <xf numFmtId="43" fontId="2" fillId="0" borderId="0" xfId="4" applyNumberFormat="1" applyFont="1"/>
    <xf numFmtId="8" fontId="1" fillId="0" borderId="0" xfId="2" applyNumberFormat="1" applyFont="1" applyFill="1"/>
    <xf numFmtId="0" fontId="2" fillId="0" borderId="3" xfId="4" applyFont="1" applyBorder="1"/>
    <xf numFmtId="3" fontId="2" fillId="0" borderId="0" xfId="4" applyNumberFormat="1" applyFont="1"/>
    <xf numFmtId="164" fontId="2" fillId="0" borderId="0" xfId="4" applyNumberFormat="1" applyFont="1"/>
    <xf numFmtId="166" fontId="1" fillId="0" borderId="0" xfId="4" applyNumberFormat="1"/>
    <xf numFmtId="0" fontId="7" fillId="0" borderId="0" xfId="4" applyFont="1"/>
    <xf numFmtId="171" fontId="1" fillId="0" borderId="0" xfId="4" applyNumberFormat="1"/>
    <xf numFmtId="3" fontId="1" fillId="0" borderId="0" xfId="4" applyNumberFormat="1"/>
    <xf numFmtId="37" fontId="1" fillId="0" borderId="0" xfId="4" applyNumberFormat="1"/>
    <xf numFmtId="170" fontId="1" fillId="0" borderId="0" xfId="4" applyNumberFormat="1"/>
    <xf numFmtId="0" fontId="9" fillId="0" borderId="0" xfId="4" applyFont="1"/>
    <xf numFmtId="0" fontId="1" fillId="0" borderId="0" xfId="4" applyAlignment="1">
      <alignment horizontal="right"/>
    </xf>
    <xf numFmtId="0" fontId="2" fillId="0" borderId="0" xfId="4" applyFont="1" applyAlignment="1">
      <alignment horizontal="left"/>
    </xf>
    <xf numFmtId="14" fontId="1" fillId="0" borderId="0" xfId="4" applyNumberFormat="1"/>
    <xf numFmtId="169" fontId="1" fillId="0" borderId="0" xfId="4" applyNumberFormat="1" applyAlignment="1">
      <alignment horizontal="center"/>
    </xf>
    <xf numFmtId="0" fontId="4" fillId="0" borderId="0" xfId="4" applyFont="1" applyAlignment="1">
      <alignment horizontal="center"/>
    </xf>
    <xf numFmtId="165" fontId="1" fillId="0" borderId="0" xfId="4" applyNumberFormat="1"/>
    <xf numFmtId="5" fontId="1" fillId="0" borderId="0" xfId="4" applyNumberFormat="1"/>
    <xf numFmtId="7" fontId="1" fillId="0" borderId="0" xfId="4" applyNumberFormat="1"/>
    <xf numFmtId="167" fontId="1" fillId="0" borderId="0" xfId="4" applyNumberFormat="1"/>
    <xf numFmtId="43" fontId="2" fillId="0" borderId="0" xfId="1" applyFont="1" applyFill="1" applyBorder="1" applyAlignment="1">
      <alignment horizontal="right"/>
    </xf>
    <xf numFmtId="166" fontId="2" fillId="0" borderId="0" xfId="1" applyNumberFormat="1" applyFont="1" applyFill="1" applyBorder="1"/>
    <xf numFmtId="43" fontId="1" fillId="0" borderId="0" xfId="5" applyNumberFormat="1" applyAlignment="1">
      <alignment horizontal="right"/>
    </xf>
    <xf numFmtId="44" fontId="1" fillId="0" borderId="0" xfId="4" applyNumberFormat="1"/>
    <xf numFmtId="164" fontId="1" fillId="0" borderId="0" xfId="4" applyNumberFormat="1"/>
  </cellXfs>
  <cellStyles count="8">
    <cellStyle name="Comma" xfId="1" builtinId="3"/>
    <cellStyle name="Comma 17 2" xfId="6" xr:uid="{2F35B0CF-E339-4ED0-A14B-7641E8CF37C7}"/>
    <cellStyle name="Comma 2" xfId="7" xr:uid="{DDCE5285-5CB7-4B07-BC90-489D4D0FF6AC}"/>
    <cellStyle name="Currency" xfId="2" builtinId="4"/>
    <cellStyle name="Normal" xfId="0" builtinId="0"/>
    <cellStyle name="Normal_Joe's 1-1-2004" xfId="4" xr:uid="{F0413F16-BA3C-4469-A082-0CE4FADD26D7}"/>
    <cellStyle name="Normal_Pacific 1-1-06" xfId="5" xr:uid="{7F57CA4C-4D0D-4AF1-A8E9-232888D16C1B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Commodity%20Credit/2025%20Accrual%20Spreadsheets/2025.01%20S%20LeMay%20Comm%20Credits/Lewis%20County%20RSA-1,%20Joe's%20Commodity%20Accrual%20Calc%202025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ewis%20County,%20Joe's%20CPA%20Calc%201-1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ated RSA-1 Comm Credi"/>
      <sheetName val="Designated RSA-1 Comm Details"/>
      <sheetName val="Joe's Comm Credit"/>
      <sheetName val="Joe's Single Fam. Comm Details"/>
      <sheetName val="Joe's Multi Fam. Comm Details"/>
      <sheetName val="customer count"/>
      <sheetName val="April B Week"/>
      <sheetName val="May A Week"/>
      <sheetName val="Landfill Cost - Oct 24"/>
      <sheetName val="Landfill Cost - September 24"/>
      <sheetName val="Landfill Cost - August 24"/>
      <sheetName val="Landfill Cost - July 24"/>
      <sheetName val="Landfill Cost - June 24"/>
      <sheetName val="Landfill Cost - May 24"/>
      <sheetName val="Landfill Cost - Apr 24"/>
      <sheetName val="Landfill Cost - Mar 24"/>
      <sheetName val="Landfill Cost - Feb 24"/>
      <sheetName val="Landfill Cost - Jan 24"/>
      <sheetName val="Landfill Cost - Dec 23"/>
      <sheetName val="Landfill Cost - Nov 23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  <sheetName val="MF Cust Count"/>
    </sheetNames>
    <sheetDataSet>
      <sheetData sheetId="0">
        <row r="9">
          <cell r="B9">
            <v>129.07000000000002</v>
          </cell>
          <cell r="C9">
            <v>139.95999999999998</v>
          </cell>
          <cell r="D9">
            <v>153.24</v>
          </cell>
          <cell r="E9">
            <v>122.05000000000001</v>
          </cell>
          <cell r="F9">
            <v>134.19999999999999</v>
          </cell>
          <cell r="G9">
            <v>143.22999999999996</v>
          </cell>
          <cell r="H9">
            <v>129.77000000000001</v>
          </cell>
          <cell r="I9">
            <v>127.20000000000005</v>
          </cell>
          <cell r="J9">
            <v>134.60999999999999</v>
          </cell>
          <cell r="K9">
            <v>156.88999999999999</v>
          </cell>
          <cell r="L9">
            <v>122.89570000000003</v>
          </cell>
          <cell r="M9">
            <v>114.46250000000002</v>
          </cell>
        </row>
        <row r="12">
          <cell r="B12">
            <v>-108.94051599999996</v>
          </cell>
          <cell r="C12">
            <v>-113.42106999999997</v>
          </cell>
          <cell r="D12">
            <v>-102.47826499999999</v>
          </cell>
          <cell r="E12">
            <v>-102.88196499999998</v>
          </cell>
          <cell r="F12">
            <v>-99.837764999999976</v>
          </cell>
          <cell r="G12">
            <v>-97.796965</v>
          </cell>
          <cell r="H12">
            <v>-86.539064999999994</v>
          </cell>
          <cell r="I12">
            <v>-78.573464999999999</v>
          </cell>
          <cell r="J12">
            <v>-80.41266499999999</v>
          </cell>
          <cell r="K12">
            <v>-86.716464999999985</v>
          </cell>
          <cell r="L12">
            <v>-89.310232999999968</v>
          </cell>
          <cell r="M12">
            <v>-96.313583000000008</v>
          </cell>
        </row>
        <row r="16">
          <cell r="B16">
            <v>11332</v>
          </cell>
          <cell r="C16">
            <v>11332</v>
          </cell>
          <cell r="D16">
            <v>11253</v>
          </cell>
          <cell r="E16">
            <v>11340</v>
          </cell>
          <cell r="F16">
            <v>11279</v>
          </cell>
          <cell r="G16">
            <v>12941</v>
          </cell>
          <cell r="H16">
            <v>13008</v>
          </cell>
          <cell r="I16">
            <v>12977</v>
          </cell>
          <cell r="J16">
            <v>12976</v>
          </cell>
          <cell r="K16">
            <v>13025</v>
          </cell>
          <cell r="L16">
            <v>12887</v>
          </cell>
          <cell r="M16">
            <v>12620</v>
          </cell>
        </row>
      </sheetData>
      <sheetData sheetId="1" refreshError="1"/>
      <sheetData sheetId="2">
        <row r="9">
          <cell r="B9">
            <v>71.272900996137452</v>
          </cell>
          <cell r="C9">
            <v>64.821530487205138</v>
          </cell>
          <cell r="D9">
            <v>89.890504565315197</v>
          </cell>
          <cell r="E9">
            <v>72.544517161929903</v>
          </cell>
          <cell r="F9">
            <v>71.360763529292299</v>
          </cell>
          <cell r="G9">
            <v>53.704641281043173</v>
          </cell>
          <cell r="H9">
            <v>61.07198834522255</v>
          </cell>
          <cell r="I9">
            <v>56.070341080591589</v>
          </cell>
          <cell r="J9">
            <v>74.181313486875197</v>
          </cell>
          <cell r="K9">
            <v>74.186782048701943</v>
          </cell>
          <cell r="L9">
            <v>53.555196109422482</v>
          </cell>
          <cell r="M9">
            <v>52.181092701030934</v>
          </cell>
        </row>
        <row r="10">
          <cell r="B10">
            <v>5.87</v>
          </cell>
          <cell r="C10">
            <v>7.76</v>
          </cell>
          <cell r="D10">
            <v>8.26</v>
          </cell>
          <cell r="E10">
            <v>8.08</v>
          </cell>
          <cell r="F10">
            <v>7.91</v>
          </cell>
          <cell r="G10">
            <v>7.6</v>
          </cell>
          <cell r="H10">
            <v>8.2100000000000009</v>
          </cell>
          <cell r="I10">
            <v>7.61</v>
          </cell>
          <cell r="J10">
            <v>7.77</v>
          </cell>
          <cell r="K10">
            <v>8.0299999999999994</v>
          </cell>
          <cell r="L10">
            <v>7.68</v>
          </cell>
          <cell r="M10">
            <v>6.59</v>
          </cell>
        </row>
        <row r="14">
          <cell r="B14">
            <v>-108.94051599999995</v>
          </cell>
          <cell r="C14">
            <v>-113.42106999999999</v>
          </cell>
          <cell r="D14">
            <v>-102.47826500000001</v>
          </cell>
          <cell r="E14">
            <v>-102.88196499999999</v>
          </cell>
          <cell r="F14">
            <v>-99.837764999999976</v>
          </cell>
          <cell r="G14">
            <v>-97.796965</v>
          </cell>
          <cell r="H14">
            <v>-86.539064999999994</v>
          </cell>
          <cell r="I14">
            <v>-78.573465000000013</v>
          </cell>
          <cell r="J14">
            <v>-80.412664999999976</v>
          </cell>
          <cell r="K14">
            <v>-86.716464999999985</v>
          </cell>
          <cell r="L14">
            <v>-89.310232999999997</v>
          </cell>
          <cell r="M14">
            <v>-96.31358299999998</v>
          </cell>
        </row>
        <row r="15">
          <cell r="B15">
            <v>-33</v>
          </cell>
          <cell r="C15">
            <v>-33</v>
          </cell>
          <cell r="D15">
            <v>-33</v>
          </cell>
          <cell r="E15">
            <v>-33</v>
          </cell>
          <cell r="F15">
            <v>-33</v>
          </cell>
          <cell r="G15">
            <v>-33</v>
          </cell>
          <cell r="H15">
            <v>-33</v>
          </cell>
          <cell r="I15">
            <v>-38</v>
          </cell>
          <cell r="J15">
            <v>-43</v>
          </cell>
          <cell r="K15">
            <v>-43</v>
          </cell>
          <cell r="L15">
            <v>-43</v>
          </cell>
          <cell r="M15">
            <v>-43</v>
          </cell>
        </row>
        <row r="22">
          <cell r="B22">
            <v>4635</v>
          </cell>
          <cell r="C22">
            <v>4645</v>
          </cell>
          <cell r="D22">
            <v>4619</v>
          </cell>
          <cell r="E22">
            <v>4640</v>
          </cell>
          <cell r="F22">
            <v>4616</v>
          </cell>
          <cell r="G22">
            <v>4657</v>
          </cell>
          <cell r="H22">
            <v>4665</v>
          </cell>
          <cell r="I22">
            <v>4658</v>
          </cell>
          <cell r="J22">
            <v>4660</v>
          </cell>
          <cell r="K22">
            <v>4658</v>
          </cell>
          <cell r="L22">
            <v>4624</v>
          </cell>
          <cell r="M22">
            <v>4539</v>
          </cell>
        </row>
        <row r="41">
          <cell r="B41">
            <v>4.3670990038625632</v>
          </cell>
          <cell r="C41">
            <v>3.9684695127948686</v>
          </cell>
          <cell r="D41">
            <v>5.5294954346847893</v>
          </cell>
          <cell r="E41">
            <v>4.815482838070082</v>
          </cell>
          <cell r="F41">
            <v>4.7692364707076962</v>
          </cell>
          <cell r="G41">
            <v>3.5753587189568208</v>
          </cell>
          <cell r="H41">
            <v>4.0780116547774625</v>
          </cell>
          <cell r="I41">
            <v>3.7496589194083958</v>
          </cell>
          <cell r="J41">
            <v>6.0686865131248169</v>
          </cell>
          <cell r="K41">
            <v>4.9532179512980434</v>
          </cell>
          <cell r="L41">
            <v>3.6020038905775063</v>
          </cell>
          <cell r="M41">
            <v>3.5753072989690731</v>
          </cell>
        </row>
        <row r="42">
          <cell r="B42">
            <v>0.32</v>
          </cell>
          <cell r="C42">
            <v>0.41</v>
          </cell>
          <cell r="D42">
            <v>0.43999999999999773</v>
          </cell>
          <cell r="E42">
            <v>0.43000000000000682</v>
          </cell>
          <cell r="F42">
            <v>0.42999999999999261</v>
          </cell>
          <cell r="G42">
            <v>0.40000000000000568</v>
          </cell>
          <cell r="H42">
            <v>0.44</v>
          </cell>
          <cell r="I42">
            <v>0.41</v>
          </cell>
          <cell r="J42">
            <v>0.41</v>
          </cell>
          <cell r="K42">
            <v>0.43000000000000682</v>
          </cell>
          <cell r="L42">
            <v>0.42</v>
          </cell>
          <cell r="M42">
            <v>0.36</v>
          </cell>
        </row>
        <row r="54">
          <cell r="B54">
            <v>284</v>
          </cell>
          <cell r="C54">
            <v>284.37373737373741</v>
          </cell>
          <cell r="D54">
            <v>284.13167259786474</v>
          </cell>
          <cell r="E54">
            <v>308.0017793594306</v>
          </cell>
          <cell r="F54">
            <v>308.5</v>
          </cell>
          <cell r="G54">
            <v>310.03736654804266</v>
          </cell>
          <cell r="H54">
            <v>311.5</v>
          </cell>
          <cell r="I54">
            <v>311.5</v>
          </cell>
          <cell r="J54">
            <v>311.5</v>
          </cell>
          <cell r="K54">
            <v>311</v>
          </cell>
          <cell r="L54">
            <v>311</v>
          </cell>
          <cell r="M54">
            <v>311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A-1 CPA Eff. 1.1.2025"/>
      <sheetName val="Joe's CPA Eff. 1.1.2025"/>
      <sheetName val="RSA-1 CPA Eff. 1.1.2024"/>
      <sheetName val="Joe's CPA Eff. 1.1.2024"/>
      <sheetName val="RSA-1 CPA Eff. 1.1.2023"/>
      <sheetName val="Joe's CPA Eff. 1.1.2023"/>
      <sheetName val="RSA-1 CPA Eff. 1.1.2022"/>
      <sheetName val="Joe's CPA Eff. 1.1.2022"/>
      <sheetName val="RSA-1 CPA Eff. 1.1.2021"/>
      <sheetName val="Joe's CPA Eff. 1.1.2021"/>
      <sheetName val="RSA-1 CPA Eff. 1.1.2020"/>
      <sheetName val="Joe's CPA Eff 1.1.2020"/>
      <sheetName val="RSA-1 CPA Eff. 7.1.19"/>
      <sheetName val="Joe's CPA Eff 7.1.19"/>
      <sheetName val="RSA-1 CPA Eff 7.1.18"/>
      <sheetName val="Joe's CPA Eff 7.1.18"/>
    </sheetNames>
    <sheetDataSet>
      <sheetData sheetId="0"/>
      <sheetData sheetId="1"/>
      <sheetData sheetId="2">
        <row r="19">
          <cell r="M19">
            <v>0.76</v>
          </cell>
        </row>
        <row r="24">
          <cell r="N24">
            <v>1.52</v>
          </cell>
        </row>
        <row r="25">
          <cell r="N25">
            <v>2.33</v>
          </cell>
        </row>
      </sheetData>
      <sheetData sheetId="3">
        <row r="25">
          <cell r="M25">
            <v>0.91</v>
          </cell>
        </row>
        <row r="30">
          <cell r="N30">
            <v>1.83</v>
          </cell>
        </row>
        <row r="31">
          <cell r="N31">
            <v>2.81</v>
          </cell>
        </row>
        <row r="57">
          <cell r="M57">
            <v>0.88</v>
          </cell>
        </row>
        <row r="62">
          <cell r="N62">
            <v>1.82</v>
          </cell>
        </row>
        <row r="63">
          <cell r="N63">
            <v>2.81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ABC8-A663-40D4-98A7-ABA102F0A6C0}">
  <sheetPr>
    <tabColor rgb="FF00B050"/>
    <pageSetUpPr fitToPage="1"/>
  </sheetPr>
  <dimension ref="A1:AI37"/>
  <sheetViews>
    <sheetView showGridLines="0" view="pageBreakPreview" zoomScaleNormal="115" zoomScaleSheetLayoutView="100" workbookViewId="0">
      <pane xSplit="1" ySplit="6" topLeftCell="B7" activePane="bottomRight" state="frozen"/>
      <selection activeCell="F33" sqref="F33"/>
      <selection pane="topRight" activeCell="F33" sqref="F33"/>
      <selection pane="bottomLeft" activeCell="F33" sqref="F33"/>
      <selection pane="bottomRight" activeCell="A25" sqref="A25"/>
    </sheetView>
  </sheetViews>
  <sheetFormatPr defaultColWidth="9.140625" defaultRowHeight="12.75" x14ac:dyDescent="0.2"/>
  <cols>
    <col min="1" max="1" width="43.7109375" style="45" customWidth="1"/>
    <col min="2" max="12" width="11.85546875" style="45" bestFit="1" customWidth="1"/>
    <col min="13" max="13" width="12.85546875" style="45" customWidth="1"/>
    <col min="14" max="14" width="12.85546875" style="45" bestFit="1" customWidth="1"/>
    <col min="15" max="15" width="2.140625" style="16" customWidth="1"/>
    <col min="16" max="16" width="9.140625" style="45"/>
    <col min="17" max="17" width="12" style="45" customWidth="1"/>
    <col min="18" max="18" width="9.140625" style="45"/>
    <col min="19" max="19" width="11.85546875" style="45" bestFit="1" customWidth="1"/>
    <col min="20" max="20" width="10.28515625" style="45" bestFit="1" customWidth="1"/>
    <col min="21" max="16384" width="9.140625" style="45"/>
  </cols>
  <sheetData>
    <row r="1" spans="1:35" x14ac:dyDescent="0.2">
      <c r="A1" s="42" t="s">
        <v>20</v>
      </c>
    </row>
    <row r="2" spans="1:35" x14ac:dyDescent="0.2">
      <c r="A2" s="71" t="s">
        <v>19</v>
      </c>
      <c r="K2" s="72"/>
    </row>
    <row r="3" spans="1:35" x14ac:dyDescent="0.2">
      <c r="A3" s="42" t="s">
        <v>18</v>
      </c>
      <c r="K3" s="72"/>
    </row>
    <row r="4" spans="1:35" x14ac:dyDescent="0.2">
      <c r="A4" s="42" t="s">
        <v>17</v>
      </c>
      <c r="N4" s="44"/>
    </row>
    <row r="5" spans="1:35" x14ac:dyDescent="0.2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8" t="s">
        <v>16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</row>
    <row r="6" spans="1:35" ht="13.5" thickBot="1" x14ac:dyDescent="0.25">
      <c r="A6" s="44"/>
      <c r="B6" s="50">
        <v>45231</v>
      </c>
      <c r="C6" s="50">
        <f t="shared" ref="C6:M6" si="0">+B6+31</f>
        <v>45262</v>
      </c>
      <c r="D6" s="50">
        <f t="shared" si="0"/>
        <v>45293</v>
      </c>
      <c r="E6" s="50">
        <f t="shared" si="0"/>
        <v>45324</v>
      </c>
      <c r="F6" s="50">
        <f t="shared" si="0"/>
        <v>45355</v>
      </c>
      <c r="G6" s="50">
        <f t="shared" si="0"/>
        <v>45386</v>
      </c>
      <c r="H6" s="50">
        <f t="shared" si="0"/>
        <v>45417</v>
      </c>
      <c r="I6" s="50">
        <f t="shared" si="0"/>
        <v>45448</v>
      </c>
      <c r="J6" s="50">
        <f t="shared" si="0"/>
        <v>45479</v>
      </c>
      <c r="K6" s="50">
        <f t="shared" si="0"/>
        <v>45510</v>
      </c>
      <c r="L6" s="50">
        <f t="shared" si="0"/>
        <v>45541</v>
      </c>
      <c r="M6" s="50">
        <f t="shared" si="0"/>
        <v>45572</v>
      </c>
      <c r="N6" s="48" t="s">
        <v>15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</row>
    <row r="7" spans="1:35" ht="12.75" customHeight="1" x14ac:dyDescent="0.2">
      <c r="A7" s="74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44"/>
    </row>
    <row r="8" spans="1:35" ht="12.75" customHeight="1" x14ac:dyDescent="0.2">
      <c r="A8" s="42" t="s">
        <v>14</v>
      </c>
    </row>
    <row r="9" spans="1:35" x14ac:dyDescent="0.2">
      <c r="A9" s="45" t="s">
        <v>13</v>
      </c>
      <c r="B9" s="16">
        <f>+'[1]Designated RSA-1 Comm Credi'!B9</f>
        <v>129.07000000000002</v>
      </c>
      <c r="C9" s="16">
        <f>+'[1]Designated RSA-1 Comm Credi'!C9</f>
        <v>139.95999999999998</v>
      </c>
      <c r="D9" s="16">
        <f>+'[1]Designated RSA-1 Comm Credi'!D9</f>
        <v>153.24</v>
      </c>
      <c r="E9" s="16">
        <f>+'[1]Designated RSA-1 Comm Credi'!E9</f>
        <v>122.05000000000001</v>
      </c>
      <c r="F9" s="16">
        <f>+'[1]Designated RSA-1 Comm Credi'!F9</f>
        <v>134.19999999999999</v>
      </c>
      <c r="G9" s="16">
        <f>+'[1]Designated RSA-1 Comm Credi'!G9</f>
        <v>143.22999999999996</v>
      </c>
      <c r="H9" s="16">
        <f>+'[1]Designated RSA-1 Comm Credi'!H9</f>
        <v>129.77000000000001</v>
      </c>
      <c r="I9" s="16">
        <f>+'[1]Designated RSA-1 Comm Credi'!I9</f>
        <v>127.20000000000005</v>
      </c>
      <c r="J9" s="16">
        <f>+'[1]Designated RSA-1 Comm Credi'!J9</f>
        <v>134.60999999999999</v>
      </c>
      <c r="K9" s="16">
        <f>+'[1]Designated RSA-1 Comm Credi'!K9</f>
        <v>156.88999999999999</v>
      </c>
      <c r="L9" s="16">
        <f>+'[1]Designated RSA-1 Comm Credi'!L9</f>
        <v>122.89570000000003</v>
      </c>
      <c r="M9" s="16">
        <f>+'[1]Designated RSA-1 Comm Credi'!M9</f>
        <v>114.46250000000002</v>
      </c>
      <c r="N9" s="27">
        <f>SUM(B9:M9)</f>
        <v>1607.5781999999999</v>
      </c>
      <c r="P9" s="57"/>
      <c r="Q9" s="16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</row>
    <row r="10" spans="1:35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31"/>
    </row>
    <row r="11" spans="1:35" x14ac:dyDescent="0.2">
      <c r="N11" s="66"/>
    </row>
    <row r="12" spans="1:35" x14ac:dyDescent="0.2">
      <c r="A12" s="42" t="s">
        <v>12</v>
      </c>
      <c r="B12" s="5">
        <f>+'[1]Designated RSA-1 Comm Credi'!B12</f>
        <v>-108.94051599999996</v>
      </c>
      <c r="C12" s="5">
        <f>+'[1]Designated RSA-1 Comm Credi'!C12</f>
        <v>-113.42106999999997</v>
      </c>
      <c r="D12" s="5">
        <f>+'[1]Designated RSA-1 Comm Credi'!D12</f>
        <v>-102.47826499999999</v>
      </c>
      <c r="E12" s="5">
        <f>+'[1]Designated RSA-1 Comm Credi'!E12</f>
        <v>-102.88196499999998</v>
      </c>
      <c r="F12" s="5">
        <f>+'[1]Designated RSA-1 Comm Credi'!F12</f>
        <v>-99.837764999999976</v>
      </c>
      <c r="G12" s="5">
        <f>+'[1]Designated RSA-1 Comm Credi'!G12</f>
        <v>-97.796965</v>
      </c>
      <c r="H12" s="5">
        <f>+'[1]Designated RSA-1 Comm Credi'!H12</f>
        <v>-86.539064999999994</v>
      </c>
      <c r="I12" s="5">
        <f>+'[1]Designated RSA-1 Comm Credi'!I12</f>
        <v>-78.573464999999999</v>
      </c>
      <c r="J12" s="5">
        <f>+'[1]Designated RSA-1 Comm Credi'!J12</f>
        <v>-80.41266499999999</v>
      </c>
      <c r="K12" s="5">
        <f>+'[1]Designated RSA-1 Comm Credi'!K12</f>
        <v>-86.716464999999985</v>
      </c>
      <c r="L12" s="5">
        <f>+'[1]Designated RSA-1 Comm Credi'!L12</f>
        <v>-89.310232999999968</v>
      </c>
      <c r="M12" s="5">
        <f>+'[1]Designated RSA-1 Comm Credi'!M12</f>
        <v>-96.313583000000008</v>
      </c>
      <c r="N12" s="26"/>
      <c r="P12" s="75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5" x14ac:dyDescent="0.2">
      <c r="N13" s="66"/>
    </row>
    <row r="14" spans="1:35" x14ac:dyDescent="0.2">
      <c r="A14" s="60" t="s">
        <v>11</v>
      </c>
      <c r="B14" s="17">
        <f t="shared" ref="B14:M14" si="1">+B9*B12</f>
        <v>-14060.952400119997</v>
      </c>
      <c r="C14" s="17">
        <f t="shared" si="1"/>
        <v>-15874.412957199993</v>
      </c>
      <c r="D14" s="17">
        <f t="shared" si="1"/>
        <v>-15703.769328599999</v>
      </c>
      <c r="E14" s="17">
        <f t="shared" si="1"/>
        <v>-12556.743828249999</v>
      </c>
      <c r="F14" s="17">
        <f t="shared" si="1"/>
        <v>-13398.228062999995</v>
      </c>
      <c r="G14" s="17">
        <f t="shared" si="1"/>
        <v>-14007.459296949995</v>
      </c>
      <c r="H14" s="17">
        <f t="shared" si="1"/>
        <v>-11230.17446505</v>
      </c>
      <c r="I14" s="17">
        <f t="shared" si="1"/>
        <v>-9994.5447480000039</v>
      </c>
      <c r="J14" s="17">
        <f t="shared" si="1"/>
        <v>-10824.348835649997</v>
      </c>
      <c r="K14" s="17">
        <f t="shared" si="1"/>
        <v>-13604.946193849997</v>
      </c>
      <c r="L14" s="17">
        <f t="shared" si="1"/>
        <v>-10975.8436016981</v>
      </c>
      <c r="M14" s="17">
        <f t="shared" si="1"/>
        <v>-11024.293494137502</v>
      </c>
      <c r="N14" s="17">
        <f>SUM(B14:M14)</f>
        <v>-153255.71721250561</v>
      </c>
      <c r="P14" s="76"/>
    </row>
    <row r="15" spans="1:35" x14ac:dyDescent="0.2">
      <c r="N15" s="66"/>
    </row>
    <row r="16" spans="1:35" s="15" customFormat="1" x14ac:dyDescent="0.2">
      <c r="A16" s="42" t="s">
        <v>10</v>
      </c>
      <c r="B16" s="15">
        <f>+'[1]Designated RSA-1 Comm Credi'!B16</f>
        <v>11332</v>
      </c>
      <c r="C16" s="15">
        <f>+'[1]Designated RSA-1 Comm Credi'!C16</f>
        <v>11332</v>
      </c>
      <c r="D16" s="15">
        <f>+'[1]Designated RSA-1 Comm Credi'!D16</f>
        <v>11253</v>
      </c>
      <c r="E16" s="15">
        <f>+'[1]Designated RSA-1 Comm Credi'!E16</f>
        <v>11340</v>
      </c>
      <c r="F16" s="15">
        <f>+'[1]Designated RSA-1 Comm Credi'!F16</f>
        <v>11279</v>
      </c>
      <c r="G16" s="15">
        <f>+'[1]Designated RSA-1 Comm Credi'!G16</f>
        <v>12941</v>
      </c>
      <c r="H16" s="15">
        <f>+'[1]Designated RSA-1 Comm Credi'!H16</f>
        <v>13008</v>
      </c>
      <c r="I16" s="15">
        <f>+'[1]Designated RSA-1 Comm Credi'!I16</f>
        <v>12977</v>
      </c>
      <c r="J16" s="15">
        <f>+'[1]Designated RSA-1 Comm Credi'!J16</f>
        <v>12976</v>
      </c>
      <c r="K16" s="15">
        <f>+'[1]Designated RSA-1 Comm Credi'!K16</f>
        <v>13025</v>
      </c>
      <c r="L16" s="15">
        <f>+'[1]Designated RSA-1 Comm Credi'!L16</f>
        <v>12887</v>
      </c>
      <c r="M16" s="15">
        <f>+'[1]Designated RSA-1 Comm Credi'!M16</f>
        <v>12620</v>
      </c>
      <c r="N16" s="32">
        <f>SUM(B16:M16)</f>
        <v>146970</v>
      </c>
      <c r="O16" s="16"/>
      <c r="P16" s="35"/>
      <c r="Q16" s="63"/>
    </row>
    <row r="17" spans="1:19" s="15" customFormat="1" x14ac:dyDescent="0.2">
      <c r="A17" s="6"/>
      <c r="B17" s="16"/>
      <c r="N17" s="31"/>
      <c r="O17" s="16"/>
      <c r="P17" s="35"/>
      <c r="Q17" s="63"/>
    </row>
    <row r="18" spans="1:19" x14ac:dyDescent="0.2">
      <c r="A18" s="14" t="s">
        <v>9</v>
      </c>
      <c r="B18" s="5">
        <f t="shared" ref="B18:M18" si="2">-IFERROR(B14/B16,0)</f>
        <v>1.2408182492163782</v>
      </c>
      <c r="C18" s="5">
        <f t="shared" si="2"/>
        <v>1.400848301906106</v>
      </c>
      <c r="D18" s="5">
        <f t="shared" si="2"/>
        <v>1.3955184687283391</v>
      </c>
      <c r="E18" s="5">
        <f t="shared" si="2"/>
        <v>1.1072966338844796</v>
      </c>
      <c r="F18" s="5">
        <f t="shared" si="2"/>
        <v>1.1878914853267128</v>
      </c>
      <c r="G18" s="5">
        <f t="shared" si="2"/>
        <v>1.0824093421644383</v>
      </c>
      <c r="H18" s="5">
        <f t="shared" si="2"/>
        <v>0.86332829528367161</v>
      </c>
      <c r="I18" s="5">
        <f t="shared" si="2"/>
        <v>0.77017374955690865</v>
      </c>
      <c r="J18" s="5">
        <f t="shared" si="2"/>
        <v>0.83418224689041276</v>
      </c>
      <c r="K18" s="5">
        <f t="shared" si="2"/>
        <v>1.0445256194894432</v>
      </c>
      <c r="L18" s="5">
        <f t="shared" si="2"/>
        <v>0.85169889048638936</v>
      </c>
      <c r="M18" s="5">
        <f t="shared" si="2"/>
        <v>0.87355732917095896</v>
      </c>
      <c r="N18" s="26"/>
      <c r="P18" s="75"/>
    </row>
    <row r="19" spans="1:19" x14ac:dyDescent="0.2">
      <c r="A19" s="45" t="s">
        <v>8</v>
      </c>
      <c r="B19" s="5">
        <f>+'[2]RSA-1 CPA Eff. 1.1.2024'!$M19</f>
        <v>0.76</v>
      </c>
      <c r="C19" s="5">
        <f>+'[2]RSA-1 CPA Eff. 1.1.2024'!$M19</f>
        <v>0.76</v>
      </c>
      <c r="D19" s="5">
        <f>+'[2]RSA-1 CPA Eff. 1.1.2024'!$N24</f>
        <v>1.52</v>
      </c>
      <c r="E19" s="5">
        <f>+'[2]RSA-1 CPA Eff. 1.1.2024'!$N24</f>
        <v>1.52</v>
      </c>
      <c r="F19" s="5">
        <f>+'[2]RSA-1 CPA Eff. 1.1.2024'!$N24</f>
        <v>1.52</v>
      </c>
      <c r="G19" s="5">
        <f>+'[2]RSA-1 CPA Eff. 1.1.2024'!$N24</f>
        <v>1.52</v>
      </c>
      <c r="H19" s="5">
        <f>+'[2]RSA-1 CPA Eff. 1.1.2024'!$N24</f>
        <v>1.52</v>
      </c>
      <c r="I19" s="5">
        <f>+'[2]RSA-1 CPA Eff. 1.1.2024'!$N24</f>
        <v>1.52</v>
      </c>
      <c r="J19" s="5">
        <f>+'[2]RSA-1 CPA Eff. 1.1.2024'!$N24</f>
        <v>1.52</v>
      </c>
      <c r="K19" s="5">
        <f>+'[2]RSA-1 CPA Eff. 1.1.2024'!$N24</f>
        <v>1.52</v>
      </c>
      <c r="L19" s="5">
        <f>+'[2]RSA-1 CPA Eff. 1.1.2024'!$N24</f>
        <v>1.52</v>
      </c>
      <c r="M19" s="5">
        <f>+'[2]RSA-1 CPA Eff. 1.1.2024'!$N24</f>
        <v>1.52</v>
      </c>
      <c r="N19" s="26"/>
      <c r="P19" s="24"/>
    </row>
    <row r="20" spans="1:19" ht="13.5" thickBot="1" x14ac:dyDescent="0.25">
      <c r="A20" s="45" t="s">
        <v>7</v>
      </c>
      <c r="B20" s="2">
        <f t="shared" ref="B20:M20" si="3">B19*B16</f>
        <v>8612.32</v>
      </c>
      <c r="C20" s="2">
        <f t="shared" si="3"/>
        <v>8612.32</v>
      </c>
      <c r="D20" s="2">
        <f t="shared" si="3"/>
        <v>17104.560000000001</v>
      </c>
      <c r="E20" s="2">
        <f t="shared" si="3"/>
        <v>17236.8</v>
      </c>
      <c r="F20" s="2">
        <f t="shared" si="3"/>
        <v>17144.080000000002</v>
      </c>
      <c r="G20" s="2">
        <f t="shared" si="3"/>
        <v>19670.32</v>
      </c>
      <c r="H20" s="2">
        <f t="shared" si="3"/>
        <v>19772.16</v>
      </c>
      <c r="I20" s="2">
        <f t="shared" si="3"/>
        <v>19725.04</v>
      </c>
      <c r="J20" s="2">
        <f t="shared" si="3"/>
        <v>19723.52</v>
      </c>
      <c r="K20" s="2">
        <f t="shared" si="3"/>
        <v>19798</v>
      </c>
      <c r="L20" s="2">
        <f t="shared" si="3"/>
        <v>19588.240000000002</v>
      </c>
      <c r="M20" s="2">
        <f t="shared" si="3"/>
        <v>19182.400000000001</v>
      </c>
      <c r="N20" s="12">
        <f>SUM(B20:M20)</f>
        <v>206169.75999999998</v>
      </c>
      <c r="P20" s="24"/>
    </row>
    <row r="21" spans="1:19" ht="13.5" thickBot="1" x14ac:dyDescent="0.25">
      <c r="A21" s="13" t="s">
        <v>6</v>
      </c>
      <c r="B21" s="12">
        <f t="shared" ref="B21:M21" si="4">-B20-B14</f>
        <v>5448.6324001199973</v>
      </c>
      <c r="C21" s="12">
        <f t="shared" si="4"/>
        <v>7262.0929571999932</v>
      </c>
      <c r="D21" s="12">
        <f t="shared" si="4"/>
        <v>-1400.7906714000019</v>
      </c>
      <c r="E21" s="12">
        <f t="shared" si="4"/>
        <v>-4680.0561717500004</v>
      </c>
      <c r="F21" s="12">
        <f t="shared" si="4"/>
        <v>-3745.8519370000067</v>
      </c>
      <c r="G21" s="12">
        <f t="shared" si="4"/>
        <v>-5662.8607030500043</v>
      </c>
      <c r="H21" s="12">
        <f t="shared" si="4"/>
        <v>-8541.9855349499994</v>
      </c>
      <c r="I21" s="12">
        <f t="shared" si="4"/>
        <v>-9730.495251999997</v>
      </c>
      <c r="J21" s="12">
        <f t="shared" si="4"/>
        <v>-8899.1711643500039</v>
      </c>
      <c r="K21" s="12">
        <f t="shared" si="4"/>
        <v>-6193.0538061500029</v>
      </c>
      <c r="L21" s="12">
        <f t="shared" si="4"/>
        <v>-8612.3963983019021</v>
      </c>
      <c r="M21" s="12">
        <f t="shared" si="4"/>
        <v>-8158.106505862499</v>
      </c>
      <c r="N21" s="12">
        <f>SUM(B21:M21)</f>
        <v>-52914.042787494429</v>
      </c>
      <c r="P21" s="15"/>
      <c r="Q21" s="63"/>
    </row>
    <row r="22" spans="1:19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32"/>
    </row>
    <row r="23" spans="1:19" ht="15" x14ac:dyDescent="0.25">
      <c r="A23" s="6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" t="s">
        <v>5</v>
      </c>
      <c r="N23" s="7">
        <f>ROUND(N21/N16,2)</f>
        <v>-0.36</v>
      </c>
      <c r="O23" s="1"/>
      <c r="Q23" s="77"/>
    </row>
    <row r="24" spans="1:19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1"/>
      <c r="M24" s="3" t="s">
        <v>4</v>
      </c>
      <c r="N24" s="10">
        <f>-ROUND(N14/N16,2)</f>
        <v>1.04</v>
      </c>
      <c r="O24" s="1"/>
      <c r="Q24" s="75"/>
    </row>
    <row r="25" spans="1:19" x14ac:dyDescent="0.2">
      <c r="B25" s="4"/>
      <c r="C25" s="4"/>
      <c r="D25" s="4"/>
      <c r="E25" s="4"/>
      <c r="F25" s="4"/>
      <c r="G25" s="4"/>
      <c r="H25" s="4"/>
      <c r="I25" s="1"/>
      <c r="J25" s="1"/>
      <c r="K25" s="1"/>
      <c r="L25" s="1"/>
      <c r="M25" s="9" t="s">
        <v>3</v>
      </c>
      <c r="N25" s="8">
        <f>+N23+N24</f>
        <v>0.68</v>
      </c>
      <c r="O25" s="1"/>
      <c r="Q25" s="77"/>
    </row>
    <row r="26" spans="1:19" ht="15" x14ac:dyDescent="0.25">
      <c r="B26" s="39"/>
      <c r="C26" s="39"/>
      <c r="D26" s="39"/>
      <c r="E26" s="39"/>
      <c r="F26" s="39"/>
      <c r="G26" s="39"/>
      <c r="H26" s="39"/>
      <c r="I26" s="1"/>
      <c r="J26" s="1"/>
      <c r="K26" s="1"/>
      <c r="L26" s="1"/>
      <c r="M26" s="1"/>
      <c r="N26" s="7"/>
      <c r="O26" s="1"/>
    </row>
    <row r="27" spans="1:19" x14ac:dyDescent="0.2">
      <c r="A27" s="42"/>
      <c r="B27" s="6"/>
      <c r="C27" s="6"/>
      <c r="D27" s="6"/>
      <c r="E27" s="6"/>
      <c r="F27" s="6"/>
      <c r="G27" s="6"/>
      <c r="H27" s="6"/>
      <c r="I27" s="1"/>
      <c r="J27" s="1"/>
      <c r="K27" s="1"/>
      <c r="L27" s="1"/>
      <c r="M27" s="3" t="s">
        <v>2</v>
      </c>
      <c r="N27" s="5">
        <f>+'[2]RSA-1 CPA Eff. 1.1.2024'!N25</f>
        <v>2.33</v>
      </c>
      <c r="O27" s="45"/>
      <c r="P27" s="40"/>
      <c r="Q27" s="78"/>
    </row>
    <row r="28" spans="1:19" x14ac:dyDescent="0.2">
      <c r="A28" s="4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3" t="s">
        <v>1</v>
      </c>
      <c r="N28" s="5">
        <f>+N25-N27</f>
        <v>-1.65</v>
      </c>
      <c r="O28" s="45"/>
      <c r="P28" s="36">
        <f>N28/N27</f>
        <v>-0.70815450643776823</v>
      </c>
    </row>
    <row r="29" spans="1:19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1"/>
      <c r="M29" s="3" t="s">
        <v>0</v>
      </c>
      <c r="N29" s="2">
        <f>N28*N16</f>
        <v>-242500.5</v>
      </c>
      <c r="O29" s="45"/>
      <c r="P29" s="41"/>
    </row>
    <row r="30" spans="1:19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58"/>
      <c r="P30" s="37"/>
    </row>
    <row r="31" spans="1:19" x14ac:dyDescent="0.2">
      <c r="N31" s="55"/>
      <c r="P31" s="24"/>
    </row>
    <row r="32" spans="1:19" x14ac:dyDescent="0.2">
      <c r="P32" s="15"/>
      <c r="Q32" s="63"/>
      <c r="S32" s="2"/>
    </row>
    <row r="33" spans="13:19" x14ac:dyDescent="0.2">
      <c r="M33" s="79"/>
      <c r="N33" s="80"/>
      <c r="Q33" s="77"/>
      <c r="S33" s="2"/>
    </row>
    <row r="34" spans="13:19" x14ac:dyDescent="0.2">
      <c r="M34" s="81"/>
      <c r="N34" s="23"/>
      <c r="Q34" s="75"/>
      <c r="S34" s="2"/>
    </row>
    <row r="35" spans="13:19" ht="15" x14ac:dyDescent="0.25">
      <c r="M35" s="69"/>
      <c r="N35" s="27"/>
      <c r="Q35" s="77"/>
      <c r="S35" s="2"/>
    </row>
    <row r="36" spans="13:19" ht="15" x14ac:dyDescent="0.25">
      <c r="M36" s="69"/>
      <c r="N36" s="82"/>
      <c r="S36" s="2"/>
    </row>
    <row r="37" spans="13:19" x14ac:dyDescent="0.2">
      <c r="S37" s="83"/>
    </row>
  </sheetData>
  <pageMargins left="0.25" right="0.25" top="0.75" bottom="0.75" header="0.3" footer="0.3"/>
  <pageSetup scale="52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A619E-89E2-4A4E-A490-BDCC7E766E0C}">
  <sheetPr>
    <tabColor rgb="FF00B050"/>
    <pageSetUpPr fitToPage="1"/>
  </sheetPr>
  <dimension ref="A1:BH105"/>
  <sheetViews>
    <sheetView showGridLines="0" tabSelected="1" view="pageBreakPreview" topLeftCell="A30" zoomScaleNormal="100" zoomScaleSheetLayoutView="100" workbookViewId="0">
      <selection activeCell="C47" sqref="C47"/>
    </sheetView>
  </sheetViews>
  <sheetFormatPr defaultColWidth="9.140625" defaultRowHeight="12.75" x14ac:dyDescent="0.2"/>
  <cols>
    <col min="1" max="1" width="43.7109375" style="45" bestFit="1" customWidth="1"/>
    <col min="2" max="4" width="11.85546875" style="45" bestFit="1" customWidth="1"/>
    <col min="5" max="5" width="10.85546875" style="45" bestFit="1" customWidth="1"/>
    <col min="6" max="12" width="11.85546875" style="45" bestFit="1" customWidth="1"/>
    <col min="13" max="13" width="15.140625" style="45" customWidth="1"/>
    <col min="14" max="14" width="12.85546875" style="45" bestFit="1" customWidth="1"/>
    <col min="15" max="15" width="11.85546875" style="45" bestFit="1" customWidth="1"/>
    <col min="16" max="16" width="11.28515625" style="45" bestFit="1" customWidth="1"/>
    <col min="17" max="16384" width="9.140625" style="45"/>
  </cols>
  <sheetData>
    <row r="1" spans="1:29" x14ac:dyDescent="0.2">
      <c r="A1" s="42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9" x14ac:dyDescent="0.2">
      <c r="A2" s="42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6"/>
      <c r="L2" s="43"/>
      <c r="M2" s="43"/>
      <c r="N2" s="44"/>
    </row>
    <row r="3" spans="1:29" ht="15" x14ac:dyDescent="0.25">
      <c r="A3" s="42" t="s">
        <v>18</v>
      </c>
      <c r="B3" s="47"/>
      <c r="C3" s="43"/>
      <c r="D3" s="43"/>
      <c r="E3" s="43"/>
      <c r="F3" s="43"/>
      <c r="G3" s="43"/>
      <c r="H3" s="43"/>
      <c r="I3" s="43"/>
      <c r="J3" s="43"/>
      <c r="K3" s="46"/>
      <c r="L3" s="43"/>
      <c r="M3" s="43"/>
      <c r="N3" s="44"/>
    </row>
    <row r="4" spans="1:29" x14ac:dyDescent="0.2">
      <c r="A4" s="42" t="str">
        <f>+'RSA-1 CPA Eff. 1.1.2025'!A4</f>
        <v>Effective January 1, 2025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29" x14ac:dyDescent="0.2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8" t="s">
        <v>16</v>
      </c>
    </row>
    <row r="6" spans="1:29" ht="13.5" thickBot="1" x14ac:dyDescent="0.25">
      <c r="A6" s="49" t="s">
        <v>26</v>
      </c>
      <c r="B6" s="50">
        <f>'RSA-1 CPA Eff. 1.1.2025'!B6</f>
        <v>45231</v>
      </c>
      <c r="C6" s="50">
        <f>'RSA-1 CPA Eff. 1.1.2025'!C6</f>
        <v>45262</v>
      </c>
      <c r="D6" s="50">
        <f>'RSA-1 CPA Eff. 1.1.2025'!D6</f>
        <v>45293</v>
      </c>
      <c r="E6" s="50">
        <f>'RSA-1 CPA Eff. 1.1.2025'!E6</f>
        <v>45324</v>
      </c>
      <c r="F6" s="50">
        <f>'RSA-1 CPA Eff. 1.1.2025'!F6</f>
        <v>45355</v>
      </c>
      <c r="G6" s="50">
        <f>'RSA-1 CPA Eff. 1.1.2025'!G6</f>
        <v>45386</v>
      </c>
      <c r="H6" s="50">
        <f>'RSA-1 CPA Eff. 1.1.2025'!H6</f>
        <v>45417</v>
      </c>
      <c r="I6" s="50">
        <f>'RSA-1 CPA Eff. 1.1.2025'!I6</f>
        <v>45448</v>
      </c>
      <c r="J6" s="50">
        <f>'RSA-1 CPA Eff. 1.1.2025'!J6</f>
        <v>45479</v>
      </c>
      <c r="K6" s="50">
        <f>'RSA-1 CPA Eff. 1.1.2025'!K6</f>
        <v>45510</v>
      </c>
      <c r="L6" s="50">
        <f>'RSA-1 CPA Eff. 1.1.2025'!L6</f>
        <v>45541</v>
      </c>
      <c r="M6" s="50">
        <f>'RSA-1 CPA Eff. 1.1.2025'!M6</f>
        <v>45572</v>
      </c>
      <c r="N6" s="51" t="s">
        <v>15</v>
      </c>
      <c r="O6" s="52"/>
      <c r="P6" s="52"/>
      <c r="Q6" s="52"/>
    </row>
    <row r="7" spans="1:29" x14ac:dyDescent="0.2">
      <c r="B7" s="53"/>
      <c r="C7" s="53"/>
      <c r="D7" s="53"/>
      <c r="E7" s="53"/>
      <c r="F7" s="53"/>
      <c r="G7" s="53"/>
      <c r="H7" s="53"/>
      <c r="I7" s="53"/>
      <c r="J7" s="53"/>
      <c r="K7" s="54"/>
      <c r="L7" s="53"/>
      <c r="M7" s="53"/>
      <c r="N7" s="48"/>
      <c r="O7" s="52"/>
      <c r="P7" s="52"/>
      <c r="Q7" s="52"/>
    </row>
    <row r="8" spans="1:29" x14ac:dyDescent="0.2">
      <c r="A8" s="42" t="s">
        <v>14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29" x14ac:dyDescent="0.2">
      <c r="A9" s="45" t="s">
        <v>13</v>
      </c>
      <c r="B9" s="56">
        <f>+'[1]Joe''s Comm Credit'!B9</f>
        <v>71.272900996137452</v>
      </c>
      <c r="C9" s="56">
        <f>+'[1]Joe''s Comm Credit'!C9</f>
        <v>64.821530487205138</v>
      </c>
      <c r="D9" s="56">
        <f>+'[1]Joe''s Comm Credit'!D9</f>
        <v>89.890504565315197</v>
      </c>
      <c r="E9" s="56">
        <f>+'[1]Joe''s Comm Credit'!E9</f>
        <v>72.544517161929903</v>
      </c>
      <c r="F9" s="56">
        <f>+'[1]Joe''s Comm Credit'!F9</f>
        <v>71.360763529292299</v>
      </c>
      <c r="G9" s="56">
        <f>+'[1]Joe''s Comm Credit'!G9</f>
        <v>53.704641281043173</v>
      </c>
      <c r="H9" s="56">
        <f>+'[1]Joe''s Comm Credit'!H9</f>
        <v>61.07198834522255</v>
      </c>
      <c r="I9" s="56">
        <f>+'[1]Joe''s Comm Credit'!I9</f>
        <v>56.070341080591589</v>
      </c>
      <c r="J9" s="56">
        <f>+'[1]Joe''s Comm Credit'!J9</f>
        <v>74.181313486875197</v>
      </c>
      <c r="K9" s="56">
        <f>+'[1]Joe''s Comm Credit'!K9</f>
        <v>74.186782048701943</v>
      </c>
      <c r="L9" s="56">
        <f>+'[1]Joe''s Comm Credit'!L9</f>
        <v>53.555196109422482</v>
      </c>
      <c r="M9" s="56">
        <f>+'[1]Joe''s Comm Credit'!M9</f>
        <v>52.181092701030934</v>
      </c>
      <c r="N9" s="27">
        <f>SUM(B9:M9)</f>
        <v>794.84157179276781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x14ac:dyDescent="0.2">
      <c r="A10" s="45" t="s">
        <v>22</v>
      </c>
      <c r="B10" s="56">
        <f>+'[1]Joe''s Comm Credit'!B10</f>
        <v>5.87</v>
      </c>
      <c r="C10" s="56">
        <f>+'[1]Joe''s Comm Credit'!C10</f>
        <v>7.76</v>
      </c>
      <c r="D10" s="56">
        <f>+'[1]Joe''s Comm Credit'!D10</f>
        <v>8.26</v>
      </c>
      <c r="E10" s="56">
        <f>+'[1]Joe''s Comm Credit'!E10</f>
        <v>8.08</v>
      </c>
      <c r="F10" s="56">
        <f>+'[1]Joe''s Comm Credit'!F10</f>
        <v>7.91</v>
      </c>
      <c r="G10" s="56">
        <f>+'[1]Joe''s Comm Credit'!G10</f>
        <v>7.6</v>
      </c>
      <c r="H10" s="56">
        <f>+'[1]Joe''s Comm Credit'!H10</f>
        <v>8.2100000000000009</v>
      </c>
      <c r="I10" s="56">
        <f>+'[1]Joe''s Comm Credit'!I10</f>
        <v>7.61</v>
      </c>
      <c r="J10" s="56">
        <f>+'[1]Joe''s Comm Credit'!J10</f>
        <v>7.77</v>
      </c>
      <c r="K10" s="56">
        <f>+'[1]Joe''s Comm Credit'!K10</f>
        <v>8.0299999999999994</v>
      </c>
      <c r="L10" s="56">
        <f>+'[1]Joe''s Comm Credit'!L10</f>
        <v>7.68</v>
      </c>
      <c r="M10" s="56">
        <f>+'[1]Joe''s Comm Credit'!M10</f>
        <v>6.59</v>
      </c>
      <c r="N10" s="27">
        <f>SUM(B10:M10)</f>
        <v>91.37</v>
      </c>
      <c r="O10" s="57"/>
      <c r="Q10" s="57"/>
    </row>
    <row r="11" spans="1:29" s="42" customFormat="1" x14ac:dyDescent="0.2">
      <c r="A11" s="42" t="s">
        <v>23</v>
      </c>
      <c r="B11" s="23">
        <f t="shared" ref="B11:M11" si="0">SUM(B9:B10)</f>
        <v>77.142900996137456</v>
      </c>
      <c r="C11" s="23">
        <f t="shared" si="0"/>
        <v>72.581530487205143</v>
      </c>
      <c r="D11" s="23">
        <f t="shared" si="0"/>
        <v>98.150504565315202</v>
      </c>
      <c r="E11" s="23">
        <f t="shared" si="0"/>
        <v>80.624517161929901</v>
      </c>
      <c r="F11" s="23">
        <f t="shared" si="0"/>
        <v>79.270763529292296</v>
      </c>
      <c r="G11" s="23">
        <f t="shared" si="0"/>
        <v>61.304641281043175</v>
      </c>
      <c r="H11" s="23">
        <f t="shared" si="0"/>
        <v>69.281988345222544</v>
      </c>
      <c r="I11" s="23">
        <f t="shared" si="0"/>
        <v>63.680341080591589</v>
      </c>
      <c r="J11" s="23">
        <f t="shared" si="0"/>
        <v>81.951313486875193</v>
      </c>
      <c r="K11" s="23">
        <f t="shared" si="0"/>
        <v>82.216782048701944</v>
      </c>
      <c r="L11" s="23">
        <f t="shared" si="0"/>
        <v>61.235196109422482</v>
      </c>
      <c r="M11" s="23">
        <f t="shared" si="0"/>
        <v>58.771092701030938</v>
      </c>
      <c r="N11" s="22">
        <f>SUM(B11:M11)</f>
        <v>886.21157179276793</v>
      </c>
      <c r="O11" s="22"/>
      <c r="P11" s="58"/>
    </row>
    <row r="12" spans="1:29" x14ac:dyDescent="0.2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7"/>
      <c r="O12" s="27"/>
    </row>
    <row r="13" spans="1:29" x14ac:dyDescent="0.2">
      <c r="A13" s="42" t="s">
        <v>12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29" s="57" customFormat="1" x14ac:dyDescent="0.2">
      <c r="A14" s="57" t="s">
        <v>13</v>
      </c>
      <c r="B14" s="59">
        <f>+'[1]Joe''s Comm Credit'!B14</f>
        <v>-108.94051599999995</v>
      </c>
      <c r="C14" s="59">
        <f>+'[1]Joe''s Comm Credit'!C14</f>
        <v>-113.42106999999999</v>
      </c>
      <c r="D14" s="59">
        <f>+'[1]Joe''s Comm Credit'!D14</f>
        <v>-102.47826500000001</v>
      </c>
      <c r="E14" s="59">
        <f>+'[1]Joe''s Comm Credit'!E14</f>
        <v>-102.88196499999999</v>
      </c>
      <c r="F14" s="59">
        <f>+'[1]Joe''s Comm Credit'!F14</f>
        <v>-99.837764999999976</v>
      </c>
      <c r="G14" s="59">
        <f>+'[1]Joe''s Comm Credit'!G14</f>
        <v>-97.796965</v>
      </c>
      <c r="H14" s="59">
        <f>+'[1]Joe''s Comm Credit'!H14</f>
        <v>-86.539064999999994</v>
      </c>
      <c r="I14" s="59">
        <f>+'[1]Joe''s Comm Credit'!I14</f>
        <v>-78.573465000000013</v>
      </c>
      <c r="J14" s="59">
        <f>+'[1]Joe''s Comm Credit'!J14</f>
        <v>-80.412664999999976</v>
      </c>
      <c r="K14" s="59">
        <f>+'[1]Joe''s Comm Credit'!K14</f>
        <v>-86.716464999999985</v>
      </c>
      <c r="L14" s="59">
        <f>+'[1]Joe''s Comm Credit'!L14</f>
        <v>-89.310232999999997</v>
      </c>
      <c r="M14" s="59">
        <f>+'[1]Joe''s Comm Credit'!M14</f>
        <v>-96.31358299999998</v>
      </c>
      <c r="N14" s="26"/>
    </row>
    <row r="15" spans="1:29" x14ac:dyDescent="0.2">
      <c r="A15" s="45" t="s">
        <v>22</v>
      </c>
      <c r="B15" s="59">
        <f>+'[1]Joe''s Comm Credit'!B15</f>
        <v>-33</v>
      </c>
      <c r="C15" s="59">
        <f>+'[1]Joe''s Comm Credit'!C15</f>
        <v>-33</v>
      </c>
      <c r="D15" s="59">
        <f>+'[1]Joe''s Comm Credit'!D15</f>
        <v>-33</v>
      </c>
      <c r="E15" s="59">
        <f>+'[1]Joe''s Comm Credit'!E15</f>
        <v>-33</v>
      </c>
      <c r="F15" s="59">
        <f>+'[1]Joe''s Comm Credit'!F15</f>
        <v>-33</v>
      </c>
      <c r="G15" s="59">
        <f>+'[1]Joe''s Comm Credit'!G15</f>
        <v>-33</v>
      </c>
      <c r="H15" s="59">
        <f>+'[1]Joe''s Comm Credit'!H15</f>
        <v>-33</v>
      </c>
      <c r="I15" s="59">
        <f>+'[1]Joe''s Comm Credit'!I$15</f>
        <v>-38</v>
      </c>
      <c r="J15" s="59">
        <f>+'[1]Joe''s Comm Credit'!J$15</f>
        <v>-43</v>
      </c>
      <c r="K15" s="59">
        <f>+'[1]Joe''s Comm Credit'!K$15</f>
        <v>-43</v>
      </c>
      <c r="L15" s="59">
        <f>+'[1]Joe''s Comm Credit'!L$15</f>
        <v>-43</v>
      </c>
      <c r="M15" s="59">
        <f>+'[1]Joe''s Comm Credit'!M$15</f>
        <v>-43</v>
      </c>
      <c r="N15" s="26"/>
      <c r="O15" s="28"/>
    </row>
    <row r="17" spans="1:19" x14ac:dyDescent="0.2">
      <c r="A17" s="42" t="s">
        <v>11</v>
      </c>
    </row>
    <row r="18" spans="1:19" x14ac:dyDescent="0.2">
      <c r="A18" s="21" t="s">
        <v>13</v>
      </c>
      <c r="B18" s="2">
        <f t="shared" ref="B18:M18" si="1">B9*B14</f>
        <v>-7764.5066113361245</v>
      </c>
      <c r="C18" s="2">
        <f t="shared" si="1"/>
        <v>-7352.1273468964273</v>
      </c>
      <c r="D18" s="2">
        <f t="shared" si="1"/>
        <v>-9211.8229478280809</v>
      </c>
      <c r="E18" s="2">
        <f t="shared" si="1"/>
        <v>-7463.5224755955714</v>
      </c>
      <c r="F18" s="2">
        <f t="shared" si="1"/>
        <v>-7124.4991394580538</v>
      </c>
      <c r="G18" s="2">
        <f t="shared" si="1"/>
        <v>-5252.1509236997344</v>
      </c>
      <c r="H18" s="2">
        <f t="shared" si="1"/>
        <v>-5285.112769086456</v>
      </c>
      <c r="I18" s="2">
        <f t="shared" si="1"/>
        <v>-4405.6409824339262</v>
      </c>
      <c r="J18" s="2">
        <f t="shared" si="1"/>
        <v>-5965.1171106800757</v>
      </c>
      <c r="K18" s="2">
        <f t="shared" si="1"/>
        <v>-6433.2154889888889</v>
      </c>
      <c r="L18" s="2">
        <f t="shared" si="1"/>
        <v>-4783.0270428932154</v>
      </c>
      <c r="M18" s="2">
        <f t="shared" si="1"/>
        <v>-5025.748002891436</v>
      </c>
      <c r="N18" s="29">
        <f>SUM(B18:M18)</f>
        <v>-76066.490841787978</v>
      </c>
      <c r="O18" s="15"/>
    </row>
    <row r="19" spans="1:19" x14ac:dyDescent="0.2">
      <c r="A19" s="45" t="s">
        <v>22</v>
      </c>
      <c r="B19" s="2">
        <f t="shared" ref="B19:M19" si="2">+B15*B10</f>
        <v>-193.71</v>
      </c>
      <c r="C19" s="2">
        <f t="shared" si="2"/>
        <v>-256.08</v>
      </c>
      <c r="D19" s="2">
        <f t="shared" si="2"/>
        <v>-272.58</v>
      </c>
      <c r="E19" s="2">
        <f t="shared" si="2"/>
        <v>-266.64</v>
      </c>
      <c r="F19" s="2">
        <f t="shared" si="2"/>
        <v>-261.03000000000003</v>
      </c>
      <c r="G19" s="2">
        <f t="shared" si="2"/>
        <v>-250.79999999999998</v>
      </c>
      <c r="H19" s="2">
        <f t="shared" si="2"/>
        <v>-270.93</v>
      </c>
      <c r="I19" s="2">
        <f t="shared" si="2"/>
        <v>-289.18</v>
      </c>
      <c r="J19" s="2">
        <f t="shared" si="2"/>
        <v>-334.10999999999996</v>
      </c>
      <c r="K19" s="2">
        <f t="shared" si="2"/>
        <v>-345.28999999999996</v>
      </c>
      <c r="L19" s="2">
        <f t="shared" si="2"/>
        <v>-330.24</v>
      </c>
      <c r="M19" s="2">
        <f t="shared" si="2"/>
        <v>-283.37</v>
      </c>
      <c r="N19" s="29">
        <f>SUM(B19:M19)</f>
        <v>-3353.96</v>
      </c>
      <c r="O19" s="30"/>
    </row>
    <row r="20" spans="1:19" s="42" customFormat="1" x14ac:dyDescent="0.2">
      <c r="A20" s="60" t="s">
        <v>21</v>
      </c>
      <c r="B20" s="17">
        <f t="shared" ref="B20:M20" si="3">+B18+B19</f>
        <v>-7958.2166113361245</v>
      </c>
      <c r="C20" s="17">
        <f t="shared" si="3"/>
        <v>-7608.2073468964272</v>
      </c>
      <c r="D20" s="17">
        <f t="shared" si="3"/>
        <v>-9484.4029478280809</v>
      </c>
      <c r="E20" s="17">
        <f t="shared" si="3"/>
        <v>-7730.1624755955718</v>
      </c>
      <c r="F20" s="17">
        <f t="shared" si="3"/>
        <v>-7385.5291394580536</v>
      </c>
      <c r="G20" s="17">
        <f t="shared" si="3"/>
        <v>-5502.9509236997346</v>
      </c>
      <c r="H20" s="17">
        <f t="shared" si="3"/>
        <v>-5556.0427690864562</v>
      </c>
      <c r="I20" s="17">
        <f t="shared" si="3"/>
        <v>-4694.8209824339265</v>
      </c>
      <c r="J20" s="17">
        <f t="shared" si="3"/>
        <v>-6299.2271106800754</v>
      </c>
      <c r="K20" s="17">
        <f t="shared" si="3"/>
        <v>-6778.5054889888888</v>
      </c>
      <c r="L20" s="17">
        <f t="shared" si="3"/>
        <v>-5113.2670428932151</v>
      </c>
      <c r="M20" s="17">
        <f t="shared" si="3"/>
        <v>-5309.1180028914359</v>
      </c>
      <c r="N20" s="17">
        <f>SUM(N18:N19)</f>
        <v>-79420.450841787984</v>
      </c>
      <c r="O20" s="25"/>
      <c r="P20" s="61"/>
      <c r="S20" s="62"/>
    </row>
    <row r="21" spans="1:19" x14ac:dyDescent="0.2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9" s="15" customFormat="1" x14ac:dyDescent="0.2">
      <c r="A22" s="42" t="s">
        <v>10</v>
      </c>
      <c r="B22" s="15">
        <f>+'[1]Joe''s Comm Credit'!B$22</f>
        <v>4635</v>
      </c>
      <c r="C22" s="15">
        <f>+'[1]Joe''s Comm Credit'!C$22</f>
        <v>4645</v>
      </c>
      <c r="D22" s="15">
        <f>+'[1]Joe''s Comm Credit'!D$22</f>
        <v>4619</v>
      </c>
      <c r="E22" s="15">
        <f>+'[1]Joe''s Comm Credit'!E$22</f>
        <v>4640</v>
      </c>
      <c r="F22" s="15">
        <f>+'[1]Joe''s Comm Credit'!F$22</f>
        <v>4616</v>
      </c>
      <c r="G22" s="15">
        <f>+'[1]Joe''s Comm Credit'!G$22</f>
        <v>4657</v>
      </c>
      <c r="H22" s="15">
        <f>+'[1]Joe''s Comm Credit'!H$22</f>
        <v>4665</v>
      </c>
      <c r="I22" s="15">
        <f>+'[1]Joe''s Comm Credit'!I$22</f>
        <v>4658</v>
      </c>
      <c r="J22" s="15">
        <f>+'[1]Joe''s Comm Credit'!J$22</f>
        <v>4660</v>
      </c>
      <c r="K22" s="15">
        <f>+'[1]Joe''s Comm Credit'!K$22</f>
        <v>4658</v>
      </c>
      <c r="L22" s="15">
        <f>+'[1]Joe''s Comm Credit'!L$22</f>
        <v>4624</v>
      </c>
      <c r="M22" s="15">
        <f>+'[1]Joe''s Comm Credit'!M$22</f>
        <v>4539</v>
      </c>
      <c r="N22" s="31">
        <f>SUM(B22:M22)</f>
        <v>55616</v>
      </c>
    </row>
    <row r="23" spans="1:19" s="15" customFormat="1" x14ac:dyDescent="0.2">
      <c r="N23" s="31"/>
    </row>
    <row r="24" spans="1:19" x14ac:dyDescent="0.2">
      <c r="A24" s="14" t="s">
        <v>9</v>
      </c>
      <c r="B24" s="5">
        <f t="shared" ref="B24:M24" si="4">-IFERROR(B20/B22,0)</f>
        <v>1.7169830876669092</v>
      </c>
      <c r="C24" s="5">
        <f t="shared" si="4"/>
        <v>1.6379348432500382</v>
      </c>
      <c r="D24" s="5">
        <f t="shared" si="4"/>
        <v>2.053345518040286</v>
      </c>
      <c r="E24" s="5">
        <f t="shared" si="4"/>
        <v>1.6659832921542181</v>
      </c>
      <c r="F24" s="5">
        <f t="shared" si="4"/>
        <v>1.5999846489293876</v>
      </c>
      <c r="G24" s="5">
        <f t="shared" si="4"/>
        <v>1.1816514759930716</v>
      </c>
      <c r="H24" s="5">
        <f t="shared" si="4"/>
        <v>1.1910059526444707</v>
      </c>
      <c r="I24" s="5">
        <f t="shared" si="4"/>
        <v>1.0079048910334749</v>
      </c>
      <c r="J24" s="5">
        <f t="shared" si="4"/>
        <v>1.3517654743948659</v>
      </c>
      <c r="K24" s="5">
        <f t="shared" si="4"/>
        <v>1.4552394780998044</v>
      </c>
      <c r="L24" s="5">
        <f t="shared" si="4"/>
        <v>1.1058103466464566</v>
      </c>
      <c r="M24" s="5">
        <f t="shared" si="4"/>
        <v>1.1696668876165315</v>
      </c>
      <c r="N24" s="26"/>
      <c r="O24" s="24"/>
    </row>
    <row r="25" spans="1:19" x14ac:dyDescent="0.2">
      <c r="A25" s="45" t="s">
        <v>8</v>
      </c>
      <c r="B25" s="5">
        <f>+'[2]Joe''s CPA Eff. 1.1.2024'!M25</f>
        <v>0.91</v>
      </c>
      <c r="C25" s="5">
        <f>+'[2]Joe''s CPA Eff. 1.1.2024'!M25</f>
        <v>0.91</v>
      </c>
      <c r="D25" s="5">
        <f>+'[2]Joe''s CPA Eff. 1.1.2024'!$N$30</f>
        <v>1.83</v>
      </c>
      <c r="E25" s="5">
        <f>+'[2]Joe''s CPA Eff. 1.1.2024'!$N$30</f>
        <v>1.83</v>
      </c>
      <c r="F25" s="5">
        <f>+'[2]Joe''s CPA Eff. 1.1.2024'!$N$30</f>
        <v>1.83</v>
      </c>
      <c r="G25" s="5">
        <f>+'[2]Joe''s CPA Eff. 1.1.2024'!$N$30</f>
        <v>1.83</v>
      </c>
      <c r="H25" s="5">
        <f>+'[2]Joe''s CPA Eff. 1.1.2024'!$N$30</f>
        <v>1.83</v>
      </c>
      <c r="I25" s="5">
        <f>+'[2]Joe''s CPA Eff. 1.1.2024'!$N$30</f>
        <v>1.83</v>
      </c>
      <c r="J25" s="5">
        <f>+'[2]Joe''s CPA Eff. 1.1.2024'!$N$30</f>
        <v>1.83</v>
      </c>
      <c r="K25" s="5">
        <f>+'[2]Joe''s CPA Eff. 1.1.2024'!$N$30</f>
        <v>1.83</v>
      </c>
      <c r="L25" s="5">
        <f>+'[2]Joe''s CPA Eff. 1.1.2024'!$N$30</f>
        <v>1.83</v>
      </c>
      <c r="M25" s="5">
        <f>+'[2]Joe''s CPA Eff. 1.1.2024'!$N$30</f>
        <v>1.83</v>
      </c>
      <c r="N25" s="26"/>
      <c r="O25" s="24"/>
    </row>
    <row r="26" spans="1:19" x14ac:dyDescent="0.2">
      <c r="A26" s="45" t="s">
        <v>7</v>
      </c>
      <c r="B26" s="2">
        <f t="shared" ref="B26:M26" si="5">+B22*B25</f>
        <v>4217.8500000000004</v>
      </c>
      <c r="C26" s="2">
        <f t="shared" si="5"/>
        <v>4226.95</v>
      </c>
      <c r="D26" s="2">
        <f t="shared" si="5"/>
        <v>8452.77</v>
      </c>
      <c r="E26" s="2">
        <f t="shared" si="5"/>
        <v>8491.2000000000007</v>
      </c>
      <c r="F26" s="2">
        <f t="shared" si="5"/>
        <v>8447.2800000000007</v>
      </c>
      <c r="G26" s="2">
        <f t="shared" si="5"/>
        <v>8522.31</v>
      </c>
      <c r="H26" s="2">
        <f t="shared" si="5"/>
        <v>8536.9500000000007</v>
      </c>
      <c r="I26" s="2">
        <f t="shared" si="5"/>
        <v>8524.1400000000012</v>
      </c>
      <c r="J26" s="2">
        <f t="shared" si="5"/>
        <v>8527.8000000000011</v>
      </c>
      <c r="K26" s="2">
        <f t="shared" si="5"/>
        <v>8524.1400000000012</v>
      </c>
      <c r="L26" s="2">
        <f t="shared" si="5"/>
        <v>8461.92</v>
      </c>
      <c r="M26" s="2">
        <f t="shared" si="5"/>
        <v>8306.3700000000008</v>
      </c>
      <c r="N26" s="26"/>
      <c r="O26" s="24"/>
    </row>
    <row r="27" spans="1:19" ht="13.5" thickBot="1" x14ac:dyDescent="0.25">
      <c r="A27" s="13" t="s">
        <v>6</v>
      </c>
      <c r="B27" s="12">
        <f t="shared" ref="B27:M27" si="6">-B26-B20</f>
        <v>3740.3666113361242</v>
      </c>
      <c r="C27" s="12">
        <f t="shared" si="6"/>
        <v>3381.2573468964274</v>
      </c>
      <c r="D27" s="12">
        <f t="shared" si="6"/>
        <v>1031.6329478280804</v>
      </c>
      <c r="E27" s="12">
        <f t="shared" si="6"/>
        <v>-761.03752440442895</v>
      </c>
      <c r="F27" s="12">
        <f t="shared" si="6"/>
        <v>-1061.7508605419471</v>
      </c>
      <c r="G27" s="12">
        <f t="shared" si="6"/>
        <v>-3019.3590763002649</v>
      </c>
      <c r="H27" s="12">
        <f t="shared" si="6"/>
        <v>-2980.9072309135445</v>
      </c>
      <c r="I27" s="12">
        <f t="shared" si="6"/>
        <v>-3829.3190175660748</v>
      </c>
      <c r="J27" s="12">
        <f t="shared" si="6"/>
        <v>-2228.5728893199257</v>
      </c>
      <c r="K27" s="12">
        <f t="shared" si="6"/>
        <v>-1745.6345110111124</v>
      </c>
      <c r="L27" s="12">
        <f t="shared" si="6"/>
        <v>-3348.6529571067849</v>
      </c>
      <c r="M27" s="12">
        <f t="shared" si="6"/>
        <v>-2997.2519971085649</v>
      </c>
      <c r="N27" s="12">
        <f>SUM(B27:M27)</f>
        <v>-13819.229158212016</v>
      </c>
      <c r="O27" s="15"/>
      <c r="P27" s="55"/>
      <c r="Q27" s="64"/>
    </row>
    <row r="28" spans="1:19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32"/>
    </row>
    <row r="29" spans="1:19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3" t="s">
        <v>25</v>
      </c>
      <c r="N29" s="26">
        <f>ROUND(N27/N22,2)</f>
        <v>-0.25</v>
      </c>
      <c r="P29" s="55"/>
    </row>
    <row r="30" spans="1:19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1"/>
      <c r="M30" s="3" t="s">
        <v>4</v>
      </c>
      <c r="N30" s="33">
        <f>-ROUND(N20/N22,2)</f>
        <v>1.43</v>
      </c>
      <c r="P30" s="55"/>
    </row>
    <row r="31" spans="1:19" x14ac:dyDescent="0.2"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9" t="s">
        <v>3</v>
      </c>
      <c r="N31" s="19">
        <f>SUM(N29:N30)</f>
        <v>1.18</v>
      </c>
      <c r="P31" s="55"/>
    </row>
    <row r="32" spans="1:19" ht="15" x14ac:dyDescent="0.25">
      <c r="B32" s="3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9"/>
    </row>
    <row r="33" spans="1:16" x14ac:dyDescent="0.2">
      <c r="B33" s="6"/>
      <c r="C33" s="1"/>
      <c r="D33" s="1"/>
      <c r="E33" s="1"/>
      <c r="F33" s="1"/>
      <c r="G33" s="1"/>
      <c r="H33" s="1"/>
      <c r="I33" s="1"/>
      <c r="M33" s="3" t="s">
        <v>2</v>
      </c>
      <c r="N33" s="26">
        <f>+'[2]Joe''s CPA Eff. 1.1.2024'!N31</f>
        <v>2.81</v>
      </c>
      <c r="O33" s="35"/>
      <c r="P33" s="65"/>
    </row>
    <row r="34" spans="1:16" x14ac:dyDescent="0.2">
      <c r="M34" s="3" t="s">
        <v>1</v>
      </c>
      <c r="N34" s="26">
        <f>+N31-N33</f>
        <v>-1.6300000000000001</v>
      </c>
      <c r="O34" s="36">
        <f>N34/N33</f>
        <v>-0.58007117437722422</v>
      </c>
    </row>
    <row r="35" spans="1:16" x14ac:dyDescent="0.2">
      <c r="M35" s="3" t="s">
        <v>0</v>
      </c>
      <c r="N35" s="29">
        <f>N34*N22</f>
        <v>-90654.080000000002</v>
      </c>
      <c r="O35" s="35"/>
      <c r="P35" s="66"/>
    </row>
    <row r="36" spans="1:16" x14ac:dyDescent="0.2">
      <c r="A36" s="21"/>
      <c r="N36" s="57"/>
    </row>
    <row r="37" spans="1:16" x14ac:dyDescent="0.2">
      <c r="A37" s="2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8" t="s">
        <v>16</v>
      </c>
      <c r="O37" s="37"/>
    </row>
    <row r="38" spans="1:16" ht="13.5" thickBot="1" x14ac:dyDescent="0.25">
      <c r="A38" s="49" t="s">
        <v>24</v>
      </c>
      <c r="B38" s="50">
        <f t="shared" ref="B38:M38" si="7">B6</f>
        <v>45231</v>
      </c>
      <c r="C38" s="50">
        <f t="shared" si="7"/>
        <v>45262</v>
      </c>
      <c r="D38" s="50">
        <f t="shared" si="7"/>
        <v>45293</v>
      </c>
      <c r="E38" s="50">
        <f t="shared" si="7"/>
        <v>45324</v>
      </c>
      <c r="F38" s="50">
        <f t="shared" si="7"/>
        <v>45355</v>
      </c>
      <c r="G38" s="50">
        <f t="shared" si="7"/>
        <v>45386</v>
      </c>
      <c r="H38" s="50">
        <f t="shared" si="7"/>
        <v>45417</v>
      </c>
      <c r="I38" s="50">
        <f t="shared" si="7"/>
        <v>45448</v>
      </c>
      <c r="J38" s="50">
        <f t="shared" si="7"/>
        <v>45479</v>
      </c>
      <c r="K38" s="50">
        <f t="shared" si="7"/>
        <v>45510</v>
      </c>
      <c r="L38" s="50">
        <f t="shared" si="7"/>
        <v>45541</v>
      </c>
      <c r="M38" s="50">
        <f t="shared" si="7"/>
        <v>45572</v>
      </c>
      <c r="N38" s="51" t="s">
        <v>15</v>
      </c>
      <c r="O38" s="30"/>
      <c r="P38" s="67"/>
    </row>
    <row r="39" spans="1:16" x14ac:dyDescent="0.2">
      <c r="A39" s="49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48"/>
      <c r="O39" s="30"/>
      <c r="P39" s="67"/>
    </row>
    <row r="40" spans="1:16" x14ac:dyDescent="0.2">
      <c r="A40" s="42" t="s">
        <v>14</v>
      </c>
      <c r="N40" s="57"/>
    </row>
    <row r="41" spans="1:16" x14ac:dyDescent="0.2">
      <c r="A41" s="45" t="s">
        <v>13</v>
      </c>
      <c r="B41" s="16">
        <f>+'[1]Joe''s Comm Credit'!B41</f>
        <v>4.3670990038625632</v>
      </c>
      <c r="C41" s="16">
        <f>+'[1]Joe''s Comm Credit'!C41</f>
        <v>3.9684695127948686</v>
      </c>
      <c r="D41" s="16">
        <f>+'[1]Joe''s Comm Credit'!D41</f>
        <v>5.5294954346847893</v>
      </c>
      <c r="E41" s="16">
        <f>+'[1]Joe''s Comm Credit'!E41</f>
        <v>4.815482838070082</v>
      </c>
      <c r="F41" s="16">
        <f>+'[1]Joe''s Comm Credit'!F41</f>
        <v>4.7692364707076962</v>
      </c>
      <c r="G41" s="16">
        <f>+'[1]Joe''s Comm Credit'!G41</f>
        <v>3.5753587189568208</v>
      </c>
      <c r="H41" s="16">
        <f>+'[1]Joe''s Comm Credit'!H41</f>
        <v>4.0780116547774625</v>
      </c>
      <c r="I41" s="16">
        <f>+'[1]Joe''s Comm Credit'!I41</f>
        <v>3.7496589194083958</v>
      </c>
      <c r="J41" s="16">
        <f>+'[1]Joe''s Comm Credit'!J41</f>
        <v>6.0686865131248169</v>
      </c>
      <c r="K41" s="16">
        <f>+'[1]Joe''s Comm Credit'!K41</f>
        <v>4.9532179512980434</v>
      </c>
      <c r="L41" s="16">
        <f>+'[1]Joe''s Comm Credit'!L41</f>
        <v>3.6020038905775063</v>
      </c>
      <c r="M41" s="16">
        <f>+'[1]Joe''s Comm Credit'!M41</f>
        <v>3.5753072989690731</v>
      </c>
      <c r="N41" s="27">
        <f>SUM(B41:M41)</f>
        <v>53.052028207232119</v>
      </c>
      <c r="P41" s="55"/>
    </row>
    <row r="42" spans="1:16" x14ac:dyDescent="0.2">
      <c r="A42" s="45" t="s">
        <v>22</v>
      </c>
      <c r="B42" s="16">
        <f>+'[1]Joe''s Comm Credit'!B42</f>
        <v>0.32</v>
      </c>
      <c r="C42" s="16">
        <f>+'[1]Joe''s Comm Credit'!C42</f>
        <v>0.41</v>
      </c>
      <c r="D42" s="16">
        <f>+'[1]Joe''s Comm Credit'!D42</f>
        <v>0.43999999999999773</v>
      </c>
      <c r="E42" s="16">
        <f>+'[1]Joe''s Comm Credit'!E42</f>
        <v>0.43000000000000682</v>
      </c>
      <c r="F42" s="16">
        <f>+'[1]Joe''s Comm Credit'!F42</f>
        <v>0.42999999999999261</v>
      </c>
      <c r="G42" s="16">
        <f>+'[1]Joe''s Comm Credit'!G42</f>
        <v>0.40000000000000568</v>
      </c>
      <c r="H42" s="16">
        <f>+'[1]Joe''s Comm Credit'!H42</f>
        <v>0.44</v>
      </c>
      <c r="I42" s="16">
        <f>+'[1]Joe''s Comm Credit'!I42</f>
        <v>0.41</v>
      </c>
      <c r="J42" s="16">
        <f>+'[1]Joe''s Comm Credit'!J42</f>
        <v>0.41</v>
      </c>
      <c r="K42" s="16">
        <f>+'[1]Joe''s Comm Credit'!K42</f>
        <v>0.43000000000000682</v>
      </c>
      <c r="L42" s="16">
        <f>+'[1]Joe''s Comm Credit'!L42</f>
        <v>0.42</v>
      </c>
      <c r="M42" s="16">
        <f>+'[1]Joe''s Comm Credit'!M42</f>
        <v>0.36</v>
      </c>
      <c r="N42" s="27">
        <f>SUM(B42:M42)</f>
        <v>4.9000000000000101</v>
      </c>
      <c r="O42" s="42"/>
      <c r="P42" s="55"/>
    </row>
    <row r="43" spans="1:16" x14ac:dyDescent="0.2">
      <c r="A43" s="42" t="s">
        <v>23</v>
      </c>
      <c r="B43" s="23">
        <f t="shared" ref="B43:N43" si="8">SUM(B41:B42)</f>
        <v>4.6870990038625635</v>
      </c>
      <c r="C43" s="23">
        <f t="shared" si="8"/>
        <v>4.3784695127948687</v>
      </c>
      <c r="D43" s="23">
        <f t="shared" si="8"/>
        <v>5.969495434684787</v>
      </c>
      <c r="E43" s="23">
        <f t="shared" si="8"/>
        <v>5.2454828380700889</v>
      </c>
      <c r="F43" s="23">
        <f t="shared" si="8"/>
        <v>5.1992364707076888</v>
      </c>
      <c r="G43" s="23">
        <f t="shared" si="8"/>
        <v>3.9753587189568265</v>
      </c>
      <c r="H43" s="23">
        <f t="shared" si="8"/>
        <v>4.5180116547774629</v>
      </c>
      <c r="I43" s="23">
        <f t="shared" si="8"/>
        <v>4.1596589194083959</v>
      </c>
      <c r="J43" s="23">
        <f t="shared" si="8"/>
        <v>6.478686513124817</v>
      </c>
      <c r="K43" s="23">
        <f t="shared" si="8"/>
        <v>5.3832179512980503</v>
      </c>
      <c r="L43" s="23">
        <f t="shared" si="8"/>
        <v>4.0220038905775066</v>
      </c>
      <c r="M43" s="23">
        <f t="shared" si="8"/>
        <v>3.9353072989690729</v>
      </c>
      <c r="N43" s="22">
        <f t="shared" si="8"/>
        <v>57.952028207232132</v>
      </c>
      <c r="P43" s="55"/>
    </row>
    <row r="44" spans="1:16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55"/>
    </row>
    <row r="45" spans="1:16" x14ac:dyDescent="0.2">
      <c r="A45" s="42" t="s">
        <v>12</v>
      </c>
    </row>
    <row r="46" spans="1:16" x14ac:dyDescent="0.2">
      <c r="A46" s="57" t="s">
        <v>13</v>
      </c>
      <c r="B46" s="5">
        <f t="shared" ref="B46:M46" si="9">+B14</f>
        <v>-108.94051599999995</v>
      </c>
      <c r="C46" s="5">
        <f t="shared" si="9"/>
        <v>-113.42106999999999</v>
      </c>
      <c r="D46" s="5">
        <f t="shared" si="9"/>
        <v>-102.47826500000001</v>
      </c>
      <c r="E46" s="5">
        <f t="shared" si="9"/>
        <v>-102.88196499999999</v>
      </c>
      <c r="F46" s="5">
        <f t="shared" si="9"/>
        <v>-99.837764999999976</v>
      </c>
      <c r="G46" s="5">
        <f t="shared" si="9"/>
        <v>-97.796965</v>
      </c>
      <c r="H46" s="5">
        <f t="shared" si="9"/>
        <v>-86.539064999999994</v>
      </c>
      <c r="I46" s="5">
        <f t="shared" si="9"/>
        <v>-78.573465000000013</v>
      </c>
      <c r="J46" s="5">
        <f t="shared" si="9"/>
        <v>-80.412664999999976</v>
      </c>
      <c r="K46" s="5">
        <f t="shared" si="9"/>
        <v>-86.716464999999985</v>
      </c>
      <c r="L46" s="5">
        <f t="shared" si="9"/>
        <v>-89.310232999999997</v>
      </c>
      <c r="M46" s="5">
        <f t="shared" si="9"/>
        <v>-96.31358299999998</v>
      </c>
    </row>
    <row r="47" spans="1:16" x14ac:dyDescent="0.2">
      <c r="A47" s="45" t="s">
        <v>22</v>
      </c>
      <c r="B47" s="5">
        <f t="shared" ref="B47:M47" si="10">+B15</f>
        <v>-33</v>
      </c>
      <c r="C47" s="5">
        <f t="shared" si="10"/>
        <v>-33</v>
      </c>
      <c r="D47" s="5">
        <f t="shared" si="10"/>
        <v>-33</v>
      </c>
      <c r="E47" s="5">
        <f t="shared" si="10"/>
        <v>-33</v>
      </c>
      <c r="F47" s="5">
        <f t="shared" si="10"/>
        <v>-33</v>
      </c>
      <c r="G47" s="5">
        <f t="shared" si="10"/>
        <v>-33</v>
      </c>
      <c r="H47" s="5">
        <f t="shared" si="10"/>
        <v>-33</v>
      </c>
      <c r="I47" s="5">
        <f t="shared" si="10"/>
        <v>-38</v>
      </c>
      <c r="J47" s="5">
        <f t="shared" si="10"/>
        <v>-43</v>
      </c>
      <c r="K47" s="5">
        <f t="shared" si="10"/>
        <v>-43</v>
      </c>
      <c r="L47" s="5">
        <f t="shared" si="10"/>
        <v>-43</v>
      </c>
      <c r="M47" s="5">
        <f t="shared" si="10"/>
        <v>-43</v>
      </c>
    </row>
    <row r="48" spans="1:16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7" x14ac:dyDescent="0.2">
      <c r="A49" s="42" t="s">
        <v>11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7" x14ac:dyDescent="0.2">
      <c r="A50" s="21" t="s">
        <v>13</v>
      </c>
      <c r="B50" s="2">
        <f t="shared" ref="B50:M50" si="11">+B41*B46</f>
        <v>-475.75401890387337</v>
      </c>
      <c r="C50" s="2">
        <f t="shared" si="11"/>
        <v>-450.10805840357261</v>
      </c>
      <c r="D50" s="2">
        <f t="shared" si="11"/>
        <v>-566.65309847191804</v>
      </c>
      <c r="E50" s="2">
        <f t="shared" si="11"/>
        <v>-495.4263368044268</v>
      </c>
      <c r="F50" s="2">
        <f t="shared" si="11"/>
        <v>-476.14990999194424</v>
      </c>
      <c r="G50" s="2">
        <f t="shared" si="11"/>
        <v>-349.65923150026504</v>
      </c>
      <c r="H50" s="2">
        <f t="shared" si="11"/>
        <v>-352.90731566354435</v>
      </c>
      <c r="I50" s="2">
        <f t="shared" si="11"/>
        <v>-294.62369386607344</v>
      </c>
      <c r="J50" s="2">
        <f t="shared" si="11"/>
        <v>-487.99925556992383</v>
      </c>
      <c r="K50" s="2">
        <f t="shared" si="11"/>
        <v>-429.52555111110843</v>
      </c>
      <c r="L50" s="2">
        <f t="shared" si="11"/>
        <v>-321.69580673438355</v>
      </c>
      <c r="M50" s="2">
        <f t="shared" si="11"/>
        <v>-344.35065628976355</v>
      </c>
      <c r="N50" s="29">
        <f>SUM(B50:M50)</f>
        <v>-5044.8529333107981</v>
      </c>
    </row>
    <row r="51" spans="1:17" x14ac:dyDescent="0.2">
      <c r="A51" s="45" t="s">
        <v>22</v>
      </c>
      <c r="B51" s="2">
        <f t="shared" ref="B51:M51" si="12">+B47*B42</f>
        <v>-10.56</v>
      </c>
      <c r="C51" s="2">
        <f t="shared" si="12"/>
        <v>-13.53</v>
      </c>
      <c r="D51" s="2">
        <f t="shared" si="12"/>
        <v>-14.519999999999925</v>
      </c>
      <c r="E51" s="2">
        <f t="shared" si="12"/>
        <v>-14.190000000000225</v>
      </c>
      <c r="F51" s="2">
        <f t="shared" si="12"/>
        <v>-14.189999999999756</v>
      </c>
      <c r="G51" s="2">
        <f t="shared" si="12"/>
        <v>-13.200000000000188</v>
      </c>
      <c r="H51" s="2">
        <f t="shared" si="12"/>
        <v>-14.52</v>
      </c>
      <c r="I51" s="2">
        <f t="shared" si="12"/>
        <v>-15.579999999999998</v>
      </c>
      <c r="J51" s="2">
        <f t="shared" si="12"/>
        <v>-17.63</v>
      </c>
      <c r="K51" s="2">
        <f t="shared" si="12"/>
        <v>-18.490000000000293</v>
      </c>
      <c r="L51" s="2">
        <f t="shared" si="12"/>
        <v>-18.059999999999999</v>
      </c>
      <c r="M51" s="2">
        <f t="shared" si="12"/>
        <v>-15.479999999999999</v>
      </c>
      <c r="N51" s="29">
        <f>SUM(B51:M51)</f>
        <v>-179.95000000000036</v>
      </c>
    </row>
    <row r="52" spans="1:17" x14ac:dyDescent="0.2">
      <c r="A52" s="60" t="s">
        <v>21</v>
      </c>
      <c r="B52" s="17">
        <f t="shared" ref="B52:M52" si="13">+B50+B51</f>
        <v>-486.31401890387338</v>
      </c>
      <c r="C52" s="17">
        <f t="shared" si="13"/>
        <v>-463.63805840357259</v>
      </c>
      <c r="D52" s="17">
        <f t="shared" si="13"/>
        <v>-581.17309847191791</v>
      </c>
      <c r="E52" s="17">
        <f t="shared" si="13"/>
        <v>-509.61633680442702</v>
      </c>
      <c r="F52" s="17">
        <f t="shared" si="13"/>
        <v>-490.33990999194401</v>
      </c>
      <c r="G52" s="17">
        <f t="shared" si="13"/>
        <v>-362.8592315002652</v>
      </c>
      <c r="H52" s="17">
        <f t="shared" si="13"/>
        <v>-367.42731566354433</v>
      </c>
      <c r="I52" s="17">
        <f t="shared" si="13"/>
        <v>-310.20369386607342</v>
      </c>
      <c r="J52" s="17">
        <f t="shared" si="13"/>
        <v>-505.62925556992383</v>
      </c>
      <c r="K52" s="17">
        <f t="shared" si="13"/>
        <v>-448.01555111110872</v>
      </c>
      <c r="L52" s="17">
        <f t="shared" si="13"/>
        <v>-339.75580673438355</v>
      </c>
      <c r="M52" s="17">
        <f t="shared" si="13"/>
        <v>-359.83065628976357</v>
      </c>
      <c r="N52" s="17">
        <f>SUM(N50:N51)</f>
        <v>-5224.8029333107988</v>
      </c>
      <c r="P52" s="16"/>
    </row>
    <row r="53" spans="1:17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66"/>
    </row>
    <row r="54" spans="1:17" x14ac:dyDescent="0.2">
      <c r="A54" s="42" t="s">
        <v>10</v>
      </c>
      <c r="B54" s="15">
        <f>+'[1]Joe''s Comm Credit'!B$54</f>
        <v>284</v>
      </c>
      <c r="C54" s="15">
        <f>+'[1]Joe''s Comm Credit'!C$54</f>
        <v>284.37373737373741</v>
      </c>
      <c r="D54" s="15">
        <f>+'[1]Joe''s Comm Credit'!D$54</f>
        <v>284.13167259786474</v>
      </c>
      <c r="E54" s="15">
        <f>+'[1]Joe''s Comm Credit'!E$54</f>
        <v>308.0017793594306</v>
      </c>
      <c r="F54" s="15">
        <f>+'[1]Joe''s Comm Credit'!F$54</f>
        <v>308.5</v>
      </c>
      <c r="G54" s="15">
        <f>+'[1]Joe''s Comm Credit'!G$54</f>
        <v>310.03736654804266</v>
      </c>
      <c r="H54" s="15">
        <f>+'[1]Joe''s Comm Credit'!H$54</f>
        <v>311.5</v>
      </c>
      <c r="I54" s="15">
        <f>+'[1]Joe''s Comm Credit'!I$54</f>
        <v>311.5</v>
      </c>
      <c r="J54" s="15">
        <f>+'[1]Joe''s Comm Credit'!J$54</f>
        <v>311.5</v>
      </c>
      <c r="K54" s="15">
        <f>+'[1]Joe''s Comm Credit'!K$54</f>
        <v>311</v>
      </c>
      <c r="L54" s="15">
        <f>+'[1]Joe''s Comm Credit'!L$54</f>
        <v>311</v>
      </c>
      <c r="M54" s="15">
        <f>+'[1]Joe''s Comm Credit'!M$54</f>
        <v>311</v>
      </c>
      <c r="N54" s="31">
        <f>SUM(B54:M54)</f>
        <v>3646.5445558790752</v>
      </c>
      <c r="P54" s="16"/>
    </row>
    <row r="55" spans="1:17" x14ac:dyDescent="0.2">
      <c r="A55" s="15"/>
      <c r="N55" s="66"/>
    </row>
    <row r="56" spans="1:17" x14ac:dyDescent="0.2">
      <c r="A56" s="14" t="s">
        <v>9</v>
      </c>
      <c r="B56" s="5">
        <f t="shared" ref="B56:M56" si="14">-IFERROR(B52/B54,0)</f>
        <v>1.7123733059995541</v>
      </c>
      <c r="C56" s="5">
        <f t="shared" si="14"/>
        <v>1.6303828288975839</v>
      </c>
      <c r="D56" s="5">
        <f t="shared" si="14"/>
        <v>2.0454358120590794</v>
      </c>
      <c r="E56" s="5">
        <f t="shared" si="14"/>
        <v>1.6545889373246676</v>
      </c>
      <c r="F56" s="5">
        <f t="shared" si="14"/>
        <v>1.5894324472996564</v>
      </c>
      <c r="G56" s="5">
        <f t="shared" si="14"/>
        <v>1.1703725765069593</v>
      </c>
      <c r="H56" s="5">
        <f t="shared" si="14"/>
        <v>1.1795419443452466</v>
      </c>
      <c r="I56" s="5">
        <f t="shared" si="14"/>
        <v>0.99583850358290027</v>
      </c>
      <c r="J56" s="5">
        <f t="shared" si="14"/>
        <v>1.6232078830495147</v>
      </c>
      <c r="K56" s="5">
        <f t="shared" si="14"/>
        <v>1.4405644730260732</v>
      </c>
      <c r="L56" s="5">
        <f t="shared" si="14"/>
        <v>1.0924624010751882</v>
      </c>
      <c r="M56" s="5">
        <f t="shared" si="14"/>
        <v>1.1570117565587252</v>
      </c>
      <c r="N56" s="26"/>
    </row>
    <row r="57" spans="1:17" x14ac:dyDescent="0.2">
      <c r="A57" s="45" t="s">
        <v>8</v>
      </c>
      <c r="B57" s="5">
        <f>+'[2]Joe''s CPA Eff. 1.1.2024'!M57</f>
        <v>0.88</v>
      </c>
      <c r="C57" s="5">
        <f>+'[2]Joe''s CPA Eff. 1.1.2024'!M57</f>
        <v>0.88</v>
      </c>
      <c r="D57" s="5">
        <f>+'[2]Joe''s CPA Eff. 1.1.2024'!$N62</f>
        <v>1.82</v>
      </c>
      <c r="E57" s="5">
        <f>+'[2]Joe''s CPA Eff. 1.1.2024'!$N62</f>
        <v>1.82</v>
      </c>
      <c r="F57" s="5">
        <f>+'[2]Joe''s CPA Eff. 1.1.2024'!$N62</f>
        <v>1.82</v>
      </c>
      <c r="G57" s="5">
        <f>+'[2]Joe''s CPA Eff. 1.1.2024'!$N62</f>
        <v>1.82</v>
      </c>
      <c r="H57" s="5">
        <f>+'[2]Joe''s CPA Eff. 1.1.2024'!$N62</f>
        <v>1.82</v>
      </c>
      <c r="I57" s="5">
        <f>+'[2]Joe''s CPA Eff. 1.1.2024'!$N62</f>
        <v>1.82</v>
      </c>
      <c r="J57" s="5">
        <f>+'[2]Joe''s CPA Eff. 1.1.2024'!$N62</f>
        <v>1.82</v>
      </c>
      <c r="K57" s="5">
        <f>+'[2]Joe''s CPA Eff. 1.1.2024'!$N62</f>
        <v>1.82</v>
      </c>
      <c r="L57" s="5">
        <f>+'[2]Joe''s CPA Eff. 1.1.2024'!$N62</f>
        <v>1.82</v>
      </c>
      <c r="M57" s="5">
        <f>+'[2]Joe''s CPA Eff. 1.1.2024'!$N62</f>
        <v>1.82</v>
      </c>
      <c r="N57" s="26"/>
    </row>
    <row r="58" spans="1:17" ht="13.5" thickBot="1" x14ac:dyDescent="0.25">
      <c r="A58" s="45" t="s">
        <v>7</v>
      </c>
      <c r="B58" s="5">
        <f t="shared" ref="B58:M58" si="15">+B57*B54</f>
        <v>249.92</v>
      </c>
      <c r="C58" s="5">
        <f t="shared" si="15"/>
        <v>250.24888888888893</v>
      </c>
      <c r="D58" s="5">
        <f t="shared" si="15"/>
        <v>517.1196441281138</v>
      </c>
      <c r="E58" s="5">
        <f t="shared" si="15"/>
        <v>560.56323843416374</v>
      </c>
      <c r="F58" s="5">
        <f t="shared" si="15"/>
        <v>561.47</v>
      </c>
      <c r="G58" s="5">
        <f t="shared" si="15"/>
        <v>564.26800711743761</v>
      </c>
      <c r="H58" s="5">
        <f t="shared" si="15"/>
        <v>566.93000000000006</v>
      </c>
      <c r="I58" s="5">
        <f t="shared" si="15"/>
        <v>566.93000000000006</v>
      </c>
      <c r="J58" s="5">
        <f t="shared" si="15"/>
        <v>566.93000000000006</v>
      </c>
      <c r="K58" s="5">
        <f t="shared" si="15"/>
        <v>566.02</v>
      </c>
      <c r="L58" s="5">
        <f t="shared" si="15"/>
        <v>566.02</v>
      </c>
      <c r="M58" s="5">
        <f t="shared" si="15"/>
        <v>566.02</v>
      </c>
      <c r="N58" s="12">
        <f>SUM(B58:M58)</f>
        <v>6102.4397785686051</v>
      </c>
    </row>
    <row r="59" spans="1:17" ht="13.5" thickBot="1" x14ac:dyDescent="0.25">
      <c r="A59" s="13" t="s">
        <v>6</v>
      </c>
      <c r="B59" s="12">
        <f t="shared" ref="B59:M59" si="16">-B58-B52</f>
        <v>236.39401890387339</v>
      </c>
      <c r="C59" s="12">
        <f t="shared" si="16"/>
        <v>213.38916951468366</v>
      </c>
      <c r="D59" s="12">
        <f t="shared" si="16"/>
        <v>64.053454343804106</v>
      </c>
      <c r="E59" s="12">
        <f t="shared" si="16"/>
        <v>-50.946901629736715</v>
      </c>
      <c r="F59" s="12">
        <f t="shared" si="16"/>
        <v>-71.130090008056015</v>
      </c>
      <c r="G59" s="12">
        <f t="shared" si="16"/>
        <v>-201.40877561717241</v>
      </c>
      <c r="H59" s="12">
        <f t="shared" si="16"/>
        <v>-199.50268433645573</v>
      </c>
      <c r="I59" s="12">
        <f t="shared" si="16"/>
        <v>-256.72630613392664</v>
      </c>
      <c r="J59" s="12">
        <f t="shared" si="16"/>
        <v>-61.300744430076236</v>
      </c>
      <c r="K59" s="12">
        <f t="shared" si="16"/>
        <v>-118.00444888889126</v>
      </c>
      <c r="L59" s="12">
        <f t="shared" si="16"/>
        <v>-226.26419326561643</v>
      </c>
      <c r="M59" s="12">
        <f t="shared" si="16"/>
        <v>-206.18934371023641</v>
      </c>
      <c r="N59" s="12">
        <f>SUM(B59:M59)</f>
        <v>-877.63684525780673</v>
      </c>
      <c r="P59" s="68"/>
      <c r="Q59" s="64"/>
    </row>
    <row r="61" spans="1:17" ht="15" x14ac:dyDescent="0.25">
      <c r="A61" s="69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3" t="s">
        <v>5</v>
      </c>
      <c r="N61" s="26">
        <f>ROUND(N59/N54,2)</f>
        <v>-0.24</v>
      </c>
    </row>
    <row r="62" spans="1:17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1"/>
      <c r="M62" s="3" t="s">
        <v>4</v>
      </c>
      <c r="N62" s="33">
        <f>-ROUND(N52/N54,2)</f>
        <v>1.43</v>
      </c>
    </row>
    <row r="63" spans="1:17" ht="15" x14ac:dyDescent="0.25">
      <c r="A63" s="6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9" t="s">
        <v>3</v>
      </c>
      <c r="N63" s="19">
        <f>SUM(N61:N62)</f>
        <v>1.19</v>
      </c>
    </row>
    <row r="64" spans="1:17" ht="15" x14ac:dyDescent="0.25">
      <c r="B64" s="3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9"/>
    </row>
    <row r="65" spans="1:60" ht="15" x14ac:dyDescent="0.25">
      <c r="A65" s="6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3" t="s">
        <v>2</v>
      </c>
      <c r="N65" s="26">
        <f>+'[2]Joe''s CPA Eff. 1.1.2024'!N63</f>
        <v>2.81</v>
      </c>
    </row>
    <row r="66" spans="1:60" x14ac:dyDescent="0.2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3" t="s">
        <v>1</v>
      </c>
      <c r="N66" s="26">
        <f>+N63-N65</f>
        <v>-1.62</v>
      </c>
      <c r="O66" s="36">
        <f>N66/N65</f>
        <v>-0.57651245551601427</v>
      </c>
    </row>
    <row r="67" spans="1:60" x14ac:dyDescent="0.2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3" t="s">
        <v>0</v>
      </c>
      <c r="N67" s="29">
        <f>N66*N54</f>
        <v>-5907.4021805241018</v>
      </c>
    </row>
    <row r="69" spans="1:60" x14ac:dyDescent="0.2"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</row>
    <row r="70" spans="1:60" x14ac:dyDescent="0.2"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</row>
    <row r="71" spans="1:60" x14ac:dyDescent="0.2"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</row>
    <row r="73" spans="1:60" x14ac:dyDescent="0.2"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</row>
    <row r="74" spans="1:60" s="16" customFormat="1" x14ac:dyDescent="0.2">
      <c r="A74" s="45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</row>
    <row r="75" spans="1:60" s="16" customFormat="1" x14ac:dyDescent="0.2">
      <c r="A75" s="45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</row>
    <row r="76" spans="1:60" s="16" customFormat="1" x14ac:dyDescent="0.2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</row>
    <row r="77" spans="1:60" s="16" customFormat="1" x14ac:dyDescent="0.2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</row>
    <row r="78" spans="1:60" s="16" customFormat="1" x14ac:dyDescent="0.2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</row>
    <row r="79" spans="1:60" s="16" customFormat="1" x14ac:dyDescent="0.2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</row>
    <row r="80" spans="1:60" s="16" customFormat="1" x14ac:dyDescent="0.2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</row>
    <row r="81" spans="1:60" s="16" customFormat="1" x14ac:dyDescent="0.2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</row>
    <row r="82" spans="1:60" s="16" customFormat="1" x14ac:dyDescent="0.2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</row>
    <row r="83" spans="1:60" s="16" customFormat="1" x14ac:dyDescent="0.2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</row>
    <row r="84" spans="1:60" s="16" customFormat="1" x14ac:dyDescent="0.2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</row>
    <row r="85" spans="1:60" s="16" customFormat="1" x14ac:dyDescent="0.2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</row>
    <row r="86" spans="1:60" s="16" customFormat="1" x14ac:dyDescent="0.2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</row>
    <row r="87" spans="1:60" s="16" customFormat="1" x14ac:dyDescent="0.2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</row>
    <row r="88" spans="1:60" s="16" customFormat="1" x14ac:dyDescent="0.2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</row>
    <row r="89" spans="1:60" s="16" customFormat="1" x14ac:dyDescent="0.2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</row>
    <row r="90" spans="1:60" s="16" customFormat="1" x14ac:dyDescent="0.2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</row>
    <row r="91" spans="1:60" s="16" customFormat="1" x14ac:dyDescent="0.2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</row>
    <row r="92" spans="1:60" s="16" customFormat="1" x14ac:dyDescent="0.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</row>
    <row r="93" spans="1:60" s="16" customFormat="1" x14ac:dyDescent="0.2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</row>
    <row r="94" spans="1:60" s="16" customFormat="1" x14ac:dyDescent="0.2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</row>
    <row r="95" spans="1:60" s="16" customFormat="1" x14ac:dyDescent="0.2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</row>
    <row r="96" spans="1:60" s="16" customFormat="1" x14ac:dyDescent="0.2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</row>
    <row r="97" spans="1:60" s="16" customFormat="1" x14ac:dyDescent="0.2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</row>
    <row r="98" spans="1:60" s="16" customFormat="1" x14ac:dyDescent="0.2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</row>
    <row r="99" spans="1:60" s="16" customFormat="1" x14ac:dyDescent="0.2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</row>
    <row r="100" spans="1:60" s="16" customFormat="1" x14ac:dyDescent="0.2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</row>
    <row r="101" spans="1:60" s="16" customFormat="1" x14ac:dyDescent="0.2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</row>
    <row r="102" spans="1:60" s="16" customFormat="1" x14ac:dyDescent="0.2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</row>
    <row r="103" spans="1:60" s="16" customFormat="1" x14ac:dyDescent="0.2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</row>
    <row r="104" spans="1:60" s="16" customFormat="1" x14ac:dyDescent="0.2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</row>
    <row r="105" spans="1:60" s="16" customFormat="1" x14ac:dyDescent="0.2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</row>
  </sheetData>
  <pageMargins left="0.7" right="0.7" top="0.75" bottom="0.75" header="0.3" footer="0.3"/>
  <pageSetup scale="57" fitToHeight="0" orientation="landscape" r:id="rId1"/>
  <headerFooter alignWithMargins="0"/>
  <rowBreaks count="1" manualBreakCount="1">
    <brk id="36" max="16383" man="1"/>
  </rowBreaks>
  <colBreaks count="1" manualBreakCount="1">
    <brk id="13" max="6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F1252908EC14428202F330177945CC" ma:contentTypeVersion="16" ma:contentTypeDescription="" ma:contentTypeScope="" ma:versionID="388cc6961a78160798596affd1e6ce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2024-11-15T08:00:00+00:00</OpenedDate>
    <SignificantOrder xmlns="dc463f71-b30c-4ab2-9473-d307f9d35888">false</SignificantOrder>
    <Date1 xmlns="dc463f71-b30c-4ab2-9473-d307f9d35888">2024-11-15T08:00:00+00:00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    </CaseCompanyNames>
    <Nickname xmlns="http://schemas.microsoft.com/sharepoint/v3" xsi:nil="true"/>
    <DocketNumber xmlns="dc463f71-b30c-4ab2-9473-d307f9d35888">240915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0F89D11-1566-4487-9CCF-D3C4D74D6834}"/>
</file>

<file path=customXml/itemProps2.xml><?xml version="1.0" encoding="utf-8"?>
<ds:datastoreItem xmlns:ds="http://schemas.openxmlformats.org/officeDocument/2006/customXml" ds:itemID="{3E5FAF86-9EC2-4681-864D-D20E79B1F299}"/>
</file>

<file path=customXml/itemProps3.xml><?xml version="1.0" encoding="utf-8"?>
<ds:datastoreItem xmlns:ds="http://schemas.openxmlformats.org/officeDocument/2006/customXml" ds:itemID="{E3ACA34D-FBAA-49C5-8F34-69D4BB8F55DD}"/>
</file>

<file path=customXml/itemProps4.xml><?xml version="1.0" encoding="utf-8"?>
<ds:datastoreItem xmlns:ds="http://schemas.openxmlformats.org/officeDocument/2006/customXml" ds:itemID="{C6E11126-3B73-47E6-9777-9FE675DC1A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RSA-1 CPA Eff. 1.1.2025</vt:lpstr>
      <vt:lpstr>Joe's CPA Eff. 1.1.2025</vt:lpstr>
      <vt:lpstr>'Joe''s CPA Eff. 1.1.2025'!Print_Area</vt:lpstr>
      <vt:lpstr>'RSA-1 CPA Eff. 1.1.2025'!Print_Area</vt:lpstr>
      <vt:lpstr>'Joe''s CPA Eff. 1.1.2025'!Print_Titles</vt:lpstr>
      <vt:lpstr>'RSA-1 CPA Eff. 1.1.2025'!Print_Titles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Vandenburg</dc:creator>
  <cp:lastModifiedBy>Brian Vandenburg</cp:lastModifiedBy>
  <cp:lastPrinted>2024-11-15T00:35:55Z</cp:lastPrinted>
  <dcterms:created xsi:type="dcterms:W3CDTF">2024-11-15T00:13:43Z</dcterms:created>
  <dcterms:modified xsi:type="dcterms:W3CDTF">2024-11-15T00:40:50Z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0x0101006E56B4D1795A2E4DB2F0B01679ED314A0061F1252908EC14428202F330177945CC</vt:lpwstr>
  </property>
</Properties>
</file>