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xhous10fps03rf\orport01fps01\PUBLIC\Evan Burmester\WUTC\North Sound Marysville\"/>
    </mc:Choice>
  </mc:AlternateContent>
  <xr:revisionPtr revIDLastSave="0" documentId="13_ncr:1_{2134D1E7-2CCC-43D2-AE17-F83F98E1DE17}" xr6:coauthVersionLast="47" xr6:coauthVersionMax="47" xr10:uidLastSave="{00000000-0000-0000-0000-000000000000}"/>
  <bookViews>
    <workbookView xWindow="-110" yWindow="-110" windowWidth="25820" windowHeight="14020" firstSheet="1" activeTab="1" xr2:uid="{00000000-000D-0000-FFFF-FFFF00000000}"/>
  </bookViews>
  <sheets>
    <sheet name="Rebate (Charge) Analysis" sheetId="24" state="hidden" r:id="rId1"/>
    <sheet name="Rate Sheet Summary" sheetId="27" r:id="rId2"/>
    <sheet name="Rebate (charge) Calculation" sheetId="28" r:id="rId3"/>
    <sheet name="2023-2024 Recy. Tons &amp; Revenue" sheetId="11" r:id="rId4"/>
    <sheet name="KC Tonnage - Enspire" sheetId="25" r:id="rId5"/>
    <sheet name="SC Tonnage - Enspire" sheetId="26" r:id="rId6"/>
    <sheet name="Customer Counts - Enspire" sheetId="9" r:id="rId7"/>
    <sheet name="Prices - Recy. Acct. Analysis" sheetId="8" r:id="rId8"/>
    <sheet name="Composition-Rec. Acct. Analysis" sheetId="5" r:id="rId9"/>
    <sheet name="SC 2024-2025 Budget" sheetId="29" r:id="rId10"/>
    <sheet name="KC 2024-2025 Budget" sheetId="30" r:id="rId11"/>
    <sheet name="SC 2022-2023 Budget vs. Actual" sheetId="18" state="hidden" r:id="rId12"/>
    <sheet name="KC 2022-2023 Budget vs. Actual" sheetId="17" state="hidden" r:id="rId13"/>
    <sheet name="KC Incentive Analysis" sheetId="31" state="hidden" r:id="rId14"/>
    <sheet name="SC Incentive Analysis" sheetId="32"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27" l="1"/>
  <c r="J11" i="27" l="1"/>
  <c r="J12" i="27"/>
  <c r="J6" i="27"/>
  <c r="G6" i="27"/>
  <c r="D7" i="27"/>
  <c r="D6" i="27"/>
  <c r="F96" i="28" l="1"/>
  <c r="C93" i="28"/>
  <c r="C92" i="28"/>
  <c r="F57" i="28"/>
  <c r="C54" i="28"/>
  <c r="C53" i="28"/>
  <c r="F16" i="28"/>
  <c r="C12" i="28"/>
  <c r="C11" i="28"/>
  <c r="L53" i="8" l="1"/>
  <c r="K53" i="8"/>
  <c r="J53" i="8"/>
  <c r="I53" i="8"/>
  <c r="H53" i="8"/>
  <c r="G53" i="8"/>
  <c r="F53" i="8"/>
  <c r="E53" i="8"/>
  <c r="D53" i="8"/>
  <c r="C53" i="8"/>
  <c r="AA16" i="5" l="1"/>
  <c r="AA15" i="5"/>
  <c r="AA14" i="5"/>
  <c r="AA13" i="5"/>
  <c r="AA12" i="5"/>
  <c r="AA11" i="5"/>
  <c r="AA10" i="5"/>
  <c r="AA9" i="5"/>
  <c r="AA8" i="5"/>
  <c r="AA7" i="5"/>
  <c r="AA6" i="5"/>
  <c r="L19" i="8"/>
  <c r="K19" i="8"/>
  <c r="J19" i="8"/>
  <c r="I19" i="8"/>
  <c r="H19" i="8"/>
  <c r="G19" i="8"/>
  <c r="F19" i="8"/>
  <c r="E19" i="8"/>
  <c r="D19" i="8"/>
  <c r="C19" i="8"/>
  <c r="S18" i="9" l="1"/>
  <c r="R18" i="9"/>
  <c r="Q18" i="9"/>
  <c r="N18" i="9"/>
  <c r="M18" i="9"/>
  <c r="H18" i="9"/>
  <c r="G18" i="9"/>
  <c r="F18" i="9"/>
  <c r="C18" i="9"/>
  <c r="B18" i="9"/>
  <c r="O52" i="26"/>
  <c r="N52" i="26"/>
  <c r="M52" i="26"/>
  <c r="L52" i="26"/>
  <c r="K52" i="26"/>
  <c r="J52" i="26"/>
  <c r="I52" i="26"/>
  <c r="H52" i="26"/>
  <c r="G52" i="26"/>
  <c r="F52" i="26"/>
  <c r="E52" i="26"/>
  <c r="D52" i="26"/>
  <c r="O51" i="26"/>
  <c r="N51" i="26"/>
  <c r="M51" i="26"/>
  <c r="L51" i="26"/>
  <c r="K51" i="26"/>
  <c r="J51" i="26"/>
  <c r="I51" i="26"/>
  <c r="H51" i="26"/>
  <c r="G51" i="26"/>
  <c r="F51" i="26"/>
  <c r="E51" i="26"/>
  <c r="D51" i="26"/>
  <c r="C52" i="26"/>
  <c r="C51" i="26"/>
  <c r="S52" i="25"/>
  <c r="R52" i="25"/>
  <c r="Q52" i="25"/>
  <c r="P52" i="25"/>
  <c r="O52" i="25"/>
  <c r="N52" i="25"/>
  <c r="M52" i="25"/>
  <c r="L52" i="25"/>
  <c r="K52" i="25"/>
  <c r="J52" i="25"/>
  <c r="I52" i="25"/>
  <c r="H52" i="25"/>
  <c r="G52" i="25"/>
  <c r="F52" i="25"/>
  <c r="E52" i="25"/>
  <c r="D52" i="25"/>
  <c r="S51" i="25"/>
  <c r="R51" i="25"/>
  <c r="Q51" i="25"/>
  <c r="P51" i="25"/>
  <c r="O51" i="25"/>
  <c r="N51" i="25"/>
  <c r="M51" i="25"/>
  <c r="L51" i="25"/>
  <c r="K51" i="25"/>
  <c r="J51" i="25"/>
  <c r="I51" i="25"/>
  <c r="H51" i="25"/>
  <c r="G51" i="25"/>
  <c r="F51" i="25"/>
  <c r="E51" i="25"/>
  <c r="D51" i="25"/>
  <c r="C52" i="25"/>
  <c r="C51" i="25"/>
  <c r="D12" i="30" l="1"/>
  <c r="D11" i="29"/>
  <c r="M17" i="9"/>
  <c r="N17" i="9"/>
  <c r="S17" i="9"/>
  <c r="R17" i="9"/>
  <c r="Q17" i="9"/>
  <c r="G17" i="9"/>
  <c r="F17" i="9"/>
  <c r="L52" i="8"/>
  <c r="K52" i="8"/>
  <c r="J52" i="8"/>
  <c r="I52" i="8"/>
  <c r="H52" i="8"/>
  <c r="G52" i="8"/>
  <c r="F52" i="8"/>
  <c r="E52" i="8"/>
  <c r="D52" i="8"/>
  <c r="C52" i="8"/>
  <c r="Y16" i="5"/>
  <c r="Y15" i="5"/>
  <c r="Y14" i="5"/>
  <c r="Y13" i="5"/>
  <c r="Y12" i="5"/>
  <c r="Y11" i="5"/>
  <c r="Y10" i="5"/>
  <c r="Y9" i="5"/>
  <c r="Y8" i="5"/>
  <c r="Y7" i="5"/>
  <c r="Y6" i="5"/>
  <c r="L18" i="8"/>
  <c r="K18" i="8"/>
  <c r="J18" i="8"/>
  <c r="I18" i="8"/>
  <c r="H18" i="8"/>
  <c r="G18" i="8"/>
  <c r="F18" i="8"/>
  <c r="E18" i="8"/>
  <c r="D18" i="8"/>
  <c r="C18" i="8"/>
  <c r="Q16" i="9"/>
  <c r="G16" i="9"/>
  <c r="R16" i="9"/>
  <c r="S16" i="9"/>
  <c r="N16" i="9"/>
  <c r="M16" i="9"/>
  <c r="F16" i="9"/>
  <c r="O48" i="25"/>
  <c r="M48" i="25"/>
  <c r="E48" i="25"/>
  <c r="O47" i="25"/>
  <c r="M47" i="25"/>
  <c r="E47" i="25"/>
  <c r="L51" i="8"/>
  <c r="K51" i="8"/>
  <c r="J51" i="8"/>
  <c r="I51" i="8"/>
  <c r="H51" i="8"/>
  <c r="G51" i="8"/>
  <c r="F51" i="8"/>
  <c r="E51" i="8"/>
  <c r="D51" i="8"/>
  <c r="C51" i="8"/>
  <c r="L17" i="8"/>
  <c r="K17" i="8"/>
  <c r="J17" i="8"/>
  <c r="I17" i="8"/>
  <c r="H17" i="8"/>
  <c r="G17" i="8"/>
  <c r="F17" i="8"/>
  <c r="E17" i="8"/>
  <c r="D17" i="8"/>
  <c r="C17" i="8"/>
  <c r="W16" i="5"/>
  <c r="W15" i="5"/>
  <c r="W14" i="5"/>
  <c r="W13" i="5"/>
  <c r="W12" i="5"/>
  <c r="W11" i="5"/>
  <c r="W10" i="5"/>
  <c r="W9" i="5"/>
  <c r="W8" i="5"/>
  <c r="W7" i="5"/>
  <c r="W6" i="5"/>
  <c r="O44" i="25" l="1"/>
  <c r="M44" i="25"/>
  <c r="E44" i="25"/>
  <c r="O43" i="25"/>
  <c r="M43" i="25"/>
  <c r="E43" i="25"/>
  <c r="S15" i="9"/>
  <c r="Q15" i="9"/>
  <c r="R15" i="9"/>
  <c r="G15" i="9"/>
  <c r="F15" i="9"/>
  <c r="N15" i="9"/>
  <c r="M15" i="9"/>
  <c r="S14" i="9"/>
  <c r="R14" i="9"/>
  <c r="Q14" i="9"/>
  <c r="H14" i="9"/>
  <c r="G14" i="9"/>
  <c r="F14" i="9"/>
  <c r="U16" i="5"/>
  <c r="U15" i="5"/>
  <c r="U14" i="5"/>
  <c r="U13" i="5"/>
  <c r="U12" i="5"/>
  <c r="U11" i="5"/>
  <c r="U10" i="5"/>
  <c r="U9" i="5"/>
  <c r="U8" i="5"/>
  <c r="U7" i="5"/>
  <c r="U6" i="5"/>
  <c r="L16" i="8"/>
  <c r="K16" i="8"/>
  <c r="J16" i="8"/>
  <c r="I16" i="8"/>
  <c r="H16" i="8"/>
  <c r="G16" i="8"/>
  <c r="F16" i="8"/>
  <c r="E16" i="8"/>
  <c r="D16" i="8"/>
  <c r="C16" i="8"/>
  <c r="L50" i="8" l="1"/>
  <c r="K50" i="8"/>
  <c r="J50" i="8"/>
  <c r="I50" i="8"/>
  <c r="H50" i="8"/>
  <c r="G50" i="8"/>
  <c r="F50" i="8"/>
  <c r="E50" i="8"/>
  <c r="D50" i="8"/>
  <c r="C50" i="8"/>
  <c r="N14" i="9"/>
  <c r="M14" i="9"/>
  <c r="C14" i="9"/>
  <c r="B14" i="9"/>
  <c r="O32" i="26"/>
  <c r="N32" i="26"/>
  <c r="M32" i="26"/>
  <c r="L32" i="26"/>
  <c r="K32" i="26"/>
  <c r="J32" i="26"/>
  <c r="I32" i="26"/>
  <c r="H32" i="26"/>
  <c r="G32" i="26"/>
  <c r="F32" i="26"/>
  <c r="E32" i="26"/>
  <c r="D32" i="26"/>
  <c r="C32" i="26"/>
  <c r="O31" i="26"/>
  <c r="N31" i="26"/>
  <c r="M31" i="26"/>
  <c r="L31" i="26"/>
  <c r="K31" i="26"/>
  <c r="J31" i="26"/>
  <c r="I31" i="26"/>
  <c r="H31" i="26"/>
  <c r="G31" i="26"/>
  <c r="F31" i="26"/>
  <c r="E31" i="26"/>
  <c r="D31" i="26"/>
  <c r="C31" i="26"/>
  <c r="S32" i="25"/>
  <c r="R32" i="25"/>
  <c r="Q32" i="25"/>
  <c r="P32" i="25"/>
  <c r="O32" i="25"/>
  <c r="N32" i="25"/>
  <c r="L32" i="25"/>
  <c r="K32" i="25"/>
  <c r="J32" i="25"/>
  <c r="I32" i="25"/>
  <c r="H32" i="25"/>
  <c r="G32" i="25"/>
  <c r="F32" i="25"/>
  <c r="D32" i="25"/>
  <c r="C32" i="25"/>
  <c r="S31" i="25"/>
  <c r="R31" i="25"/>
  <c r="Q31" i="25"/>
  <c r="P31" i="25"/>
  <c r="O31" i="25"/>
  <c r="N31" i="25"/>
  <c r="L31" i="25"/>
  <c r="K31" i="25"/>
  <c r="J31" i="25"/>
  <c r="I31" i="25"/>
  <c r="H31" i="25"/>
  <c r="G31" i="25"/>
  <c r="F31" i="25"/>
  <c r="D31" i="25"/>
  <c r="C31" i="25"/>
  <c r="S36" i="25"/>
  <c r="R36" i="25"/>
  <c r="Q36" i="25"/>
  <c r="P36" i="25"/>
  <c r="N36" i="25"/>
  <c r="L36" i="25"/>
  <c r="K36" i="25"/>
  <c r="J36" i="25"/>
  <c r="I36" i="25"/>
  <c r="H36" i="25"/>
  <c r="G36" i="25"/>
  <c r="F36" i="25"/>
  <c r="D36" i="25"/>
  <c r="C36" i="25"/>
  <c r="S35" i="25"/>
  <c r="R35" i="25"/>
  <c r="Q35" i="25"/>
  <c r="P35" i="25"/>
  <c r="N35" i="25"/>
  <c r="L35" i="25"/>
  <c r="K35" i="25"/>
  <c r="J35" i="25"/>
  <c r="I35" i="25"/>
  <c r="H35" i="25"/>
  <c r="G35" i="25"/>
  <c r="F35" i="25"/>
  <c r="D35" i="25"/>
  <c r="C35" i="25"/>
  <c r="O36" i="26"/>
  <c r="N36" i="26"/>
  <c r="M36" i="26"/>
  <c r="L36" i="26"/>
  <c r="K36" i="26"/>
  <c r="J36" i="26"/>
  <c r="I36" i="26"/>
  <c r="H36" i="26"/>
  <c r="G36" i="26"/>
  <c r="F36" i="26"/>
  <c r="E36" i="26"/>
  <c r="D36" i="26"/>
  <c r="C36" i="26"/>
  <c r="O35" i="26"/>
  <c r="N35" i="26"/>
  <c r="M35" i="26"/>
  <c r="L35" i="26"/>
  <c r="K35" i="26"/>
  <c r="J35" i="26"/>
  <c r="I35" i="26"/>
  <c r="H35" i="26"/>
  <c r="G35" i="26"/>
  <c r="F35" i="26"/>
  <c r="E35" i="26"/>
  <c r="D35" i="26"/>
  <c r="C35" i="26"/>
  <c r="S13" i="9"/>
  <c r="R13" i="9"/>
  <c r="Q13" i="9"/>
  <c r="H13" i="9"/>
  <c r="G13" i="9"/>
  <c r="F13" i="9"/>
  <c r="N13" i="9"/>
  <c r="M13" i="9"/>
  <c r="C13" i="9"/>
  <c r="B13" i="9"/>
  <c r="L49" i="8"/>
  <c r="K49" i="8"/>
  <c r="J49" i="8"/>
  <c r="I49" i="8"/>
  <c r="H49" i="8"/>
  <c r="G49" i="8"/>
  <c r="F49" i="8"/>
  <c r="E49" i="8"/>
  <c r="D49" i="8"/>
  <c r="C49" i="8"/>
  <c r="T14" i="9" l="1"/>
  <c r="I14" i="9"/>
  <c r="O14" i="9"/>
  <c r="L15" i="8"/>
  <c r="K15" i="8"/>
  <c r="J15" i="8"/>
  <c r="I15" i="8"/>
  <c r="H15" i="8"/>
  <c r="G15" i="8"/>
  <c r="F15" i="8"/>
  <c r="E15" i="8"/>
  <c r="D15" i="8"/>
  <c r="C15" i="8"/>
  <c r="S16" i="5"/>
  <c r="S15" i="5"/>
  <c r="S14" i="5"/>
  <c r="S13" i="5"/>
  <c r="S12" i="5"/>
  <c r="S11" i="5"/>
  <c r="S10" i="5"/>
  <c r="S9" i="5"/>
  <c r="S8" i="5"/>
  <c r="S7" i="5"/>
  <c r="S6" i="5"/>
  <c r="S28" i="25"/>
  <c r="R28" i="25"/>
  <c r="Q28" i="25"/>
  <c r="P28" i="25"/>
  <c r="O28" i="25"/>
  <c r="N28" i="25"/>
  <c r="M28" i="25"/>
  <c r="L28" i="25"/>
  <c r="K28" i="25"/>
  <c r="J28" i="25"/>
  <c r="I28" i="25"/>
  <c r="H28" i="25"/>
  <c r="G28" i="25"/>
  <c r="F28" i="25"/>
  <c r="E28" i="25"/>
  <c r="D28" i="25"/>
  <c r="S27" i="25"/>
  <c r="R27" i="25"/>
  <c r="Q27" i="25"/>
  <c r="P27" i="25"/>
  <c r="O27" i="25"/>
  <c r="N27" i="25"/>
  <c r="M27" i="25"/>
  <c r="L27" i="25"/>
  <c r="K27" i="25"/>
  <c r="J27" i="25"/>
  <c r="I27" i="25"/>
  <c r="H27" i="25"/>
  <c r="G27" i="25"/>
  <c r="F27" i="25"/>
  <c r="E27" i="25"/>
  <c r="D27" i="25"/>
  <c r="C28" i="25"/>
  <c r="C27" i="25"/>
  <c r="O28" i="26"/>
  <c r="N28" i="26"/>
  <c r="M28" i="26"/>
  <c r="L28" i="26"/>
  <c r="K28" i="26"/>
  <c r="J28" i="26"/>
  <c r="I28" i="26"/>
  <c r="H28" i="26"/>
  <c r="G28" i="26"/>
  <c r="F28" i="26"/>
  <c r="E28" i="26"/>
  <c r="D28" i="26"/>
  <c r="O27" i="26"/>
  <c r="N27" i="26"/>
  <c r="M27" i="26"/>
  <c r="L27" i="26"/>
  <c r="K27" i="26"/>
  <c r="J27" i="26"/>
  <c r="I27" i="26"/>
  <c r="H27" i="26"/>
  <c r="G27" i="26"/>
  <c r="F27" i="26"/>
  <c r="E27" i="26"/>
  <c r="D27" i="26"/>
  <c r="C28" i="26"/>
  <c r="C27" i="26"/>
  <c r="N12" i="9"/>
  <c r="M12" i="9"/>
  <c r="B12" i="9"/>
  <c r="C12" i="9"/>
  <c r="S12" i="9"/>
  <c r="R12" i="9"/>
  <c r="Q12" i="9"/>
  <c r="H12" i="9"/>
  <c r="G12" i="9"/>
  <c r="F12" i="9"/>
  <c r="L48" i="8"/>
  <c r="K48" i="8"/>
  <c r="J48" i="8"/>
  <c r="I48" i="8"/>
  <c r="H48" i="8"/>
  <c r="G48" i="8"/>
  <c r="F48" i="8"/>
  <c r="E48" i="8"/>
  <c r="D48" i="8"/>
  <c r="C48" i="8"/>
  <c r="L14" i="8"/>
  <c r="K14" i="8"/>
  <c r="J14" i="8"/>
  <c r="I14" i="8"/>
  <c r="H14" i="8"/>
  <c r="G14" i="8"/>
  <c r="F14" i="8"/>
  <c r="E14" i="8"/>
  <c r="D14" i="8"/>
  <c r="C14" i="8"/>
  <c r="Q16" i="5"/>
  <c r="Q15" i="5"/>
  <c r="Q14" i="5"/>
  <c r="Q13" i="5"/>
  <c r="Q12" i="5"/>
  <c r="Q11" i="5"/>
  <c r="Q10" i="5"/>
  <c r="Q9" i="5"/>
  <c r="Q8" i="5"/>
  <c r="Q7" i="5"/>
  <c r="Q6" i="5"/>
  <c r="L13" i="8"/>
  <c r="K13" i="8"/>
  <c r="J13" i="8"/>
  <c r="I13" i="8"/>
  <c r="H13" i="8"/>
  <c r="G13" i="8"/>
  <c r="F13" i="8"/>
  <c r="E13" i="8"/>
  <c r="D13" i="8"/>
  <c r="C13" i="8"/>
  <c r="O16" i="5"/>
  <c r="O15" i="5"/>
  <c r="O14" i="5"/>
  <c r="O13" i="5"/>
  <c r="O12" i="5"/>
  <c r="O11" i="5"/>
  <c r="O10" i="5"/>
  <c r="O9" i="5"/>
  <c r="O8" i="5"/>
  <c r="O7" i="5"/>
  <c r="O6" i="5"/>
  <c r="L47" i="8"/>
  <c r="K47" i="8"/>
  <c r="J47" i="8"/>
  <c r="I47" i="8"/>
  <c r="H47" i="8"/>
  <c r="G47" i="8"/>
  <c r="F47" i="8"/>
  <c r="E47" i="8"/>
  <c r="D47" i="8"/>
  <c r="C47" i="8"/>
  <c r="O24" i="26" l="1"/>
  <c r="N24" i="26"/>
  <c r="M24" i="26"/>
  <c r="L24" i="26"/>
  <c r="K24" i="26"/>
  <c r="J24" i="26"/>
  <c r="I24" i="26"/>
  <c r="H24" i="26"/>
  <c r="G24" i="26"/>
  <c r="F24" i="26"/>
  <c r="E24" i="26"/>
  <c r="D24" i="26"/>
  <c r="O23" i="26"/>
  <c r="N23" i="26"/>
  <c r="M23" i="26"/>
  <c r="L23" i="26"/>
  <c r="K23" i="26"/>
  <c r="J23" i="26"/>
  <c r="I23" i="26"/>
  <c r="H23" i="26"/>
  <c r="G23" i="26"/>
  <c r="F23" i="26"/>
  <c r="E23" i="26"/>
  <c r="D23" i="26"/>
  <c r="C24" i="26"/>
  <c r="C23" i="26"/>
  <c r="S24" i="25"/>
  <c r="R24" i="25"/>
  <c r="Q24" i="25"/>
  <c r="P24" i="25"/>
  <c r="O24" i="25"/>
  <c r="O40" i="25" s="1"/>
  <c r="N24" i="25"/>
  <c r="M24" i="25"/>
  <c r="M40" i="25" s="1"/>
  <c r="L24" i="25"/>
  <c r="K24" i="25"/>
  <c r="J24" i="25"/>
  <c r="I24" i="25"/>
  <c r="H24" i="25"/>
  <c r="G24" i="25"/>
  <c r="F24" i="25"/>
  <c r="E24" i="25"/>
  <c r="E40" i="25" s="1"/>
  <c r="D24" i="25"/>
  <c r="S23" i="25"/>
  <c r="R23" i="25"/>
  <c r="Q23" i="25"/>
  <c r="P23" i="25"/>
  <c r="O23" i="25"/>
  <c r="O39" i="25" s="1"/>
  <c r="N23" i="25"/>
  <c r="M23" i="25"/>
  <c r="M39" i="25" s="1"/>
  <c r="L23" i="25"/>
  <c r="K23" i="25"/>
  <c r="J23" i="25"/>
  <c r="I23" i="25"/>
  <c r="H23" i="25"/>
  <c r="G23" i="25"/>
  <c r="F23" i="25"/>
  <c r="E23" i="25"/>
  <c r="E39" i="25" s="1"/>
  <c r="D23" i="25"/>
  <c r="C24" i="25"/>
  <c r="C23" i="25"/>
  <c r="S11" i="9"/>
  <c r="R11" i="9"/>
  <c r="Q11" i="9"/>
  <c r="H11" i="9"/>
  <c r="G11" i="9"/>
  <c r="F11" i="9"/>
  <c r="N11" i="9"/>
  <c r="M11" i="9"/>
  <c r="C11" i="9"/>
  <c r="B11" i="9"/>
  <c r="L46" i="8"/>
  <c r="K46" i="8"/>
  <c r="J46" i="8"/>
  <c r="I46" i="8"/>
  <c r="H46" i="8"/>
  <c r="G46" i="8"/>
  <c r="F46" i="8"/>
  <c r="E46" i="8"/>
  <c r="D46" i="8"/>
  <c r="C46" i="8"/>
  <c r="L12" i="8" l="1"/>
  <c r="K12" i="8"/>
  <c r="J12" i="8"/>
  <c r="I12" i="8"/>
  <c r="H12" i="8"/>
  <c r="G12" i="8"/>
  <c r="F12" i="8"/>
  <c r="E12" i="8"/>
  <c r="D12" i="8"/>
  <c r="C12" i="8"/>
  <c r="M16" i="5"/>
  <c r="M15" i="5"/>
  <c r="M14" i="5"/>
  <c r="M13" i="5"/>
  <c r="M12" i="5"/>
  <c r="M11" i="5"/>
  <c r="M10" i="5"/>
  <c r="M9" i="5"/>
  <c r="M8" i="5"/>
  <c r="M7" i="5"/>
  <c r="M6" i="5"/>
  <c r="S20" i="25"/>
  <c r="R20" i="25"/>
  <c r="Q20" i="25"/>
  <c r="P20" i="25"/>
  <c r="N20" i="25"/>
  <c r="M20" i="25"/>
  <c r="L20" i="25"/>
  <c r="K20" i="25"/>
  <c r="J20" i="25"/>
  <c r="I20" i="25"/>
  <c r="H20" i="25"/>
  <c r="G20" i="25"/>
  <c r="F20" i="25"/>
  <c r="E20" i="25"/>
  <c r="D20" i="25"/>
  <c r="S19" i="25"/>
  <c r="R19" i="25"/>
  <c r="Q19" i="25"/>
  <c r="P19" i="25"/>
  <c r="N19" i="25"/>
  <c r="M19" i="25"/>
  <c r="L19" i="25"/>
  <c r="K19" i="25"/>
  <c r="J19" i="25"/>
  <c r="I19" i="25"/>
  <c r="H19" i="25"/>
  <c r="G19" i="25"/>
  <c r="F19" i="25"/>
  <c r="E19" i="25"/>
  <c r="D19" i="25"/>
  <c r="C20" i="25"/>
  <c r="C19" i="25"/>
  <c r="O20" i="26" l="1"/>
  <c r="N20" i="26"/>
  <c r="M20" i="26"/>
  <c r="L20" i="26"/>
  <c r="K20" i="26"/>
  <c r="J20" i="26"/>
  <c r="I20" i="26"/>
  <c r="H20" i="26"/>
  <c r="G20" i="26"/>
  <c r="F20" i="26"/>
  <c r="E20" i="26"/>
  <c r="D20" i="26"/>
  <c r="O19" i="26"/>
  <c r="N19" i="26"/>
  <c r="M19" i="26"/>
  <c r="L19" i="26"/>
  <c r="K19" i="26"/>
  <c r="J19" i="26"/>
  <c r="I19" i="26"/>
  <c r="H19" i="26"/>
  <c r="G19" i="26"/>
  <c r="F19" i="26"/>
  <c r="E19" i="26"/>
  <c r="D19" i="26"/>
  <c r="C20" i="26"/>
  <c r="C19" i="26"/>
  <c r="N10" i="9" l="1"/>
  <c r="M10" i="9"/>
  <c r="C10" i="9"/>
  <c r="B10" i="9"/>
  <c r="S10" i="9"/>
  <c r="R10" i="9"/>
  <c r="Q10" i="9"/>
  <c r="H10" i="9"/>
  <c r="G10" i="9"/>
  <c r="F10" i="9"/>
  <c r="K16" i="5"/>
  <c r="K15" i="5"/>
  <c r="K14" i="5"/>
  <c r="K13" i="5"/>
  <c r="K12" i="5"/>
  <c r="K11" i="5"/>
  <c r="K10" i="5"/>
  <c r="K9" i="5"/>
  <c r="K8" i="5"/>
  <c r="K7" i="5"/>
  <c r="K6" i="5"/>
  <c r="L45" i="8"/>
  <c r="K45" i="8"/>
  <c r="J45" i="8"/>
  <c r="I45" i="8"/>
  <c r="H45" i="8"/>
  <c r="G45" i="8"/>
  <c r="F45" i="8"/>
  <c r="E45" i="8"/>
  <c r="D45" i="8"/>
  <c r="C45" i="8"/>
  <c r="L11" i="8"/>
  <c r="K11" i="8"/>
  <c r="J11" i="8"/>
  <c r="I11" i="8"/>
  <c r="H11" i="8"/>
  <c r="G11" i="8"/>
  <c r="F11" i="8"/>
  <c r="E11" i="8"/>
  <c r="D11" i="8"/>
  <c r="C11" i="8"/>
  <c r="E15" i="26" l="1"/>
  <c r="F15" i="26"/>
  <c r="G15" i="26"/>
  <c r="H15" i="26"/>
  <c r="I15" i="26"/>
  <c r="J15" i="26"/>
  <c r="K15" i="26"/>
  <c r="L15" i="26"/>
  <c r="M15" i="26"/>
  <c r="N15" i="26"/>
  <c r="O15" i="26"/>
  <c r="E16" i="26"/>
  <c r="F16" i="26"/>
  <c r="G16" i="26"/>
  <c r="H16" i="26"/>
  <c r="I16" i="26"/>
  <c r="J16" i="26"/>
  <c r="K16" i="26"/>
  <c r="L16" i="26"/>
  <c r="M16" i="26"/>
  <c r="N16" i="26"/>
  <c r="O16" i="26"/>
  <c r="D16" i="26"/>
  <c r="C16" i="26"/>
  <c r="D15" i="26"/>
  <c r="C15" i="26"/>
  <c r="E15" i="25"/>
  <c r="F15" i="25"/>
  <c r="G15" i="25"/>
  <c r="H15" i="25"/>
  <c r="I15" i="25"/>
  <c r="J15" i="25"/>
  <c r="K15" i="25"/>
  <c r="L15" i="25"/>
  <c r="M15" i="25"/>
  <c r="N15" i="25"/>
  <c r="P15" i="25"/>
  <c r="Q15" i="25"/>
  <c r="R15" i="25"/>
  <c r="S15" i="25"/>
  <c r="E16" i="25"/>
  <c r="F16" i="25"/>
  <c r="G16" i="25"/>
  <c r="H16" i="25"/>
  <c r="I16" i="25"/>
  <c r="J16" i="25"/>
  <c r="K16" i="25"/>
  <c r="L16" i="25"/>
  <c r="M16" i="25"/>
  <c r="N16" i="25"/>
  <c r="P16" i="25"/>
  <c r="Q16" i="25"/>
  <c r="R16" i="25"/>
  <c r="S16" i="25"/>
  <c r="D16" i="25"/>
  <c r="C16" i="25"/>
  <c r="D15" i="25"/>
  <c r="C15" i="25"/>
  <c r="N9" i="9"/>
  <c r="M9" i="9"/>
  <c r="C9" i="9"/>
  <c r="B9" i="9"/>
  <c r="S9" i="9"/>
  <c r="R9" i="9"/>
  <c r="Q9" i="9"/>
  <c r="H9" i="9"/>
  <c r="G9" i="9"/>
  <c r="F9" i="9"/>
  <c r="X30" i="11"/>
  <c r="T30" i="11"/>
  <c r="S30" i="11"/>
  <c r="R30" i="11"/>
  <c r="X29" i="11"/>
  <c r="T29" i="11"/>
  <c r="S29" i="11"/>
  <c r="R29" i="11"/>
  <c r="X28" i="11"/>
  <c r="T28" i="11"/>
  <c r="S28" i="11"/>
  <c r="R28" i="11"/>
  <c r="X27" i="11"/>
  <c r="T27" i="11"/>
  <c r="S27" i="11"/>
  <c r="R27" i="11"/>
  <c r="X26" i="11"/>
  <c r="T26" i="11"/>
  <c r="S26" i="11"/>
  <c r="R26" i="11"/>
  <c r="X25" i="11"/>
  <c r="T25" i="11"/>
  <c r="S25" i="11"/>
  <c r="R25" i="11"/>
  <c r="X24" i="11"/>
  <c r="T24" i="11"/>
  <c r="S24" i="11"/>
  <c r="R24" i="11"/>
  <c r="X23" i="11"/>
  <c r="T23" i="11"/>
  <c r="S23" i="11"/>
  <c r="R23" i="11"/>
  <c r="X22" i="11"/>
  <c r="T22" i="11"/>
  <c r="S22" i="11"/>
  <c r="R22" i="11"/>
  <c r="X21" i="11"/>
  <c r="T21" i="11"/>
  <c r="S21" i="11"/>
  <c r="R21" i="11"/>
  <c r="X20" i="11"/>
  <c r="T20" i="11"/>
  <c r="S20" i="11"/>
  <c r="R20" i="11"/>
  <c r="X58" i="11"/>
  <c r="T58" i="11"/>
  <c r="S58" i="11"/>
  <c r="R58" i="11"/>
  <c r="X57" i="11"/>
  <c r="T57" i="11"/>
  <c r="S57" i="11"/>
  <c r="R57" i="11"/>
  <c r="X56" i="11"/>
  <c r="T56" i="11"/>
  <c r="S56" i="11"/>
  <c r="R56" i="11"/>
  <c r="X55" i="11"/>
  <c r="T55" i="11"/>
  <c r="S55" i="11"/>
  <c r="R55" i="11"/>
  <c r="X54" i="11"/>
  <c r="T54" i="11"/>
  <c r="S54" i="11"/>
  <c r="R54" i="11"/>
  <c r="X53" i="11"/>
  <c r="T53" i="11"/>
  <c r="S53" i="11"/>
  <c r="R53" i="11"/>
  <c r="X52" i="11"/>
  <c r="T52" i="11"/>
  <c r="S52" i="11"/>
  <c r="R52" i="11"/>
  <c r="X51" i="11"/>
  <c r="T51" i="11"/>
  <c r="S51" i="11"/>
  <c r="R51" i="11"/>
  <c r="X50" i="11"/>
  <c r="T50" i="11"/>
  <c r="S50" i="11"/>
  <c r="R50" i="11"/>
  <c r="X49" i="11"/>
  <c r="T49" i="11"/>
  <c r="S49" i="11"/>
  <c r="R49" i="11"/>
  <c r="X48" i="11"/>
  <c r="T48" i="11"/>
  <c r="S48" i="11"/>
  <c r="R48" i="11"/>
  <c r="O66" i="11"/>
  <c r="N66" i="11"/>
  <c r="H66" i="11"/>
  <c r="H61" i="11" s="1"/>
  <c r="G66" i="11"/>
  <c r="G61" i="11" s="1"/>
  <c r="D66" i="11"/>
  <c r="D61" i="11" s="1"/>
  <c r="C66" i="11"/>
  <c r="C61" i="11" s="1"/>
  <c r="L10" i="8" l="1"/>
  <c r="K10" i="8"/>
  <c r="J10" i="8"/>
  <c r="I10" i="8"/>
  <c r="H10" i="8"/>
  <c r="G10" i="8"/>
  <c r="F10" i="8"/>
  <c r="E10" i="8"/>
  <c r="D10" i="8"/>
  <c r="C10" i="8"/>
  <c r="I16" i="5"/>
  <c r="I15" i="5"/>
  <c r="I14" i="5"/>
  <c r="I13" i="5"/>
  <c r="I12" i="5"/>
  <c r="I11" i="5"/>
  <c r="I10" i="5"/>
  <c r="I9" i="5"/>
  <c r="I8" i="5"/>
  <c r="I7" i="5"/>
  <c r="I6" i="5"/>
  <c r="L43" i="8" l="1"/>
  <c r="K43" i="8"/>
  <c r="J43" i="8"/>
  <c r="I43" i="8"/>
  <c r="H43" i="8"/>
  <c r="G43" i="8"/>
  <c r="F43" i="8"/>
  <c r="E43" i="8"/>
  <c r="D43" i="8"/>
  <c r="C43" i="8"/>
  <c r="L42" i="8"/>
  <c r="K42" i="8"/>
  <c r="J42" i="8"/>
  <c r="I42" i="8"/>
  <c r="H42" i="8"/>
  <c r="G42" i="8"/>
  <c r="F42" i="8"/>
  <c r="E42" i="8"/>
  <c r="D42" i="8"/>
  <c r="C42" i="8"/>
  <c r="L41" i="8"/>
  <c r="K41" i="8"/>
  <c r="J41" i="8"/>
  <c r="I41" i="8"/>
  <c r="H41" i="8"/>
  <c r="G41" i="8"/>
  <c r="F41" i="8"/>
  <c r="E41" i="8"/>
  <c r="D41" i="8"/>
  <c r="C41" i="8"/>
  <c r="L44" i="8" l="1"/>
  <c r="K44" i="8"/>
  <c r="J44" i="8"/>
  <c r="I44" i="8"/>
  <c r="H44" i="8"/>
  <c r="G44" i="8"/>
  <c r="F44" i="8"/>
  <c r="E44" i="8"/>
  <c r="D44" i="8"/>
  <c r="C44" i="8"/>
  <c r="G16" i="5" l="1"/>
  <c r="G15" i="5"/>
  <c r="G14" i="5"/>
  <c r="G13" i="5"/>
  <c r="G12" i="5"/>
  <c r="G11" i="5"/>
  <c r="G10" i="5"/>
  <c r="G9" i="5"/>
  <c r="G8" i="5"/>
  <c r="G7" i="5"/>
  <c r="G6" i="5"/>
  <c r="E16" i="5"/>
  <c r="E15" i="5"/>
  <c r="E14" i="5"/>
  <c r="E13" i="5"/>
  <c r="E12" i="5"/>
  <c r="E11" i="5"/>
  <c r="E10" i="5"/>
  <c r="E9" i="5"/>
  <c r="E8" i="5"/>
  <c r="E7" i="5"/>
  <c r="E6" i="5"/>
  <c r="C16" i="5"/>
  <c r="C15" i="5"/>
  <c r="C14" i="5"/>
  <c r="C13" i="5"/>
  <c r="C12" i="5"/>
  <c r="C11" i="5"/>
  <c r="C10" i="5"/>
  <c r="C9" i="5"/>
  <c r="C8" i="5"/>
  <c r="C7" i="5"/>
  <c r="C6" i="5"/>
  <c r="L9" i="8"/>
  <c r="K9" i="8"/>
  <c r="J9" i="8"/>
  <c r="I9" i="8"/>
  <c r="H9" i="8"/>
  <c r="G9" i="8"/>
  <c r="F9" i="8"/>
  <c r="E9" i="8"/>
  <c r="D9" i="8"/>
  <c r="C9" i="8"/>
  <c r="L8" i="8"/>
  <c r="K8" i="8"/>
  <c r="J8" i="8"/>
  <c r="I8" i="8"/>
  <c r="H8" i="8"/>
  <c r="G8" i="8"/>
  <c r="F8" i="8"/>
  <c r="E8" i="8"/>
  <c r="D8" i="8"/>
  <c r="C8" i="8"/>
  <c r="L7" i="8"/>
  <c r="K7" i="8"/>
  <c r="J7" i="8"/>
  <c r="I7" i="8"/>
  <c r="H7" i="8"/>
  <c r="G7" i="8"/>
  <c r="F7" i="8"/>
  <c r="E7" i="8"/>
  <c r="D7" i="8"/>
  <c r="C7" i="8"/>
  <c r="O12" i="26"/>
  <c r="N12" i="26"/>
  <c r="M12" i="26"/>
  <c r="L12" i="26"/>
  <c r="K12" i="26"/>
  <c r="J12" i="26"/>
  <c r="I12" i="26"/>
  <c r="H12" i="26"/>
  <c r="G12" i="26"/>
  <c r="F12" i="26"/>
  <c r="E12" i="26"/>
  <c r="D12" i="26"/>
  <c r="O11" i="26"/>
  <c r="N11" i="26"/>
  <c r="M11" i="26"/>
  <c r="L11" i="26"/>
  <c r="K11" i="26"/>
  <c r="J11" i="26"/>
  <c r="I11" i="26"/>
  <c r="H11" i="26"/>
  <c r="G11" i="26"/>
  <c r="F11" i="26"/>
  <c r="E11" i="26"/>
  <c r="D11" i="26"/>
  <c r="C12" i="26"/>
  <c r="C11" i="26"/>
  <c r="D12" i="25"/>
  <c r="L11" i="25"/>
  <c r="D11" i="25"/>
  <c r="L12" i="25"/>
  <c r="S12" i="25"/>
  <c r="E4" i="25"/>
  <c r="E3" i="25"/>
  <c r="E4" i="26"/>
  <c r="S4" i="25"/>
  <c r="D8" i="25"/>
  <c r="S8" i="25"/>
  <c r="E11" i="25" l="1"/>
  <c r="M11" i="25"/>
  <c r="E12" i="25"/>
  <c r="M12" i="25"/>
  <c r="F11" i="25"/>
  <c r="N11" i="25"/>
  <c r="F12" i="25"/>
  <c r="N12" i="25"/>
  <c r="G11" i="25"/>
  <c r="G12" i="25"/>
  <c r="H11" i="25"/>
  <c r="P11" i="25"/>
  <c r="H12" i="25"/>
  <c r="P12" i="25"/>
  <c r="I11" i="25"/>
  <c r="Q11" i="25"/>
  <c r="I12" i="25"/>
  <c r="Q12" i="25"/>
  <c r="C11" i="25"/>
  <c r="J11" i="25"/>
  <c r="R11" i="25"/>
  <c r="J12" i="25"/>
  <c r="R12" i="25"/>
  <c r="C12" i="25"/>
  <c r="K11" i="25"/>
  <c r="S11" i="25"/>
  <c r="K12" i="25"/>
  <c r="H7" i="26"/>
  <c r="I7" i="26"/>
  <c r="O7" i="26"/>
  <c r="K8" i="26"/>
  <c r="E7" i="25"/>
  <c r="M7" i="25"/>
  <c r="E8" i="25"/>
  <c r="M8" i="25"/>
  <c r="L7" i="25"/>
  <c r="C7" i="26"/>
  <c r="J7" i="26"/>
  <c r="D8" i="26"/>
  <c r="L8" i="26"/>
  <c r="F7" i="25"/>
  <c r="N7" i="25"/>
  <c r="F8" i="25"/>
  <c r="N8" i="25"/>
  <c r="L8" i="25"/>
  <c r="C8" i="26"/>
  <c r="K7" i="26"/>
  <c r="E8" i="26"/>
  <c r="M8" i="26"/>
  <c r="G7" i="25"/>
  <c r="O7" i="25"/>
  <c r="G8" i="25"/>
  <c r="O8" i="25"/>
  <c r="D7" i="25"/>
  <c r="D7" i="26"/>
  <c r="L7" i="26"/>
  <c r="F8" i="26"/>
  <c r="H7" i="25"/>
  <c r="P7" i="25"/>
  <c r="H8" i="25"/>
  <c r="P8" i="25"/>
  <c r="N7" i="26"/>
  <c r="E7" i="26"/>
  <c r="M7" i="26"/>
  <c r="G8" i="26"/>
  <c r="I7" i="25"/>
  <c r="Q7" i="25"/>
  <c r="I8" i="25"/>
  <c r="Q8" i="25"/>
  <c r="J8" i="26"/>
  <c r="F7" i="26"/>
  <c r="H8" i="26"/>
  <c r="N8" i="26"/>
  <c r="C7" i="25"/>
  <c r="J7" i="25"/>
  <c r="R7" i="25"/>
  <c r="J8" i="25"/>
  <c r="R8" i="25"/>
  <c r="G7" i="26"/>
  <c r="I8" i="26"/>
  <c r="O8" i="26"/>
  <c r="C8" i="25"/>
  <c r="K7" i="25"/>
  <c r="S7" i="25"/>
  <c r="K8" i="25"/>
  <c r="M4" i="25"/>
  <c r="C3" i="26"/>
  <c r="J3" i="26"/>
  <c r="D4" i="26"/>
  <c r="L4" i="26"/>
  <c r="D3" i="25"/>
  <c r="L3" i="25"/>
  <c r="D4" i="25"/>
  <c r="L4" i="25"/>
  <c r="K3" i="26"/>
  <c r="D3" i="26"/>
  <c r="L3" i="26"/>
  <c r="F4" i="26"/>
  <c r="F3" i="25"/>
  <c r="N3" i="25"/>
  <c r="F4" i="25"/>
  <c r="N4" i="25"/>
  <c r="E3" i="26"/>
  <c r="M3" i="26"/>
  <c r="G4" i="26"/>
  <c r="G3" i="25"/>
  <c r="O3" i="25"/>
  <c r="G4" i="25"/>
  <c r="O4" i="25"/>
  <c r="F3" i="26"/>
  <c r="H4" i="26"/>
  <c r="N4" i="26"/>
  <c r="H3" i="25"/>
  <c r="P3" i="25"/>
  <c r="H4" i="25"/>
  <c r="P4" i="25"/>
  <c r="C4" i="26"/>
  <c r="M3" i="25"/>
  <c r="G3" i="26"/>
  <c r="I4" i="26"/>
  <c r="O4" i="26"/>
  <c r="I3" i="25"/>
  <c r="Q3" i="25"/>
  <c r="I4" i="25"/>
  <c r="Q4" i="25"/>
  <c r="M4" i="26"/>
  <c r="H3" i="26"/>
  <c r="N3" i="26"/>
  <c r="J4" i="26"/>
  <c r="C3" i="25"/>
  <c r="J3" i="25"/>
  <c r="R3" i="25"/>
  <c r="J4" i="25"/>
  <c r="R4" i="25"/>
  <c r="I3" i="26"/>
  <c r="O3" i="26"/>
  <c r="K4" i="26"/>
  <c r="C4" i="25"/>
  <c r="K3" i="25"/>
  <c r="S3" i="25"/>
  <c r="K4" i="25"/>
  <c r="N8" i="9" l="1"/>
  <c r="M8" i="9"/>
  <c r="C8" i="9"/>
  <c r="B8" i="9"/>
  <c r="N6" i="9"/>
  <c r="M6" i="9"/>
  <c r="N7" i="9" l="1"/>
  <c r="M7" i="9"/>
  <c r="C7" i="9"/>
  <c r="B7" i="9"/>
  <c r="C6" i="9"/>
  <c r="B6" i="9"/>
  <c r="H8" i="9"/>
  <c r="G8" i="9"/>
  <c r="F8" i="9"/>
  <c r="S8" i="9"/>
  <c r="R8" i="9"/>
  <c r="Q8" i="9"/>
  <c r="S6" i="9"/>
  <c r="R6" i="9"/>
  <c r="Q6" i="9"/>
  <c r="H6" i="9"/>
  <c r="G6" i="9"/>
  <c r="F6" i="9"/>
  <c r="I115" i="28"/>
  <c r="I110" i="28"/>
  <c r="I98" i="28"/>
  <c r="I97" i="28"/>
  <c r="I96" i="28"/>
  <c r="M92" i="28"/>
  <c r="N105" i="28"/>
  <c r="N113" i="28" s="1"/>
  <c r="I91" i="28"/>
  <c r="I85" i="28"/>
  <c r="I71" i="28"/>
  <c r="I59" i="28"/>
  <c r="N58" i="28"/>
  <c r="I58" i="28"/>
  <c r="N71" i="28"/>
  <c r="I57" i="28"/>
  <c r="N53" i="28"/>
  <c r="M53" i="28"/>
  <c r="N66" i="28"/>
  <c r="N74" i="28" s="1"/>
  <c r="I52" i="28"/>
  <c r="I46" i="28"/>
  <c r="N17" i="28"/>
  <c r="N18" i="28" s="1"/>
  <c r="N29" i="28"/>
  <c r="M12" i="28"/>
  <c r="N12" i="28"/>
  <c r="N11" i="28"/>
  <c r="N13" i="28" s="1"/>
  <c r="M11" i="28"/>
  <c r="N24" i="28"/>
  <c r="N32" i="28" s="1"/>
  <c r="G2" i="9" l="1"/>
  <c r="H2" i="9"/>
  <c r="O75" i="28"/>
  <c r="N72" i="28"/>
  <c r="N73" i="28" s="1"/>
  <c r="O33" i="28"/>
  <c r="O37" i="28" s="1"/>
  <c r="N30" i="28"/>
  <c r="N31" i="28" s="1"/>
  <c r="N22" i="28"/>
  <c r="O26" i="28" s="1"/>
  <c r="N92" i="28"/>
  <c r="N110" i="28"/>
  <c r="N97" i="28"/>
  <c r="N98" i="28" s="1"/>
  <c r="N59" i="28"/>
  <c r="O34" i="28" l="1"/>
  <c r="O39" i="28" s="1"/>
  <c r="O114" i="28"/>
  <c r="N111" i="28"/>
  <c r="N112" i="28" s="1"/>
  <c r="A115" i="28" l="1"/>
  <c r="A98" i="28"/>
  <c r="A97" i="28"/>
  <c r="A96" i="28"/>
  <c r="A91" i="28"/>
  <c r="A85" i="28"/>
  <c r="A71" i="28"/>
  <c r="A110" i="28" s="1"/>
  <c r="A59" i="28"/>
  <c r="A58" i="28"/>
  <c r="A57" i="28"/>
  <c r="A52" i="28"/>
  <c r="A46" i="28"/>
  <c r="E11" i="28"/>
  <c r="C13" i="28" l="1"/>
  <c r="F24" i="28" s="1"/>
  <c r="F32" i="28" s="1"/>
  <c r="C94" i="28"/>
  <c r="F105" i="28" s="1"/>
  <c r="F113" i="28" s="1"/>
  <c r="C55" i="28"/>
  <c r="F66" i="28" s="1"/>
  <c r="F74" i="28" s="1"/>
  <c r="F11" i="28"/>
  <c r="D15" i="32"/>
  <c r="D14" i="32"/>
  <c r="D13" i="32"/>
  <c r="D10" i="32"/>
  <c r="D9" i="32"/>
  <c r="D8" i="32"/>
  <c r="E15" i="32"/>
  <c r="E14" i="32"/>
  <c r="E13" i="32"/>
  <c r="E10" i="32"/>
  <c r="E9" i="32"/>
  <c r="E8" i="32"/>
  <c r="K31" i="32" l="1"/>
  <c r="K29" i="32"/>
  <c r="G29" i="32"/>
  <c r="G31" i="32"/>
  <c r="K15" i="32"/>
  <c r="K14" i="32"/>
  <c r="J15" i="32"/>
  <c r="J14" i="32"/>
  <c r="K10" i="32"/>
  <c r="J10" i="32"/>
  <c r="K9" i="32"/>
  <c r="J9" i="32"/>
  <c r="H9" i="32" s="1"/>
  <c r="F15" i="32"/>
  <c r="F14" i="32"/>
  <c r="F13" i="32"/>
  <c r="F10" i="32"/>
  <c r="F9" i="32"/>
  <c r="F8" i="32"/>
  <c r="J15" i="31"/>
  <c r="J14" i="31"/>
  <c r="J10" i="31"/>
  <c r="J9" i="31"/>
  <c r="K28" i="31"/>
  <c r="H14" i="32" l="1"/>
  <c r="H15" i="32"/>
  <c r="H10" i="32"/>
  <c r="O61" i="11" l="1"/>
  <c r="N61" i="11"/>
  <c r="C262" i="8"/>
  <c r="C258" i="8"/>
  <c r="C254" i="8"/>
  <c r="C250" i="8"/>
  <c r="C246" i="8"/>
  <c r="C242" i="8"/>
  <c r="C238" i="8"/>
  <c r="C234" i="8"/>
  <c r="C230" i="8"/>
  <c r="C226" i="8"/>
  <c r="AF16" i="5"/>
  <c r="AF15" i="5"/>
  <c r="AF14" i="5"/>
  <c r="AF13" i="5"/>
  <c r="AF12" i="5"/>
  <c r="AF11" i="5"/>
  <c r="AF10" i="5"/>
  <c r="AF9" i="5"/>
  <c r="AF8" i="5"/>
  <c r="AF7" i="5"/>
  <c r="AF6" i="5"/>
  <c r="H31" i="32" l="1"/>
  <c r="I31" i="32" s="1"/>
  <c r="G33" i="32"/>
  <c r="I30" i="32"/>
  <c r="H29" i="32"/>
  <c r="I29" i="32" s="1"/>
  <c r="G22" i="32"/>
  <c r="F19" i="32"/>
  <c r="F24" i="32" s="1"/>
  <c r="E19" i="32"/>
  <c r="E24" i="32" s="1"/>
  <c r="D19" i="32"/>
  <c r="D24" i="32" s="1"/>
  <c r="F16" i="32"/>
  <c r="E16" i="32"/>
  <c r="D16" i="32"/>
  <c r="G15" i="32"/>
  <c r="G14" i="32"/>
  <c r="G13" i="32"/>
  <c r="F11" i="32"/>
  <c r="E11" i="32"/>
  <c r="D11" i="32"/>
  <c r="G10" i="32"/>
  <c r="G9" i="32"/>
  <c r="G8" i="32"/>
  <c r="F28" i="31"/>
  <c r="F26" i="31"/>
  <c r="D19" i="31"/>
  <c r="D16" i="31"/>
  <c r="F15" i="31"/>
  <c r="F14" i="31"/>
  <c r="D11" i="31"/>
  <c r="F10" i="31"/>
  <c r="F9" i="31"/>
  <c r="F30" i="17"/>
  <c r="F21" i="17" s="1"/>
  <c r="F32" i="18"/>
  <c r="F20" i="18" s="1"/>
  <c r="D32" i="30"/>
  <c r="D21" i="30" s="1"/>
  <c r="D32" i="29"/>
  <c r="D20" i="29"/>
  <c r="E17" i="32" l="1"/>
  <c r="G16" i="32"/>
  <c r="D17" i="32"/>
  <c r="D20" i="32" s="1"/>
  <c r="G11" i="32"/>
  <c r="F17" i="32"/>
  <c r="F20" i="32" s="1"/>
  <c r="D17" i="31"/>
  <c r="D20" i="31" s="1"/>
  <c r="F30" i="31"/>
  <c r="G26" i="31"/>
  <c r="I33" i="32"/>
  <c r="H22" i="32"/>
  <c r="E20" i="32"/>
  <c r="H33" i="32"/>
  <c r="G19" i="32"/>
  <c r="G17" i="32" l="1"/>
  <c r="G20" i="32" s="1"/>
  <c r="G24" i="32"/>
  <c r="AA17" i="5" l="1"/>
  <c r="AB13" i="5" l="1"/>
  <c r="AB9" i="5"/>
  <c r="AB8" i="5"/>
  <c r="AB15" i="5"/>
  <c r="AB7" i="5"/>
  <c r="AB6" i="5"/>
  <c r="AB12" i="5"/>
  <c r="AB11" i="5"/>
  <c r="AB10" i="5"/>
  <c r="AB17" i="5"/>
  <c r="AB14" i="5"/>
  <c r="AB16" i="5"/>
  <c r="V17" i="28"/>
  <c r="Q115" i="28" l="1"/>
  <c r="Q85" i="28" l="1"/>
  <c r="Q52" i="28"/>
  <c r="Q46" i="28"/>
  <c r="R7" i="26" l="1"/>
  <c r="R8" i="26"/>
  <c r="R11" i="26"/>
  <c r="R12" i="26"/>
  <c r="R15" i="26"/>
  <c r="R16" i="26"/>
  <c r="R19" i="26"/>
  <c r="R20" i="26"/>
  <c r="R23" i="26"/>
  <c r="R24" i="26"/>
  <c r="R27" i="26"/>
  <c r="R28" i="26"/>
  <c r="R31" i="26"/>
  <c r="R32" i="26"/>
  <c r="R35" i="26"/>
  <c r="R36" i="26"/>
  <c r="R39" i="26"/>
  <c r="R40" i="26"/>
  <c r="R43" i="26"/>
  <c r="R44" i="26"/>
  <c r="R47" i="26"/>
  <c r="R48" i="26"/>
  <c r="R51" i="26"/>
  <c r="R52" i="26"/>
  <c r="R55" i="26"/>
  <c r="R56" i="26"/>
  <c r="R59" i="26"/>
  <c r="R60" i="26"/>
  <c r="R63" i="26"/>
  <c r="R64" i="26"/>
  <c r="R67" i="26"/>
  <c r="R68" i="26"/>
  <c r="R71" i="26"/>
  <c r="R72" i="26"/>
  <c r="R75" i="26"/>
  <c r="R76" i="26"/>
  <c r="R79" i="26"/>
  <c r="R80" i="26"/>
  <c r="R83" i="26"/>
  <c r="R84" i="26"/>
  <c r="R87" i="26"/>
  <c r="R88" i="26"/>
  <c r="R91" i="26"/>
  <c r="R92" i="26"/>
  <c r="R95" i="26"/>
  <c r="R96" i="26"/>
  <c r="R4" i="26"/>
  <c r="R3" i="26"/>
  <c r="Q98" i="28" l="1"/>
  <c r="Q97" i="28"/>
  <c r="Q96" i="28"/>
  <c r="Q91" i="28"/>
  <c r="Q71" i="28"/>
  <c r="Q110" i="28" s="1"/>
  <c r="Q59" i="28"/>
  <c r="Q58" i="28"/>
  <c r="Q57" i="28"/>
  <c r="S55" i="28"/>
  <c r="V66" i="28" s="1"/>
  <c r="V74" i="28" s="1"/>
  <c r="S13" i="28"/>
  <c r="V24" i="28" s="1"/>
  <c r="V32" i="28" s="1"/>
  <c r="D128" i="11" l="1"/>
  <c r="C128" i="11"/>
  <c r="D97" i="11"/>
  <c r="C97" i="11"/>
  <c r="L31" i="8"/>
  <c r="J31" i="8"/>
  <c r="J65" i="8"/>
  <c r="K65" i="8"/>
  <c r="D31" i="8"/>
  <c r="E31" i="8"/>
  <c r="F31" i="8"/>
  <c r="G31" i="8"/>
  <c r="I31" i="8"/>
  <c r="K31" i="8"/>
  <c r="D65" i="8"/>
  <c r="E65" i="8"/>
  <c r="F65" i="8"/>
  <c r="G65" i="8"/>
  <c r="H65" i="8"/>
  <c r="I65" i="8"/>
  <c r="C97" i="8"/>
  <c r="B170" i="8"/>
  <c r="B182" i="8"/>
  <c r="I32" i="8" l="1"/>
  <c r="L65" i="8"/>
  <c r="I66" i="8" s="1"/>
  <c r="C65" i="8"/>
  <c r="C31" i="8"/>
  <c r="P96" i="26"/>
  <c r="P95" i="26"/>
  <c r="V96" i="25"/>
  <c r="T96" i="25"/>
  <c r="V95" i="25"/>
  <c r="T95" i="25"/>
  <c r="V5" i="25"/>
  <c r="V6" i="25"/>
  <c r="V7" i="25"/>
  <c r="V8" i="25"/>
  <c r="V9" i="25"/>
  <c r="V10" i="25"/>
  <c r="V11" i="25"/>
  <c r="V12" i="25"/>
  <c r="V13" i="25"/>
  <c r="V14" i="25"/>
  <c r="V15" i="25"/>
  <c r="V16" i="25"/>
  <c r="V17" i="25"/>
  <c r="V18" i="25"/>
  <c r="V19" i="25"/>
  <c r="V20" i="25"/>
  <c r="V21" i="25"/>
  <c r="V22" i="25"/>
  <c r="V23" i="25"/>
  <c r="V24" i="25"/>
  <c r="V25" i="25"/>
  <c r="V26" i="25"/>
  <c r="V27" i="25"/>
  <c r="V28" i="25"/>
  <c r="V31" i="25"/>
  <c r="V32" i="25"/>
  <c r="V35" i="25"/>
  <c r="V36" i="25"/>
  <c r="V37" i="25"/>
  <c r="V38" i="25"/>
  <c r="V39" i="25"/>
  <c r="V40" i="25"/>
  <c r="V41" i="25"/>
  <c r="V42" i="25"/>
  <c r="V43" i="25"/>
  <c r="V44" i="25"/>
  <c r="V45" i="25"/>
  <c r="V46" i="25"/>
  <c r="V47" i="25"/>
  <c r="V48" i="25"/>
  <c r="V49" i="25"/>
  <c r="V50" i="25"/>
  <c r="V51" i="25"/>
  <c r="V52" i="25"/>
  <c r="V53" i="25"/>
  <c r="V54" i="25"/>
  <c r="V55" i="25"/>
  <c r="V56" i="25"/>
  <c r="V57" i="25"/>
  <c r="V58" i="25"/>
  <c r="V59" i="25"/>
  <c r="V60" i="25"/>
  <c r="V61" i="25"/>
  <c r="V62" i="25"/>
  <c r="V63" i="25"/>
  <c r="V64" i="25"/>
  <c r="V65" i="25"/>
  <c r="V66" i="25"/>
  <c r="V67" i="25"/>
  <c r="V68" i="25"/>
  <c r="V69" i="25"/>
  <c r="V70" i="25"/>
  <c r="V71" i="25"/>
  <c r="V72" i="25"/>
  <c r="V73" i="25"/>
  <c r="V74" i="25"/>
  <c r="V75" i="25"/>
  <c r="V76" i="25"/>
  <c r="V77" i="25"/>
  <c r="V78" i="25"/>
  <c r="V79" i="25"/>
  <c r="V80" i="25"/>
  <c r="V81" i="25"/>
  <c r="V82" i="25"/>
  <c r="V83" i="25"/>
  <c r="V84" i="25"/>
  <c r="V85" i="25"/>
  <c r="V86" i="25"/>
  <c r="V87" i="25"/>
  <c r="V88" i="25"/>
  <c r="V91" i="25"/>
  <c r="V92" i="25"/>
  <c r="V3" i="25"/>
  <c r="V4" i="25"/>
  <c r="D127" i="11"/>
  <c r="C127" i="11"/>
  <c r="D96" i="11"/>
  <c r="C96" i="11"/>
  <c r="C57" i="11" l="1"/>
  <c r="C58" i="11"/>
  <c r="C30" i="11"/>
  <c r="M166" i="8" s="1"/>
  <c r="C166" i="8" s="1"/>
  <c r="D30" i="11"/>
  <c r="M263" i="8" s="1"/>
  <c r="D58" i="11"/>
  <c r="G97" i="11"/>
  <c r="H31" i="8"/>
  <c r="P92" i="26"/>
  <c r="T91" i="25"/>
  <c r="C263" i="8" l="1"/>
  <c r="C264" i="8" s="1"/>
  <c r="P91" i="26"/>
  <c r="D29" i="11" s="1"/>
  <c r="M259" i="8" s="1"/>
  <c r="T92" i="25"/>
  <c r="C29" i="11" s="1"/>
  <c r="M162" i="8" s="1"/>
  <c r="G96" i="11" l="1"/>
  <c r="D57" i="11"/>
  <c r="C259" i="8"/>
  <c r="C260" i="8" s="1"/>
  <c r="Y115" i="28" l="1"/>
  <c r="Y98" i="28"/>
  <c r="Y97" i="28"/>
  <c r="Y96" i="28"/>
  <c r="Y91" i="28"/>
  <c r="Y71" i="28"/>
  <c r="Y110" i="28" s="1"/>
  <c r="Y59" i="28"/>
  <c r="Y58" i="28"/>
  <c r="Y57" i="28"/>
  <c r="AG115" i="28"/>
  <c r="AT113" i="28"/>
  <c r="BC112" i="28"/>
  <c r="BC117" i="28" s="1"/>
  <c r="AT110" i="28"/>
  <c r="AT111" i="28" s="1"/>
  <c r="AG98" i="28"/>
  <c r="AT97" i="28"/>
  <c r="AT98" i="28" s="1"/>
  <c r="AG97" i="28"/>
  <c r="AL97" i="28"/>
  <c r="AG96" i="28"/>
  <c r="AY94" i="28"/>
  <c r="BB105" i="28" s="1"/>
  <c r="AQ94" i="28"/>
  <c r="BB93" i="28"/>
  <c r="BB92" i="28"/>
  <c r="AS92" i="28"/>
  <c r="AT92" i="28" s="1"/>
  <c r="AG91" i="28"/>
  <c r="AT74" i="28"/>
  <c r="BC73" i="28"/>
  <c r="AS54" i="28" s="1"/>
  <c r="AT71" i="28"/>
  <c r="AU75" i="28" s="1"/>
  <c r="AK54" i="28" s="1"/>
  <c r="AC53" i="28" s="1"/>
  <c r="AG71" i="28"/>
  <c r="AG110" i="28" s="1"/>
  <c r="AG59" i="28"/>
  <c r="AT58" i="28"/>
  <c r="AT59" i="28" s="1"/>
  <c r="AG58" i="28"/>
  <c r="AL58" i="28"/>
  <c r="AG57" i="28"/>
  <c r="AY55" i="28"/>
  <c r="BB66" i="28" s="1"/>
  <c r="AQ55" i="28"/>
  <c r="BB54" i="28"/>
  <c r="BB53" i="28"/>
  <c r="AS53" i="28"/>
  <c r="AT53" i="28" s="1"/>
  <c r="BB29" i="28"/>
  <c r="AT29" i="28"/>
  <c r="AT30" i="28" s="1"/>
  <c r="AT31" i="28" s="1"/>
  <c r="AT24" i="28"/>
  <c r="AT32" i="28" s="1"/>
  <c r="AQ21" i="28"/>
  <c r="AT17" i="28"/>
  <c r="AT18" i="28" s="1"/>
  <c r="AL29" i="28"/>
  <c r="AY13" i="28"/>
  <c r="BA34" i="28" s="1"/>
  <c r="BC34" i="28" s="1"/>
  <c r="AQ13" i="28"/>
  <c r="BB12" i="28"/>
  <c r="BB11" i="28"/>
  <c r="AS11" i="28"/>
  <c r="AT11" i="28" s="1"/>
  <c r="BB55" i="28" l="1"/>
  <c r="BB64" i="28" s="1"/>
  <c r="BC68" i="28" s="1"/>
  <c r="BC74" i="28" s="1"/>
  <c r="AA55" i="28"/>
  <c r="AD66" i="28" s="1"/>
  <c r="AD74" i="28" s="1"/>
  <c r="AD53" i="28"/>
  <c r="AA13" i="28"/>
  <c r="AD24" i="28" s="1"/>
  <c r="AD32" i="28" s="1"/>
  <c r="BB94" i="28"/>
  <c r="BB103" i="28" s="1"/>
  <c r="BC107" i="28" s="1"/>
  <c r="BC113" i="28" s="1"/>
  <c r="BB13" i="28"/>
  <c r="BB22" i="28" s="1"/>
  <c r="BA115" i="28"/>
  <c r="BC115" i="28" s="1"/>
  <c r="AI94" i="28"/>
  <c r="AL105" i="28" s="1"/>
  <c r="AL113" i="28" s="1"/>
  <c r="AS93" i="28"/>
  <c r="AL71" i="28"/>
  <c r="AL72" i="28" s="1"/>
  <c r="AL73" i="28" s="1"/>
  <c r="BC78" i="28"/>
  <c r="AT112" i="28"/>
  <c r="AU114" i="28"/>
  <c r="AK93" i="28" s="1"/>
  <c r="AC92" i="28" s="1"/>
  <c r="AD92" i="28" s="1"/>
  <c r="AL30" i="28"/>
  <c r="AL31" i="28" s="1"/>
  <c r="AL98" i="28"/>
  <c r="AL110" i="28"/>
  <c r="AL17" i="28"/>
  <c r="AL18" i="28" s="1"/>
  <c r="AI55" i="28"/>
  <c r="AL66" i="28" s="1"/>
  <c r="AL74" i="28" s="1"/>
  <c r="AU33" i="28"/>
  <c r="AL54" i="28"/>
  <c r="AK53" i="28"/>
  <c r="AL53" i="28" s="1"/>
  <c r="AL55" i="28" s="1"/>
  <c r="AT54" i="28"/>
  <c r="AT55" i="28" s="1"/>
  <c r="AT61" i="28" s="1"/>
  <c r="BB24" i="28"/>
  <c r="BB30" i="28"/>
  <c r="BC31" i="28" s="1"/>
  <c r="AL59" i="28"/>
  <c r="BA76" i="28"/>
  <c r="BC76" i="28" s="1"/>
  <c r="AI13" i="28"/>
  <c r="AL24" i="28" s="1"/>
  <c r="AL32" i="28" s="1"/>
  <c r="AM33" i="28" s="1"/>
  <c r="AT72" i="28"/>
  <c r="AT73" i="28" s="1"/>
  <c r="AM114" i="28" l="1"/>
  <c r="AC93" i="28" s="1"/>
  <c r="U92" i="28" s="1"/>
  <c r="BC119" i="28"/>
  <c r="AS101" i="28" s="1"/>
  <c r="AT101" i="28" s="1"/>
  <c r="BC26" i="28"/>
  <c r="BC32" i="28" s="1"/>
  <c r="AL93" i="28"/>
  <c r="AM75" i="28"/>
  <c r="AC54" i="28" s="1"/>
  <c r="AM37" i="28"/>
  <c r="AC12" i="28"/>
  <c r="BC80" i="28"/>
  <c r="AS62" i="28" s="1"/>
  <c r="AT62" i="28" s="1"/>
  <c r="AT64" i="28" s="1"/>
  <c r="AU68" i="28" s="1"/>
  <c r="AU76" i="28" s="1"/>
  <c r="AT93" i="28"/>
  <c r="AT94" i="28" s="1"/>
  <c r="AT100" i="28" s="1"/>
  <c r="AK92" i="28"/>
  <c r="AL92" i="28" s="1"/>
  <c r="AL111" i="28"/>
  <c r="AL112" i="28" s="1"/>
  <c r="BC36" i="28"/>
  <c r="AS12" i="28"/>
  <c r="AU37" i="28"/>
  <c r="AK12" i="28"/>
  <c r="AL64" i="28"/>
  <c r="AM68" i="28" s="1"/>
  <c r="AM76" i="28" s="1"/>
  <c r="AT103" i="28" l="1"/>
  <c r="AU107" i="28" s="1"/>
  <c r="AU115" i="28" s="1"/>
  <c r="AD12" i="28"/>
  <c r="U11" i="28"/>
  <c r="V11" i="28" s="1"/>
  <c r="AD54" i="28"/>
  <c r="AD55" i="28" s="1"/>
  <c r="U53" i="28"/>
  <c r="V53" i="28" s="1"/>
  <c r="AL94" i="28"/>
  <c r="AL103" i="28" s="1"/>
  <c r="AM107" i="28" s="1"/>
  <c r="AM115" i="28" s="1"/>
  <c r="AL12" i="28"/>
  <c r="AC11" i="28"/>
  <c r="AD11" i="28" s="1"/>
  <c r="AD13" i="28" s="1"/>
  <c r="BC40" i="28"/>
  <c r="BC38" i="28"/>
  <c r="AS21" i="28" s="1"/>
  <c r="AT21" i="28" s="1"/>
  <c r="AT12" i="28"/>
  <c r="AT13" i="28" s="1"/>
  <c r="AT20" i="28" s="1"/>
  <c r="AK11" i="28"/>
  <c r="AL11" i="28" s="1"/>
  <c r="AL13" i="28" l="1"/>
  <c r="AL22" i="28" s="1"/>
  <c r="AM26" i="28" s="1"/>
  <c r="AM34" i="28" s="1"/>
  <c r="AM39" i="28" s="1"/>
  <c r="AT22" i="28"/>
  <c r="AU26" i="28" s="1"/>
  <c r="AU34" i="28" s="1"/>
  <c r="AU39" i="28" s="1"/>
  <c r="D126" i="11" l="1"/>
  <c r="C126" i="11"/>
  <c r="D95" i="11"/>
  <c r="C95" i="11"/>
  <c r="C56" i="11"/>
  <c r="T87" i="25" l="1"/>
  <c r="P88" i="26"/>
  <c r="P87" i="26"/>
  <c r="G95" i="11" l="1"/>
  <c r="D56" i="11"/>
  <c r="D28" i="11"/>
  <c r="M255" i="8" s="1"/>
  <c r="T88" i="25"/>
  <c r="C28" i="11" s="1"/>
  <c r="M158" i="8" s="1"/>
  <c r="C255" i="8" l="1"/>
  <c r="C256" i="8" s="1"/>
  <c r="D125" i="11"/>
  <c r="C125" i="11"/>
  <c r="D94" i="11"/>
  <c r="D93" i="11"/>
  <c r="C94" i="11"/>
  <c r="C55" i="11"/>
  <c r="P84" i="26" l="1"/>
  <c r="P83" i="26"/>
  <c r="T84" i="25"/>
  <c r="D55" i="11" l="1"/>
  <c r="G94" i="11"/>
  <c r="D27" i="11"/>
  <c r="M251" i="8" s="1"/>
  <c r="T83" i="25"/>
  <c r="C27" i="11" s="1"/>
  <c r="M154" i="8" s="1"/>
  <c r="C251" i="8" l="1"/>
  <c r="C252" i="8" s="1"/>
  <c r="D124" i="11" l="1"/>
  <c r="C124" i="11"/>
  <c r="C93" i="11"/>
  <c r="C54" i="11"/>
  <c r="T79" i="25"/>
  <c r="P80" i="26"/>
  <c r="P79" i="26"/>
  <c r="D26" i="11" s="1"/>
  <c r="M247" i="8" s="1"/>
  <c r="C247" i="8" l="1"/>
  <c r="C248" i="8" s="1"/>
  <c r="T80" i="25"/>
  <c r="C26" i="11" s="1"/>
  <c r="M150" i="8" s="1"/>
  <c r="G93" i="11" l="1"/>
  <c r="D54" i="11"/>
  <c r="D123" i="11"/>
  <c r="C123" i="11"/>
  <c r="D92" i="11"/>
  <c r="C92" i="11"/>
  <c r="C53" i="11"/>
  <c r="C52" i="11"/>
  <c r="T76" i="25" l="1"/>
  <c r="T75" i="25"/>
  <c r="P75" i="26"/>
  <c r="C25" i="11" l="1"/>
  <c r="M146" i="8" s="1"/>
  <c r="G92" i="11"/>
  <c r="D53" i="11"/>
  <c r="P76" i="26"/>
  <c r="D25" i="11" s="1"/>
  <c r="M243" i="8" s="1"/>
  <c r="C243" i="8" l="1"/>
  <c r="C244" i="8" s="1"/>
  <c r="D122" i="11" l="1"/>
  <c r="C122" i="11"/>
  <c r="D91" i="11"/>
  <c r="C91" i="11"/>
  <c r="P71" i="26" l="1"/>
  <c r="T72" i="25"/>
  <c r="T71" i="25"/>
  <c r="C24" i="11" l="1"/>
  <c r="M142" i="8" s="1"/>
  <c r="D52" i="11"/>
  <c r="G91" i="11"/>
  <c r="P72" i="26"/>
  <c r="D24" i="11" s="1"/>
  <c r="M239" i="8" s="1"/>
  <c r="A52" i="11"/>
  <c r="C239" i="8" l="1"/>
  <c r="C240" i="8" s="1"/>
  <c r="D121" i="11"/>
  <c r="C121" i="11"/>
  <c r="D90" i="11"/>
  <c r="C90" i="11"/>
  <c r="C51" i="11"/>
  <c r="P67" i="26" l="1"/>
  <c r="T68" i="25"/>
  <c r="T67" i="25"/>
  <c r="C23" i="11" l="1"/>
  <c r="M138" i="8" s="1"/>
  <c r="C138" i="8" s="1"/>
  <c r="G90" i="11"/>
  <c r="D51" i="11"/>
  <c r="P68" i="26"/>
  <c r="D23" i="11" s="1"/>
  <c r="M235" i="8" s="1"/>
  <c r="D120" i="11"/>
  <c r="D119" i="11"/>
  <c r="D118" i="11"/>
  <c r="D117" i="11"/>
  <c r="C120" i="11"/>
  <c r="C119" i="11"/>
  <c r="C118" i="11"/>
  <c r="C117" i="11"/>
  <c r="D89" i="11"/>
  <c r="D88" i="11"/>
  <c r="D87" i="11"/>
  <c r="D86" i="11"/>
  <c r="C89" i="11"/>
  <c r="C88" i="11"/>
  <c r="C87" i="11"/>
  <c r="C86" i="11"/>
  <c r="G12" i="30" s="1"/>
  <c r="C50" i="11"/>
  <c r="G89" i="11"/>
  <c r="P63" i="26"/>
  <c r="T64" i="25"/>
  <c r="T63" i="25"/>
  <c r="H12" i="30" l="1"/>
  <c r="C22" i="11"/>
  <c r="M134" i="8" s="1"/>
  <c r="C134" i="8" s="1"/>
  <c r="D50" i="11"/>
  <c r="C235" i="8"/>
  <c r="C236" i="8" s="1"/>
  <c r="P64" i="26"/>
  <c r="D22" i="11" s="1"/>
  <c r="M231" i="8" s="1"/>
  <c r="F97" i="28" l="1"/>
  <c r="F98" i="28" s="1"/>
  <c r="F110" i="28"/>
  <c r="C231" i="8"/>
  <c r="C232" i="8" s="1"/>
  <c r="C49" i="11"/>
  <c r="C48" i="11"/>
  <c r="C47" i="11"/>
  <c r="G114" i="28" l="1"/>
  <c r="F111" i="28"/>
  <c r="F112" i="28" s="1"/>
  <c r="P52" i="26"/>
  <c r="P51" i="26"/>
  <c r="D19" i="11" s="1"/>
  <c r="M219" i="8" l="1"/>
  <c r="C219" i="8"/>
  <c r="C220" i="8" s="1"/>
  <c r="P60" i="26"/>
  <c r="P59" i="26"/>
  <c r="P56" i="26"/>
  <c r="P55" i="26"/>
  <c r="T60" i="25"/>
  <c r="T59" i="25"/>
  <c r="T56" i="25"/>
  <c r="T55" i="25"/>
  <c r="T52" i="25"/>
  <c r="T51" i="25"/>
  <c r="C21" i="11" l="1"/>
  <c r="M130" i="8" s="1"/>
  <c r="C130" i="8" s="1"/>
  <c r="C20" i="11"/>
  <c r="M126" i="8" s="1"/>
  <c r="C126" i="8" s="1"/>
  <c r="G86" i="11"/>
  <c r="D47" i="11"/>
  <c r="D20" i="11"/>
  <c r="M223" i="8" s="1"/>
  <c r="D21" i="11"/>
  <c r="M227" i="8" s="1"/>
  <c r="G87" i="11"/>
  <c r="D48" i="11"/>
  <c r="G88" i="11"/>
  <c r="D49" i="11"/>
  <c r="C19" i="11"/>
  <c r="M122" i="8" l="1"/>
  <c r="C227" i="8"/>
  <c r="C228" i="8" s="1"/>
  <c r="C223" i="8"/>
  <c r="C224" i="8" s="1"/>
  <c r="C122" i="8"/>
  <c r="D116" i="11" l="1"/>
  <c r="C116" i="11"/>
  <c r="D85" i="11"/>
  <c r="C85" i="11"/>
  <c r="D115" i="11" l="1"/>
  <c r="C115" i="11"/>
  <c r="C84" i="11"/>
  <c r="D84" i="11" l="1"/>
  <c r="P43" i="26"/>
  <c r="P48" i="26"/>
  <c r="P47" i="26"/>
  <c r="P44" i="26"/>
  <c r="T48" i="25"/>
  <c r="T47" i="25"/>
  <c r="T44" i="25"/>
  <c r="D18" i="11" l="1"/>
  <c r="C18" i="11"/>
  <c r="D17" i="11"/>
  <c r="M211" i="8" s="1"/>
  <c r="T43" i="25"/>
  <c r="C17" i="11" s="1"/>
  <c r="M114" i="8" s="1"/>
  <c r="C45" i="11"/>
  <c r="C46" i="11"/>
  <c r="G85" i="11"/>
  <c r="D46" i="11"/>
  <c r="D114" i="11"/>
  <c r="C114" i="11"/>
  <c r="D83" i="11"/>
  <c r="C83" i="11"/>
  <c r="M215" i="8" l="1"/>
  <c r="C215" i="8" s="1"/>
  <c r="C216" i="8" s="1"/>
  <c r="M118" i="8"/>
  <c r="C118" i="8" s="1"/>
  <c r="C211" i="8"/>
  <c r="C212" i="8" s="1"/>
  <c r="C114" i="8"/>
  <c r="G84" i="11"/>
  <c r="D45" i="11"/>
  <c r="P40" i="26"/>
  <c r="P39" i="26"/>
  <c r="T40" i="25"/>
  <c r="C44" i="11"/>
  <c r="T39" i="25"/>
  <c r="D16" i="11" l="1"/>
  <c r="C16" i="11"/>
  <c r="G83" i="11"/>
  <c r="D44" i="11"/>
  <c r="D113" i="11"/>
  <c r="C113" i="11"/>
  <c r="D82" i="11"/>
  <c r="C82" i="11"/>
  <c r="T4" i="25"/>
  <c r="T7" i="25"/>
  <c r="T8" i="25"/>
  <c r="T12" i="25"/>
  <c r="T15" i="25"/>
  <c r="T16" i="25"/>
  <c r="T20" i="25"/>
  <c r="T24" i="25"/>
  <c r="T27" i="25"/>
  <c r="T28" i="25"/>
  <c r="T31" i="25"/>
  <c r="T32" i="25"/>
  <c r="T35" i="25"/>
  <c r="T36" i="25"/>
  <c r="M110" i="8" l="1"/>
  <c r="C110" i="8" s="1"/>
  <c r="M207" i="8"/>
  <c r="C207" i="8" s="1"/>
  <c r="C208" i="8" s="1"/>
  <c r="C15" i="11"/>
  <c r="M106" i="8" l="1"/>
  <c r="C106" i="8" s="1"/>
  <c r="P36" i="26"/>
  <c r="P35" i="26"/>
  <c r="C43" i="11"/>
  <c r="D15" i="11" l="1"/>
  <c r="D43" i="11"/>
  <c r="G82" i="11"/>
  <c r="D112" i="11"/>
  <c r="C112" i="11"/>
  <c r="D81" i="11"/>
  <c r="C81" i="11"/>
  <c r="C80" i="11"/>
  <c r="C14" i="11"/>
  <c r="M102" i="8" s="1"/>
  <c r="P32" i="26"/>
  <c r="C42" i="11"/>
  <c r="P31" i="26"/>
  <c r="D111" i="11"/>
  <c r="C111" i="11"/>
  <c r="D80" i="11"/>
  <c r="C13" i="11"/>
  <c r="M98" i="8" s="1"/>
  <c r="P27" i="26"/>
  <c r="P28" i="26"/>
  <c r="G80" i="11"/>
  <c r="C41" i="11"/>
  <c r="D110" i="11"/>
  <c r="C110" i="11"/>
  <c r="C79" i="11"/>
  <c r="T23" i="25"/>
  <c r="C12" i="11" s="1"/>
  <c r="M94" i="8" s="1"/>
  <c r="G79" i="11"/>
  <c r="P23" i="26"/>
  <c r="D109" i="11"/>
  <c r="C109" i="11"/>
  <c r="D78" i="11"/>
  <c r="C78" i="11"/>
  <c r="P20" i="26"/>
  <c r="G78" i="11"/>
  <c r="P19" i="26"/>
  <c r="C39" i="11"/>
  <c r="T19" i="25"/>
  <c r="C11" i="11" s="1"/>
  <c r="D108" i="11"/>
  <c r="C108" i="11"/>
  <c r="D77" i="11"/>
  <c r="C77" i="11"/>
  <c r="C10" i="11"/>
  <c r="M86" i="8" s="1"/>
  <c r="P16" i="26"/>
  <c r="G77" i="11"/>
  <c r="P15" i="26"/>
  <c r="C38" i="11"/>
  <c r="J61" i="11"/>
  <c r="S61" i="11"/>
  <c r="S66" i="11" s="1"/>
  <c r="D107" i="11"/>
  <c r="D106" i="11"/>
  <c r="D105" i="11"/>
  <c r="C107" i="11"/>
  <c r="C106" i="11"/>
  <c r="C105" i="11"/>
  <c r="D76" i="11"/>
  <c r="D75" i="11"/>
  <c r="D74" i="11"/>
  <c r="C76" i="11"/>
  <c r="E76" i="11" s="1"/>
  <c r="C75" i="11"/>
  <c r="C74" i="11"/>
  <c r="C8" i="11"/>
  <c r="M78" i="8" s="1"/>
  <c r="P12" i="26"/>
  <c r="P11" i="26"/>
  <c r="D36" i="11"/>
  <c r="P8" i="26"/>
  <c r="G75" i="11"/>
  <c r="P7" i="26"/>
  <c r="P4" i="26"/>
  <c r="G74" i="11"/>
  <c r="P3" i="26"/>
  <c r="C37" i="11"/>
  <c r="T11" i="25"/>
  <c r="C9" i="11" s="1"/>
  <c r="M82" i="8" s="1"/>
  <c r="C36" i="11"/>
  <c r="C35" i="11"/>
  <c r="T3" i="25"/>
  <c r="C7" i="11" s="1"/>
  <c r="M74" i="8" s="1"/>
  <c r="F113" i="24"/>
  <c r="F74" i="24"/>
  <c r="F32" i="24"/>
  <c r="O112" i="24"/>
  <c r="O117" i="24"/>
  <c r="K94" i="24"/>
  <c r="N105" i="24" s="1"/>
  <c r="N93" i="24"/>
  <c r="N92" i="24"/>
  <c r="N94" i="24" s="1"/>
  <c r="N103" i="24" s="1"/>
  <c r="O107" i="24" s="1"/>
  <c r="O113" i="24" s="1"/>
  <c r="E92" i="24"/>
  <c r="O78" i="24"/>
  <c r="O73" i="24"/>
  <c r="N66" i="24"/>
  <c r="K55" i="24"/>
  <c r="M76" i="24"/>
  <c r="O76" i="24" s="1"/>
  <c r="N54" i="24"/>
  <c r="E54" i="24"/>
  <c r="N53" i="24"/>
  <c r="N55" i="24" s="1"/>
  <c r="N64" i="24" s="1"/>
  <c r="O68" i="24" s="1"/>
  <c r="E53" i="24"/>
  <c r="N29" i="24"/>
  <c r="K13" i="24"/>
  <c r="N12" i="24"/>
  <c r="N11" i="24"/>
  <c r="N13" i="24" s="1"/>
  <c r="N22" i="24" s="1"/>
  <c r="E11" i="24"/>
  <c r="F11" i="24"/>
  <c r="AM17" i="5"/>
  <c r="AN7" i="5" s="1"/>
  <c r="S17" i="5"/>
  <c r="K17" i="5"/>
  <c r="E97" i="11"/>
  <c r="H97" i="11" s="1"/>
  <c r="R97" i="11" s="1"/>
  <c r="S97" i="11" s="1"/>
  <c r="E58" i="11"/>
  <c r="E125" i="11"/>
  <c r="E94" i="11"/>
  <c r="H94" i="11" s="1"/>
  <c r="R94" i="11" s="1"/>
  <c r="S94" i="11" s="1"/>
  <c r="E93" i="11"/>
  <c r="H93" i="11" s="1"/>
  <c r="R93" i="11" s="1"/>
  <c r="S93" i="11" s="1"/>
  <c r="E53" i="11"/>
  <c r="E92" i="11"/>
  <c r="E91" i="11"/>
  <c r="H91" i="11" s="1"/>
  <c r="R91" i="11" s="1"/>
  <c r="S91" i="11" s="1"/>
  <c r="E90" i="11"/>
  <c r="H90" i="11" s="1"/>
  <c r="R90" i="11" s="1"/>
  <c r="S90" i="11" s="1"/>
  <c r="E120" i="11"/>
  <c r="E89" i="11"/>
  <c r="H89" i="11" s="1"/>
  <c r="R89" i="11" s="1"/>
  <c r="S89" i="11" s="1"/>
  <c r="E50" i="11"/>
  <c r="G119" i="11"/>
  <c r="E88" i="11"/>
  <c r="H88" i="11" s="1"/>
  <c r="R88" i="11" s="1"/>
  <c r="S88" i="11" s="1"/>
  <c r="T19" i="9"/>
  <c r="O19" i="9"/>
  <c r="I19" i="9"/>
  <c r="D19" i="9"/>
  <c r="N48" i="11" s="1"/>
  <c r="T20" i="9"/>
  <c r="O20" i="9"/>
  <c r="I20" i="9"/>
  <c r="D20" i="9"/>
  <c r="N49" i="11" s="1"/>
  <c r="G118" i="11"/>
  <c r="E87" i="11"/>
  <c r="H87" i="11" s="1"/>
  <c r="R87" i="11" s="1"/>
  <c r="S87" i="11" s="1"/>
  <c r="E48" i="11"/>
  <c r="E117" i="11"/>
  <c r="E86" i="11"/>
  <c r="H86" i="11" s="1"/>
  <c r="R86" i="11" s="1"/>
  <c r="S86" i="11" s="1"/>
  <c r="E47" i="11"/>
  <c r="E116" i="11"/>
  <c r="G116" i="11"/>
  <c r="E85" i="11"/>
  <c r="E115" i="11"/>
  <c r="G115" i="11"/>
  <c r="E84" i="11"/>
  <c r="G114" i="11"/>
  <c r="E83" i="11"/>
  <c r="H83" i="11" s="1"/>
  <c r="R83" i="11" s="1"/>
  <c r="S83" i="11" s="1"/>
  <c r="E113" i="11"/>
  <c r="O30" i="11"/>
  <c r="O58" i="11"/>
  <c r="AY7" i="5"/>
  <c r="AY8" i="5"/>
  <c r="AY11" i="5"/>
  <c r="AY12" i="5"/>
  <c r="AY15" i="5"/>
  <c r="AW17" i="5"/>
  <c r="AX9" i="5" s="1"/>
  <c r="O57" i="11"/>
  <c r="O29" i="11"/>
  <c r="O56" i="11"/>
  <c r="O28" i="11"/>
  <c r="O55" i="11"/>
  <c r="O27" i="11"/>
  <c r="O54" i="11"/>
  <c r="O26" i="11"/>
  <c r="AO17" i="5"/>
  <c r="AP16" i="5" s="1"/>
  <c r="O25" i="11"/>
  <c r="O53" i="11"/>
  <c r="O52" i="11"/>
  <c r="O24" i="11"/>
  <c r="O51" i="11"/>
  <c r="O23" i="11"/>
  <c r="O50" i="11"/>
  <c r="O22" i="11"/>
  <c r="O49" i="11"/>
  <c r="O21" i="11"/>
  <c r="O48" i="11"/>
  <c r="O20" i="11"/>
  <c r="O47" i="11"/>
  <c r="S47" i="11" s="1"/>
  <c r="O19" i="11"/>
  <c r="S19" i="11" s="1"/>
  <c r="O46" i="11"/>
  <c r="S46" i="11" s="1"/>
  <c r="O18" i="11"/>
  <c r="S18" i="11" s="1"/>
  <c r="O45" i="11"/>
  <c r="S45" i="11" s="1"/>
  <c r="O17" i="11"/>
  <c r="S17" i="11" s="1"/>
  <c r="O43" i="11"/>
  <c r="O44" i="11"/>
  <c r="S44" i="11" s="1"/>
  <c r="O15" i="11"/>
  <c r="O16" i="11"/>
  <c r="S16" i="11" s="1"/>
  <c r="D6" i="9"/>
  <c r="I6" i="9"/>
  <c r="O6" i="9"/>
  <c r="T6" i="9"/>
  <c r="D7" i="9"/>
  <c r="O7" i="9"/>
  <c r="D8" i="9"/>
  <c r="I8" i="9"/>
  <c r="O8" i="9"/>
  <c r="T8" i="9"/>
  <c r="D9" i="9"/>
  <c r="I9" i="9"/>
  <c r="O9" i="9"/>
  <c r="T9" i="9"/>
  <c r="D10" i="9"/>
  <c r="N39" i="11" s="1"/>
  <c r="I10" i="9"/>
  <c r="K10" i="9" s="1"/>
  <c r="O10" i="9"/>
  <c r="T10" i="9"/>
  <c r="D11" i="9"/>
  <c r="N40" i="11" s="1"/>
  <c r="I11" i="9"/>
  <c r="O11" i="9"/>
  <c r="T11" i="9"/>
  <c r="D12" i="9"/>
  <c r="N41" i="11" s="1"/>
  <c r="R41" i="11" s="1"/>
  <c r="I12" i="9"/>
  <c r="X12" i="9" s="1"/>
  <c r="O12" i="9"/>
  <c r="T12" i="9"/>
  <c r="D13" i="9"/>
  <c r="I13" i="9"/>
  <c r="X13" i="9" s="1"/>
  <c r="O13" i="9"/>
  <c r="N14" i="11" s="1"/>
  <c r="R14" i="11" s="1"/>
  <c r="T13" i="9"/>
  <c r="D14" i="9"/>
  <c r="K14" i="9" s="1"/>
  <c r="D15" i="9"/>
  <c r="I15" i="9"/>
  <c r="O15" i="9"/>
  <c r="T15" i="9"/>
  <c r="D16" i="9"/>
  <c r="I16" i="9"/>
  <c r="O16" i="9"/>
  <c r="D17" i="9"/>
  <c r="I17" i="9"/>
  <c r="O17" i="9"/>
  <c r="D18" i="9"/>
  <c r="I18" i="9"/>
  <c r="O18" i="9"/>
  <c r="T18" i="9"/>
  <c r="D21" i="9"/>
  <c r="I21" i="9"/>
  <c r="O21" i="9"/>
  <c r="T21" i="9"/>
  <c r="D22" i="9"/>
  <c r="I22" i="9"/>
  <c r="O22" i="9"/>
  <c r="T22" i="9"/>
  <c r="D23" i="9"/>
  <c r="I23" i="9"/>
  <c r="O23" i="9"/>
  <c r="T23" i="9"/>
  <c r="D24" i="9"/>
  <c r="N53" i="11" s="1"/>
  <c r="I24" i="9"/>
  <c r="O24" i="9"/>
  <c r="T24" i="9"/>
  <c r="D25" i="9"/>
  <c r="N54" i="11" s="1"/>
  <c r="I25" i="9"/>
  <c r="O25" i="9"/>
  <c r="T25" i="9"/>
  <c r="D26" i="9"/>
  <c r="N55" i="11" s="1"/>
  <c r="I26" i="9"/>
  <c r="O26" i="9"/>
  <c r="T26" i="9"/>
  <c r="D27" i="9"/>
  <c r="N56" i="11" s="1"/>
  <c r="I27" i="9"/>
  <c r="O27" i="9"/>
  <c r="T27" i="9"/>
  <c r="D28" i="9"/>
  <c r="N57" i="11" s="1"/>
  <c r="I28" i="9"/>
  <c r="O28" i="9"/>
  <c r="T28" i="9"/>
  <c r="D29" i="9"/>
  <c r="E28" i="31" s="1"/>
  <c r="I29" i="9"/>
  <c r="O29" i="9"/>
  <c r="T29" i="9"/>
  <c r="B30" i="9"/>
  <c r="C30" i="9"/>
  <c r="M30" i="9"/>
  <c r="N30" i="9"/>
  <c r="B32" i="9"/>
  <c r="C32" i="9"/>
  <c r="M32" i="9"/>
  <c r="N32" i="9"/>
  <c r="O7" i="11"/>
  <c r="O9" i="11"/>
  <c r="O10" i="11"/>
  <c r="O11" i="11"/>
  <c r="O12" i="11"/>
  <c r="O13" i="11"/>
  <c r="O14" i="11"/>
  <c r="A35" i="11"/>
  <c r="A74" i="11" s="1"/>
  <c r="A105" i="11" s="1"/>
  <c r="O35" i="11"/>
  <c r="A36" i="11"/>
  <c r="A75" i="11"/>
  <c r="A106" i="11"/>
  <c r="A37" i="11"/>
  <c r="A76" i="11"/>
  <c r="A107" i="11" s="1"/>
  <c r="O37" i="11"/>
  <c r="A38" i="11"/>
  <c r="A77" i="11" s="1"/>
  <c r="A108" i="11" s="1"/>
  <c r="O38" i="11"/>
  <c r="A39" i="11"/>
  <c r="A78" i="11"/>
  <c r="A109" i="11"/>
  <c r="O39" i="11"/>
  <c r="A40" i="11"/>
  <c r="A79" i="11"/>
  <c r="A110" i="11"/>
  <c r="O40" i="11"/>
  <c r="A41" i="11"/>
  <c r="A80" i="11"/>
  <c r="A111" i="11"/>
  <c r="O41" i="11"/>
  <c r="A42" i="11"/>
  <c r="A81" i="11"/>
  <c r="A112" i="11"/>
  <c r="O42" i="11"/>
  <c r="A43" i="11"/>
  <c r="A82" i="11"/>
  <c r="A113" i="11" s="1"/>
  <c r="A44" i="11"/>
  <c r="A83" i="11"/>
  <c r="A114" i="11"/>
  <c r="A45" i="11"/>
  <c r="A84" i="11"/>
  <c r="A115" i="11"/>
  <c r="A46" i="11"/>
  <c r="A85" i="11" s="1"/>
  <c r="A116" i="11" s="1"/>
  <c r="A47" i="11"/>
  <c r="A86" i="11"/>
  <c r="A117" i="11" s="1"/>
  <c r="A48" i="11"/>
  <c r="A87" i="11"/>
  <c r="A118" i="11"/>
  <c r="A49" i="11"/>
  <c r="A88" i="11"/>
  <c r="A119" i="11"/>
  <c r="A50" i="11"/>
  <c r="A89" i="11" s="1"/>
  <c r="A51" i="11"/>
  <c r="A90" i="11"/>
  <c r="A121" i="11" s="1"/>
  <c r="A91" i="11"/>
  <c r="A122" i="11"/>
  <c r="A53" i="11"/>
  <c r="A92" i="11"/>
  <c r="A123" i="11"/>
  <c r="A54" i="11"/>
  <c r="A93" i="11" s="1"/>
  <c r="A124" i="11" s="1"/>
  <c r="A55" i="11"/>
  <c r="A94" i="11"/>
  <c r="A125" i="11" s="1"/>
  <c r="A56" i="11"/>
  <c r="A95" i="11"/>
  <c r="A126" i="11"/>
  <c r="A57" i="11"/>
  <c r="A96" i="11"/>
  <c r="A127" i="11"/>
  <c r="A58" i="11"/>
  <c r="A97" i="11" s="1"/>
  <c r="A128" i="11" s="1"/>
  <c r="T17" i="9"/>
  <c r="T16" i="9"/>
  <c r="E55" i="11"/>
  <c r="G128" i="11"/>
  <c r="E128" i="11"/>
  <c r="M17" i="5"/>
  <c r="W17" i="5"/>
  <c r="AG17" i="5"/>
  <c r="AH12" i="5" s="1"/>
  <c r="AK17" i="5"/>
  <c r="AL12" i="5" s="1"/>
  <c r="AY16" i="5"/>
  <c r="U17" i="5"/>
  <c r="G117" i="11"/>
  <c r="E25" i="11"/>
  <c r="E21" i="11"/>
  <c r="E56" i="11"/>
  <c r="E96" i="11"/>
  <c r="H96" i="11" s="1"/>
  <c r="R96" i="11" s="1"/>
  <c r="S96" i="11" s="1"/>
  <c r="G122" i="11"/>
  <c r="E23" i="11"/>
  <c r="E51" i="11"/>
  <c r="G121" i="11"/>
  <c r="E82" i="11"/>
  <c r="E114" i="11"/>
  <c r="E119" i="11"/>
  <c r="H119" i="11" s="1"/>
  <c r="E121" i="11"/>
  <c r="E95" i="11"/>
  <c r="H95" i="11" s="1"/>
  <c r="R95" i="11" s="1"/>
  <c r="S95" i="11" s="1"/>
  <c r="E126" i="11"/>
  <c r="E18" i="11"/>
  <c r="G123" i="11"/>
  <c r="G127" i="11"/>
  <c r="E57" i="11"/>
  <c r="E22" i="11"/>
  <c r="G120" i="11"/>
  <c r="H120" i="11" s="1"/>
  <c r="E122" i="11"/>
  <c r="E123" i="11"/>
  <c r="G125" i="11"/>
  <c r="G126" i="11"/>
  <c r="E29" i="11"/>
  <c r="E49" i="11"/>
  <c r="G124" i="11"/>
  <c r="E127" i="11"/>
  <c r="E54" i="11"/>
  <c r="E17" i="11"/>
  <c r="X17" i="11" s="1"/>
  <c r="E124" i="11"/>
  <c r="E27" i="11"/>
  <c r="E24" i="11"/>
  <c r="E20" i="11"/>
  <c r="E52" i="11"/>
  <c r="E26" i="11"/>
  <c r="E28" i="11"/>
  <c r="E118" i="11"/>
  <c r="E19" i="11"/>
  <c r="E16" i="11"/>
  <c r="E46" i="11"/>
  <c r="E45" i="11"/>
  <c r="X45" i="11" s="1"/>
  <c r="E44" i="11"/>
  <c r="E30" i="11"/>
  <c r="AU17" i="5"/>
  <c r="AV9" i="5" s="1"/>
  <c r="AS17" i="5"/>
  <c r="AT10" i="5" s="1"/>
  <c r="AQ17" i="5"/>
  <c r="AR16" i="5" s="1"/>
  <c r="AN15" i="5"/>
  <c r="AI17" i="5"/>
  <c r="AJ12" i="5" s="1"/>
  <c r="AE17" i="5"/>
  <c r="E218" i="8"/>
  <c r="Y17" i="5"/>
  <c r="Q17" i="5"/>
  <c r="O17" i="5"/>
  <c r="I17" i="5"/>
  <c r="J8" i="5" s="1"/>
  <c r="E182" i="8" s="1"/>
  <c r="E85" i="8" s="1"/>
  <c r="AY13" i="5"/>
  <c r="G17" i="5"/>
  <c r="H7" i="5" s="1"/>
  <c r="D178" i="8" s="1"/>
  <c r="D81" i="8" s="1"/>
  <c r="E17" i="5"/>
  <c r="F8" i="5" s="1"/>
  <c r="E174" i="8" s="1"/>
  <c r="E77" i="8" s="1"/>
  <c r="AY9" i="5"/>
  <c r="AY14" i="5"/>
  <c r="AY10" i="5"/>
  <c r="C17" i="5"/>
  <c r="D14" i="5" s="1"/>
  <c r="K170" i="8" s="1"/>
  <c r="K73" i="8" s="1"/>
  <c r="H218" i="8"/>
  <c r="C13" i="24"/>
  <c r="F53" i="24"/>
  <c r="F55" i="24"/>
  <c r="O26" i="24"/>
  <c r="N24" i="24"/>
  <c r="N30" i="24"/>
  <c r="O31" i="24" s="1"/>
  <c r="M34" i="24"/>
  <c r="O34" i="24" s="1"/>
  <c r="O74" i="24"/>
  <c r="O80" i="24" s="1"/>
  <c r="E62" i="24" s="1"/>
  <c r="F62" i="24" s="1"/>
  <c r="F54" i="24"/>
  <c r="C55" i="24"/>
  <c r="E93" i="24"/>
  <c r="F93" i="24" s="1"/>
  <c r="F94" i="24" s="1"/>
  <c r="C94" i="24"/>
  <c r="F92" i="24"/>
  <c r="O32" i="24"/>
  <c r="F29" i="24"/>
  <c r="G33" i="24" s="1"/>
  <c r="F17" i="24"/>
  <c r="F18" i="24"/>
  <c r="F110" i="24"/>
  <c r="F97" i="24"/>
  <c r="F98" i="24"/>
  <c r="F71" i="24"/>
  <c r="G75" i="24"/>
  <c r="F58" i="24"/>
  <c r="F59" i="24" s="1"/>
  <c r="F72" i="24"/>
  <c r="F73" i="24"/>
  <c r="N22" i="11"/>
  <c r="N50" i="11"/>
  <c r="AR11" i="5"/>
  <c r="G218" i="8"/>
  <c r="F100" i="24"/>
  <c r="F61" i="24"/>
  <c r="F30" i="24"/>
  <c r="F31" i="24" s="1"/>
  <c r="P66" i="11"/>
  <c r="J66" i="11"/>
  <c r="E105" i="11"/>
  <c r="E108" i="11"/>
  <c r="H92" i="11"/>
  <c r="R92" i="11" s="1"/>
  <c r="S92" i="11" s="1"/>
  <c r="H126" i="11"/>
  <c r="N42" i="11"/>
  <c r="R42" i="11" s="1"/>
  <c r="X47" i="11" l="1"/>
  <c r="X19" i="11"/>
  <c r="Y17" i="9"/>
  <c r="Z10" i="5"/>
  <c r="G214" i="8" s="1"/>
  <c r="Z9" i="5"/>
  <c r="F214" i="8" s="1"/>
  <c r="Z8" i="5"/>
  <c r="E214" i="8" s="1"/>
  <c r="Z15" i="5"/>
  <c r="L214" i="8" s="1"/>
  <c r="Z17" i="5"/>
  <c r="Z16" i="5"/>
  <c r="Z7" i="5"/>
  <c r="D214" i="8" s="1"/>
  <c r="Z14" i="5"/>
  <c r="K214" i="8" s="1"/>
  <c r="Z6" i="5"/>
  <c r="Z12" i="5"/>
  <c r="Z11" i="5"/>
  <c r="H214" i="8" s="1"/>
  <c r="Z13" i="5"/>
  <c r="J214" i="8" s="1"/>
  <c r="X18" i="11"/>
  <c r="X46" i="11"/>
  <c r="X15" i="5"/>
  <c r="L210" i="8" s="1"/>
  <c r="L211" i="8" s="1"/>
  <c r="L212" i="8" s="1"/>
  <c r="X14" i="5"/>
  <c r="K210" i="8" s="1"/>
  <c r="K113" i="8" s="1"/>
  <c r="K114" i="8" s="1"/>
  <c r="X13" i="5"/>
  <c r="J210" i="8" s="1"/>
  <c r="J211" i="8" s="1"/>
  <c r="J212" i="8" s="1"/>
  <c r="X12" i="5"/>
  <c r="I210" i="8" s="1"/>
  <c r="I211" i="8" s="1"/>
  <c r="I212" i="8" s="1"/>
  <c r="X11" i="5"/>
  <c r="H210" i="8" s="1"/>
  <c r="X9" i="5"/>
  <c r="F210" i="8" s="1"/>
  <c r="F113" i="8" s="1"/>
  <c r="F114" i="8" s="1"/>
  <c r="X16" i="5"/>
  <c r="X8" i="5"/>
  <c r="E210" i="8" s="1"/>
  <c r="E113" i="8" s="1"/>
  <c r="E114" i="8" s="1"/>
  <c r="X6" i="5"/>
  <c r="X10" i="5"/>
  <c r="G210" i="8" s="1"/>
  <c r="G113" i="8" s="1"/>
  <c r="G114" i="8" s="1"/>
  <c r="X17" i="5"/>
  <c r="X7" i="5"/>
  <c r="D210" i="8" s="1"/>
  <c r="D113" i="8" s="1"/>
  <c r="N17" i="11"/>
  <c r="R17" i="11" s="1"/>
  <c r="V12" i="5"/>
  <c r="I206" i="8" s="1"/>
  <c r="V11" i="5"/>
  <c r="H206" i="8" s="1"/>
  <c r="V10" i="5"/>
  <c r="V17" i="5"/>
  <c r="V9" i="5"/>
  <c r="F206" i="8" s="1"/>
  <c r="V13" i="5"/>
  <c r="J206" i="8" s="1"/>
  <c r="V16" i="5"/>
  <c r="V8" i="5"/>
  <c r="E206" i="8" s="1"/>
  <c r="V15" i="5"/>
  <c r="V7" i="5"/>
  <c r="D206" i="8" s="1"/>
  <c r="V14" i="5"/>
  <c r="K206" i="8" s="1"/>
  <c r="V6" i="5"/>
  <c r="Y15" i="9"/>
  <c r="X44" i="11"/>
  <c r="X16" i="11"/>
  <c r="K13" i="9"/>
  <c r="S43" i="11"/>
  <c r="S15" i="11"/>
  <c r="E43" i="11"/>
  <c r="X43" i="11" s="1"/>
  <c r="T10" i="5"/>
  <c r="G202" i="8" s="1"/>
  <c r="T6" i="5"/>
  <c r="T17" i="5"/>
  <c r="T9" i="5"/>
  <c r="F202" i="8" s="1"/>
  <c r="T8" i="5"/>
  <c r="E202" i="8" s="1"/>
  <c r="T16" i="5"/>
  <c r="T15" i="5"/>
  <c r="L202" i="8" s="1"/>
  <c r="T7" i="5"/>
  <c r="D202" i="8" s="1"/>
  <c r="T14" i="5"/>
  <c r="K202" i="8" s="1"/>
  <c r="T12" i="5"/>
  <c r="I202" i="8" s="1"/>
  <c r="T11" i="5"/>
  <c r="H202" i="8" s="1"/>
  <c r="T13" i="5"/>
  <c r="E80" i="11"/>
  <c r="E112" i="11"/>
  <c r="E81" i="11"/>
  <c r="R15" i="5"/>
  <c r="L198" i="8" s="1"/>
  <c r="L101" i="8" s="1"/>
  <c r="L102" i="8" s="1"/>
  <c r="R14" i="5"/>
  <c r="K198" i="8" s="1"/>
  <c r="K101" i="8" s="1"/>
  <c r="K102" i="8" s="1"/>
  <c r="R6" i="5"/>
  <c r="R9" i="5"/>
  <c r="F198" i="8" s="1"/>
  <c r="F101" i="8" s="1"/>
  <c r="R7" i="5"/>
  <c r="D198" i="8" s="1"/>
  <c r="D101" i="8" s="1"/>
  <c r="D102" i="8" s="1"/>
  <c r="R13" i="5"/>
  <c r="J198" i="8" s="1"/>
  <c r="J101" i="8" s="1"/>
  <c r="J102" i="8" s="1"/>
  <c r="R12" i="5"/>
  <c r="I198" i="8" s="1"/>
  <c r="I101" i="8" s="1"/>
  <c r="I102" i="8" s="1"/>
  <c r="R16" i="5"/>
  <c r="R11" i="5"/>
  <c r="H198" i="8" s="1"/>
  <c r="H101" i="8" s="1"/>
  <c r="H102" i="8" s="1"/>
  <c r="R10" i="5"/>
  <c r="G198" i="8" s="1"/>
  <c r="G101" i="8" s="1"/>
  <c r="G102" i="8" s="1"/>
  <c r="R8" i="5"/>
  <c r="E198" i="8" s="1"/>
  <c r="E101" i="8" s="1"/>
  <c r="E102" i="8" s="1"/>
  <c r="R17" i="5"/>
  <c r="P14" i="5"/>
  <c r="K194" i="8" s="1"/>
  <c r="K97" i="8" s="1"/>
  <c r="K98" i="8" s="1"/>
  <c r="P6" i="5"/>
  <c r="P13" i="5"/>
  <c r="J194" i="8" s="1"/>
  <c r="J97" i="8" s="1"/>
  <c r="J98" i="8" s="1"/>
  <c r="P9" i="5"/>
  <c r="F194" i="8" s="1"/>
  <c r="F97" i="8" s="1"/>
  <c r="F98" i="8" s="1"/>
  <c r="P12" i="5"/>
  <c r="I194" i="8" s="1"/>
  <c r="I97" i="8" s="1"/>
  <c r="I98" i="8" s="1"/>
  <c r="P11" i="5"/>
  <c r="H194" i="8" s="1"/>
  <c r="H97" i="8" s="1"/>
  <c r="H98" i="8" s="1"/>
  <c r="P10" i="5"/>
  <c r="G194" i="8" s="1"/>
  <c r="G97" i="8" s="1"/>
  <c r="G98" i="8" s="1"/>
  <c r="P7" i="5"/>
  <c r="D194" i="8" s="1"/>
  <c r="D97" i="8" s="1"/>
  <c r="D98" i="8" s="1"/>
  <c r="P17" i="5"/>
  <c r="P8" i="5"/>
  <c r="E194" i="8" s="1"/>
  <c r="E97" i="8" s="1"/>
  <c r="P16" i="5"/>
  <c r="P15" i="5"/>
  <c r="L194" i="8" s="1"/>
  <c r="L97" i="8" s="1"/>
  <c r="L98" i="8" s="1"/>
  <c r="N13" i="11"/>
  <c r="R13" i="11" s="1"/>
  <c r="Y12" i="9"/>
  <c r="K12" i="9"/>
  <c r="N17" i="5"/>
  <c r="N9" i="5"/>
  <c r="F190" i="8" s="1"/>
  <c r="F93" i="8" s="1"/>
  <c r="F94" i="8" s="1"/>
  <c r="N16" i="5"/>
  <c r="N8" i="5"/>
  <c r="E190" i="8" s="1"/>
  <c r="E93" i="8" s="1"/>
  <c r="E94" i="8" s="1"/>
  <c r="N10" i="5"/>
  <c r="G190" i="8" s="1"/>
  <c r="G93" i="8" s="1"/>
  <c r="G94" i="8" s="1"/>
  <c r="N15" i="5"/>
  <c r="L190" i="8" s="1"/>
  <c r="L93" i="8" s="1"/>
  <c r="L94" i="8" s="1"/>
  <c r="N7" i="5"/>
  <c r="D190" i="8" s="1"/>
  <c r="N14" i="5"/>
  <c r="K190" i="8" s="1"/>
  <c r="K93" i="8" s="1"/>
  <c r="K94" i="8" s="1"/>
  <c r="N6" i="5"/>
  <c r="N13" i="5"/>
  <c r="J190" i="8" s="1"/>
  <c r="J93" i="8" s="1"/>
  <c r="J94" i="8" s="1"/>
  <c r="N11" i="5"/>
  <c r="H190" i="8" s="1"/>
  <c r="H93" i="8" s="1"/>
  <c r="H94" i="8" s="1"/>
  <c r="N12" i="5"/>
  <c r="I190" i="8" s="1"/>
  <c r="I93" i="8" s="1"/>
  <c r="I94" i="8" s="1"/>
  <c r="N12" i="11"/>
  <c r="R12" i="11" s="1"/>
  <c r="N11" i="11"/>
  <c r="Y10" i="9"/>
  <c r="X10" i="9"/>
  <c r="Z10" i="9" s="1"/>
  <c r="L10" i="5"/>
  <c r="L17" i="5"/>
  <c r="L16" i="5"/>
  <c r="L8" i="5"/>
  <c r="E186" i="8" s="1"/>
  <c r="E89" i="8" s="1"/>
  <c r="L15" i="5"/>
  <c r="L186" i="8" s="1"/>
  <c r="L89" i="8" s="1"/>
  <c r="L7" i="5"/>
  <c r="D186" i="8" s="1"/>
  <c r="L14" i="5"/>
  <c r="K186" i="8" s="1"/>
  <c r="K89" i="8" s="1"/>
  <c r="L6" i="5"/>
  <c r="L11" i="5"/>
  <c r="L9" i="5"/>
  <c r="F186" i="8" s="1"/>
  <c r="F89" i="8" s="1"/>
  <c r="L13" i="5"/>
  <c r="J186" i="8" s="1"/>
  <c r="J89" i="8" s="1"/>
  <c r="L12" i="5"/>
  <c r="I186" i="8" s="1"/>
  <c r="I89" i="8" s="1"/>
  <c r="M90" i="8"/>
  <c r="C90" i="8" s="1"/>
  <c r="R11" i="11"/>
  <c r="R39" i="11"/>
  <c r="J11" i="5"/>
  <c r="H182" i="8" s="1"/>
  <c r="H85" i="8" s="1"/>
  <c r="H86" i="8" s="1"/>
  <c r="J6" i="5"/>
  <c r="J9" i="5"/>
  <c r="F182" i="8" s="1"/>
  <c r="F85" i="8" s="1"/>
  <c r="F86" i="8" s="1"/>
  <c r="J7" i="5"/>
  <c r="D182" i="8" s="1"/>
  <c r="D85" i="8" s="1"/>
  <c r="H9" i="5"/>
  <c r="F178" i="8" s="1"/>
  <c r="F81" i="8" s="1"/>
  <c r="F82" i="8" s="1"/>
  <c r="H11" i="5"/>
  <c r="H178" i="8" s="1"/>
  <c r="H81" i="8" s="1"/>
  <c r="H82" i="8" s="1"/>
  <c r="H6" i="5"/>
  <c r="H10" i="5"/>
  <c r="G178" i="8" s="1"/>
  <c r="G81" i="8" s="1"/>
  <c r="G82" i="8" s="1"/>
  <c r="H12" i="5"/>
  <c r="I178" i="8" s="1"/>
  <c r="I81" i="8" s="1"/>
  <c r="I82" i="8" s="1"/>
  <c r="F12" i="5"/>
  <c r="I174" i="8" s="1"/>
  <c r="I77" i="8" s="1"/>
  <c r="F6" i="5"/>
  <c r="F16" i="5"/>
  <c r="F14" i="5"/>
  <c r="K174" i="8" s="1"/>
  <c r="K77" i="8" s="1"/>
  <c r="K78" i="8" s="1"/>
  <c r="D8" i="5"/>
  <c r="E170" i="8" s="1"/>
  <c r="E73" i="8" s="1"/>
  <c r="E74" i="8" s="1"/>
  <c r="D7" i="5"/>
  <c r="D170" i="8" s="1"/>
  <c r="D73" i="8" s="1"/>
  <c r="D74" i="8" s="1"/>
  <c r="N9" i="11"/>
  <c r="P9" i="11" s="1"/>
  <c r="P42" i="11"/>
  <c r="E30" i="31"/>
  <c r="G28" i="31"/>
  <c r="G30" i="31" s="1"/>
  <c r="V92" i="28"/>
  <c r="E78" i="11"/>
  <c r="H78" i="11" s="1"/>
  <c r="R78" i="11" s="1"/>
  <c r="S78" i="11" s="1"/>
  <c r="AH7" i="5"/>
  <c r="AH13" i="5"/>
  <c r="AH9" i="5"/>
  <c r="AH8" i="5"/>
  <c r="AJ15" i="5"/>
  <c r="AJ7" i="5"/>
  <c r="AJ16" i="5"/>
  <c r="AJ13" i="5"/>
  <c r="AJ14" i="5"/>
  <c r="AH11" i="5"/>
  <c r="AH6" i="5"/>
  <c r="AH10" i="5"/>
  <c r="AR15" i="5"/>
  <c r="H125" i="11"/>
  <c r="N25" i="11"/>
  <c r="K25" i="9"/>
  <c r="M203" i="8"/>
  <c r="C203" i="8" s="1"/>
  <c r="C204" i="8" s="1"/>
  <c r="H114" i="11"/>
  <c r="G113" i="11"/>
  <c r="H82" i="11"/>
  <c r="R82" i="11" s="1"/>
  <c r="S82" i="11" s="1"/>
  <c r="E15" i="11"/>
  <c r="D129" i="11"/>
  <c r="E111" i="11"/>
  <c r="P41" i="11"/>
  <c r="V13" i="9"/>
  <c r="P40" i="11"/>
  <c r="V11" i="9"/>
  <c r="K11" i="9"/>
  <c r="C129" i="11"/>
  <c r="E77" i="11"/>
  <c r="H77" i="11" s="1"/>
  <c r="R77" i="11" s="1"/>
  <c r="S77" i="11" s="1"/>
  <c r="E106" i="11"/>
  <c r="C98" i="11"/>
  <c r="E75" i="11"/>
  <c r="H75" i="11" s="1"/>
  <c r="R75" i="11" s="1"/>
  <c r="S75" i="11" s="1"/>
  <c r="D10" i="11"/>
  <c r="M183" i="8" s="1"/>
  <c r="E183" i="8" s="1"/>
  <c r="E184" i="8" s="1"/>
  <c r="D9" i="11"/>
  <c r="D8" i="11"/>
  <c r="M175" i="8" s="1"/>
  <c r="Y9" i="9"/>
  <c r="Y8" i="9"/>
  <c r="H15" i="5"/>
  <c r="L178" i="8" s="1"/>
  <c r="L81" i="8" s="1"/>
  <c r="L82" i="8" s="1"/>
  <c r="D7" i="11"/>
  <c r="M171" i="8" s="1"/>
  <c r="E74" i="11"/>
  <c r="H74" i="11" s="1"/>
  <c r="R74" i="11" s="1"/>
  <c r="S74" i="11" s="1"/>
  <c r="D15" i="5"/>
  <c r="L170" i="8" s="1"/>
  <c r="L73" i="8" s="1"/>
  <c r="L74" i="8" s="1"/>
  <c r="D12" i="5"/>
  <c r="I170" i="8" s="1"/>
  <c r="I73" i="8" s="1"/>
  <c r="I74" i="8" s="1"/>
  <c r="F13" i="5"/>
  <c r="J174" i="8" s="1"/>
  <c r="J77" i="8" s="1"/>
  <c r="J78" i="8" s="1"/>
  <c r="F9" i="5"/>
  <c r="F174" i="8" s="1"/>
  <c r="F77" i="8" s="1"/>
  <c r="F78" i="8" s="1"/>
  <c r="F15" i="5"/>
  <c r="L174" i="8" s="1"/>
  <c r="L77" i="8" s="1"/>
  <c r="L78" i="8" s="1"/>
  <c r="F7" i="5"/>
  <c r="D174" i="8" s="1"/>
  <c r="D77" i="8" s="1"/>
  <c r="D78" i="8" s="1"/>
  <c r="P61" i="11"/>
  <c r="AX12" i="5"/>
  <c r="AX13" i="5"/>
  <c r="AH15" i="5"/>
  <c r="AH16" i="5"/>
  <c r="G121" i="8"/>
  <c r="G122" i="8" s="1"/>
  <c r="G219" i="8"/>
  <c r="G220" i="8" s="1"/>
  <c r="E121" i="8"/>
  <c r="E122" i="8" s="1"/>
  <c r="E219" i="8"/>
  <c r="E220" i="8" s="1"/>
  <c r="H121" i="8"/>
  <c r="H122" i="8" s="1"/>
  <c r="H219" i="8"/>
  <c r="H220" i="8" s="1"/>
  <c r="Y6" i="9"/>
  <c r="Y19" i="9"/>
  <c r="K20" i="9"/>
  <c r="X11" i="9"/>
  <c r="N27" i="11"/>
  <c r="N35" i="11"/>
  <c r="R35" i="11" s="1"/>
  <c r="H124" i="11"/>
  <c r="D11" i="11"/>
  <c r="D39" i="11"/>
  <c r="C82" i="8"/>
  <c r="D82" i="8"/>
  <c r="C94" i="8"/>
  <c r="C98" i="8"/>
  <c r="C102" i="8"/>
  <c r="C74" i="8"/>
  <c r="K74" i="8"/>
  <c r="E109" i="11"/>
  <c r="E107" i="11"/>
  <c r="C78" i="8"/>
  <c r="I78" i="8"/>
  <c r="E78" i="8"/>
  <c r="C86" i="8"/>
  <c r="E86" i="8"/>
  <c r="E110" i="11"/>
  <c r="A120" i="11"/>
  <c r="V61" i="11"/>
  <c r="N58" i="11"/>
  <c r="P25" i="11"/>
  <c r="P11" i="11"/>
  <c r="P53" i="11"/>
  <c r="AX16" i="5"/>
  <c r="AV6" i="5"/>
  <c r="AV8" i="5"/>
  <c r="AV10" i="5"/>
  <c r="AV13" i="5"/>
  <c r="AV14" i="5"/>
  <c r="AV12" i="5"/>
  <c r="AV7" i="5"/>
  <c r="AV16" i="5"/>
  <c r="AV11" i="5"/>
  <c r="AV15" i="5"/>
  <c r="N29" i="11"/>
  <c r="P57" i="11"/>
  <c r="E61" i="11"/>
  <c r="L61" i="11" s="1"/>
  <c r="E66" i="11"/>
  <c r="L66" i="11" s="1"/>
  <c r="R61" i="11"/>
  <c r="R66" i="11" s="1"/>
  <c r="X61" i="11"/>
  <c r="AX15" i="5"/>
  <c r="AX11" i="5"/>
  <c r="AX14" i="5"/>
  <c r="AX8" i="5"/>
  <c r="AX10" i="5"/>
  <c r="H128" i="11"/>
  <c r="Y29" i="9"/>
  <c r="V29" i="9"/>
  <c r="V28" i="9"/>
  <c r="X28" i="9"/>
  <c r="N28" i="11"/>
  <c r="P56" i="11"/>
  <c r="K27" i="9"/>
  <c r="V27" i="9"/>
  <c r="AT16" i="5"/>
  <c r="P55" i="11"/>
  <c r="V26" i="9"/>
  <c r="AR8" i="5"/>
  <c r="AR13" i="5"/>
  <c r="AR14" i="5"/>
  <c r="AR12" i="5"/>
  <c r="AR10" i="5"/>
  <c r="AR9" i="5"/>
  <c r="AR6" i="5"/>
  <c r="AR7" i="5"/>
  <c r="H62" i="11"/>
  <c r="G62" i="11"/>
  <c r="P54" i="11"/>
  <c r="V25" i="9"/>
  <c r="AP15" i="5"/>
  <c r="AP11" i="5"/>
  <c r="AP9" i="5"/>
  <c r="AP14" i="5"/>
  <c r="AP12" i="5"/>
  <c r="AP10" i="5"/>
  <c r="AP8" i="5"/>
  <c r="AP7" i="5"/>
  <c r="AP13" i="5"/>
  <c r="AP6" i="5"/>
  <c r="H123" i="11"/>
  <c r="V20" i="9"/>
  <c r="Y18" i="9"/>
  <c r="AN6" i="5"/>
  <c r="AN16" i="5"/>
  <c r="AN11" i="5"/>
  <c r="AN12" i="5"/>
  <c r="AN13" i="5"/>
  <c r="AN14" i="5"/>
  <c r="AN9" i="5"/>
  <c r="AN10" i="5"/>
  <c r="AN8" i="5"/>
  <c r="Y23" i="9"/>
  <c r="K23" i="9"/>
  <c r="AL10" i="5"/>
  <c r="AL7" i="5"/>
  <c r="AL13" i="5"/>
  <c r="AL11" i="5"/>
  <c r="AL8" i="5"/>
  <c r="AL16" i="5"/>
  <c r="AL15" i="5"/>
  <c r="AL9" i="5"/>
  <c r="AL6" i="5"/>
  <c r="AL14" i="5"/>
  <c r="H122" i="11"/>
  <c r="H121" i="11"/>
  <c r="AJ6" i="5"/>
  <c r="AJ8" i="5"/>
  <c r="AJ10" i="5"/>
  <c r="AJ11" i="5"/>
  <c r="AJ9" i="5"/>
  <c r="Y22" i="9"/>
  <c r="X22" i="9"/>
  <c r="V22" i="9"/>
  <c r="H117" i="11"/>
  <c r="H118" i="11"/>
  <c r="Y21" i="9"/>
  <c r="AH14" i="5"/>
  <c r="F218" i="8"/>
  <c r="I218" i="8"/>
  <c r="D218" i="8"/>
  <c r="K218" i="8"/>
  <c r="L218" i="8"/>
  <c r="X20" i="9"/>
  <c r="P13" i="11"/>
  <c r="X27" i="9"/>
  <c r="K28" i="9"/>
  <c r="X6" i="9"/>
  <c r="Y28" i="9"/>
  <c r="Y26" i="9"/>
  <c r="K16" i="9"/>
  <c r="X18" i="9"/>
  <c r="Y13" i="9"/>
  <c r="Z13" i="9" s="1"/>
  <c r="Y11" i="9"/>
  <c r="V12" i="9"/>
  <c r="X25" i="9"/>
  <c r="Y27" i="9"/>
  <c r="N45" i="11"/>
  <c r="R45" i="11" s="1"/>
  <c r="X23" i="9"/>
  <c r="P14" i="11"/>
  <c r="N7" i="11"/>
  <c r="P7" i="11" s="1"/>
  <c r="X16" i="9"/>
  <c r="X15" i="9"/>
  <c r="Z15" i="9" s="1"/>
  <c r="V10" i="9"/>
  <c r="Z12" i="9"/>
  <c r="P49" i="11"/>
  <c r="P22" i="11"/>
  <c r="P48" i="11"/>
  <c r="V19" i="9"/>
  <c r="X19" i="9"/>
  <c r="Z19" i="9" s="1"/>
  <c r="N20" i="11"/>
  <c r="K19" i="9"/>
  <c r="D32" i="9"/>
  <c r="I36" i="9" s="1"/>
  <c r="K18" i="9"/>
  <c r="J218" i="8"/>
  <c r="G186" i="8"/>
  <c r="G89" i="8" s="1"/>
  <c r="H186" i="8"/>
  <c r="H89" i="8" s="1"/>
  <c r="D37" i="11"/>
  <c r="G76" i="11"/>
  <c r="H80" i="11"/>
  <c r="R80" i="11" s="1"/>
  <c r="S80" i="11" s="1"/>
  <c r="G106" i="11"/>
  <c r="H106" i="11" s="1"/>
  <c r="E36" i="11"/>
  <c r="X24" i="9"/>
  <c r="K24" i="9"/>
  <c r="X21" i="9"/>
  <c r="K21" i="9"/>
  <c r="V21" i="9"/>
  <c r="X9" i="9"/>
  <c r="N38" i="11"/>
  <c r="R38" i="11" s="1"/>
  <c r="K9" i="9"/>
  <c r="N10" i="11"/>
  <c r="P10" i="11" s="1"/>
  <c r="V9" i="9"/>
  <c r="N37" i="11"/>
  <c r="P37" i="11" s="1"/>
  <c r="V8" i="9"/>
  <c r="X8" i="9"/>
  <c r="K8" i="9"/>
  <c r="F64" i="24"/>
  <c r="G68" i="24" s="1"/>
  <c r="G76" i="24" s="1"/>
  <c r="O40" i="24"/>
  <c r="O36" i="24"/>
  <c r="O38" i="24" s="1"/>
  <c r="E21" i="24"/>
  <c r="F21" i="24" s="1"/>
  <c r="E12" i="24"/>
  <c r="F12" i="24" s="1"/>
  <c r="F13" i="24" s="1"/>
  <c r="F20" i="24" s="1"/>
  <c r="D9" i="5"/>
  <c r="F170" i="8" s="1"/>
  <c r="F73" i="8" s="1"/>
  <c r="F74" i="8" s="1"/>
  <c r="D13" i="5"/>
  <c r="J170" i="8" s="1"/>
  <c r="J73" i="8" s="1"/>
  <c r="J74" i="8" s="1"/>
  <c r="J14" i="5"/>
  <c r="K182" i="8" s="1"/>
  <c r="K85" i="8" s="1"/>
  <c r="K86" i="8" s="1"/>
  <c r="J13" i="5"/>
  <c r="J182" i="8" s="1"/>
  <c r="J85" i="8" s="1"/>
  <c r="J86" i="8" s="1"/>
  <c r="AT15" i="5"/>
  <c r="AT13" i="5"/>
  <c r="AT9" i="5"/>
  <c r="AT8" i="5"/>
  <c r="AT11" i="5"/>
  <c r="Y24" i="9"/>
  <c r="V24" i="9"/>
  <c r="N52" i="11"/>
  <c r="N24" i="11"/>
  <c r="K22" i="9"/>
  <c r="N23" i="11"/>
  <c r="N51" i="11"/>
  <c r="N21" i="11"/>
  <c r="Y20" i="9"/>
  <c r="D10" i="5"/>
  <c r="G170" i="8" s="1"/>
  <c r="G73" i="8" s="1"/>
  <c r="G74" i="8" s="1"/>
  <c r="D16" i="5"/>
  <c r="J12" i="5"/>
  <c r="I182" i="8" s="1"/>
  <c r="I85" i="8" s="1"/>
  <c r="I86" i="8" s="1"/>
  <c r="J10" i="5"/>
  <c r="G182" i="8" s="1"/>
  <c r="G85" i="8" s="1"/>
  <c r="G86" i="8" s="1"/>
  <c r="AT12" i="5"/>
  <c r="F11" i="5"/>
  <c r="H174" i="8" s="1"/>
  <c r="H77" i="8" s="1"/>
  <c r="H78" i="8" s="1"/>
  <c r="F10" i="5"/>
  <c r="G174" i="8" s="1"/>
  <c r="G77" i="8" s="1"/>
  <c r="G78" i="8" s="1"/>
  <c r="H127" i="11"/>
  <c r="P39" i="11"/>
  <c r="K29" i="9"/>
  <c r="X29" i="9"/>
  <c r="Z29" i="9" s="1"/>
  <c r="K26" i="9"/>
  <c r="X26" i="9"/>
  <c r="N26" i="11"/>
  <c r="Y25" i="9"/>
  <c r="N47" i="11"/>
  <c r="R47" i="11" s="1"/>
  <c r="N19" i="11"/>
  <c r="R19" i="11" s="1"/>
  <c r="P50" i="11"/>
  <c r="AX7" i="5"/>
  <c r="AX6" i="5"/>
  <c r="H84" i="11"/>
  <c r="R84" i="11" s="1"/>
  <c r="S84" i="11" s="1"/>
  <c r="D11" i="5"/>
  <c r="H170" i="8" s="1"/>
  <c r="H73" i="8" s="1"/>
  <c r="H74" i="8" s="1"/>
  <c r="D6" i="5"/>
  <c r="J16" i="5"/>
  <c r="J15" i="5"/>
  <c r="L182" i="8" s="1"/>
  <c r="L85" i="8" s="1"/>
  <c r="L86" i="8" s="1"/>
  <c r="F111" i="24"/>
  <c r="F112" i="24" s="1"/>
  <c r="G114" i="24"/>
  <c r="V23" i="9"/>
  <c r="AT14" i="5"/>
  <c r="AT6" i="5"/>
  <c r="AT7" i="5"/>
  <c r="H16" i="5"/>
  <c r="H14" i="5"/>
  <c r="K178" i="8" s="1"/>
  <c r="K81" i="8" s="1"/>
  <c r="K82" i="8" s="1"/>
  <c r="H13" i="5"/>
  <c r="J178" i="8" s="1"/>
  <c r="J81" i="8" s="1"/>
  <c r="J82" i="8" s="1"/>
  <c r="H8" i="5"/>
  <c r="E178" i="8" s="1"/>
  <c r="E81" i="8" s="1"/>
  <c r="E82" i="8" s="1"/>
  <c r="V18" i="9"/>
  <c r="K6" i="9"/>
  <c r="V6" i="9"/>
  <c r="G81" i="11"/>
  <c r="H81" i="11" s="1"/>
  <c r="N30" i="11"/>
  <c r="Y16" i="9"/>
  <c r="D13" i="11"/>
  <c r="S13" i="11" s="1"/>
  <c r="D14" i="11"/>
  <c r="M199" i="8" s="1"/>
  <c r="N18" i="11"/>
  <c r="R18" i="11" s="1"/>
  <c r="D41" i="11"/>
  <c r="S41" i="11" s="1"/>
  <c r="M115" i="24"/>
  <c r="O115" i="24" s="1"/>
  <c r="O119" i="24" s="1"/>
  <c r="E101" i="24" s="1"/>
  <c r="F101" i="24" s="1"/>
  <c r="F103" i="24" s="1"/>
  <c r="G107" i="24" s="1"/>
  <c r="G115" i="24" s="1"/>
  <c r="D35" i="11"/>
  <c r="P24" i="26"/>
  <c r="D12" i="11" s="1"/>
  <c r="M191" i="8" s="1"/>
  <c r="C40" i="11"/>
  <c r="R40" i="11" s="1"/>
  <c r="D79" i="11"/>
  <c r="D42" i="11"/>
  <c r="S42" i="11" s="1"/>
  <c r="D38" i="11"/>
  <c r="D40" i="11"/>
  <c r="S40" i="11" s="1"/>
  <c r="I214" i="8"/>
  <c r="H85" i="11"/>
  <c r="R85" i="11" s="1"/>
  <c r="S85" i="11" s="1"/>
  <c r="N46" i="11"/>
  <c r="R46" i="11" s="1"/>
  <c r="H116" i="11"/>
  <c r="O32" i="9"/>
  <c r="V17" i="9"/>
  <c r="K17" i="9"/>
  <c r="X17" i="9"/>
  <c r="Z17" i="9" s="1"/>
  <c r="H115" i="11"/>
  <c r="O30" i="9"/>
  <c r="V16" i="9"/>
  <c r="K15" i="9"/>
  <c r="V15" i="9"/>
  <c r="N16" i="11"/>
  <c r="R16" i="11" s="1"/>
  <c r="N44" i="11"/>
  <c r="R44" i="11" s="1"/>
  <c r="G206" i="8"/>
  <c r="L206" i="8"/>
  <c r="H113" i="11"/>
  <c r="C31" i="11"/>
  <c r="J202" i="8"/>
  <c r="Y14" i="9"/>
  <c r="N15" i="11"/>
  <c r="R15" i="11" s="1"/>
  <c r="D30" i="9"/>
  <c r="N43" i="11"/>
  <c r="R43" i="11" s="1"/>
  <c r="F117" i="8" l="1"/>
  <c r="F118" i="8" s="1"/>
  <c r="F215" i="8"/>
  <c r="F216" i="8" s="1"/>
  <c r="P17" i="11"/>
  <c r="T17" i="11" s="1"/>
  <c r="H211" i="8"/>
  <c r="H212" i="8" s="1"/>
  <c r="H113" i="8"/>
  <c r="H114" i="8" s="1"/>
  <c r="X15" i="11"/>
  <c r="H105" i="8"/>
  <c r="H106" i="8" s="1"/>
  <c r="H203" i="8"/>
  <c r="H204" i="8" s="1"/>
  <c r="S14" i="11"/>
  <c r="M101" i="8"/>
  <c r="M198" i="8" s="1"/>
  <c r="F102" i="8"/>
  <c r="P12" i="11"/>
  <c r="D93" i="8"/>
  <c r="M190" i="8"/>
  <c r="S12" i="11"/>
  <c r="Z11" i="9"/>
  <c r="S39" i="11"/>
  <c r="M187" i="8"/>
  <c r="F187" i="8" s="1"/>
  <c r="F188" i="8" s="1"/>
  <c r="S11" i="11"/>
  <c r="J90" i="8"/>
  <c r="H90" i="8"/>
  <c r="K90" i="8"/>
  <c r="G90" i="8"/>
  <c r="I90" i="8"/>
  <c r="L90" i="8"/>
  <c r="E90" i="8"/>
  <c r="F90" i="8"/>
  <c r="R9" i="11"/>
  <c r="M97" i="8"/>
  <c r="M194" i="8" s="1"/>
  <c r="Z9" i="9"/>
  <c r="R10" i="11"/>
  <c r="E10" i="11"/>
  <c r="T10" i="11" s="1"/>
  <c r="J113" i="8"/>
  <c r="J114" i="8" s="1"/>
  <c r="G211" i="8"/>
  <c r="G212" i="8" s="1"/>
  <c r="K211" i="8"/>
  <c r="K212" i="8" s="1"/>
  <c r="H183" i="8"/>
  <c r="H184" i="8" s="1"/>
  <c r="S7" i="11"/>
  <c r="E7" i="11"/>
  <c r="T7" i="11" s="1"/>
  <c r="H8" i="30"/>
  <c r="S94" i="28"/>
  <c r="V105" i="28" s="1"/>
  <c r="V113" i="28" s="1"/>
  <c r="P27" i="11"/>
  <c r="Z22" i="9"/>
  <c r="Z26" i="9"/>
  <c r="Z18" i="9"/>
  <c r="I113" i="8"/>
  <c r="I114" i="8" s="1"/>
  <c r="L113" i="8"/>
  <c r="L114" i="8" s="1"/>
  <c r="F211" i="8"/>
  <c r="F212" i="8" s="1"/>
  <c r="D211" i="8"/>
  <c r="D212" i="8" s="1"/>
  <c r="E211" i="8"/>
  <c r="E212" i="8" s="1"/>
  <c r="E129" i="11"/>
  <c r="E98" i="8"/>
  <c r="E11" i="11"/>
  <c r="E8" i="11"/>
  <c r="D183" i="8"/>
  <c r="D184" i="8" s="1"/>
  <c r="F183" i="8"/>
  <c r="F184" i="8" s="1"/>
  <c r="C183" i="8"/>
  <c r="C184" i="8" s="1"/>
  <c r="S10" i="11"/>
  <c r="M179" i="8"/>
  <c r="K179" i="8" s="1"/>
  <c r="K180" i="8" s="1"/>
  <c r="E9" i="11"/>
  <c r="T9" i="11" s="1"/>
  <c r="S9" i="11"/>
  <c r="Z8" i="9"/>
  <c r="P38" i="11"/>
  <c r="M81" i="8"/>
  <c r="M178" i="8" s="1"/>
  <c r="M85" i="8"/>
  <c r="D86" i="8"/>
  <c r="M182" i="8"/>
  <c r="Z6" i="9"/>
  <c r="M77" i="8"/>
  <c r="M174" i="8" s="1"/>
  <c r="M73" i="8"/>
  <c r="M170" i="8" s="1"/>
  <c r="D62" i="11"/>
  <c r="T61" i="11"/>
  <c r="T66" i="11" s="1"/>
  <c r="C62" i="11"/>
  <c r="J121" i="8"/>
  <c r="J122" i="8" s="1"/>
  <c r="J219" i="8"/>
  <c r="J220" i="8" s="1"/>
  <c r="L121" i="8"/>
  <c r="L122" i="8" s="1"/>
  <c r="L219" i="8"/>
  <c r="L220" i="8" s="1"/>
  <c r="K121" i="8"/>
  <c r="K122" i="8" s="1"/>
  <c r="K219" i="8"/>
  <c r="K220" i="8" s="1"/>
  <c r="I121" i="8"/>
  <c r="I122" i="8" s="1"/>
  <c r="I219" i="8"/>
  <c r="I220" i="8" s="1"/>
  <c r="D121" i="8"/>
  <c r="D219" i="8"/>
  <c r="D220" i="8" s="1"/>
  <c r="F121" i="8"/>
  <c r="F122" i="8" s="1"/>
  <c r="F219" i="8"/>
  <c r="F220" i="8" s="1"/>
  <c r="J117" i="8"/>
  <c r="J118" i="8" s="1"/>
  <c r="J215" i="8"/>
  <c r="J216" i="8" s="1"/>
  <c r="I117" i="8"/>
  <c r="I118" i="8" s="1"/>
  <c r="I215" i="8"/>
  <c r="I216" i="8" s="1"/>
  <c r="L117" i="8"/>
  <c r="L118" i="8" s="1"/>
  <c r="L215" i="8"/>
  <c r="L216" i="8" s="1"/>
  <c r="G117" i="8"/>
  <c r="G118" i="8" s="1"/>
  <c r="G215" i="8"/>
  <c r="G216" i="8" s="1"/>
  <c r="D117" i="8"/>
  <c r="D215" i="8"/>
  <c r="D216" i="8" s="1"/>
  <c r="H117" i="8"/>
  <c r="H118" i="8" s="1"/>
  <c r="H215" i="8"/>
  <c r="H216" i="8" s="1"/>
  <c r="E117" i="8"/>
  <c r="E118" i="8" s="1"/>
  <c r="E215" i="8"/>
  <c r="E216" i="8" s="1"/>
  <c r="K117" i="8"/>
  <c r="K118" i="8" s="1"/>
  <c r="K215" i="8"/>
  <c r="K216" i="8" s="1"/>
  <c r="D114" i="8"/>
  <c r="E109" i="8"/>
  <c r="E110" i="8" s="1"/>
  <c r="E207" i="8"/>
  <c r="E208" i="8" s="1"/>
  <c r="L109" i="8"/>
  <c r="L110" i="8" s="1"/>
  <c r="L207" i="8"/>
  <c r="L208" i="8" s="1"/>
  <c r="J109" i="8"/>
  <c r="J110" i="8" s="1"/>
  <c r="J207" i="8"/>
  <c r="J208" i="8" s="1"/>
  <c r="D109" i="8"/>
  <c r="D207" i="8"/>
  <c r="D208" i="8" s="1"/>
  <c r="H109" i="8"/>
  <c r="H110" i="8" s="1"/>
  <c r="H207" i="8"/>
  <c r="H208" i="8" s="1"/>
  <c r="G109" i="8"/>
  <c r="G110" i="8" s="1"/>
  <c r="G207" i="8"/>
  <c r="G208" i="8" s="1"/>
  <c r="F109" i="8"/>
  <c r="F110" i="8" s="1"/>
  <c r="F207" i="8"/>
  <c r="F208" i="8" s="1"/>
  <c r="K109" i="8"/>
  <c r="K110" i="8" s="1"/>
  <c r="K207" i="8"/>
  <c r="K208" i="8" s="1"/>
  <c r="I109" i="8"/>
  <c r="I110" i="8" s="1"/>
  <c r="I207" i="8"/>
  <c r="I208" i="8" s="1"/>
  <c r="J105" i="8"/>
  <c r="J106" i="8" s="1"/>
  <c r="J203" i="8"/>
  <c r="J204" i="8" s="1"/>
  <c r="F105" i="8"/>
  <c r="F106" i="8" s="1"/>
  <c r="F203" i="8"/>
  <c r="F204" i="8" s="1"/>
  <c r="E105" i="8"/>
  <c r="E106" i="8" s="1"/>
  <c r="E203" i="8"/>
  <c r="E204" i="8" s="1"/>
  <c r="G105" i="8"/>
  <c r="G106" i="8" s="1"/>
  <c r="G203" i="8"/>
  <c r="G204" i="8" s="1"/>
  <c r="L105" i="8"/>
  <c r="L106" i="8" s="1"/>
  <c r="L203" i="8"/>
  <c r="L204" i="8" s="1"/>
  <c r="I105" i="8"/>
  <c r="I106" i="8" s="1"/>
  <c r="I203" i="8"/>
  <c r="I204" i="8" s="1"/>
  <c r="D105" i="8"/>
  <c r="D203" i="8"/>
  <c r="D204" i="8" s="1"/>
  <c r="K105" i="8"/>
  <c r="K106" i="8" s="1"/>
  <c r="K203" i="8"/>
  <c r="K204" i="8" s="1"/>
  <c r="D89" i="8"/>
  <c r="M186" i="8"/>
  <c r="G183" i="8"/>
  <c r="G184" i="8" s="1"/>
  <c r="L183" i="8"/>
  <c r="L184" i="8" s="1"/>
  <c r="I183" i="8"/>
  <c r="I184" i="8" s="1"/>
  <c r="J183" i="8"/>
  <c r="J184" i="8" s="1"/>
  <c r="K183" i="8"/>
  <c r="K184" i="8" s="1"/>
  <c r="Z23" i="9"/>
  <c r="P18" i="11"/>
  <c r="T18" i="11" s="1"/>
  <c r="P35" i="11"/>
  <c r="Z16" i="9"/>
  <c r="D34" i="17"/>
  <c r="P46" i="11"/>
  <c r="T46" i="11" s="1"/>
  <c r="Z20" i="9"/>
  <c r="P58" i="11"/>
  <c r="P45" i="11"/>
  <c r="T45" i="11" s="1"/>
  <c r="E13" i="11"/>
  <c r="X13" i="11" s="1"/>
  <c r="M195" i="8"/>
  <c r="C191" i="8"/>
  <c r="C192" i="8" s="1"/>
  <c r="L191" i="8"/>
  <c r="L192" i="8" s="1"/>
  <c r="D191" i="8"/>
  <c r="D192" i="8" s="1"/>
  <c r="J191" i="8"/>
  <c r="J192" i="8" s="1"/>
  <c r="K191" i="8"/>
  <c r="K192" i="8" s="1"/>
  <c r="I191" i="8"/>
  <c r="I192" i="8" s="1"/>
  <c r="F191" i="8"/>
  <c r="F192" i="8" s="1"/>
  <c r="G191" i="8"/>
  <c r="G192" i="8" s="1"/>
  <c r="E191" i="8"/>
  <c r="E192" i="8" s="1"/>
  <c r="H191" i="8"/>
  <c r="H192" i="8" s="1"/>
  <c r="E175" i="8"/>
  <c r="E176" i="8" s="1"/>
  <c r="D175" i="8"/>
  <c r="D176" i="8" s="1"/>
  <c r="C175" i="8"/>
  <c r="C176" i="8" s="1"/>
  <c r="J175" i="8"/>
  <c r="J176" i="8" s="1"/>
  <c r="F175" i="8"/>
  <c r="F176" i="8" s="1"/>
  <c r="L175" i="8"/>
  <c r="L176" i="8" s="1"/>
  <c r="K175" i="8"/>
  <c r="K176" i="8" s="1"/>
  <c r="H175" i="8"/>
  <c r="H176" i="8" s="1"/>
  <c r="G175" i="8"/>
  <c r="G176" i="8" s="1"/>
  <c r="I175" i="8"/>
  <c r="I176" i="8" s="1"/>
  <c r="E39" i="11"/>
  <c r="G109" i="11"/>
  <c r="H109" i="11" s="1"/>
  <c r="C199" i="8"/>
  <c r="C200" i="8" s="1"/>
  <c r="L199" i="8"/>
  <c r="L200" i="8" s="1"/>
  <c r="J199" i="8"/>
  <c r="J200" i="8" s="1"/>
  <c r="G199" i="8"/>
  <c r="G200" i="8" s="1"/>
  <c r="I199" i="8"/>
  <c r="I200" i="8" s="1"/>
  <c r="H199" i="8"/>
  <c r="H200" i="8" s="1"/>
  <c r="F199" i="8"/>
  <c r="F200" i="8" s="1"/>
  <c r="E199" i="8"/>
  <c r="E200" i="8" s="1"/>
  <c r="D199" i="8"/>
  <c r="D200" i="8" s="1"/>
  <c r="K199" i="8"/>
  <c r="K200" i="8" s="1"/>
  <c r="D187" i="8"/>
  <c r="D188" i="8" s="1"/>
  <c r="E171" i="8"/>
  <c r="E172" i="8" s="1"/>
  <c r="I171" i="8"/>
  <c r="I172" i="8" s="1"/>
  <c r="L171" i="8"/>
  <c r="L172" i="8" s="1"/>
  <c r="K171" i="8"/>
  <c r="K172" i="8" s="1"/>
  <c r="H171" i="8"/>
  <c r="H172" i="8" s="1"/>
  <c r="G171" i="8"/>
  <c r="G172" i="8" s="1"/>
  <c r="J171" i="8"/>
  <c r="J172" i="8" s="1"/>
  <c r="D171" i="8"/>
  <c r="C171" i="8"/>
  <c r="C172" i="8" s="1"/>
  <c r="F171" i="8"/>
  <c r="F172" i="8" s="1"/>
  <c r="P26" i="11"/>
  <c r="P51" i="11"/>
  <c r="P23" i="11"/>
  <c r="P20" i="11"/>
  <c r="P47" i="11"/>
  <c r="T47" i="11" s="1"/>
  <c r="P52" i="11"/>
  <c r="P19" i="11"/>
  <c r="T19" i="11" s="1"/>
  <c r="P24" i="11"/>
  <c r="P28" i="11"/>
  <c r="P29" i="11"/>
  <c r="F17" i="5"/>
  <c r="AH17" i="5"/>
  <c r="AJ17" i="5"/>
  <c r="H17" i="5"/>
  <c r="D17" i="5"/>
  <c r="AV17" i="5"/>
  <c r="AA94" i="28"/>
  <c r="AD105" i="28" s="1"/>
  <c r="AD113" i="28" s="1"/>
  <c r="AD93" i="28"/>
  <c r="AD94" i="28" s="1"/>
  <c r="P30" i="11"/>
  <c r="AX17" i="5"/>
  <c r="Z28" i="9"/>
  <c r="AT17" i="5"/>
  <c r="AR17" i="5"/>
  <c r="J62" i="11"/>
  <c r="Z25" i="9"/>
  <c r="AP17" i="5"/>
  <c r="Z21" i="9"/>
  <c r="Z24" i="9"/>
  <c r="AN17" i="5"/>
  <c r="AL17" i="5"/>
  <c r="P21" i="11"/>
  <c r="R7" i="11"/>
  <c r="Z27" i="9"/>
  <c r="R37" i="11"/>
  <c r="G112" i="11"/>
  <c r="H112" i="11" s="1"/>
  <c r="E42" i="11"/>
  <c r="X42" i="11" s="1"/>
  <c r="E12" i="11"/>
  <c r="X12" i="11" s="1"/>
  <c r="D31" i="11"/>
  <c r="G111" i="11"/>
  <c r="H111" i="11" s="1"/>
  <c r="E41" i="11"/>
  <c r="X41" i="11" s="1"/>
  <c r="C59" i="11"/>
  <c r="F12" i="17" s="1"/>
  <c r="C33" i="9"/>
  <c r="G110" i="11"/>
  <c r="H110" i="11" s="1"/>
  <c r="E40" i="11"/>
  <c r="X40" i="11" s="1"/>
  <c r="D98" i="11"/>
  <c r="E79" i="11"/>
  <c r="J17" i="5"/>
  <c r="G108" i="11"/>
  <c r="H108" i="11" s="1"/>
  <c r="S38" i="11"/>
  <c r="E38" i="11"/>
  <c r="R81" i="11"/>
  <c r="S81" i="11" s="1"/>
  <c r="G98" i="11"/>
  <c r="H8" i="32" s="1"/>
  <c r="H76" i="11"/>
  <c r="R76" i="11" s="1"/>
  <c r="S76" i="11" s="1"/>
  <c r="P44" i="11"/>
  <c r="T44" i="11" s="1"/>
  <c r="P15" i="11"/>
  <c r="T15" i="11" s="1"/>
  <c r="B33" i="9"/>
  <c r="D33" i="9"/>
  <c r="E35" i="11"/>
  <c r="G105" i="11"/>
  <c r="S35" i="11"/>
  <c r="D59" i="11"/>
  <c r="F11" i="18" s="1"/>
  <c r="E14" i="11"/>
  <c r="X14" i="11" s="1"/>
  <c r="F22" i="24"/>
  <c r="G26" i="24" s="1"/>
  <c r="G34" i="24" s="1"/>
  <c r="S37" i="11"/>
  <c r="E37" i="11"/>
  <c r="T37" i="11" s="1"/>
  <c r="G107" i="11"/>
  <c r="H107" i="11" s="1"/>
  <c r="P16" i="11"/>
  <c r="T16" i="11" s="1"/>
  <c r="P43" i="11"/>
  <c r="T43" i="11" s="1"/>
  <c r="M113" i="8" l="1"/>
  <c r="M210" i="8" s="1"/>
  <c r="T14" i="11"/>
  <c r="T42" i="11"/>
  <c r="T41" i="11"/>
  <c r="T13" i="11"/>
  <c r="L187" i="8"/>
  <c r="L188" i="8" s="1"/>
  <c r="M93" i="8"/>
  <c r="D94" i="8"/>
  <c r="I187" i="8"/>
  <c r="I188" i="8" s="1"/>
  <c r="E187" i="8"/>
  <c r="E188" i="8" s="1"/>
  <c r="G187" i="8"/>
  <c r="G188" i="8" s="1"/>
  <c r="K187" i="8"/>
  <c r="K188" i="8" s="1"/>
  <c r="C187" i="8"/>
  <c r="C188" i="8" s="1"/>
  <c r="H187" i="8"/>
  <c r="H188" i="8" s="1"/>
  <c r="J187" i="8"/>
  <c r="J188" i="8" s="1"/>
  <c r="T40" i="11"/>
  <c r="T12" i="11"/>
  <c r="X11" i="11"/>
  <c r="T11" i="11"/>
  <c r="T39" i="11"/>
  <c r="X39" i="11"/>
  <c r="E179" i="8"/>
  <c r="E180" i="8" s="1"/>
  <c r="J179" i="8"/>
  <c r="J180" i="8" s="1"/>
  <c r="D172" i="8"/>
  <c r="M172" i="8" s="1"/>
  <c r="N171" i="8"/>
  <c r="O171" i="8" s="1"/>
  <c r="H11" i="32"/>
  <c r="C130" i="11"/>
  <c r="F13" i="31"/>
  <c r="F16" i="31" s="1"/>
  <c r="M220" i="8"/>
  <c r="H19" i="11" s="1"/>
  <c r="H47" i="11" s="1"/>
  <c r="D130" i="11"/>
  <c r="M216" i="8"/>
  <c r="H18" i="11" s="1"/>
  <c r="H46" i="11" s="1"/>
  <c r="E62" i="11"/>
  <c r="M212" i="8"/>
  <c r="H17" i="11" s="1"/>
  <c r="H45" i="11" s="1"/>
  <c r="M208" i="8"/>
  <c r="H16" i="11" s="1"/>
  <c r="H44" i="11" s="1"/>
  <c r="M204" i="8"/>
  <c r="H15" i="11" s="1"/>
  <c r="H43" i="11" s="1"/>
  <c r="M184" i="8"/>
  <c r="D179" i="8"/>
  <c r="D180" i="8" s="1"/>
  <c r="F179" i="8"/>
  <c r="F180" i="8" s="1"/>
  <c r="C179" i="8"/>
  <c r="C180" i="8" s="1"/>
  <c r="L179" i="8"/>
  <c r="L180" i="8" s="1"/>
  <c r="H179" i="8"/>
  <c r="H180" i="8" s="1"/>
  <c r="I179" i="8"/>
  <c r="I180" i="8" s="1"/>
  <c r="G179" i="8"/>
  <c r="G180" i="8" s="1"/>
  <c r="T38" i="11"/>
  <c r="E31" i="11"/>
  <c r="C32" i="11" s="1"/>
  <c r="M121" i="8"/>
  <c r="M218" i="8" s="1"/>
  <c r="D122" i="8"/>
  <c r="M117" i="8"/>
  <c r="M214" i="8" s="1"/>
  <c r="D118" i="8"/>
  <c r="M109" i="8"/>
  <c r="M206" i="8" s="1"/>
  <c r="D110" i="8"/>
  <c r="M105" i="8"/>
  <c r="M202" i="8" s="1"/>
  <c r="D106" i="8"/>
  <c r="M89" i="8"/>
  <c r="D90" i="8"/>
  <c r="M200" i="8"/>
  <c r="H14" i="11" s="1"/>
  <c r="H42" i="11" s="1"/>
  <c r="M176" i="8"/>
  <c r="M192" i="8"/>
  <c r="H12" i="11" s="1"/>
  <c r="H40" i="11" s="1"/>
  <c r="C195" i="8"/>
  <c r="C196" i="8" s="1"/>
  <c r="J195" i="8"/>
  <c r="J196" i="8" s="1"/>
  <c r="D195" i="8"/>
  <c r="D196" i="8" s="1"/>
  <c r="E195" i="8"/>
  <c r="E196" i="8" s="1"/>
  <c r="H195" i="8"/>
  <c r="H196" i="8" s="1"/>
  <c r="K195" i="8"/>
  <c r="K196" i="8" s="1"/>
  <c r="F195" i="8"/>
  <c r="F196" i="8" s="1"/>
  <c r="L195" i="8"/>
  <c r="L196" i="8" s="1"/>
  <c r="G195" i="8"/>
  <c r="G196" i="8" s="1"/>
  <c r="I195" i="8"/>
  <c r="I196" i="8" s="1"/>
  <c r="C63" i="11"/>
  <c r="C64" i="11" s="1"/>
  <c r="E130" i="11"/>
  <c r="G99" i="11"/>
  <c r="H105" i="11"/>
  <c r="H129" i="11" s="1"/>
  <c r="G129" i="11"/>
  <c r="H13" i="32" s="1"/>
  <c r="H16" i="32" s="1"/>
  <c r="H79" i="11"/>
  <c r="E98" i="11"/>
  <c r="F8" i="31" s="1"/>
  <c r="D63" i="11"/>
  <c r="D64" i="11" s="1"/>
  <c r="E59" i="11"/>
  <c r="T35" i="11"/>
  <c r="M188" i="8" l="1"/>
  <c r="H17" i="32"/>
  <c r="H19" i="32"/>
  <c r="F19" i="31"/>
  <c r="F11" i="31"/>
  <c r="F17" i="31" s="1"/>
  <c r="O85" i="11"/>
  <c r="M180" i="8"/>
  <c r="D32" i="11"/>
  <c r="M196" i="8"/>
  <c r="H13" i="11" s="1"/>
  <c r="H41" i="11" s="1"/>
  <c r="G130" i="11"/>
  <c r="E63" i="11"/>
  <c r="E64" i="11" s="1"/>
  <c r="D60" i="11"/>
  <c r="C60" i="11"/>
  <c r="R79" i="11"/>
  <c r="S79" i="11" s="1"/>
  <c r="H98" i="11"/>
  <c r="C101" i="11"/>
  <c r="E99" i="11"/>
  <c r="H130" i="11"/>
  <c r="F20" i="31" l="1"/>
  <c r="H24" i="32"/>
  <c r="H20" i="32"/>
  <c r="H11" i="11"/>
  <c r="H39" i="11" s="1"/>
  <c r="E60" i="11"/>
  <c r="O86" i="11"/>
  <c r="D101" i="11"/>
  <c r="E101" i="11" s="1"/>
  <c r="H99" i="11"/>
  <c r="R98" i="11"/>
  <c r="O78" i="11" l="1"/>
  <c r="O83" i="11"/>
  <c r="H7" i="11"/>
  <c r="S98" i="11"/>
  <c r="S101" i="11" s="1"/>
  <c r="R101" i="11"/>
  <c r="O117" i="11" l="1"/>
  <c r="O79" i="11"/>
  <c r="O74" i="11"/>
  <c r="X7" i="11"/>
  <c r="H35" i="11"/>
  <c r="H8" i="11"/>
  <c r="O80" i="11"/>
  <c r="O109" i="11"/>
  <c r="H9" i="11"/>
  <c r="H10" i="11"/>
  <c r="O82" i="11"/>
  <c r="O84" i="11"/>
  <c r="O114" i="11"/>
  <c r="O81" i="11"/>
  <c r="X35" i="11" l="1"/>
  <c r="V29" i="28"/>
  <c r="V18" i="28"/>
  <c r="AD17" i="28"/>
  <c r="O110" i="11"/>
  <c r="O115" i="11"/>
  <c r="O113" i="11"/>
  <c r="X9" i="11"/>
  <c r="O76" i="11"/>
  <c r="H37" i="11"/>
  <c r="X37" i="11" s="1"/>
  <c r="O111" i="11"/>
  <c r="X8" i="11"/>
  <c r="O75" i="11"/>
  <c r="H36" i="11"/>
  <c r="X36" i="11" s="1"/>
  <c r="O112" i="11"/>
  <c r="O77" i="11"/>
  <c r="X10" i="11"/>
  <c r="H38" i="11"/>
  <c r="X38" i="11" s="1"/>
  <c r="O105" i="11"/>
  <c r="D15" i="29" l="1"/>
  <c r="I1" i="9"/>
  <c r="G1" i="9"/>
  <c r="H1" i="9" s="1"/>
  <c r="V30" i="28"/>
  <c r="V31" i="28" s="1"/>
  <c r="W33" i="28"/>
  <c r="D18" i="18"/>
  <c r="D38" i="18"/>
  <c r="AD18" i="28"/>
  <c r="AD22" i="28" s="1"/>
  <c r="AE26" i="28" s="1"/>
  <c r="AD29" i="28"/>
  <c r="O116" i="11"/>
  <c r="O108" i="11"/>
  <c r="O106" i="11"/>
  <c r="O107" i="11"/>
  <c r="K1" i="9" l="1"/>
  <c r="K2" i="9"/>
  <c r="W37" i="28"/>
  <c r="AD30" i="28"/>
  <c r="AE33" i="28"/>
  <c r="D32" i="18"/>
  <c r="D20" i="18" s="1"/>
  <c r="AD58" i="28"/>
  <c r="AD59" i="28" s="1"/>
  <c r="AD64" i="28" s="1"/>
  <c r="AE68" i="28" s="1"/>
  <c r="AD31" i="28"/>
  <c r="AE37" i="28" l="1"/>
  <c r="U12" i="28"/>
  <c r="D21" i="18"/>
  <c r="D34" i="18" s="1"/>
  <c r="AD71" i="28"/>
  <c r="AD72" i="28" s="1"/>
  <c r="AD73" i="28" s="1"/>
  <c r="AD110" i="28"/>
  <c r="AD111" i="28" s="1"/>
  <c r="AD112" i="28" s="1"/>
  <c r="AE34" i="28"/>
  <c r="AE39" i="28" s="1"/>
  <c r="V12" i="28" l="1"/>
  <c r="V13" i="28" s="1"/>
  <c r="V22" i="28" s="1"/>
  <c r="W26" i="28" s="1"/>
  <c r="W34" i="28" s="1"/>
  <c r="W39" i="28"/>
  <c r="AE75" i="28"/>
  <c r="AE114" i="28"/>
  <c r="U93" i="28" l="1"/>
  <c r="AE76" i="28"/>
  <c r="U54" i="28"/>
  <c r="V54" i="28" l="1"/>
  <c r="V55" i="28" s="1"/>
  <c r="V93" i="28"/>
  <c r="V94" i="28" s="1"/>
  <c r="D30" i="17"/>
  <c r="D21" i="17" s="1"/>
  <c r="V14" i="9" l="1"/>
  <c r="X14" i="9"/>
  <c r="Z14" i="9" l="1"/>
  <c r="D36" i="18" l="1"/>
  <c r="D19" i="17" l="1"/>
  <c r="D22" i="17" s="1"/>
  <c r="D32" i="17" s="1"/>
  <c r="D36" i="17"/>
  <c r="V71" i="28" l="1"/>
  <c r="V97" i="28"/>
  <c r="V98" i="28" s="1"/>
  <c r="V103" i="28" s="1"/>
  <c r="W107" i="28" s="1"/>
  <c r="V58" i="28" l="1"/>
  <c r="V59" i="28" s="1"/>
  <c r="V64" i="28" s="1"/>
  <c r="W68" i="28" s="1"/>
  <c r="V110" i="28"/>
  <c r="V111" i="28" s="1"/>
  <c r="V112" i="28" s="1"/>
  <c r="V72" i="28"/>
  <c r="V73" i="28" s="1"/>
  <c r="W75" i="28"/>
  <c r="M54" i="28" s="1"/>
  <c r="N54" i="28" l="1"/>
  <c r="N55" i="28" s="1"/>
  <c r="N64" i="28" s="1"/>
  <c r="O68" i="28" s="1"/>
  <c r="O76" i="28" s="1"/>
  <c r="E53" i="28"/>
  <c r="F53" i="28" s="1"/>
  <c r="W76" i="28"/>
  <c r="W114" i="28"/>
  <c r="M93" i="28" s="1"/>
  <c r="N93" i="28" l="1"/>
  <c r="N94" i="28" s="1"/>
  <c r="N103" i="28" s="1"/>
  <c r="O107" i="28" s="1"/>
  <c r="O115" i="28" s="1"/>
  <c r="E92" i="28"/>
  <c r="F92" i="28" s="1"/>
  <c r="W115" i="28"/>
  <c r="AY6" i="5"/>
  <c r="AY17" i="5" s="1"/>
  <c r="AC17" i="5"/>
  <c r="AD16" i="5" l="1"/>
  <c r="AD8" i="5"/>
  <c r="AD15" i="5"/>
  <c r="AD7" i="5"/>
  <c r="AD14" i="5"/>
  <c r="AD6" i="5"/>
  <c r="AD17" i="5" s="1"/>
  <c r="AD10" i="5"/>
  <c r="AD13" i="5"/>
  <c r="AD11" i="5"/>
  <c r="AD12" i="5"/>
  <c r="AD9" i="5"/>
  <c r="AF17" i="5"/>
  <c r="AZ11" i="5"/>
  <c r="H222" i="8" s="1"/>
  <c r="H226" i="8" s="1"/>
  <c r="AZ10" i="5"/>
  <c r="G222" i="8" s="1"/>
  <c r="G226" i="8" s="1"/>
  <c r="AZ14" i="5"/>
  <c r="K222" i="8" s="1"/>
  <c r="K226" i="8" s="1"/>
  <c r="AZ13" i="5"/>
  <c r="J222" i="8" s="1"/>
  <c r="J226" i="8" s="1"/>
  <c r="AZ8" i="5"/>
  <c r="E222" i="8" s="1"/>
  <c r="E226" i="8" s="1"/>
  <c r="AZ12" i="5"/>
  <c r="I222" i="8" s="1"/>
  <c r="I226" i="8" s="1"/>
  <c r="AZ7" i="5"/>
  <c r="D222" i="8" s="1"/>
  <c r="D226" i="8" s="1"/>
  <c r="AZ9" i="5"/>
  <c r="F222" i="8" s="1"/>
  <c r="F226" i="8" s="1"/>
  <c r="AZ15" i="5"/>
  <c r="L222" i="8" s="1"/>
  <c r="L226" i="8" s="1"/>
  <c r="AZ16" i="5"/>
  <c r="AZ6" i="5"/>
  <c r="L230" i="8" l="1"/>
  <c r="L129" i="8"/>
  <c r="L130" i="8" s="1"/>
  <c r="L227" i="8"/>
  <c r="L228" i="8" s="1"/>
  <c r="F230" i="8"/>
  <c r="F129" i="8"/>
  <c r="F130" i="8" s="1"/>
  <c r="F227" i="8"/>
  <c r="F228" i="8" s="1"/>
  <c r="F125" i="8"/>
  <c r="F126" i="8" s="1"/>
  <c r="H230" i="8"/>
  <c r="H129" i="8"/>
  <c r="H130" i="8" s="1"/>
  <c r="H227" i="8"/>
  <c r="H228" i="8" s="1"/>
  <c r="E230" i="8"/>
  <c r="E129" i="8"/>
  <c r="E130" i="8" s="1"/>
  <c r="E227" i="8"/>
  <c r="E228" i="8" s="1"/>
  <c r="G230" i="8"/>
  <c r="G129" i="8"/>
  <c r="G130" i="8" s="1"/>
  <c r="G227" i="8"/>
  <c r="G228" i="8" s="1"/>
  <c r="F223" i="8"/>
  <c r="F224" i="8" s="1"/>
  <c r="J230" i="8"/>
  <c r="J129" i="8"/>
  <c r="J130" i="8" s="1"/>
  <c r="J227" i="8"/>
  <c r="J228" i="8" s="1"/>
  <c r="D230" i="8"/>
  <c r="D129" i="8"/>
  <c r="D227" i="8"/>
  <c r="D228" i="8" s="1"/>
  <c r="I230" i="8"/>
  <c r="I129" i="8"/>
  <c r="I130" i="8" s="1"/>
  <c r="I227" i="8"/>
  <c r="I228" i="8" s="1"/>
  <c r="K230" i="8"/>
  <c r="K227" i="8"/>
  <c r="K228" i="8" s="1"/>
  <c r="K129" i="8"/>
  <c r="K130" i="8" s="1"/>
  <c r="G125" i="8"/>
  <c r="G126" i="8" s="1"/>
  <c r="G223" i="8"/>
  <c r="G224" i="8" s="1"/>
  <c r="K125" i="8"/>
  <c r="K126" i="8" s="1"/>
  <c r="K223" i="8"/>
  <c r="K224" i="8" s="1"/>
  <c r="D125" i="8"/>
  <c r="D223" i="8"/>
  <c r="D224" i="8" s="1"/>
  <c r="L125" i="8"/>
  <c r="L126" i="8" s="1"/>
  <c r="L223" i="8"/>
  <c r="L224" i="8" s="1"/>
  <c r="I125" i="8"/>
  <c r="I126" i="8" s="1"/>
  <c r="I223" i="8"/>
  <c r="I224" i="8" s="1"/>
  <c r="E125" i="8"/>
  <c r="E126" i="8" s="1"/>
  <c r="E223" i="8"/>
  <c r="E224" i="8" s="1"/>
  <c r="J125" i="8"/>
  <c r="J126" i="8" s="1"/>
  <c r="J223" i="8"/>
  <c r="J224" i="8" s="1"/>
  <c r="H125" i="8"/>
  <c r="H126" i="8" s="1"/>
  <c r="H223" i="8"/>
  <c r="H224" i="8" s="1"/>
  <c r="AZ17" i="5"/>
  <c r="I234" i="8" l="1"/>
  <c r="I133" i="8"/>
  <c r="I134" i="8" s="1"/>
  <c r="I231" i="8"/>
  <c r="I232" i="8" s="1"/>
  <c r="D234" i="8"/>
  <c r="D231" i="8"/>
  <c r="D232" i="8" s="1"/>
  <c r="D133" i="8"/>
  <c r="M230" i="8"/>
  <c r="H234" i="8"/>
  <c r="H133" i="8"/>
  <c r="H134" i="8" s="1"/>
  <c r="H231" i="8"/>
  <c r="H232" i="8" s="1"/>
  <c r="D130" i="8"/>
  <c r="M129" i="8"/>
  <c r="M226" i="8" s="1"/>
  <c r="F234" i="8"/>
  <c r="F231" i="8"/>
  <c r="F232" i="8" s="1"/>
  <c r="F133" i="8"/>
  <c r="F134" i="8" s="1"/>
  <c r="M228" i="8"/>
  <c r="H21" i="11" s="1"/>
  <c r="H49" i="11" s="1"/>
  <c r="K234" i="8"/>
  <c r="K231" i="8"/>
  <c r="K232" i="8" s="1"/>
  <c r="K133" i="8"/>
  <c r="K134" i="8" s="1"/>
  <c r="E234" i="8"/>
  <c r="E133" i="8"/>
  <c r="E134" i="8" s="1"/>
  <c r="E231" i="8"/>
  <c r="E232" i="8" s="1"/>
  <c r="G234" i="8"/>
  <c r="G133" i="8"/>
  <c r="G134" i="8" s="1"/>
  <c r="G231" i="8"/>
  <c r="G232" i="8" s="1"/>
  <c r="J234" i="8"/>
  <c r="J133" i="8"/>
  <c r="J134" i="8" s="1"/>
  <c r="J231" i="8"/>
  <c r="J232" i="8" s="1"/>
  <c r="L234" i="8"/>
  <c r="L133" i="8"/>
  <c r="L134" i="8" s="1"/>
  <c r="L231" i="8"/>
  <c r="L232" i="8" s="1"/>
  <c r="M224" i="8"/>
  <c r="H20" i="11" s="1"/>
  <c r="H48" i="11" s="1"/>
  <c r="M125" i="8"/>
  <c r="M222" i="8" s="1"/>
  <c r="D126" i="8"/>
  <c r="H238" i="8" l="1"/>
  <c r="H137" i="8"/>
  <c r="H138" i="8" s="1"/>
  <c r="H235" i="8"/>
  <c r="H236" i="8" s="1"/>
  <c r="D134" i="8"/>
  <c r="M133" i="8"/>
  <c r="F238" i="8"/>
  <c r="F137" i="8"/>
  <c r="F138" i="8" s="1"/>
  <c r="F235" i="8"/>
  <c r="F236" i="8" s="1"/>
  <c r="M232" i="8"/>
  <c r="H22" i="11" s="1"/>
  <c r="H50" i="11" s="1"/>
  <c r="L238" i="8"/>
  <c r="L137" i="8"/>
  <c r="L138" i="8" s="1"/>
  <c r="L235" i="8"/>
  <c r="L236" i="8" s="1"/>
  <c r="E238" i="8"/>
  <c r="E235" i="8"/>
  <c r="E236" i="8" s="1"/>
  <c r="E137" i="8"/>
  <c r="E138" i="8" s="1"/>
  <c r="D238" i="8"/>
  <c r="D137" i="8"/>
  <c r="D235" i="8"/>
  <c r="D236" i="8" s="1"/>
  <c r="M234" i="8"/>
  <c r="O88" i="11"/>
  <c r="G238" i="8"/>
  <c r="G137" i="8"/>
  <c r="G138" i="8" s="1"/>
  <c r="G235" i="8"/>
  <c r="G236" i="8" s="1"/>
  <c r="J238" i="8"/>
  <c r="J137" i="8"/>
  <c r="J138" i="8" s="1"/>
  <c r="J235" i="8"/>
  <c r="J236" i="8" s="1"/>
  <c r="K238" i="8"/>
  <c r="K235" i="8"/>
  <c r="K236" i="8" s="1"/>
  <c r="K137" i="8"/>
  <c r="K138" i="8" s="1"/>
  <c r="I238" i="8"/>
  <c r="I137" i="8"/>
  <c r="I138" i="8" s="1"/>
  <c r="I235" i="8"/>
  <c r="I236" i="8" s="1"/>
  <c r="O87" i="11"/>
  <c r="O98" i="11" s="1"/>
  <c r="O118" i="11" l="1"/>
  <c r="G242" i="8"/>
  <c r="G141" i="8"/>
  <c r="G142" i="8" s="1"/>
  <c r="G239" i="8"/>
  <c r="G240" i="8" s="1"/>
  <c r="D242" i="8"/>
  <c r="M238" i="8"/>
  <c r="D239" i="8"/>
  <c r="D240" i="8" s="1"/>
  <c r="D141" i="8"/>
  <c r="F242" i="8"/>
  <c r="F141" i="8"/>
  <c r="F142" i="8" s="1"/>
  <c r="F239" i="8"/>
  <c r="F240" i="8" s="1"/>
  <c r="E242" i="8"/>
  <c r="E141" i="8"/>
  <c r="E142" i="8" s="1"/>
  <c r="E239" i="8"/>
  <c r="E240" i="8" s="1"/>
  <c r="O119" i="11"/>
  <c r="J242" i="8"/>
  <c r="J141" i="8"/>
  <c r="J142" i="8" s="1"/>
  <c r="J239" i="8"/>
  <c r="J240" i="8" s="1"/>
  <c r="I242" i="8"/>
  <c r="I141" i="8"/>
  <c r="I142" i="8" s="1"/>
  <c r="I239" i="8"/>
  <c r="I240" i="8" s="1"/>
  <c r="M236" i="8"/>
  <c r="H23" i="11" s="1"/>
  <c r="H51" i="11" s="1"/>
  <c r="L242" i="8"/>
  <c r="L141" i="8"/>
  <c r="L142" i="8" s="1"/>
  <c r="L239" i="8"/>
  <c r="L240" i="8" s="1"/>
  <c r="K242" i="8"/>
  <c r="K141" i="8"/>
  <c r="K142" i="8" s="1"/>
  <c r="K239" i="8"/>
  <c r="K240" i="8" s="1"/>
  <c r="D138" i="8"/>
  <c r="M137" i="8"/>
  <c r="O89" i="11"/>
  <c r="H242" i="8"/>
  <c r="H239" i="8"/>
  <c r="H240" i="8" s="1"/>
  <c r="H141" i="8"/>
  <c r="H142" i="8" s="1"/>
  <c r="O129" i="11"/>
  <c r="F17" i="28" l="1"/>
  <c r="F18" i="28" s="1"/>
  <c r="F29" i="28"/>
  <c r="O90" i="11"/>
  <c r="J246" i="8"/>
  <c r="J145" i="8"/>
  <c r="J146" i="8" s="1"/>
  <c r="J243" i="8"/>
  <c r="J244" i="8" s="1"/>
  <c r="D142" i="8"/>
  <c r="M141" i="8"/>
  <c r="L246" i="8"/>
  <c r="L145" i="8"/>
  <c r="L146" i="8" s="1"/>
  <c r="L243" i="8"/>
  <c r="L244" i="8" s="1"/>
  <c r="M240" i="8"/>
  <c r="H24" i="11" s="1"/>
  <c r="H52" i="11" s="1"/>
  <c r="O120" i="11"/>
  <c r="F246" i="8"/>
  <c r="F145" i="8"/>
  <c r="F146" i="8" s="1"/>
  <c r="F243" i="8"/>
  <c r="F244" i="8" s="1"/>
  <c r="E246" i="8"/>
  <c r="E145" i="8"/>
  <c r="E146" i="8" s="1"/>
  <c r="E243" i="8"/>
  <c r="E244" i="8" s="1"/>
  <c r="H246" i="8"/>
  <c r="H145" i="8"/>
  <c r="H146" i="8" s="1"/>
  <c r="H243" i="8"/>
  <c r="H244" i="8" s="1"/>
  <c r="I246" i="8"/>
  <c r="I243" i="8"/>
  <c r="I244" i="8" s="1"/>
  <c r="I145" i="8"/>
  <c r="I146" i="8" s="1"/>
  <c r="D246" i="8"/>
  <c r="D145" i="8"/>
  <c r="D243" i="8"/>
  <c r="D244" i="8" s="1"/>
  <c r="M242" i="8"/>
  <c r="K246" i="8"/>
  <c r="K243" i="8"/>
  <c r="K244" i="8" s="1"/>
  <c r="K145" i="8"/>
  <c r="K146" i="8" s="1"/>
  <c r="G246" i="8"/>
  <c r="G145" i="8"/>
  <c r="G146" i="8" s="1"/>
  <c r="G243" i="8"/>
  <c r="G244" i="8" s="1"/>
  <c r="G33" i="28" l="1"/>
  <c r="G37" i="28" s="1"/>
  <c r="F30" i="28"/>
  <c r="F31" i="28" s="1"/>
  <c r="D250" i="8"/>
  <c r="D149" i="8"/>
  <c r="M246" i="8"/>
  <c r="D247" i="8"/>
  <c r="D248" i="8" s="1"/>
  <c r="O91" i="11"/>
  <c r="J250" i="8"/>
  <c r="J149" i="8"/>
  <c r="J150" i="8" s="1"/>
  <c r="J247" i="8"/>
  <c r="J248" i="8" s="1"/>
  <c r="G250" i="8"/>
  <c r="G247" i="8"/>
  <c r="G248" i="8" s="1"/>
  <c r="G149" i="8"/>
  <c r="G150" i="8" s="1"/>
  <c r="E250" i="8"/>
  <c r="E149" i="8"/>
  <c r="E150" i="8" s="1"/>
  <c r="E247" i="8"/>
  <c r="E248" i="8" s="1"/>
  <c r="E12" i="28"/>
  <c r="F12" i="28" s="1"/>
  <c r="I250" i="8"/>
  <c r="I149" i="8"/>
  <c r="I150" i="8" s="1"/>
  <c r="I247" i="8"/>
  <c r="I248" i="8" s="1"/>
  <c r="L250" i="8"/>
  <c r="L247" i="8"/>
  <c r="L248" i="8" s="1"/>
  <c r="L149" i="8"/>
  <c r="L150" i="8" s="1"/>
  <c r="H250" i="8"/>
  <c r="H149" i="8"/>
  <c r="H150" i="8" s="1"/>
  <c r="H247" i="8"/>
  <c r="H248" i="8" s="1"/>
  <c r="K250" i="8"/>
  <c r="K149" i="8"/>
  <c r="K150" i="8" s="1"/>
  <c r="K247" i="8"/>
  <c r="K248" i="8" s="1"/>
  <c r="M244" i="8"/>
  <c r="H25" i="11" s="1"/>
  <c r="H53" i="11" s="1"/>
  <c r="F250" i="8"/>
  <c r="F149" i="8"/>
  <c r="F150" i="8" s="1"/>
  <c r="F247" i="8"/>
  <c r="F248" i="8" s="1"/>
  <c r="D146" i="8"/>
  <c r="M145" i="8"/>
  <c r="O121" i="11"/>
  <c r="K254" i="8" l="1"/>
  <c r="K153" i="8"/>
  <c r="K154" i="8" s="1"/>
  <c r="K251" i="8"/>
  <c r="K252" i="8" s="1"/>
  <c r="E254" i="8"/>
  <c r="E251" i="8"/>
  <c r="E252" i="8" s="1"/>
  <c r="E153" i="8"/>
  <c r="E154" i="8" s="1"/>
  <c r="F254" i="8"/>
  <c r="F251" i="8"/>
  <c r="F252" i="8" s="1"/>
  <c r="F153" i="8"/>
  <c r="F154" i="8" s="1"/>
  <c r="I254" i="8"/>
  <c r="I153" i="8"/>
  <c r="I154" i="8" s="1"/>
  <c r="I251" i="8"/>
  <c r="I252" i="8" s="1"/>
  <c r="O122" i="11"/>
  <c r="O92" i="11"/>
  <c r="H254" i="8"/>
  <c r="H153" i="8"/>
  <c r="H154" i="8" s="1"/>
  <c r="H251" i="8"/>
  <c r="H252" i="8" s="1"/>
  <c r="F13" i="28"/>
  <c r="F22" i="28" s="1"/>
  <c r="G26" i="28" s="1"/>
  <c r="G34" i="28" s="1"/>
  <c r="G39" i="28" s="1"/>
  <c r="G254" i="8"/>
  <c r="G153" i="8"/>
  <c r="G154" i="8" s="1"/>
  <c r="G251" i="8"/>
  <c r="G252" i="8" s="1"/>
  <c r="M248" i="8"/>
  <c r="H26" i="11" s="1"/>
  <c r="H54" i="11" s="1"/>
  <c r="L254" i="8"/>
  <c r="L251" i="8"/>
  <c r="L252" i="8" s="1"/>
  <c r="L153" i="8"/>
  <c r="L154" i="8" s="1"/>
  <c r="M149" i="8"/>
  <c r="D150" i="8"/>
  <c r="J254" i="8"/>
  <c r="J153" i="8"/>
  <c r="J154" i="8" s="1"/>
  <c r="J251" i="8"/>
  <c r="J252" i="8" s="1"/>
  <c r="D254" i="8"/>
  <c r="D153" i="8"/>
  <c r="M250" i="8"/>
  <c r="D251" i="8"/>
  <c r="D252" i="8" s="1"/>
  <c r="F6" i="27"/>
  <c r="D20" i="27" s="1"/>
  <c r="F20" i="27" s="1"/>
  <c r="F7" i="27"/>
  <c r="M252" i="8" l="1"/>
  <c r="H27" i="11" s="1"/>
  <c r="H55" i="11" s="1"/>
  <c r="D18" i="27"/>
  <c r="F18" i="27" s="1"/>
  <c r="M153" i="8"/>
  <c r="D154" i="8"/>
  <c r="O93" i="11"/>
  <c r="H258" i="8"/>
  <c r="H255" i="8"/>
  <c r="H256" i="8" s="1"/>
  <c r="H157" i="8"/>
  <c r="H158" i="8" s="1"/>
  <c r="L6" i="27"/>
  <c r="J15" i="27" s="1"/>
  <c r="L15" i="27" s="1"/>
  <c r="E93" i="28"/>
  <c r="F93" i="28" s="1"/>
  <c r="F94" i="28" s="1"/>
  <c r="F103" i="28" s="1"/>
  <c r="G107" i="28" s="1"/>
  <c r="G115" i="28" s="1"/>
  <c r="D17" i="27"/>
  <c r="F17" i="27" s="1"/>
  <c r="D258" i="8"/>
  <c r="D255" i="8"/>
  <c r="D256" i="8" s="1"/>
  <c r="D157" i="8"/>
  <c r="M254" i="8"/>
  <c r="E258" i="8"/>
  <c r="E255" i="8"/>
  <c r="E256" i="8" s="1"/>
  <c r="E157" i="8"/>
  <c r="E158" i="8" s="1"/>
  <c r="I258" i="8"/>
  <c r="I255" i="8"/>
  <c r="I256" i="8" s="1"/>
  <c r="I157" i="8"/>
  <c r="I158" i="8" s="1"/>
  <c r="F258" i="8"/>
  <c r="F255" i="8"/>
  <c r="F256" i="8" s="1"/>
  <c r="F157" i="8"/>
  <c r="F158" i="8" s="1"/>
  <c r="G258" i="8"/>
  <c r="G255" i="8"/>
  <c r="G256" i="8" s="1"/>
  <c r="G157" i="8"/>
  <c r="G158" i="8" s="1"/>
  <c r="I6" i="27"/>
  <c r="E54" i="28"/>
  <c r="F54" i="28" s="1"/>
  <c r="J258" i="8"/>
  <c r="J255" i="8"/>
  <c r="J256" i="8" s="1"/>
  <c r="J157" i="8"/>
  <c r="J158" i="8" s="1"/>
  <c r="L258" i="8"/>
  <c r="L255" i="8"/>
  <c r="L256" i="8" s="1"/>
  <c r="L157" i="8"/>
  <c r="L158" i="8" s="1"/>
  <c r="O123" i="11"/>
  <c r="K258" i="8"/>
  <c r="K255" i="8"/>
  <c r="K256" i="8" s="1"/>
  <c r="K157" i="8"/>
  <c r="K158" i="8" s="1"/>
  <c r="D9" i="27"/>
  <c r="F9" i="27" s="1"/>
  <c r="D13" i="27"/>
  <c r="D45" i="27"/>
  <c r="F45" i="27" s="1"/>
  <c r="D43" i="27"/>
  <c r="F43" i="27" s="1"/>
  <c r="D10" i="27"/>
  <c r="F10" i="27" s="1"/>
  <c r="D16" i="27"/>
  <c r="F16" i="27" s="1"/>
  <c r="D19" i="27"/>
  <c r="F19" i="27" s="1"/>
  <c r="D14" i="27"/>
  <c r="F14" i="27" s="1"/>
  <c r="D49" i="27"/>
  <c r="F49" i="27" s="1"/>
  <c r="D11" i="27"/>
  <c r="F11" i="27" s="1"/>
  <c r="D44" i="27"/>
  <c r="F44" i="27" s="1"/>
  <c r="D42" i="27"/>
  <c r="F42" i="27" s="1"/>
  <c r="D47" i="27"/>
  <c r="F47" i="27" s="1"/>
  <c r="D15" i="27"/>
  <c r="F15" i="27" s="1"/>
  <c r="D46" i="27"/>
  <c r="F46" i="27" s="1"/>
  <c r="D48" i="27"/>
  <c r="F48" i="27" s="1"/>
  <c r="D41" i="27"/>
  <c r="F41" i="27" s="1"/>
  <c r="D35" i="27"/>
  <c r="F35" i="27" s="1"/>
  <c r="D58" i="27"/>
  <c r="F58" i="27" s="1"/>
  <c r="D53" i="27"/>
  <c r="F53" i="27" s="1"/>
  <c r="D61" i="27"/>
  <c r="F61" i="27" s="1"/>
  <c r="D57" i="27"/>
  <c r="F57" i="27" s="1"/>
  <c r="D31" i="27"/>
  <c r="F31" i="27" s="1"/>
  <c r="D25" i="27"/>
  <c r="F25" i="27" s="1"/>
  <c r="D24" i="27"/>
  <c r="F24" i="27" s="1"/>
  <c r="D34" i="27"/>
  <c r="F34" i="27" s="1"/>
  <c r="D33" i="27"/>
  <c r="F33" i="27" s="1"/>
  <c r="D55" i="27"/>
  <c r="F55" i="27" s="1"/>
  <c r="D29" i="27"/>
  <c r="F29" i="27" s="1"/>
  <c r="D28" i="27"/>
  <c r="F28" i="27" s="1"/>
  <c r="D56" i="27"/>
  <c r="F56" i="27" s="1"/>
  <c r="D27" i="27"/>
  <c r="F27" i="27" s="1"/>
  <c r="D30" i="27"/>
  <c r="F30" i="27" s="1"/>
  <c r="D26" i="27"/>
  <c r="F26" i="27" s="1"/>
  <c r="D54" i="27"/>
  <c r="F54" i="27" s="1"/>
  <c r="D59" i="27"/>
  <c r="F59" i="27" s="1"/>
  <c r="D60" i="27"/>
  <c r="F60" i="27" s="1"/>
  <c r="D32" i="27"/>
  <c r="F32" i="27" s="1"/>
  <c r="G12" i="27" l="1"/>
  <c r="I12" i="27" s="1"/>
  <c r="G38" i="27"/>
  <c r="G39" i="27"/>
  <c r="G17" i="27"/>
  <c r="I17" i="27" s="1"/>
  <c r="G15" i="27"/>
  <c r="I15" i="27" s="1"/>
  <c r="G11" i="27"/>
  <c r="I11" i="27" s="1"/>
  <c r="G13" i="27"/>
  <c r="I13" i="27" s="1"/>
  <c r="G20" i="27"/>
  <c r="I20" i="27" s="1"/>
  <c r="G19" i="27"/>
  <c r="I19" i="27" s="1"/>
  <c r="G14" i="27"/>
  <c r="I14" i="27" s="1"/>
  <c r="I38" i="27"/>
  <c r="G10" i="27"/>
  <c r="I10" i="27" s="1"/>
  <c r="I39" i="27"/>
  <c r="G16" i="27"/>
  <c r="I16" i="27" s="1"/>
  <c r="G18" i="27"/>
  <c r="I18" i="27" s="1"/>
  <c r="O94" i="11"/>
  <c r="O125" i="11" s="1"/>
  <c r="F55" i="28"/>
  <c r="J14" i="27"/>
  <c r="N14" i="27" s="1"/>
  <c r="J38" i="27"/>
  <c r="L38" i="27" s="1"/>
  <c r="L262" i="8"/>
  <c r="L259" i="8"/>
  <c r="L260" i="8" s="1"/>
  <c r="L161" i="8"/>
  <c r="L162" i="8" s="1"/>
  <c r="F262" i="8"/>
  <c r="F161" i="8"/>
  <c r="F162" i="8" s="1"/>
  <c r="F259" i="8"/>
  <c r="F260" i="8" s="1"/>
  <c r="E262" i="8"/>
  <c r="E161" i="8"/>
  <c r="E162" i="8" s="1"/>
  <c r="E259" i="8"/>
  <c r="E260" i="8" s="1"/>
  <c r="L11" i="27"/>
  <c r="J39" i="27"/>
  <c r="L39" i="27" s="1"/>
  <c r="K262" i="8"/>
  <c r="K161" i="8"/>
  <c r="K162" i="8" s="1"/>
  <c r="K259" i="8"/>
  <c r="K260" i="8" s="1"/>
  <c r="M157" i="8"/>
  <c r="D158" i="8"/>
  <c r="H262" i="8"/>
  <c r="H161" i="8"/>
  <c r="H162" i="8" s="1"/>
  <c r="H259" i="8"/>
  <c r="H260" i="8" s="1"/>
  <c r="O124" i="11"/>
  <c r="J262" i="8"/>
  <c r="J161" i="8"/>
  <c r="J162" i="8" s="1"/>
  <c r="J259" i="8"/>
  <c r="J260" i="8" s="1"/>
  <c r="I262" i="8"/>
  <c r="I161" i="8"/>
  <c r="I162" i="8" s="1"/>
  <c r="I259" i="8"/>
  <c r="I260" i="8" s="1"/>
  <c r="M256" i="8"/>
  <c r="H28" i="11" s="1"/>
  <c r="H56" i="11" s="1"/>
  <c r="D262" i="8"/>
  <c r="D161" i="8"/>
  <c r="M258" i="8"/>
  <c r="D259" i="8"/>
  <c r="D260" i="8" s="1"/>
  <c r="G262" i="8"/>
  <c r="G161" i="8"/>
  <c r="G162" i="8" s="1"/>
  <c r="G259" i="8"/>
  <c r="G260" i="8" s="1"/>
  <c r="D12" i="27"/>
  <c r="F12" i="27" s="1"/>
  <c r="F13" i="27"/>
  <c r="M14" i="27"/>
  <c r="L14" i="27" l="1"/>
  <c r="J20" i="27"/>
  <c r="L20" i="27" s="1"/>
  <c r="J19" i="27"/>
  <c r="L19" i="27" s="1"/>
  <c r="J18" i="27"/>
  <c r="L18" i="27" s="1"/>
  <c r="J17" i="27"/>
  <c r="L17" i="27" s="1"/>
  <c r="J13" i="27"/>
  <c r="L13" i="27" s="1"/>
  <c r="J16" i="27"/>
  <c r="L16" i="27" s="1"/>
  <c r="L10" i="27"/>
  <c r="K165" i="8"/>
  <c r="K166" i="8" s="1"/>
  <c r="K263" i="8"/>
  <c r="K264" i="8" s="1"/>
  <c r="E165" i="8"/>
  <c r="E166" i="8" s="1"/>
  <c r="E263" i="8"/>
  <c r="E264" i="8" s="1"/>
  <c r="M260" i="8"/>
  <c r="H29" i="11" s="1"/>
  <c r="H57" i="11" s="1"/>
  <c r="I165" i="8"/>
  <c r="I166" i="8" s="1"/>
  <c r="I263" i="8"/>
  <c r="I264" i="8" s="1"/>
  <c r="H165" i="8"/>
  <c r="H166" i="8" s="1"/>
  <c r="H263" i="8"/>
  <c r="H264" i="8" s="1"/>
  <c r="F165" i="8"/>
  <c r="F166" i="8" s="1"/>
  <c r="F263" i="8"/>
  <c r="F264" i="8" s="1"/>
  <c r="D162" i="8"/>
  <c r="M161" i="8"/>
  <c r="O95" i="11"/>
  <c r="G165" i="8"/>
  <c r="G166" i="8" s="1"/>
  <c r="G263" i="8"/>
  <c r="G264" i="8" s="1"/>
  <c r="D165" i="8"/>
  <c r="M262" i="8"/>
  <c r="D263" i="8"/>
  <c r="D264" i="8" s="1"/>
  <c r="J165" i="8"/>
  <c r="J166" i="8" s="1"/>
  <c r="J263" i="8"/>
  <c r="J264" i="8" s="1"/>
  <c r="L165" i="8"/>
  <c r="L166" i="8" s="1"/>
  <c r="L263" i="8"/>
  <c r="L264" i="8" s="1"/>
  <c r="L12" i="27"/>
  <c r="O96" i="11" l="1"/>
  <c r="O126" i="11"/>
  <c r="M264" i="8"/>
  <c r="H30" i="11" s="1"/>
  <c r="H58" i="11" s="1"/>
  <c r="M165" i="8"/>
  <c r="D166" i="8"/>
  <c r="H59" i="11" l="1"/>
  <c r="H67" i="11" s="1"/>
  <c r="O97" i="11"/>
  <c r="H31" i="11"/>
  <c r="O127" i="11"/>
  <c r="D18" i="29" l="1"/>
  <c r="D21" i="29" s="1"/>
  <c r="D34" i="29" s="1"/>
  <c r="D38" i="29"/>
  <c r="O99" i="11"/>
  <c r="X59" i="11"/>
  <c r="H63" i="11"/>
  <c r="F15" i="18"/>
  <c r="O130" i="11"/>
  <c r="X31" i="11"/>
  <c r="O128" i="11"/>
  <c r="F18" i="18" l="1"/>
  <c r="F21" i="18" s="1"/>
  <c r="F38" i="18"/>
  <c r="H68" i="11"/>
  <c r="H64" i="11"/>
  <c r="AD97" i="28"/>
  <c r="AD98" i="28"/>
  <c r="AD103" i="28"/>
  <c r="AE107" i="28"/>
  <c r="AE115" i="28"/>
  <c r="Q7" i="9"/>
  <c r="H7" i="9"/>
  <c r="G7" i="9"/>
  <c r="F7" i="9"/>
  <c r="R7" i="9"/>
  <c r="S7" i="9"/>
  <c r="F34" i="18" l="1"/>
  <c r="F33" i="18"/>
  <c r="S32" i="9"/>
  <c r="S30" i="9"/>
  <c r="O36" i="11"/>
  <c r="O8" i="11"/>
  <c r="G32" i="9"/>
  <c r="G30" i="9"/>
  <c r="G34" i="9"/>
  <c r="G35" i="9" s="1"/>
  <c r="N8" i="11"/>
  <c r="I7" i="9"/>
  <c r="N36" i="11"/>
  <c r="F32" i="9"/>
  <c r="I37" i="9" s="1"/>
  <c r="F30" i="9"/>
  <c r="H32" i="9"/>
  <c r="H30" i="9"/>
  <c r="T7" i="9"/>
  <c r="Q32" i="9"/>
  <c r="Q30" i="9"/>
  <c r="R30" i="9"/>
  <c r="R32" i="9"/>
  <c r="I32" i="9" l="1"/>
  <c r="X32" i="9" s="1"/>
  <c r="N31" i="11"/>
  <c r="R31" i="11" s="1"/>
  <c r="R8" i="11"/>
  <c r="Y7" i="9"/>
  <c r="V7" i="9"/>
  <c r="V30" i="9" s="1"/>
  <c r="T30" i="9"/>
  <c r="I38" i="9"/>
  <c r="I39" i="9" s="1"/>
  <c r="O31" i="11"/>
  <c r="S31" i="11" s="1"/>
  <c r="P8" i="11"/>
  <c r="S8" i="11"/>
  <c r="G8" i="30"/>
  <c r="D8" i="30"/>
  <c r="D36" i="30" s="1"/>
  <c r="F8" i="17"/>
  <c r="F34" i="17" s="1"/>
  <c r="S36" i="11"/>
  <c r="O59" i="11"/>
  <c r="P36" i="11"/>
  <c r="R36" i="11"/>
  <c r="N59" i="11"/>
  <c r="X7" i="9"/>
  <c r="X30" i="9" s="1"/>
  <c r="K7" i="9"/>
  <c r="I30" i="9"/>
  <c r="T32" i="9"/>
  <c r="K37" i="9" l="1"/>
  <c r="K39" i="9"/>
  <c r="K36" i="9"/>
  <c r="T36" i="11"/>
  <c r="P59" i="11"/>
  <c r="N60" i="11" s="1"/>
  <c r="P31" i="11"/>
  <c r="T31" i="11" s="1"/>
  <c r="T8" i="11"/>
  <c r="O63" i="11"/>
  <c r="O64" i="11" s="1"/>
  <c r="S59" i="11"/>
  <c r="S63" i="11" s="1"/>
  <c r="S64" i="11" s="1"/>
  <c r="Y32" i="9"/>
  <c r="Z32" i="9" s="1"/>
  <c r="V32" i="9"/>
  <c r="D7" i="29"/>
  <c r="D36" i="29" s="1"/>
  <c r="K38" i="9"/>
  <c r="F7" i="18"/>
  <c r="F36" i="18" s="1"/>
  <c r="K30" i="9"/>
  <c r="K32" i="9"/>
  <c r="Y30" i="9"/>
  <c r="Z7" i="9"/>
  <c r="Z30" i="9" s="1"/>
  <c r="N63" i="11"/>
  <c r="N64" i="11" s="1"/>
  <c r="R59" i="11"/>
  <c r="R63" i="11" s="1"/>
  <c r="R64" i="11" s="1"/>
  <c r="C68" i="8" l="1"/>
  <c r="C69" i="8" s="1"/>
  <c r="D143" i="8" s="1"/>
  <c r="O60" i="11"/>
  <c r="P60" i="11" s="1"/>
  <c r="P63" i="11"/>
  <c r="P64" i="11" s="1"/>
  <c r="T59" i="11"/>
  <c r="T63" i="11" s="1"/>
  <c r="T64" i="11" s="1"/>
  <c r="J163" i="8" l="1"/>
  <c r="E75" i="8"/>
  <c r="D87" i="8"/>
  <c r="D155" i="8"/>
  <c r="D139" i="8"/>
  <c r="H99" i="8"/>
  <c r="K135" i="8"/>
  <c r="H155" i="8"/>
  <c r="I135" i="8"/>
  <c r="I79" i="8"/>
  <c r="D111" i="8"/>
  <c r="K79" i="8"/>
  <c r="F83" i="8"/>
  <c r="J127" i="8"/>
  <c r="D135" i="8"/>
  <c r="D119" i="8"/>
  <c r="L135" i="8"/>
  <c r="D123" i="8"/>
  <c r="I83" i="8"/>
  <c r="D115" i="8"/>
  <c r="D159" i="8"/>
  <c r="L103" i="8"/>
  <c r="K119" i="8"/>
  <c r="D79" i="8"/>
  <c r="D75" i="8"/>
  <c r="L115" i="8"/>
  <c r="J79" i="8"/>
  <c r="E115" i="8"/>
  <c r="D83" i="8"/>
  <c r="D95" i="8"/>
  <c r="D127" i="8"/>
  <c r="E87" i="8"/>
  <c r="L83" i="8"/>
  <c r="K123" i="8"/>
  <c r="K87" i="8"/>
  <c r="D103" i="8"/>
  <c r="H139" i="8"/>
  <c r="F119" i="8"/>
  <c r="L123" i="8"/>
  <c r="J119" i="8"/>
  <c r="L139" i="8"/>
  <c r="L167" i="8"/>
  <c r="F143" i="8"/>
  <c r="K151" i="8"/>
  <c r="L91" i="8"/>
  <c r="J87" i="8"/>
  <c r="L75" i="8"/>
  <c r="D147" i="8"/>
  <c r="I119" i="8"/>
  <c r="I131" i="8"/>
  <c r="F107" i="8"/>
  <c r="D131" i="8"/>
  <c r="F103" i="8"/>
  <c r="L107" i="8"/>
  <c r="E83" i="8"/>
  <c r="G163" i="8"/>
  <c r="G79" i="8"/>
  <c r="J107" i="8"/>
  <c r="E143" i="8"/>
  <c r="H127" i="8"/>
  <c r="K163" i="8"/>
  <c r="E163" i="8"/>
  <c r="J139" i="8"/>
  <c r="F99" i="8"/>
  <c r="I159" i="8"/>
  <c r="H75" i="8"/>
  <c r="K147" i="8"/>
  <c r="L143" i="8"/>
  <c r="L111" i="8"/>
  <c r="H119" i="8"/>
  <c r="G119" i="8"/>
  <c r="H103" i="8"/>
  <c r="G115" i="8"/>
  <c r="J167" i="8"/>
  <c r="K91" i="8"/>
  <c r="I91" i="8"/>
  <c r="E103" i="8"/>
  <c r="K131" i="8"/>
  <c r="F131" i="8"/>
  <c r="K75" i="8"/>
  <c r="G127" i="8"/>
  <c r="G83" i="8"/>
  <c r="H123" i="8"/>
  <c r="K167" i="8"/>
  <c r="K95" i="8"/>
  <c r="H87" i="8"/>
  <c r="F79" i="8"/>
  <c r="E135" i="8"/>
  <c r="G99" i="8"/>
  <c r="I107" i="8"/>
  <c r="D151" i="8"/>
  <c r="K111" i="8"/>
  <c r="I139" i="8"/>
  <c r="E107" i="8"/>
  <c r="F147" i="8"/>
  <c r="H83" i="8"/>
  <c r="G75" i="8"/>
  <c r="F163" i="8"/>
  <c r="G155" i="8"/>
  <c r="F159" i="8"/>
  <c r="I111" i="8"/>
  <c r="F111" i="8"/>
  <c r="K139" i="8"/>
  <c r="J159" i="8"/>
  <c r="L155" i="8"/>
  <c r="J83" i="8"/>
  <c r="L147" i="8"/>
  <c r="L99" i="8"/>
  <c r="G103" i="8"/>
  <c r="H91" i="8"/>
  <c r="E99" i="8"/>
  <c r="K159" i="8"/>
  <c r="L127" i="8"/>
  <c r="D107" i="8"/>
  <c r="G139" i="8"/>
  <c r="L159" i="8"/>
  <c r="D91" i="8"/>
  <c r="E123" i="8"/>
  <c r="G95" i="8"/>
  <c r="F115" i="8"/>
  <c r="I155" i="8"/>
  <c r="G131" i="8"/>
  <c r="K107" i="8"/>
  <c r="F127" i="8"/>
  <c r="K127" i="8"/>
  <c r="F87" i="8"/>
  <c r="I143" i="8"/>
  <c r="K155" i="8"/>
  <c r="J147" i="8"/>
  <c r="E151" i="8"/>
  <c r="L95" i="8"/>
  <c r="F95" i="8"/>
  <c r="J151" i="8"/>
  <c r="J115" i="8"/>
  <c r="E79" i="8"/>
  <c r="K99" i="8"/>
  <c r="H143" i="8"/>
  <c r="G167" i="8"/>
  <c r="I147" i="8"/>
  <c r="H167" i="8"/>
  <c r="H107" i="8"/>
  <c r="D163" i="8"/>
  <c r="J95" i="8"/>
  <c r="H159" i="8"/>
  <c r="K83" i="8"/>
  <c r="E147" i="8"/>
  <c r="J131" i="8"/>
  <c r="J111" i="8"/>
  <c r="G107" i="8"/>
  <c r="F139" i="8"/>
  <c r="G91" i="8"/>
  <c r="K103" i="8"/>
  <c r="H151" i="8"/>
  <c r="E95" i="8"/>
  <c r="G87" i="8"/>
  <c r="L79" i="8"/>
  <c r="F155" i="8"/>
  <c r="F123" i="8"/>
  <c r="L87" i="8"/>
  <c r="I95" i="8"/>
  <c r="F91" i="8"/>
  <c r="I87" i="8"/>
  <c r="G143" i="8"/>
  <c r="E167" i="8"/>
  <c r="G111" i="8"/>
  <c r="H135" i="8"/>
  <c r="D99" i="8"/>
  <c r="L119" i="8"/>
  <c r="L163" i="8"/>
  <c r="G123" i="8"/>
  <c r="G147" i="8"/>
  <c r="J91" i="8"/>
  <c r="F151" i="8"/>
  <c r="H79" i="8"/>
  <c r="I163" i="8"/>
  <c r="G159" i="8"/>
  <c r="E159" i="8"/>
  <c r="L151" i="8"/>
  <c r="E127" i="8"/>
  <c r="I151" i="8"/>
  <c r="E131" i="8"/>
  <c r="J99" i="8"/>
  <c r="H115" i="8"/>
  <c r="J135" i="8"/>
  <c r="I127" i="8"/>
  <c r="D167" i="8"/>
  <c r="F167" i="8"/>
  <c r="K115" i="8"/>
  <c r="L131" i="8"/>
  <c r="J75" i="8"/>
  <c r="I103" i="8"/>
  <c r="H147" i="8"/>
  <c r="H163" i="8"/>
  <c r="K143" i="8"/>
  <c r="G151" i="8"/>
  <c r="E119" i="8"/>
  <c r="J155" i="8"/>
  <c r="G135" i="8"/>
  <c r="J103" i="8"/>
  <c r="E91" i="8"/>
  <c r="E155" i="8"/>
  <c r="J123" i="8"/>
  <c r="I99" i="8"/>
  <c r="I115" i="8"/>
  <c r="J143" i="8"/>
  <c r="E111" i="8"/>
  <c r="H111" i="8"/>
  <c r="F75" i="8"/>
  <c r="I123" i="8"/>
  <c r="I75" i="8"/>
  <c r="F135" i="8"/>
  <c r="I167" i="8"/>
  <c r="E139" i="8"/>
  <c r="H95" i="8"/>
  <c r="H131" i="8"/>
  <c r="M155" i="8" l="1"/>
  <c r="G27" i="11" s="1"/>
  <c r="M139" i="8"/>
  <c r="G23" i="11" s="1"/>
  <c r="M143" i="8"/>
  <c r="G24" i="11" s="1"/>
  <c r="J24" i="11" s="1"/>
  <c r="L24" i="11" s="1"/>
  <c r="M87" i="8"/>
  <c r="G10" i="11" s="1"/>
  <c r="V10" i="11" s="1"/>
  <c r="M111" i="8"/>
  <c r="G16" i="11" s="1"/>
  <c r="M167" i="8"/>
  <c r="G30" i="11" s="1"/>
  <c r="M163" i="8"/>
  <c r="G29" i="11" s="1"/>
  <c r="M107" i="8"/>
  <c r="G15" i="11" s="1"/>
  <c r="M95" i="8"/>
  <c r="G12" i="11" s="1"/>
  <c r="M83" i="8"/>
  <c r="G9" i="11" s="1"/>
  <c r="M159" i="8"/>
  <c r="G28" i="11" s="1"/>
  <c r="M103" i="8"/>
  <c r="G14" i="11" s="1"/>
  <c r="M115" i="8"/>
  <c r="G17" i="11" s="1"/>
  <c r="M151" i="8"/>
  <c r="G26" i="11" s="1"/>
  <c r="M123" i="8"/>
  <c r="G19" i="11" s="1"/>
  <c r="M91" i="8"/>
  <c r="G11" i="11" s="1"/>
  <c r="M131" i="8"/>
  <c r="G21" i="11" s="1"/>
  <c r="M75" i="8"/>
  <c r="G7" i="11" s="1"/>
  <c r="N74" i="11" s="1"/>
  <c r="M147" i="8"/>
  <c r="G25" i="11" s="1"/>
  <c r="M79" i="8"/>
  <c r="G8" i="11" s="1"/>
  <c r="M119" i="8"/>
  <c r="G18" i="11" s="1"/>
  <c r="M99" i="8"/>
  <c r="G13" i="11" s="1"/>
  <c r="M127" i="8"/>
  <c r="G20" i="11" s="1"/>
  <c r="M135" i="8"/>
  <c r="G22" i="11" s="1"/>
  <c r="V20" i="11" l="1"/>
  <c r="G48" i="11"/>
  <c r="V13" i="11"/>
  <c r="G41" i="11"/>
  <c r="G54" i="11"/>
  <c r="V26" i="11"/>
  <c r="V16" i="11"/>
  <c r="G44" i="11"/>
  <c r="V29" i="11"/>
  <c r="G57" i="11"/>
  <c r="J30" i="11"/>
  <c r="L30" i="11" s="1"/>
  <c r="V30" i="11"/>
  <c r="G58" i="11"/>
  <c r="G53" i="11"/>
  <c r="V25" i="11"/>
  <c r="V24" i="11"/>
  <c r="G52" i="11"/>
  <c r="V19" i="11"/>
  <c r="G47" i="11"/>
  <c r="G46" i="11"/>
  <c r="V18" i="11"/>
  <c r="J21" i="11"/>
  <c r="L21" i="11" s="1"/>
  <c r="V21" i="11"/>
  <c r="G49" i="11"/>
  <c r="J12" i="11"/>
  <c r="L12" i="11" s="1"/>
  <c r="G40" i="11"/>
  <c r="V12" i="11"/>
  <c r="G51" i="11"/>
  <c r="V23" i="11"/>
  <c r="G45" i="11"/>
  <c r="V17" i="11"/>
  <c r="V14" i="11"/>
  <c r="G42" i="11"/>
  <c r="V28" i="11"/>
  <c r="G56" i="11"/>
  <c r="V22" i="11"/>
  <c r="G50" i="11"/>
  <c r="J15" i="11"/>
  <c r="L15" i="11" s="1"/>
  <c r="G43" i="11"/>
  <c r="V15" i="11"/>
  <c r="N94" i="11"/>
  <c r="P94" i="11" s="1"/>
  <c r="V27" i="11"/>
  <c r="G55" i="11"/>
  <c r="J11" i="11"/>
  <c r="L11" i="11" s="1"/>
  <c r="V11" i="11"/>
  <c r="G39" i="11"/>
  <c r="V39" i="11" s="1"/>
  <c r="J16" i="11"/>
  <c r="L16" i="11" s="1"/>
  <c r="N83" i="11"/>
  <c r="J83" i="11" s="1"/>
  <c r="N77" i="11"/>
  <c r="P77" i="11" s="1"/>
  <c r="N80" i="11"/>
  <c r="J80" i="11" s="1"/>
  <c r="J23" i="11"/>
  <c r="L23" i="11" s="1"/>
  <c r="N90" i="11"/>
  <c r="P90" i="11" s="1"/>
  <c r="G38" i="11"/>
  <c r="J27" i="11"/>
  <c r="L27" i="11" s="1"/>
  <c r="G35" i="11"/>
  <c r="V35" i="11" s="1"/>
  <c r="N96" i="11"/>
  <c r="J96" i="11" s="1"/>
  <c r="L96" i="11" s="1"/>
  <c r="J29" i="11"/>
  <c r="L29" i="11" s="1"/>
  <c r="N88" i="11"/>
  <c r="P88" i="11" s="1"/>
  <c r="N91" i="11"/>
  <c r="J10" i="11"/>
  <c r="L10" i="11" s="1"/>
  <c r="P74" i="11"/>
  <c r="J74" i="11"/>
  <c r="J13" i="11"/>
  <c r="L13" i="11" s="1"/>
  <c r="N93" i="11"/>
  <c r="P93" i="11" s="1"/>
  <c r="J26" i="11"/>
  <c r="L26" i="11" s="1"/>
  <c r="N97" i="11"/>
  <c r="P97" i="11" s="1"/>
  <c r="J19" i="11"/>
  <c r="L19" i="11" s="1"/>
  <c r="N86" i="11"/>
  <c r="J22" i="11"/>
  <c r="L22" i="11" s="1"/>
  <c r="J20" i="11"/>
  <c r="L20" i="11" s="1"/>
  <c r="J18" i="11"/>
  <c r="L18" i="11" s="1"/>
  <c r="N85" i="11"/>
  <c r="J17" i="11"/>
  <c r="L17" i="11" s="1"/>
  <c r="N84" i="11"/>
  <c r="N82" i="11"/>
  <c r="P82" i="11" s="1"/>
  <c r="N79" i="11"/>
  <c r="G36" i="11"/>
  <c r="J8" i="11"/>
  <c r="L8" i="11" s="1"/>
  <c r="N75" i="11"/>
  <c r="V8" i="11"/>
  <c r="J14" i="11"/>
  <c r="L14" i="11" s="1"/>
  <c r="N81" i="11"/>
  <c r="N78" i="11"/>
  <c r="P78" i="11" s="1"/>
  <c r="N87" i="11"/>
  <c r="N92" i="11"/>
  <c r="J25" i="11"/>
  <c r="L25" i="11" s="1"/>
  <c r="N95" i="11"/>
  <c r="J28" i="11"/>
  <c r="L28" i="11" s="1"/>
  <c r="N89" i="11"/>
  <c r="G31" i="11"/>
  <c r="V31" i="11" s="1"/>
  <c r="J7" i="11"/>
  <c r="V7" i="11"/>
  <c r="J9" i="11"/>
  <c r="L9" i="11" s="1"/>
  <c r="V9" i="11"/>
  <c r="N76" i="11"/>
  <c r="G37" i="11"/>
  <c r="D16" i="30" l="1"/>
  <c r="L83" i="11"/>
  <c r="L80" i="11"/>
  <c r="P80" i="11"/>
  <c r="N120" i="11"/>
  <c r="P120" i="11" s="1"/>
  <c r="J94" i="11"/>
  <c r="L94" i="11" s="1"/>
  <c r="N125" i="11"/>
  <c r="J125" i="11" s="1"/>
  <c r="L125" i="11" s="1"/>
  <c r="V44" i="11"/>
  <c r="J44" i="11"/>
  <c r="L44" i="11" s="1"/>
  <c r="V45" i="11"/>
  <c r="J45" i="11"/>
  <c r="L45" i="11" s="1"/>
  <c r="V53" i="11"/>
  <c r="J53" i="11"/>
  <c r="L53" i="11" s="1"/>
  <c r="V50" i="11"/>
  <c r="J50" i="11"/>
  <c r="L50" i="11" s="1"/>
  <c r="V58" i="11"/>
  <c r="J58" i="11"/>
  <c r="L58" i="11" s="1"/>
  <c r="V54" i="11"/>
  <c r="J54" i="11"/>
  <c r="L54" i="11" s="1"/>
  <c r="V49" i="11"/>
  <c r="J49" i="11"/>
  <c r="L49" i="11" s="1"/>
  <c r="V51" i="11"/>
  <c r="J51" i="11"/>
  <c r="L51" i="11" s="1"/>
  <c r="P83" i="11"/>
  <c r="V55" i="11"/>
  <c r="J55" i="11"/>
  <c r="L55" i="11" s="1"/>
  <c r="V56" i="11"/>
  <c r="J56" i="11"/>
  <c r="L56" i="11" s="1"/>
  <c r="V47" i="11"/>
  <c r="J47" i="11"/>
  <c r="L47" i="11" s="1"/>
  <c r="V41" i="11"/>
  <c r="J41" i="11"/>
  <c r="L41" i="11" s="1"/>
  <c r="N111" i="11"/>
  <c r="P111" i="11" s="1"/>
  <c r="V40" i="11"/>
  <c r="J40" i="11"/>
  <c r="L40" i="11" s="1"/>
  <c r="V57" i="11"/>
  <c r="J57" i="11"/>
  <c r="L57" i="11" s="1"/>
  <c r="V48" i="11"/>
  <c r="J48" i="11"/>
  <c r="L48" i="11" s="1"/>
  <c r="V43" i="11"/>
  <c r="J43" i="11"/>
  <c r="L43" i="11" s="1"/>
  <c r="V46" i="11"/>
  <c r="J46" i="11"/>
  <c r="L46" i="11" s="1"/>
  <c r="V42" i="11"/>
  <c r="J42" i="11"/>
  <c r="L42" i="11" s="1"/>
  <c r="V52" i="11"/>
  <c r="J52" i="11"/>
  <c r="L52" i="11" s="1"/>
  <c r="J39" i="11"/>
  <c r="L39" i="11" s="1"/>
  <c r="N108" i="11"/>
  <c r="P108" i="11" s="1"/>
  <c r="N114" i="11"/>
  <c r="J77" i="11"/>
  <c r="V38" i="11"/>
  <c r="J38" i="11"/>
  <c r="L38" i="11" s="1"/>
  <c r="N121" i="11"/>
  <c r="P121" i="11" s="1"/>
  <c r="P96" i="11"/>
  <c r="J90" i="11"/>
  <c r="L90" i="11" s="1"/>
  <c r="J88" i="11"/>
  <c r="L88" i="11" s="1"/>
  <c r="N127" i="11"/>
  <c r="J127" i="11" s="1"/>
  <c r="L127" i="11" s="1"/>
  <c r="J97" i="11"/>
  <c r="L97" i="11" s="1"/>
  <c r="N119" i="11"/>
  <c r="P119" i="11" s="1"/>
  <c r="G59" i="11"/>
  <c r="J35" i="11"/>
  <c r="L35" i="11" s="1"/>
  <c r="N105" i="11"/>
  <c r="N128" i="11"/>
  <c r="P128" i="11" s="1"/>
  <c r="J93" i="11"/>
  <c r="L93" i="11" s="1"/>
  <c r="N98" i="11"/>
  <c r="P98" i="11" s="1"/>
  <c r="N124" i="11"/>
  <c r="J124" i="11" s="1"/>
  <c r="L124" i="11" s="1"/>
  <c r="J82" i="11"/>
  <c r="L74" i="11"/>
  <c r="J78" i="11"/>
  <c r="P91" i="11"/>
  <c r="J91" i="11"/>
  <c r="L91" i="11" s="1"/>
  <c r="N122" i="11"/>
  <c r="N109" i="11"/>
  <c r="P109" i="11" s="1"/>
  <c r="N113" i="11"/>
  <c r="J113" i="11" s="1"/>
  <c r="L113" i="11" s="1"/>
  <c r="P95" i="11"/>
  <c r="J95" i="11"/>
  <c r="L95" i="11" s="1"/>
  <c r="N112" i="11"/>
  <c r="P79" i="11"/>
  <c r="N110" i="11"/>
  <c r="J79" i="11"/>
  <c r="P85" i="11"/>
  <c r="J85" i="11"/>
  <c r="J86" i="11"/>
  <c r="P86" i="11"/>
  <c r="N123" i="11"/>
  <c r="P81" i="11"/>
  <c r="J81" i="11"/>
  <c r="J31" i="11"/>
  <c r="L7" i="11"/>
  <c r="N115" i="11"/>
  <c r="P92" i="11"/>
  <c r="J92" i="11"/>
  <c r="L92" i="11" s="1"/>
  <c r="J84" i="11"/>
  <c r="P84" i="11"/>
  <c r="J89" i="11"/>
  <c r="L89" i="11" s="1"/>
  <c r="P89" i="11"/>
  <c r="N107" i="11"/>
  <c r="J37" i="11"/>
  <c r="L37" i="11" s="1"/>
  <c r="V37" i="11"/>
  <c r="N126" i="11"/>
  <c r="J87" i="11"/>
  <c r="L87" i="11" s="1"/>
  <c r="N118" i="11"/>
  <c r="P87" i="11"/>
  <c r="J75" i="11"/>
  <c r="L75" i="11" s="1"/>
  <c r="P75" i="11"/>
  <c r="J76" i="11"/>
  <c r="P76" i="11"/>
  <c r="N106" i="11"/>
  <c r="V36" i="11"/>
  <c r="J36" i="11"/>
  <c r="L36" i="11" s="1"/>
  <c r="N116" i="11"/>
  <c r="N117" i="11"/>
  <c r="L85" i="11" l="1"/>
  <c r="L84" i="11"/>
  <c r="L82" i="11"/>
  <c r="L77" i="11"/>
  <c r="L81" i="11"/>
  <c r="F16" i="17"/>
  <c r="F36" i="17" s="1"/>
  <c r="G67" i="11"/>
  <c r="J120" i="11"/>
  <c r="L120" i="11" s="1"/>
  <c r="J111" i="11"/>
  <c r="L111" i="11" s="1"/>
  <c r="L79" i="11"/>
  <c r="P125" i="11"/>
  <c r="L78" i="11"/>
  <c r="J108" i="11"/>
  <c r="L108" i="11" s="1"/>
  <c r="P127" i="11"/>
  <c r="J119" i="11"/>
  <c r="L119" i="11" s="1"/>
  <c r="J109" i="11"/>
  <c r="L109" i="11" s="1"/>
  <c r="J114" i="11"/>
  <c r="L114" i="11" s="1"/>
  <c r="P114" i="11"/>
  <c r="J121" i="11"/>
  <c r="L121" i="11" s="1"/>
  <c r="L76" i="11"/>
  <c r="F1" i="9"/>
  <c r="D1" i="9" s="1"/>
  <c r="G63" i="11"/>
  <c r="G64" i="11" s="1"/>
  <c r="V59" i="11"/>
  <c r="P124" i="11"/>
  <c r="P105" i="11"/>
  <c r="J105" i="11"/>
  <c r="L105" i="11" s="1"/>
  <c r="N99" i="11"/>
  <c r="J128" i="11"/>
  <c r="L128" i="11" s="1"/>
  <c r="N129" i="11"/>
  <c r="N130" i="11" s="1"/>
  <c r="J59" i="11"/>
  <c r="J98" i="11"/>
  <c r="P113" i="11"/>
  <c r="J122" i="11"/>
  <c r="L122" i="11" s="1"/>
  <c r="P122" i="11"/>
  <c r="J107" i="11"/>
  <c r="L107" i="11" s="1"/>
  <c r="P107" i="11"/>
  <c r="P123" i="11"/>
  <c r="J123" i="11"/>
  <c r="L123" i="11" s="1"/>
  <c r="P110" i="11"/>
  <c r="J110" i="11"/>
  <c r="L110" i="11" s="1"/>
  <c r="P118" i="11"/>
  <c r="J118" i="11"/>
  <c r="L118" i="11" s="1"/>
  <c r="P117" i="11"/>
  <c r="J117" i="11"/>
  <c r="L117" i="11" s="1"/>
  <c r="P106" i="11"/>
  <c r="J106" i="11"/>
  <c r="J115" i="11"/>
  <c r="L115" i="11" s="1"/>
  <c r="P115" i="11"/>
  <c r="G16" i="30"/>
  <c r="G19" i="30" s="1"/>
  <c r="L86" i="11"/>
  <c r="H16" i="30" s="1"/>
  <c r="H19" i="30" s="1"/>
  <c r="P112" i="11"/>
  <c r="J112" i="11"/>
  <c r="L112" i="11" s="1"/>
  <c r="D38" i="30"/>
  <c r="D19" i="30"/>
  <c r="P126" i="11"/>
  <c r="J126" i="11"/>
  <c r="L126" i="11" s="1"/>
  <c r="G32" i="11"/>
  <c r="L31" i="11"/>
  <c r="H32" i="11"/>
  <c r="J116" i="11"/>
  <c r="L116" i="11" s="1"/>
  <c r="P116" i="11"/>
  <c r="F19" i="17" l="1"/>
  <c r="F22" i="17" s="1"/>
  <c r="D20" i="30" s="1"/>
  <c r="D22" i="30" s="1"/>
  <c r="D34" i="30" s="1"/>
  <c r="L98" i="11"/>
  <c r="G68" i="11"/>
  <c r="P129" i="11"/>
  <c r="L59" i="11"/>
  <c r="L63" i="11" s="1"/>
  <c r="L64" i="11" s="1"/>
  <c r="H60" i="11"/>
  <c r="G60" i="11"/>
  <c r="J63" i="11"/>
  <c r="J64" i="11" s="1"/>
  <c r="L106" i="11"/>
  <c r="L129" i="11" s="1"/>
  <c r="J129" i="11"/>
  <c r="G22" i="30"/>
  <c r="G21" i="30"/>
  <c r="H21" i="30"/>
  <c r="H22" i="30"/>
  <c r="F71" i="28"/>
  <c r="F58" i="28"/>
  <c r="F59" i="28" s="1"/>
  <c r="F64" i="28" s="1"/>
  <c r="G68" i="28" s="1"/>
  <c r="G20" i="30" l="1"/>
  <c r="F32" i="17"/>
  <c r="H20" i="30"/>
  <c r="J60" i="11"/>
  <c r="H28" i="30"/>
  <c r="H32" i="30" s="1"/>
  <c r="H30" i="30"/>
  <c r="H29" i="30"/>
  <c r="F72" i="28"/>
  <c r="F73" i="28" s="1"/>
  <c r="G75" i="28"/>
  <c r="G76" i="28" s="1"/>
  <c r="G30" i="30"/>
  <c r="G28" i="30"/>
  <c r="G32" i="30" s="1"/>
  <c r="G29"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M11" authorId="0" shapeId="0" xr:uid="{00000000-0006-0000-0100-000001000000}">
      <text>
        <r>
          <rPr>
            <b/>
            <sz val="9"/>
            <color indexed="81"/>
            <rFont val="Tahoma"/>
            <family val="2"/>
          </rPr>
          <t>Weinstein, Mike:</t>
        </r>
        <r>
          <rPr>
            <sz val="9"/>
            <color indexed="81"/>
            <rFont val="Tahoma"/>
            <family val="2"/>
          </rPr>
          <t xml:space="preserve">
Projected commodity values Oct - Dec. 2017. Per prior workpapers in TG-161132</t>
        </r>
      </text>
    </comment>
    <comment ref="C12" authorId="1" shapeId="0" xr:uid="{00000000-0006-0000-0100-000002000000}">
      <text>
        <r>
          <rPr>
            <b/>
            <sz val="9"/>
            <color indexed="81"/>
            <rFont val="Tahoma"/>
            <family val="2"/>
          </rPr>
          <t>Young, Mike (UTC):</t>
        </r>
        <r>
          <rPr>
            <sz val="9"/>
            <color indexed="81"/>
            <rFont val="Tahoma"/>
            <family val="2"/>
          </rPr>
          <t xml:space="preserve">
company included Jan and Feb even though amount was suspended. Staff adjusted</t>
        </r>
      </text>
    </comment>
    <comment ref="M12" authorId="0" shapeId="0" xr:uid="{00000000-0006-0000-0100-000003000000}">
      <text>
        <r>
          <rPr>
            <b/>
            <sz val="9"/>
            <color indexed="81"/>
            <rFont val="Tahoma"/>
            <family val="2"/>
          </rPr>
          <t>Weinstein, Mike:</t>
        </r>
        <r>
          <rPr>
            <sz val="9"/>
            <color indexed="81"/>
            <rFont val="Tahoma"/>
            <family val="2"/>
          </rPr>
          <t xml:space="preserve">
Projected commodity values Jan - Sep. 2018. Per prior workpapers in TG-171132</t>
        </r>
      </text>
    </comment>
    <comment ref="E21" authorId="1" shapeId="0" xr:uid="{00000000-0006-0000-0100-000004000000}">
      <text>
        <r>
          <rPr>
            <b/>
            <sz val="9"/>
            <color indexed="81"/>
            <rFont val="Tahoma"/>
            <family val="2"/>
          </rPr>
          <t>Young, Mike (UTC):</t>
        </r>
        <r>
          <rPr>
            <sz val="9"/>
            <color indexed="81"/>
            <rFont val="Tahoma"/>
            <family val="2"/>
          </rPr>
          <t xml:space="preserve">
Staff believes the company double counted in their calculation last year, but it was accepted due to the suspension and allowed as filed.</t>
        </r>
      </text>
    </comment>
    <comment ref="M53" authorId="0" shapeId="0" xr:uid="{00000000-0006-0000-0100-000005000000}">
      <text>
        <r>
          <rPr>
            <b/>
            <sz val="9"/>
            <color indexed="81"/>
            <rFont val="Tahoma"/>
            <family val="2"/>
          </rPr>
          <t>Weinstein, Mike:</t>
        </r>
        <r>
          <rPr>
            <sz val="9"/>
            <color indexed="81"/>
            <rFont val="Tahoma"/>
            <family val="2"/>
          </rPr>
          <t xml:space="preserve">
Projected commodity values Oct - Dec. 2017. Per prior workpapers in TG-161132</t>
        </r>
      </text>
    </comment>
    <comment ref="M54" authorId="0" shapeId="0" xr:uid="{00000000-0006-0000-0100-000006000000}">
      <text>
        <r>
          <rPr>
            <b/>
            <sz val="9"/>
            <color indexed="81"/>
            <rFont val="Tahoma"/>
            <family val="2"/>
          </rPr>
          <t>Weinstein, Mike:</t>
        </r>
        <r>
          <rPr>
            <sz val="9"/>
            <color indexed="81"/>
            <rFont val="Tahoma"/>
            <family val="2"/>
          </rPr>
          <t xml:space="preserve">
Projected commodity values Jan - Sep. 2018. Per prior workpapers in TG-171132</t>
        </r>
      </text>
    </comment>
    <comment ref="M92" authorId="0" shapeId="0" xr:uid="{00000000-0006-0000-0100-000007000000}">
      <text>
        <r>
          <rPr>
            <b/>
            <sz val="9"/>
            <color indexed="81"/>
            <rFont val="Tahoma"/>
            <family val="2"/>
          </rPr>
          <t>Weinstein, Mike:</t>
        </r>
        <r>
          <rPr>
            <sz val="9"/>
            <color indexed="81"/>
            <rFont val="Tahoma"/>
            <family val="2"/>
          </rPr>
          <t xml:space="preserve">
Projected commodity values Oct - Dec. 2017. Per prior workpapers in TG-161134</t>
        </r>
      </text>
    </comment>
    <comment ref="M93" authorId="0" shapeId="0" xr:uid="{00000000-0006-0000-0100-000008000000}">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tc={EDEBCA1D-CC85-4BF7-944B-BAF87FDE560C}</author>
  </authors>
  <commentList>
    <comment ref="BA11" authorId="0" shapeId="0" xr:uid="{CADF4B68-FC4E-4B67-B1F0-73EB60A70FA5}">
      <text>
        <r>
          <rPr>
            <b/>
            <sz val="9"/>
            <color indexed="81"/>
            <rFont val="Tahoma"/>
            <family val="2"/>
          </rPr>
          <t>Weinstein, Mike:</t>
        </r>
        <r>
          <rPr>
            <sz val="9"/>
            <color indexed="81"/>
            <rFont val="Tahoma"/>
            <family val="2"/>
          </rPr>
          <t xml:space="preserve">
Projected commodity values Oct - Dec. 2017. Per prior workpapers in TG-161132</t>
        </r>
      </text>
    </comment>
    <comment ref="AQ12" authorId="1" shapeId="0" xr:uid="{2CFEE090-5F90-45DF-A291-8E97C0DBAA49}">
      <text>
        <r>
          <rPr>
            <b/>
            <sz val="9"/>
            <color indexed="81"/>
            <rFont val="Tahoma"/>
            <family val="2"/>
          </rPr>
          <t>Young, Mike (UTC):</t>
        </r>
        <r>
          <rPr>
            <sz val="9"/>
            <color indexed="81"/>
            <rFont val="Tahoma"/>
            <family val="2"/>
          </rPr>
          <t xml:space="preserve">
company included Jan and Feb even though amount was suspended. Staff adjusted</t>
        </r>
      </text>
    </comment>
    <comment ref="BA12" authorId="0" shapeId="0" xr:uid="{7963BCF0-EE5A-43C6-A120-973FB16933A7}">
      <text>
        <r>
          <rPr>
            <b/>
            <sz val="9"/>
            <color indexed="81"/>
            <rFont val="Tahoma"/>
            <family val="2"/>
          </rPr>
          <t>Weinstein, Mike:</t>
        </r>
        <r>
          <rPr>
            <sz val="9"/>
            <color indexed="81"/>
            <rFont val="Tahoma"/>
            <family val="2"/>
          </rPr>
          <t xml:space="preserve">
Projected commodity values Jan - Sep. 2018. Per prior workpapers in TG-171132</t>
        </r>
      </text>
    </comment>
    <comment ref="AS21" authorId="1" shapeId="0" xr:uid="{9946619D-9721-4F20-B6D1-CBC1B1771A54}">
      <text>
        <r>
          <rPr>
            <b/>
            <sz val="9"/>
            <color indexed="81"/>
            <rFont val="Tahoma"/>
            <family val="2"/>
          </rPr>
          <t>Young, Mike (UTC):</t>
        </r>
        <r>
          <rPr>
            <sz val="9"/>
            <color indexed="81"/>
            <rFont val="Tahoma"/>
            <family val="2"/>
          </rPr>
          <t xml:space="preserve">
true-up not collected in Jan &amp; Feb</t>
        </r>
      </text>
    </comment>
    <comment ref="AL22" authorId="2" shapeId="0" xr:uid="{EDEBCA1D-CC85-4BF7-944B-BAF87FDE560C}">
      <text>
        <t>[Threaded comment]
Your version of Excel allows you to read this threaded comment; however, any edits to it will get removed if the file is opened in a newer version of Excel. Learn more: https://go.microsoft.com/fwlink/?linkid=870924
Comment:
    Company calculation was pulling from a blank cell, corrected to include cell F18, net commodity revenue</t>
      </text>
    </comment>
    <comment ref="BA53" authorId="0" shapeId="0" xr:uid="{4C109EE6-0F0E-4131-BAF7-1D70DC025A10}">
      <text>
        <r>
          <rPr>
            <b/>
            <sz val="9"/>
            <color indexed="81"/>
            <rFont val="Tahoma"/>
            <family val="2"/>
          </rPr>
          <t>Weinstein, Mike:</t>
        </r>
        <r>
          <rPr>
            <sz val="9"/>
            <color indexed="81"/>
            <rFont val="Tahoma"/>
            <family val="2"/>
          </rPr>
          <t xml:space="preserve">
Projected commodity values Oct - Dec. 2017. Per prior workpapers in TG-161132</t>
        </r>
      </text>
    </comment>
    <comment ref="BA54" authorId="0" shapeId="0" xr:uid="{71EC04DE-9AE2-4BA2-9E9B-3BF98AA894A0}">
      <text>
        <r>
          <rPr>
            <b/>
            <sz val="9"/>
            <color indexed="81"/>
            <rFont val="Tahoma"/>
            <family val="2"/>
          </rPr>
          <t>Weinstein, Mike:</t>
        </r>
        <r>
          <rPr>
            <sz val="9"/>
            <color indexed="81"/>
            <rFont val="Tahoma"/>
            <family val="2"/>
          </rPr>
          <t xml:space="preserve">
Projected commodity values Jan - Sep. 2018. Per prior workpapers in TG-171132</t>
        </r>
      </text>
    </comment>
    <comment ref="BA92" authorId="0" shapeId="0" xr:uid="{02DC019C-05D5-41DD-A1D9-0D2B923AA522}">
      <text>
        <r>
          <rPr>
            <b/>
            <sz val="9"/>
            <color indexed="81"/>
            <rFont val="Tahoma"/>
            <family val="2"/>
          </rPr>
          <t>Weinstein, Mike:</t>
        </r>
        <r>
          <rPr>
            <sz val="9"/>
            <color indexed="81"/>
            <rFont val="Tahoma"/>
            <family val="2"/>
          </rPr>
          <t xml:space="preserve">
Projected commodity values Oct - Dec. 2017. Per prior workpapers in TG-161134</t>
        </r>
      </text>
    </comment>
    <comment ref="BA93" authorId="0" shapeId="0" xr:uid="{195A9625-CEF6-4FE1-87E5-BD115EC544B1}">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Weinstein, Mike</author>
  </authors>
  <commentList>
    <comment ref="B72" authorId="0" shapeId="0" xr:uid="{BBBA153B-6175-4D68-BAC4-3C4591379B83}">
      <text>
        <r>
          <rPr>
            <b/>
            <sz val="9"/>
            <color indexed="81"/>
            <rFont val="Tahoma"/>
            <family val="2"/>
          </rPr>
          <t>Weinstein, Mike:</t>
        </r>
        <r>
          <rPr>
            <sz val="9"/>
            <color indexed="81"/>
            <rFont val="Tahoma"/>
            <family val="2"/>
          </rPr>
          <t xml:space="preserve">
Composition based on CRC mix as all  materials delivered to CRC are representative of our Puget Sound Recycling programs. However the commodity prices are based on the mix of materials sold at JMK and CRC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Weinstein, Mike</author>
    <author>Administrator</author>
  </authors>
  <commentList>
    <comment ref="H4" authorId="0" shapeId="0" xr:uid="{57FBD439-E286-4EFF-80E5-A69D3F815990}">
      <text>
        <r>
          <rPr>
            <b/>
            <sz val="9"/>
            <color indexed="81"/>
            <rFont val="Tahoma"/>
            <family val="2"/>
          </rPr>
          <t>Burmester, Evan:</t>
        </r>
        <r>
          <rPr>
            <sz val="9"/>
            <color indexed="81"/>
            <rFont val="Tahoma"/>
            <family val="2"/>
          </rPr>
          <t xml:space="preserve">
Totals from October,2021 - September, 2023</t>
        </r>
      </text>
    </comment>
    <comment ref="B29" authorId="1" shapeId="0" xr:uid="{2CF48457-13C0-494D-9A2D-3ED820D3EDAA}">
      <text>
        <r>
          <rPr>
            <b/>
            <sz val="9"/>
            <color indexed="81"/>
            <rFont val="Tahoma"/>
            <family val="2"/>
          </rPr>
          <t xml:space="preserve">Burmester, Evan: </t>
        </r>
        <r>
          <rPr>
            <sz val="9"/>
            <color indexed="81"/>
            <rFont val="Tahoma"/>
            <family val="2"/>
          </rPr>
          <t>To account for the annexation of Lake Stevens, utilizing December 2021 customer counts instead of October 2021</t>
        </r>
        <r>
          <rPr>
            <sz val="9"/>
            <color indexed="81"/>
            <rFont val="Tahoma"/>
            <family val="2"/>
          </rPr>
          <t xml:space="preserve">
</t>
        </r>
      </text>
    </comment>
  </commentList>
</comments>
</file>

<file path=xl/sharedStrings.xml><?xml version="1.0" encoding="utf-8"?>
<sst xmlns="http://schemas.openxmlformats.org/spreadsheetml/2006/main" count="1466" uniqueCount="336">
  <si>
    <t>Aluminum</t>
  </si>
  <si>
    <t>OCC</t>
  </si>
  <si>
    <t>Glass</t>
  </si>
  <si>
    <t>Newspaper</t>
  </si>
  <si>
    <t>Tin Cans</t>
  </si>
  <si>
    <t>Residue</t>
  </si>
  <si>
    <t>Mix Paper</t>
  </si>
  <si>
    <t>Tons</t>
  </si>
  <si>
    <t>PET</t>
  </si>
  <si>
    <t>#3 - 7</t>
  </si>
  <si>
    <t>HDPE Natl</t>
  </si>
  <si>
    <t>HDPE Col</t>
  </si>
  <si>
    <t>King County Revenue Sharing Plan Budget</t>
  </si>
  <si>
    <t xml:space="preserve">King </t>
  </si>
  <si>
    <t>Seattle/</t>
  </si>
  <si>
    <t>County</t>
  </si>
  <si>
    <t>North Sound</t>
  </si>
  <si>
    <t>South Sound</t>
  </si>
  <si>
    <t>Customer Counts:</t>
  </si>
  <si>
    <t>Residential</t>
  </si>
  <si>
    <t>Tonnage:</t>
  </si>
  <si>
    <t>Revenues:</t>
  </si>
  <si>
    <t>Total Projected Commodity Revenue (based most recent 12 months average commodity values)</t>
  </si>
  <si>
    <t>Expenditures Budget:</t>
  </si>
  <si>
    <t xml:space="preserve">Estimated Revenue Sharing retained by Company </t>
  </si>
  <si>
    <t>Detailed Expenditures:</t>
  </si>
  <si>
    <t>Tasks As Outlined In RSA</t>
  </si>
  <si>
    <t>Total RSA Task Fees (excluding capital)</t>
  </si>
  <si>
    <t>Avg. lbs./customer/mo.</t>
  </si>
  <si>
    <t>Avg. revenue/ton</t>
  </si>
  <si>
    <t>Snohomish County Revenue Sharing Plan Budget</t>
  </si>
  <si>
    <t>Snohomish</t>
  </si>
  <si>
    <t>Passback Price/ton schedule</t>
  </si>
  <si>
    <t>Natural</t>
  </si>
  <si>
    <t>Colored</t>
  </si>
  <si>
    <t>Mixed</t>
  </si>
  <si>
    <t>Month</t>
  </si>
  <si>
    <t>ONP 6</t>
  </si>
  <si>
    <t>Mixed Paper</t>
  </si>
  <si>
    <t>Alum.</t>
  </si>
  <si>
    <t>Tin</t>
  </si>
  <si>
    <t>HDPE</t>
  </si>
  <si>
    <t>Plastics 3-7</t>
  </si>
  <si>
    <t>Average</t>
  </si>
  <si>
    <t>Overall Plastic Average</t>
  </si>
  <si>
    <t>King County:</t>
  </si>
  <si>
    <t>Oct</t>
  </si>
  <si>
    <t>Nov</t>
  </si>
  <si>
    <t>Dec.</t>
  </si>
  <si>
    <t>Feb.</t>
  </si>
  <si>
    <t>Mar.</t>
  </si>
  <si>
    <t>Apr.</t>
  </si>
  <si>
    <t>May</t>
  </si>
  <si>
    <t>Jun.</t>
  </si>
  <si>
    <t>Jul.</t>
  </si>
  <si>
    <t>Aug.</t>
  </si>
  <si>
    <t>Sep.</t>
  </si>
  <si>
    <t>Oct.</t>
  </si>
  <si>
    <t>Nov.</t>
  </si>
  <si>
    <t>Jun</t>
  </si>
  <si>
    <t>Jul</t>
  </si>
  <si>
    <t>Aug</t>
  </si>
  <si>
    <t>Sep</t>
  </si>
  <si>
    <t>Snohomish County:</t>
  </si>
  <si>
    <t>Dec</t>
  </si>
  <si>
    <t>WUTC</t>
  </si>
  <si>
    <t>Non-WUTC</t>
  </si>
  <si>
    <t>WM - Seattle/South Sound</t>
  </si>
  <si>
    <t>Grand</t>
  </si>
  <si>
    <t>SS</t>
  </si>
  <si>
    <t>Seattle</t>
  </si>
  <si>
    <t>Total</t>
  </si>
  <si>
    <t>Marysville</t>
  </si>
  <si>
    <t>Non-Reg</t>
  </si>
  <si>
    <t>Everett</t>
  </si>
  <si>
    <t>Feb</t>
  </si>
  <si>
    <t>Mar</t>
  </si>
  <si>
    <t>Apr</t>
  </si>
  <si>
    <t>Actual Average:</t>
  </si>
  <si>
    <t>WUTC - Snohomish County</t>
  </si>
  <si>
    <t>Summary of Recycling Tonnages and Revenue</t>
  </si>
  <si>
    <t>Total Counties:</t>
  </si>
  <si>
    <t>King</t>
  </si>
  <si>
    <t>Single Stream Tonnage</t>
  </si>
  <si>
    <t>Single Stream Revenue</t>
  </si>
  <si>
    <t>Revenue</t>
  </si>
  <si>
    <t>per Ton</t>
  </si>
  <si>
    <t>Customers</t>
  </si>
  <si>
    <t>lbs./cust/mo.</t>
  </si>
  <si>
    <t>Regulated WUTC:</t>
  </si>
  <si>
    <t>Difference - over (under)</t>
  </si>
  <si>
    <t>Regulated WUTC (Single Family):</t>
  </si>
  <si>
    <t>% of Total</t>
  </si>
  <si>
    <t>Regulated WUTC (Multi-Family):</t>
  </si>
  <si>
    <t>Less: Performance Incentive Earned (5% of Expenditures)</t>
  </si>
  <si>
    <t>WM - North Sound/Marysville</t>
  </si>
  <si>
    <t>King County</t>
  </si>
  <si>
    <t>King Cty</t>
  </si>
  <si>
    <t>Sno.Cty</t>
  </si>
  <si>
    <t>North Sound/</t>
  </si>
  <si>
    <t>Snohomish County</t>
  </si>
  <si>
    <t>Residential (average)</t>
  </si>
  <si>
    <t>Budget</t>
  </si>
  <si>
    <t>Grand Total</t>
  </si>
  <si>
    <t>%</t>
  </si>
  <si>
    <t>CRC Prices</t>
  </si>
  <si>
    <t>JMK Prices</t>
  </si>
  <si>
    <t>Amount Over (under) spent</t>
  </si>
  <si>
    <t>WM North Sound (Snohomish County)</t>
  </si>
  <si>
    <t>2018 - 2019 Rebate Calculation</t>
  </si>
  <si>
    <t>Commodity</t>
  </si>
  <si>
    <t>Credit</t>
  </si>
  <si>
    <t>Credits</t>
  </si>
  <si>
    <t>Projected Revenue Oct. 2017 - Sep. 2018</t>
  </si>
  <si>
    <t>Oct. - Dec projected value without adjustment factor</t>
  </si>
  <si>
    <t>Jan. - Sep. projected value without adjustment factor</t>
  </si>
  <si>
    <t xml:space="preserve">Actual Commodity Revenue </t>
  </si>
  <si>
    <t>Owe Customer (company)</t>
  </si>
  <si>
    <t>Total Customers</t>
  </si>
  <si>
    <t>Commodity Adjustment</t>
  </si>
  <si>
    <t>Projected Revenue Oct. 2018 - Sep. 2019 (based on most recent 6 months due to "China Sword")</t>
  </si>
  <si>
    <t>Projected Value to Rebate to Customers</t>
  </si>
  <si>
    <t>Residential Commodity Adjustment</t>
  </si>
  <si>
    <t>Estimated Cost of Customer notices - per customer</t>
  </si>
  <si>
    <t>Less: Revenue Sharing Agreement (amount retained including incentive)</t>
  </si>
  <si>
    <t>WM North Sound (King County)</t>
  </si>
  <si>
    <t>WM Seattle / South Sound (King County)</t>
  </si>
  <si>
    <t>Projected Revenue Oct. 2018 - Sep. 2019</t>
  </si>
  <si>
    <t>2019 - 2020 Rebate Calculation</t>
  </si>
  <si>
    <t xml:space="preserve">Actual Commodity Revenue (Oct. 2018 - Sept. 2019) </t>
  </si>
  <si>
    <t>Projected Revenue Oct. 2019 - Sep. 2020 (based on most recent 12 months)</t>
  </si>
  <si>
    <t>Residential and Multi-Family WUTC tonnage (based on most recent 12 months)</t>
  </si>
  <si>
    <t xml:space="preserve">Amount available to spend </t>
  </si>
  <si>
    <t>Task 3 - Multifamily Recycling and Reduction of Contamination</t>
  </si>
  <si>
    <t>Task 4 - Community Events- Reducing Contamination &amp; Waste, and Encouraging Composting</t>
  </si>
  <si>
    <t>Task 6 - Focused Education for Younger Minds</t>
  </si>
  <si>
    <t>Single Stream Composition-CRC</t>
  </si>
  <si>
    <t>Processed</t>
  </si>
  <si>
    <t>@ CRC</t>
  </si>
  <si>
    <t>@ JMK</t>
  </si>
  <si>
    <t>% of Total processed at CRC/JMK</t>
  </si>
  <si>
    <t>CRC</t>
  </si>
  <si>
    <t>JMK</t>
  </si>
  <si>
    <t xml:space="preserve">Overall </t>
  </si>
  <si>
    <t>Net Residential Commodity Rebate (charge) - Snohomish County</t>
  </si>
  <si>
    <t>Net Residential Commodity Rebate (charge) - City of Everett</t>
  </si>
  <si>
    <t xml:space="preserve">Net Residential Commodity Rebate (charge) </t>
  </si>
  <si>
    <t>Note: The cumulative methodology historically used in filings over the past 20+ years is not sustainable going forward. With this filing we are converting to the new methodology used in most WUTC filings as reflected below carrying forward the approved rates reflected in the prior years filing. (see columns I - O)</t>
  </si>
  <si>
    <t>Less: Amount underspent during the 2018 - 2019 RSA plan</t>
  </si>
  <si>
    <t>per TG-180923</t>
  </si>
  <si>
    <t>Less: 50% retained by company</t>
  </si>
  <si>
    <t>Add: Net Suspended charges (Jan-Feb. 2019)</t>
  </si>
  <si>
    <t>Amount passed back to customers</t>
  </si>
  <si>
    <t>Net Commodity Revenue</t>
  </si>
  <si>
    <t>Total Owe Customer (Company)</t>
  </si>
  <si>
    <t>Customer Type</t>
  </si>
  <si>
    <t>Material</t>
  </si>
  <si>
    <t>Algona</t>
  </si>
  <si>
    <t>Auburn</t>
  </si>
  <si>
    <t>Bothell</t>
  </si>
  <si>
    <t>Duvall</t>
  </si>
  <si>
    <t>Federal Way</t>
  </si>
  <si>
    <t>Kirkland</t>
  </si>
  <si>
    <t>Newcastle</t>
  </si>
  <si>
    <t>Normandy Park</t>
  </si>
  <si>
    <t>Pacific</t>
  </si>
  <si>
    <t>Redmond</t>
  </si>
  <si>
    <t>Sammamish</t>
  </si>
  <si>
    <t>Snoqualmie</t>
  </si>
  <si>
    <t>Tukwila</t>
  </si>
  <si>
    <t>UTC South Sound</t>
  </si>
  <si>
    <t>UTC Seattle</t>
  </si>
  <si>
    <t>Grand total</t>
  </si>
  <si>
    <t>October:</t>
  </si>
  <si>
    <t>Recycle</t>
  </si>
  <si>
    <t>Multifamily</t>
  </si>
  <si>
    <t>November:</t>
  </si>
  <si>
    <t>December:</t>
  </si>
  <si>
    <t>Arlington</t>
  </si>
  <si>
    <t>Granite Falls</t>
  </si>
  <si>
    <t>Lake Stevens</t>
  </si>
  <si>
    <t>Mill Creek</t>
  </si>
  <si>
    <t>Mountlake Terrace</t>
  </si>
  <si>
    <t>Mukilteo</t>
  </si>
  <si>
    <t>UTC Marysville</t>
  </si>
  <si>
    <t>December</t>
  </si>
  <si>
    <t>January:</t>
  </si>
  <si>
    <t>February:</t>
  </si>
  <si>
    <t>March</t>
  </si>
  <si>
    <t>April</t>
  </si>
  <si>
    <t>Processed at CRC</t>
  </si>
  <si>
    <t>Processed at JMK</t>
  </si>
  <si>
    <t>KC</t>
  </si>
  <si>
    <t>SC</t>
  </si>
  <si>
    <t>June</t>
  </si>
  <si>
    <t>July</t>
  </si>
  <si>
    <t>August</t>
  </si>
  <si>
    <t>September</t>
  </si>
  <si>
    <t>October</t>
  </si>
  <si>
    <t>November</t>
  </si>
  <si>
    <t>January</t>
  </si>
  <si>
    <t>February</t>
  </si>
  <si>
    <t>Revised Rate Sheet Summary</t>
  </si>
  <si>
    <t>WM-North Sound (SC)</t>
  </si>
  <si>
    <t>WM-North Sound (KC)</t>
  </si>
  <si>
    <t>WM-Seattle/South Sound</t>
  </si>
  <si>
    <t>Service</t>
  </si>
  <si>
    <t xml:space="preserve">Revised </t>
  </si>
  <si>
    <t>Current</t>
  </si>
  <si>
    <t>% Change</t>
  </si>
  <si>
    <t>Residential Recycle Credit (Charge)</t>
  </si>
  <si>
    <t>Multi-Family Containers (a):</t>
  </si>
  <si>
    <t>Mini-can</t>
  </si>
  <si>
    <t>Cans</t>
  </si>
  <si>
    <t>35 gal cart</t>
  </si>
  <si>
    <t>64 gal cart</t>
  </si>
  <si>
    <t>96 gal cart</t>
  </si>
  <si>
    <t>1 yard</t>
  </si>
  <si>
    <t>1.50 yard</t>
  </si>
  <si>
    <t>2 yard</t>
  </si>
  <si>
    <t>3 yard</t>
  </si>
  <si>
    <t>4 yard</t>
  </si>
  <si>
    <t>6 yard</t>
  </si>
  <si>
    <t>8 yard</t>
  </si>
  <si>
    <t>MF Containers(Everett) (a):</t>
  </si>
  <si>
    <t>MF Using Drop Box (a):</t>
  </si>
  <si>
    <t>Per Station</t>
  </si>
  <si>
    <t>Per Cart</t>
  </si>
  <si>
    <t>MF Using Drop Box(Everett) (a):</t>
  </si>
  <si>
    <t>(a)</t>
  </si>
  <si>
    <t xml:space="preserve">Due to the relative immateriality of MF tonnages as compared to residential tonnages, the increase or decrease in the change of the commodity rebate each year will be based on the % change in the residential recycling rebate </t>
  </si>
  <si>
    <t>Credit/(Debit)</t>
  </si>
  <si>
    <t>Credits/(Debits)</t>
  </si>
  <si>
    <t>Projected Revenue Oct. 2019 - Sep. 2020</t>
  </si>
  <si>
    <t>paid out/credits given</t>
  </si>
  <si>
    <t xml:space="preserve">Actual Commodity Revenue (Oct. 2019 - Sept. 2020) </t>
  </si>
  <si>
    <t>revenue  received</t>
  </si>
  <si>
    <t>owed to company</t>
  </si>
  <si>
    <t>Projected Revenue Oct. 2020 - Sep. 2021 (based on most recent 12 months)</t>
  </si>
  <si>
    <t>Residential Commodity Rebate (charge)</t>
  </si>
  <si>
    <t>2020 - 2021 Rebate Calculation</t>
  </si>
  <si>
    <t>Projected Revenue Oct. 2020 - Sep. 2021</t>
  </si>
  <si>
    <t xml:space="preserve">Actual Commodity Revenue (Oct. 2020 - Sept. 2021) </t>
  </si>
  <si>
    <t>Projected Revenue Oct. 2021 - Sep. 2022 (based on most recent 12 months)</t>
  </si>
  <si>
    <t xml:space="preserve">2022 - 2023 plan years </t>
  </si>
  <si>
    <t>Add: 50% commodity value to Everett customers who do not participate in the RSA</t>
  </si>
  <si>
    <t>owed to customer</t>
  </si>
  <si>
    <t>The deferred recycling commodity adjustment (RCA) is a mechanism used by the Commission to return to the customer the revenue a company receives from the sale of recyclable materials.  It consists of a forecast of the value of the commodities for the next year, and a true-up based on the actual payments made to the customer for the commodities for the previous year.  It is based on net revenue rather than gross revenue, meaning that if a company has to pay to get rid of a commodity, that negative amount is left in the calculation.</t>
  </si>
  <si>
    <t>2020 - 2021 Rebate Calculation - Deferred Accounting Methodology</t>
  </si>
  <si>
    <t>WUTC - King County (Seattle/South Sound)</t>
  </si>
  <si>
    <t>WUTC - King County (North Sound/Marysville)</t>
  </si>
  <si>
    <t>Add: Increase in the Budget to reflect prior underspent funds (net of incentive)</t>
  </si>
  <si>
    <t>Less: Reduction in the Budget to reflect prior underspent funds (net of incentive)</t>
  </si>
  <si>
    <t>Task 1 - Increasing Recyclable Material Capture</t>
  </si>
  <si>
    <t>Task 2 - Multifamily Outreach</t>
  </si>
  <si>
    <t>Task 3 - Analysis of Incorporating Tasks into Base Rates</t>
  </si>
  <si>
    <t>Task 1 - Knowledge Sharing and Education</t>
  </si>
  <si>
    <t>Task 2 - Expanding Access and Education for All</t>
  </si>
  <si>
    <t>Task 5 - Contamination Reduction and What Goes Where</t>
  </si>
  <si>
    <t>Woodinville - UTC</t>
  </si>
  <si>
    <t>2021 - 2022 Rebate Calculation - Deferred Accounting Methodology</t>
  </si>
  <si>
    <t>Projected Revenue Oct. 2021 - Sep. 2022</t>
  </si>
  <si>
    <t>Projected Revenue Oct. 2022 - Sep. 2023 (based on most recent 12 months)</t>
  </si>
  <si>
    <t xml:space="preserve">Actual Commodity Revenue (Oct. 2021 - Sept. 2022) </t>
  </si>
  <si>
    <t>UTC KC North Sound</t>
  </si>
  <si>
    <t>UTC SC North Sound</t>
  </si>
  <si>
    <t xml:space="preserve">Actual Commodity Revenue (Oct. 2022 - Sept. 2023) </t>
  </si>
  <si>
    <t>Projected Revenue Oct. 2022 - Sep. 2023</t>
  </si>
  <si>
    <t>2022 - 2023 Rebate Calculation - Deferred Accounting Methodology</t>
  </si>
  <si>
    <t>Actual</t>
  </si>
  <si>
    <t>King County Financial Incentive Analysis</t>
  </si>
  <si>
    <t>2020-2021</t>
  </si>
  <si>
    <t>RSA Total</t>
  </si>
  <si>
    <t>a.) Diversion:</t>
  </si>
  <si>
    <t xml:space="preserve"> RESIDENTIAL WASTE STREAM</t>
  </si>
  <si>
    <t xml:space="preserve">Residential Recycling </t>
  </si>
  <si>
    <t xml:space="preserve">Residential Yard Waste </t>
  </si>
  <si>
    <t xml:space="preserve">Residential Solid Waste </t>
  </si>
  <si>
    <t>TOTAL RESIDENTIAL</t>
  </si>
  <si>
    <t xml:space="preserve"> MULTIFAMILY WASTE STREAM</t>
  </si>
  <si>
    <t xml:space="preserve">Multifamily Recycling </t>
  </si>
  <si>
    <t xml:space="preserve">Multifamily Yard Waste </t>
  </si>
  <si>
    <t xml:space="preserve">Multifamily Solid Waste </t>
  </si>
  <si>
    <t>TOTAL MULTIFAMILY</t>
  </si>
  <si>
    <t xml:space="preserve"> TOTAL WASTE STREAM</t>
  </si>
  <si>
    <t>Total Diversion</t>
  </si>
  <si>
    <t>Diversion Rate</t>
  </si>
  <si>
    <t>b.) Increase in Recycling Accounts:</t>
  </si>
  <si>
    <t>Recycling</t>
  </si>
  <si>
    <t>Yard Waste</t>
  </si>
  <si>
    <t>Sept. 2021</t>
  </si>
  <si>
    <t>% increase</t>
  </si>
  <si>
    <t>Financial Incentives</t>
  </si>
  <si>
    <t>Waste Management is eligible for a financial incentive payment for implementation of the Plan if the following conditions are met:</t>
  </si>
  <si>
    <r>
      <t>b)</t>
    </r>
    <r>
      <rPr>
        <sz val="7"/>
        <rFont val="Times New Roman"/>
        <family val="1"/>
      </rPr>
      <t xml:space="preserve">      </t>
    </r>
    <r>
      <rPr>
        <sz val="12"/>
        <rFont val="Times New Roman"/>
        <family val="1"/>
      </rPr>
      <t xml:space="preserve">For increasing the total number of regulated residential recycling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</si>
  <si>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2021.  The County may waive requirements a) and b) if in County’s judgment, WM has complied with all aspects of the Plan.</t>
    </r>
  </si>
  <si>
    <t>Snohomish County Financial Incentive Analysis - per Enspire</t>
  </si>
  <si>
    <t>Rolling</t>
  </si>
  <si>
    <t>3 year</t>
  </si>
  <si>
    <t>Total Monthly Customers</t>
  </si>
  <si>
    <t>Per Capita Diversion (lbs./customer)</t>
  </si>
  <si>
    <t>b.) Increase in Recycling Customers:</t>
  </si>
  <si>
    <t>Over the past several years the amount of data describing the environmental impacts of the solid waste industry has greatly been expanded upon. Through that research, it’s become increasingly clear that evaluating success of a recycling program strictly by evaluating total diversion rate is not an accurate assessment of environmental benefit. For example, solely evaluating weight of recyclables would give equal benefit to recycling one pound of glass, versus one pound of aluminum; yet the environmental benefit from a green-house-gas and lifecycle point of view of recycling that pound of aluminum is far greater.</t>
  </si>
  <si>
    <t>The concept of sustainable materials management (SMM) is centered upon the idea that in order to maximize environmental benefit, it makes sense to prioritize, and measure disposal for items that have the maximum environmental impact to be recycled, composted, or have avoided disposal altogether.</t>
  </si>
  <si>
    <r>
      <t>a)</t>
    </r>
    <r>
      <rPr>
        <sz val="7"/>
        <rFont val="Times New Roman"/>
        <family val="1"/>
      </rPr>
      <t xml:space="preserve">      </t>
    </r>
    <r>
      <rPr>
        <sz val="12"/>
        <rFont val="Times New Roman"/>
        <family val="1"/>
      </rPr>
      <t xml:space="preserve">For increasing per capita diversion rates of the combined commodities aluminum, plastic bottles (PET), and cardboard by regulated single family and multifamily residential customers, an amount equal to </t>
    </r>
    <r>
      <rPr>
        <b/>
        <u/>
        <sz val="12"/>
        <rFont val="Times New Roman"/>
        <family val="1"/>
      </rPr>
      <t>3%</t>
    </r>
    <r>
      <rPr>
        <sz val="12"/>
        <rFont val="Times New Roman"/>
        <family val="1"/>
      </rPr>
      <t xml:space="preserve"> of the total expenditures incurred by WM in implementation of Plan activities. To determine eligibility of this incentive payment, WM will evaluate the diversion rate by material type for Snohomish County WUTC single family and multifamily customers based on a 3-year rolling average on a calendar year basis.</t>
    </r>
  </si>
  <si>
    <t>Per capita diversion rates mean that on an individual customer basis the weight of the aluminum, plastic bottles and cardboard, divided by the total weight of all materials collected per customer. If the diversion rate for these combined items has increased, WM will be eligible for this incentive payment, subject to the conditions in subsection c) below.</t>
  </si>
  <si>
    <r>
      <t>b)</t>
    </r>
    <r>
      <rPr>
        <sz val="7"/>
        <rFont val="Times New Roman"/>
        <family val="1"/>
      </rPr>
      <t xml:space="preserve">      </t>
    </r>
    <r>
      <rPr>
        <sz val="12"/>
        <rFont val="Times New Roman"/>
        <family val="1"/>
      </rPr>
      <t xml:space="preserve">For increasing the total number of regulated residential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</si>
  <si>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t>2022-2023</t>
  </si>
  <si>
    <t>* The percentage composition of our materials is based on historical data due to the closure of CRC during 2022 and 2023.</t>
  </si>
  <si>
    <t xml:space="preserve">2024 - 2025 plan years </t>
  </si>
  <si>
    <t>Sept. 2023</t>
  </si>
  <si>
    <t>Dec. 2021</t>
  </si>
  <si>
    <r>
      <t>a)</t>
    </r>
    <r>
      <rPr>
        <sz val="7"/>
        <rFont val="Times New Roman"/>
        <family val="1"/>
      </rPr>
      <t xml:space="preserve">      </t>
    </r>
    <r>
      <rPr>
        <sz val="12"/>
        <rFont val="Times New Roman"/>
        <family val="1"/>
      </rPr>
      <t xml:space="preserve">For participation in regional strategic planning efforts, planning and executing tactics in collaboration with King County addressing national sword and organic stream contamination reduction tactics and any increased diversion of materials from disposal by regulated residential customers, as a result of these efforts, an amount equal to </t>
    </r>
    <r>
      <rPr>
        <b/>
        <sz val="12"/>
        <rFont val="Times New Roman"/>
        <family val="1"/>
      </rPr>
      <t>3%</t>
    </r>
    <r>
      <rPr>
        <sz val="12"/>
        <rFont val="Times New Roman"/>
        <family val="1"/>
      </rPr>
      <t xml:space="preserve"> of the total expenditures incurred by Waste Management in implementation of Plan activities. To determine eligibility for this incentive payment, Waste Management will, in collaboration with King County, develop and execute measures for delivery of tactics which reduce contamination in the basic and organic’s stream. The completion of deliverables and evaluation will determine eligibility and be reported on for Part A (January 2022 – September 2022), and Part B (October 2022 – September 2023) of the plan.</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</si>
  <si>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2023.  The County may waive requirements a) and b) if in County’s judgment, WM has complied with all aspects of the Plan.</t>
    </r>
  </si>
  <si>
    <t>Less: Reduction in the Budget to reflect prior overspent funds (net of incentive)</t>
  </si>
  <si>
    <t>Tasks are currently being outlined in conjunction with Snohomish County. We will provide updated workpapers with the outlined tasks and formal letter from the County.</t>
  </si>
  <si>
    <t xml:space="preserve">Task 1 - Single Family Residential </t>
  </si>
  <si>
    <t>Oct., 2023</t>
  </si>
  <si>
    <t>Jan., 2024</t>
  </si>
  <si>
    <t>Jan. 2025</t>
  </si>
  <si>
    <t>Oct.; 2023</t>
  </si>
  <si>
    <t>Jan.; 2024</t>
  </si>
  <si>
    <t>Jan., 2025</t>
  </si>
  <si>
    <t>Jan. '25</t>
  </si>
  <si>
    <t>Jan. '24</t>
  </si>
  <si>
    <t>Oct; '23</t>
  </si>
  <si>
    <t>2024 - 2025 Rebate Calculation - Deferred Accounting Methodology</t>
  </si>
  <si>
    <t>Brier UTC</t>
  </si>
  <si>
    <t>Edmonds UTC</t>
  </si>
  <si>
    <t>Everett UTC</t>
  </si>
  <si>
    <t>Lynnwood UTC</t>
  </si>
  <si>
    <t xml:space="preserve">Actual Commodity Revenue (Oct. 2023 - Sept. 2024) </t>
  </si>
  <si>
    <t>Projected Revenue Oct. 2023 - Sep. 2024</t>
  </si>
  <si>
    <t>Projected Revenue Oct. 2023 - Sep. 2024 (based on most recent 12 months)</t>
  </si>
  <si>
    <t>2024 - 2025 Total per Budget</t>
  </si>
  <si>
    <t>2024 - 2025 Pro Rata per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</si>
</sst>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
    <numFmt numFmtId="168" formatCode="[$$-409]#,##0"/>
  </numFmts>
  <fonts count="100">
    <font>
      <sz val="10"/>
      <name val="Arial"/>
    </font>
    <font>
      <sz val="11"/>
      <color theme="1"/>
      <name val="Calibri"/>
      <family val="2"/>
      <scheme val="minor"/>
    </font>
    <font>
      <sz val="10"/>
      <name val="Arial"/>
      <family val="2"/>
    </font>
    <font>
      <b/>
      <sz val="10"/>
      <name val="Arial"/>
      <family val="2"/>
    </font>
    <font>
      <b/>
      <i/>
      <u/>
      <sz val="10"/>
      <name val="Arial"/>
      <family val="2"/>
    </font>
    <font>
      <sz val="10"/>
      <name val="Arial"/>
      <family val="2"/>
    </font>
    <font>
      <u val="singleAccounting"/>
      <sz val="10"/>
      <name val="Arial"/>
      <family val="2"/>
    </font>
    <font>
      <u/>
      <sz val="10"/>
      <name val="Arial"/>
      <family val="2"/>
    </font>
    <font>
      <b/>
      <u val="double"/>
      <sz val="10"/>
      <name val="Arial"/>
      <family val="2"/>
    </font>
    <font>
      <sz val="10"/>
      <color indexed="10"/>
      <name val="Arial"/>
      <family val="2"/>
    </font>
    <font>
      <b/>
      <u/>
      <sz val="10"/>
      <name val="Arial"/>
      <family val="2"/>
    </font>
    <font>
      <b/>
      <u val="singleAccounting"/>
      <sz val="10"/>
      <name val="Arial"/>
      <family val="2"/>
    </font>
    <font>
      <sz val="9"/>
      <name val="Arial"/>
      <family val="2"/>
    </font>
    <font>
      <b/>
      <sz val="16"/>
      <name val="Arial"/>
      <family val="2"/>
    </font>
    <font>
      <b/>
      <u val="doubleAccounting"/>
      <sz val="10"/>
      <name val="Arial"/>
      <family val="2"/>
    </font>
    <font>
      <b/>
      <sz val="11"/>
      <name val="Calibri"/>
      <family val="2"/>
    </font>
    <font>
      <b/>
      <u val="singleAccounting"/>
      <sz val="11"/>
      <name val="Calibri"/>
      <family val="2"/>
    </font>
    <font>
      <sz val="11"/>
      <name val="Calibri"/>
      <family val="2"/>
    </font>
    <font>
      <u val="singleAccounting"/>
      <sz val="11"/>
      <name val="Calibri"/>
      <family val="2"/>
    </font>
    <font>
      <b/>
      <u val="double"/>
      <sz val="11"/>
      <name val="Calibri"/>
      <family val="2"/>
    </font>
    <font>
      <b/>
      <sz val="14"/>
      <name val="Arial"/>
      <family val="2"/>
    </font>
    <font>
      <b/>
      <sz val="18"/>
      <name val="Arial"/>
      <family val="2"/>
    </font>
    <font>
      <sz val="12"/>
      <name val="Arial"/>
      <family val="2"/>
    </font>
    <font>
      <b/>
      <sz val="12"/>
      <name val="Arial"/>
      <family val="2"/>
    </font>
    <font>
      <b/>
      <sz val="12"/>
      <color indexed="10"/>
      <name val="Arial"/>
      <family val="2"/>
    </font>
    <font>
      <i/>
      <u/>
      <sz val="12"/>
      <name val="Arial"/>
      <family val="2"/>
    </font>
    <font>
      <b/>
      <u/>
      <sz val="12"/>
      <name val="Arial"/>
      <family val="2"/>
    </font>
    <font>
      <b/>
      <sz val="12"/>
      <color indexed="12"/>
      <name val="Arial"/>
      <family val="2"/>
    </font>
    <font>
      <u val="singleAccounting"/>
      <sz val="12"/>
      <name val="Arial"/>
      <family val="2"/>
    </font>
    <font>
      <b/>
      <u val="singleAccounting"/>
      <sz val="12"/>
      <name val="Arial"/>
      <family val="2"/>
    </font>
    <font>
      <b/>
      <u val="doubleAccounting"/>
      <sz val="12"/>
      <name val="Arial"/>
      <family val="2"/>
    </font>
    <font>
      <b/>
      <sz val="9"/>
      <color indexed="81"/>
      <name val="Tahoma"/>
      <family val="2"/>
    </font>
    <font>
      <sz val="9"/>
      <color indexed="81"/>
      <name val="Tahoma"/>
      <family val="2"/>
    </font>
    <font>
      <i/>
      <sz val="10"/>
      <name val="Arial"/>
      <family val="2"/>
    </font>
    <font>
      <b/>
      <sz val="11"/>
      <color theme="1"/>
      <name val="Calibri"/>
      <family val="2"/>
      <scheme val="minor"/>
    </font>
    <font>
      <sz val="11"/>
      <color rgb="FFFF0000"/>
      <name val="Calibri"/>
      <family val="2"/>
      <scheme val="minor"/>
    </font>
    <font>
      <b/>
      <u/>
      <sz val="11"/>
      <color theme="1"/>
      <name val="Calibri"/>
      <family val="2"/>
      <scheme val="minor"/>
    </font>
    <font>
      <b/>
      <sz val="18"/>
      <color theme="1"/>
      <name val="Calibri"/>
      <family val="2"/>
      <scheme val="minor"/>
    </font>
    <font>
      <b/>
      <sz val="12"/>
      <name val="Calibri"/>
      <family val="2"/>
      <scheme val="minor"/>
    </font>
    <font>
      <b/>
      <sz val="11"/>
      <color rgb="FFFF0000"/>
      <name val="Calibri"/>
      <family val="2"/>
      <scheme val="minor"/>
    </font>
    <font>
      <b/>
      <u/>
      <sz val="16"/>
      <color theme="1"/>
      <name val="Calibri"/>
      <family val="2"/>
      <scheme val="minor"/>
    </font>
    <font>
      <sz val="11"/>
      <name val="Calibri"/>
      <family val="2"/>
      <scheme val="minor"/>
    </font>
    <font>
      <b/>
      <u/>
      <sz val="14"/>
      <color theme="1"/>
      <name val="Calibri"/>
      <family val="2"/>
      <scheme val="minor"/>
    </font>
    <font>
      <b/>
      <sz val="11"/>
      <name val="Calibri"/>
      <family val="2"/>
      <scheme val="minor"/>
    </font>
    <font>
      <sz val="10"/>
      <color theme="1"/>
      <name val="Arial"/>
      <family val="2"/>
    </font>
    <font>
      <b/>
      <u val="singleAccounting"/>
      <sz val="10"/>
      <color theme="1"/>
      <name val="Arial"/>
      <family val="2"/>
    </font>
    <font>
      <sz val="10"/>
      <color rgb="FFFF0000"/>
      <name val="Arial"/>
      <family val="2"/>
    </font>
    <font>
      <b/>
      <sz val="12"/>
      <color theme="1"/>
      <name val="Arial"/>
      <family val="2"/>
    </font>
    <font>
      <i/>
      <sz val="8"/>
      <color theme="1"/>
      <name val="Calibri"/>
      <family val="2"/>
      <scheme val="minor"/>
    </font>
    <font>
      <b/>
      <i/>
      <sz val="11"/>
      <color theme="1"/>
      <name val="Calibri"/>
      <family val="2"/>
      <scheme val="minor"/>
    </font>
    <font>
      <b/>
      <u val="doubleAccounting"/>
      <sz val="10"/>
      <color theme="1"/>
      <name val="Arial"/>
      <family val="2"/>
    </font>
    <font>
      <b/>
      <sz val="10"/>
      <color theme="1"/>
      <name val="Arial"/>
      <family val="2"/>
    </font>
    <font>
      <b/>
      <u/>
      <sz val="10"/>
      <color theme="1"/>
      <name val="Arial"/>
      <family val="2"/>
    </font>
    <font>
      <b/>
      <sz val="11"/>
      <color rgb="FFFF0000"/>
      <name val="Calibri"/>
      <family val="2"/>
    </font>
    <font>
      <b/>
      <u/>
      <sz val="11"/>
      <color theme="1"/>
      <name val="Calibri"/>
      <family val="2"/>
    </font>
    <font>
      <b/>
      <u val="doubleAccounting"/>
      <sz val="11"/>
      <color theme="1"/>
      <name val="Calibri"/>
      <family val="2"/>
    </font>
    <font>
      <b/>
      <i/>
      <u val="double"/>
      <sz val="11"/>
      <color theme="1"/>
      <name val="Calibri"/>
      <family val="2"/>
    </font>
    <font>
      <b/>
      <sz val="11"/>
      <color theme="1"/>
      <name val="Calibri"/>
      <family val="2"/>
    </font>
    <font>
      <sz val="11"/>
      <color rgb="FF00B050"/>
      <name val="Calibri"/>
      <family val="2"/>
    </font>
    <font>
      <b/>
      <u val="singleAccounting"/>
      <sz val="11"/>
      <color theme="1"/>
      <name val="Calibri"/>
      <family val="2"/>
    </font>
    <font>
      <b/>
      <u val="doubleAccounting"/>
      <sz val="11"/>
      <color rgb="FF00B050"/>
      <name val="Calibri"/>
      <family val="2"/>
    </font>
    <font>
      <b/>
      <i/>
      <u val="double"/>
      <sz val="10"/>
      <color theme="1"/>
      <name val="Arial"/>
      <family val="2"/>
    </font>
    <font>
      <u val="singleAccounting"/>
      <sz val="10"/>
      <color theme="1"/>
      <name val="Arial"/>
      <family val="2"/>
    </font>
    <font>
      <b/>
      <u val="doubleAccounting"/>
      <sz val="10"/>
      <color rgb="FFFF0000"/>
      <name val="Arial"/>
      <family val="2"/>
    </font>
    <font>
      <b/>
      <u val="double"/>
      <sz val="10"/>
      <color theme="1"/>
      <name val="Arial"/>
      <family val="2"/>
    </font>
    <font>
      <u val="singleAccounting"/>
      <sz val="10"/>
      <color rgb="FFFF0000"/>
      <name val="Arial"/>
      <family val="2"/>
    </font>
    <font>
      <b/>
      <u val="double"/>
      <sz val="11"/>
      <color rgb="FFFF0000"/>
      <name val="Calibri"/>
      <family val="2"/>
    </font>
    <font>
      <sz val="12"/>
      <color theme="1"/>
      <name val="Arial"/>
      <family val="2"/>
    </font>
    <font>
      <u val="singleAccounting"/>
      <sz val="12"/>
      <color theme="1"/>
      <name val="Arial"/>
      <family val="2"/>
    </font>
    <font>
      <sz val="12"/>
      <color rgb="FFFF0000"/>
      <name val="Arial"/>
      <family val="2"/>
    </font>
    <font>
      <b/>
      <sz val="10"/>
      <color rgb="FFFF0000"/>
      <name val="Arial"/>
      <family val="2"/>
    </font>
    <font>
      <b/>
      <i/>
      <u/>
      <sz val="11"/>
      <color theme="1"/>
      <name val="Calibri"/>
      <family val="2"/>
      <scheme val="minor"/>
    </font>
    <font>
      <b/>
      <i/>
      <u/>
      <sz val="11"/>
      <color rgb="FFFF0000"/>
      <name val="Calibri"/>
      <family val="2"/>
    </font>
    <font>
      <b/>
      <i/>
      <sz val="18"/>
      <name val="Arial MT"/>
    </font>
    <font>
      <b/>
      <sz val="12"/>
      <name val="Arial MT"/>
    </font>
    <font>
      <b/>
      <u/>
      <sz val="12"/>
      <name val="Arial MT"/>
    </font>
    <font>
      <u/>
      <sz val="12"/>
      <name val="Arial"/>
      <family val="2"/>
    </font>
    <font>
      <sz val="12"/>
      <name val="Arial MT"/>
    </font>
    <font>
      <b/>
      <u val="double"/>
      <sz val="12"/>
      <name val="Arial"/>
      <family val="2"/>
    </font>
    <font>
      <sz val="12"/>
      <color indexed="12"/>
      <name val="Arial MT"/>
    </font>
    <font>
      <sz val="11"/>
      <name val="Arial"/>
      <family val="2"/>
    </font>
    <font>
      <b/>
      <sz val="11"/>
      <name val="Palatino Linotype"/>
      <family val="1"/>
    </font>
    <font>
      <sz val="9"/>
      <color rgb="FFFF0000"/>
      <name val="Arial"/>
      <family val="2"/>
    </font>
    <font>
      <u val="singleAccounting"/>
      <sz val="9"/>
      <color rgb="FFFF0000"/>
      <name val="Arial"/>
      <family val="2"/>
    </font>
    <font>
      <b/>
      <sz val="11"/>
      <color theme="1"/>
      <name val="Arial"/>
      <family val="2"/>
    </font>
    <font>
      <b/>
      <u/>
      <sz val="11"/>
      <color theme="1"/>
      <name val="Arial"/>
      <family val="2"/>
    </font>
    <font>
      <b/>
      <u/>
      <sz val="12"/>
      <color theme="1"/>
      <name val="Arial"/>
      <family val="2"/>
    </font>
    <font>
      <b/>
      <i/>
      <sz val="11"/>
      <name val="Arial"/>
      <family val="2"/>
    </font>
    <font>
      <b/>
      <i/>
      <sz val="10"/>
      <name val="Arial"/>
      <family val="2"/>
    </font>
    <font>
      <u val="singleAccounting"/>
      <sz val="11"/>
      <color theme="1"/>
      <name val="Arial"/>
      <family val="2"/>
    </font>
    <font>
      <b/>
      <sz val="11"/>
      <name val="Arial"/>
      <family val="2"/>
    </font>
    <font>
      <u/>
      <sz val="11"/>
      <color theme="1"/>
      <name val="Arial"/>
      <family val="2"/>
    </font>
    <font>
      <b/>
      <i/>
      <sz val="11"/>
      <color indexed="10"/>
      <name val="Arial"/>
      <family val="2"/>
    </font>
    <font>
      <b/>
      <i/>
      <sz val="10"/>
      <color indexed="10"/>
      <name val="Arial"/>
      <family val="2"/>
    </font>
    <font>
      <b/>
      <u val="double"/>
      <sz val="11"/>
      <color theme="1"/>
      <name val="Arial"/>
      <family val="2"/>
    </font>
    <font>
      <b/>
      <sz val="12"/>
      <name val="Times New Roman"/>
      <family val="1"/>
    </font>
    <font>
      <sz val="12"/>
      <name val="Times New Roman"/>
      <family val="1"/>
    </font>
    <font>
      <sz val="7"/>
      <name val="Times New Roman"/>
      <family val="1"/>
    </font>
    <font>
      <b/>
      <u/>
      <sz val="12"/>
      <name val="Times New Roman"/>
      <family val="1"/>
    </font>
    <font>
      <b/>
      <u/>
      <sz val="12"/>
      <color theme="1"/>
      <name val="Calibri"/>
      <family val="2"/>
      <scheme val="minor"/>
    </font>
  </fonts>
  <fills count="7">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3" tint="0.59999389629810485"/>
        <bgColor indexed="64"/>
      </patternFill>
    </fill>
  </fills>
  <borders count="32">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9" fontId="2" fillId="0" borderId="0" applyFont="0" applyFill="0" applyBorder="0" applyAlignment="0" applyProtection="0"/>
    <xf numFmtId="9"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553">
    <xf numFmtId="0" fontId="0" fillId="0" borderId="0" xfId="0"/>
    <xf numFmtId="0" fontId="3" fillId="0" borderId="0" xfId="0" applyFont="1"/>
    <xf numFmtId="0" fontId="4" fillId="0" borderId="1"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164" fontId="0" fillId="0" borderId="3" xfId="9" applyNumberFormat="1" applyFont="1" applyBorder="1"/>
    <xf numFmtId="0" fontId="0" fillId="0" borderId="1" xfId="0" applyBorder="1"/>
    <xf numFmtId="0" fontId="0" fillId="0" borderId="3" xfId="0" applyBorder="1"/>
    <xf numFmtId="0" fontId="0" fillId="0" borderId="4" xfId="0" applyBorder="1"/>
    <xf numFmtId="0" fontId="0" fillId="0" borderId="5" xfId="0" applyBorder="1"/>
    <xf numFmtId="17" fontId="4" fillId="0" borderId="6" xfId="0" applyNumberFormat="1" applyFont="1" applyBorder="1" applyAlignment="1">
      <alignment horizontal="right"/>
    </xf>
    <xf numFmtId="0" fontId="5" fillId="0" borderId="0" xfId="0" applyFont="1"/>
    <xf numFmtId="0" fontId="0" fillId="0" borderId="0" xfId="0" applyBorder="1"/>
    <xf numFmtId="0" fontId="34" fillId="0" borderId="0" xfId="0" applyFont="1" applyAlignment="1">
      <alignment horizontal="center"/>
    </xf>
    <xf numFmtId="0" fontId="36" fillId="0" borderId="0" xfId="0" applyFont="1" applyAlignment="1">
      <alignment horizontal="center"/>
    </xf>
    <xf numFmtId="164" fontId="5" fillId="0" borderId="3" xfId="10" applyNumberFormat="1" applyFont="1" applyBorder="1" applyAlignment="1">
      <alignment horizontal="right"/>
    </xf>
    <xf numFmtId="43" fontId="5" fillId="0" borderId="2" xfId="2" applyFont="1" applyBorder="1" applyAlignment="1">
      <alignment horizontal="right"/>
    </xf>
    <xf numFmtId="43" fontId="6" fillId="0" borderId="2" xfId="2" applyFont="1" applyBorder="1" applyAlignment="1">
      <alignment horizontal="right"/>
    </xf>
    <xf numFmtId="0" fontId="3" fillId="0" borderId="7" xfId="0" applyFont="1" applyBorder="1"/>
    <xf numFmtId="43" fontId="3" fillId="0" borderId="8" xfId="2" applyFont="1" applyBorder="1"/>
    <xf numFmtId="9" fontId="3" fillId="0" borderId="9" xfId="0" applyNumberFormat="1" applyFont="1" applyBorder="1"/>
    <xf numFmtId="0" fontId="37" fillId="0" borderId="0" xfId="0" applyFont="1" applyBorder="1"/>
    <xf numFmtId="0" fontId="0" fillId="0" borderId="0" xfId="0" applyFill="1"/>
    <xf numFmtId="0" fontId="38" fillId="0" borderId="0" xfId="0" quotePrefix="1" applyFont="1" applyAlignment="1">
      <alignment wrapText="1"/>
    </xf>
    <xf numFmtId="0" fontId="39" fillId="0" borderId="0" xfId="0" applyFont="1" applyAlignment="1">
      <alignment horizontal="right" wrapText="1"/>
    </xf>
    <xf numFmtId="0" fontId="39" fillId="0" borderId="0" xfId="0" applyFont="1" applyAlignment="1">
      <alignment horizontal="center" wrapText="1"/>
    </xf>
    <xf numFmtId="0" fontId="39" fillId="0" borderId="0" xfId="0" applyFont="1" applyAlignment="1">
      <alignment wrapText="1"/>
    </xf>
    <xf numFmtId="0" fontId="36" fillId="0" borderId="0" xfId="0" applyFont="1" applyBorder="1"/>
    <xf numFmtId="0" fontId="34" fillId="0" borderId="0" xfId="0" applyFont="1" applyFill="1" applyBorder="1"/>
    <xf numFmtId="0" fontId="0" fillId="0" borderId="0" xfId="0" applyFill="1" applyBorder="1"/>
    <xf numFmtId="0" fontId="40" fillId="0" borderId="0" xfId="0" applyFont="1" applyBorder="1"/>
    <xf numFmtId="0" fontId="34" fillId="0" borderId="0" xfId="0" applyFont="1" applyAlignment="1">
      <alignment wrapText="1"/>
    </xf>
    <xf numFmtId="0" fontId="41" fillId="0" borderId="0" xfId="0" applyFont="1" applyAlignment="1">
      <alignment horizontal="right" wrapText="1"/>
    </xf>
    <xf numFmtId="0" fontId="42" fillId="0" borderId="0" xfId="0" applyFont="1" applyBorder="1"/>
    <xf numFmtId="0" fontId="43" fillId="0" borderId="0" xfId="0" applyFont="1" applyAlignment="1">
      <alignment wrapText="1"/>
    </xf>
    <xf numFmtId="0" fontId="43" fillId="0" borderId="0" xfId="0" applyFont="1" applyAlignment="1">
      <alignment horizontal="right" wrapText="1"/>
    </xf>
    <xf numFmtId="0" fontId="36" fillId="0" borderId="0" xfId="0" applyFont="1" applyBorder="1" applyAlignment="1"/>
    <xf numFmtId="0" fontId="0" fillId="0" borderId="0" xfId="0" applyBorder="1" applyAlignment="1"/>
    <xf numFmtId="0" fontId="0" fillId="0" borderId="0" xfId="0" applyAlignment="1">
      <alignment wrapText="1"/>
    </xf>
    <xf numFmtId="0" fontId="0" fillId="0" borderId="0" xfId="0" applyAlignment="1">
      <alignment horizontal="right" wrapText="1"/>
    </xf>
    <xf numFmtId="0" fontId="35" fillId="0" borderId="0" xfId="0" applyFont="1" applyAlignment="1">
      <alignment horizontal="right" wrapText="1"/>
    </xf>
    <xf numFmtId="0" fontId="41" fillId="0" borderId="0" xfId="0" applyFont="1" applyAlignment="1">
      <alignment wrapText="1"/>
    </xf>
    <xf numFmtId="6" fontId="43" fillId="0" borderId="0" xfId="3" applyNumberFormat="1" applyFont="1" applyAlignment="1">
      <alignment horizontal="right" wrapText="1"/>
    </xf>
    <xf numFmtId="6" fontId="43" fillId="0" borderId="0" xfId="3" applyNumberFormat="1" applyFont="1" applyAlignment="1">
      <alignment horizontal="center" wrapText="1"/>
    </xf>
    <xf numFmtId="164" fontId="39" fillId="0" borderId="0" xfId="9" applyNumberFormat="1" applyFont="1" applyAlignment="1">
      <alignment horizontal="center" wrapText="1"/>
    </xf>
    <xf numFmtId="164" fontId="3" fillId="0" borderId="9" xfId="0" applyNumberFormat="1" applyFont="1" applyBorder="1"/>
    <xf numFmtId="43" fontId="3" fillId="0" borderId="8" xfId="1" applyFont="1" applyBorder="1"/>
    <xf numFmtId="43" fontId="0" fillId="0" borderId="0" xfId="1" applyFont="1"/>
    <xf numFmtId="0" fontId="3" fillId="0" borderId="18" xfId="0" applyFont="1" applyBorder="1"/>
    <xf numFmtId="0" fontId="3" fillId="2" borderId="18" xfId="0" applyFont="1" applyFill="1" applyBorder="1"/>
    <xf numFmtId="0" fontId="3" fillId="2" borderId="18" xfId="0" applyFont="1" applyFill="1" applyBorder="1" applyAlignment="1">
      <alignment horizontal="center"/>
    </xf>
    <xf numFmtId="0" fontId="3" fillId="2" borderId="18" xfId="0" applyFont="1" applyFill="1" applyBorder="1" applyAlignment="1" applyProtection="1">
      <alignment horizontal="center"/>
    </xf>
    <xf numFmtId="0" fontId="9" fillId="0" borderId="18" xfId="0" applyFont="1" applyFill="1" applyBorder="1"/>
    <xf numFmtId="17" fontId="3" fillId="0" borderId="18" xfId="8" applyNumberFormat="1" applyFont="1" applyFill="1" applyBorder="1" applyAlignment="1">
      <alignment horizontal="right"/>
    </xf>
    <xf numFmtId="0" fontId="35" fillId="0" borderId="0" xfId="0" applyFont="1"/>
    <xf numFmtId="0" fontId="34" fillId="0" borderId="0" xfId="0" applyFont="1"/>
    <xf numFmtId="0" fontId="36" fillId="0" borderId="0" xfId="0" applyFont="1"/>
    <xf numFmtId="165" fontId="44" fillId="0" borderId="0" xfId="1" applyNumberFormat="1" applyFont="1"/>
    <xf numFmtId="0" fontId="10" fillId="0" borderId="0" xfId="0" applyFont="1" applyAlignment="1">
      <alignment horizontal="center"/>
    </xf>
    <xf numFmtId="165" fontId="11" fillId="0" borderId="0" xfId="2" applyNumberFormat="1" applyFont="1" applyAlignment="1">
      <alignment horizontal="center"/>
    </xf>
    <xf numFmtId="0" fontId="11" fillId="0" borderId="0" xfId="0" applyFont="1" applyAlignment="1">
      <alignment horizontal="center"/>
    </xf>
    <xf numFmtId="165" fontId="45" fillId="0" borderId="0" xfId="1" applyNumberFormat="1" applyFont="1" applyAlignment="1">
      <alignment horizontal="center"/>
    </xf>
    <xf numFmtId="165" fontId="5" fillId="0" borderId="0" xfId="1" applyNumberFormat="1" applyFont="1" applyProtection="1"/>
    <xf numFmtId="165" fontId="46" fillId="0" borderId="0" xfId="1" applyNumberFormat="1" applyFont="1"/>
    <xf numFmtId="0" fontId="8" fillId="0" borderId="0" xfId="0" applyFont="1"/>
    <xf numFmtId="165" fontId="8" fillId="0" borderId="0" xfId="2" applyNumberFormat="1" applyFont="1"/>
    <xf numFmtId="43" fontId="12" fillId="0" borderId="0" xfId="1" applyFont="1" applyBorder="1" applyAlignment="1" applyProtection="1">
      <alignment horizontal="right"/>
      <protection locked="0"/>
    </xf>
    <xf numFmtId="0" fontId="13" fillId="0" borderId="0" xfId="7" applyFont="1"/>
    <xf numFmtId="0" fontId="47" fillId="0" borderId="0" xfId="0" applyFont="1"/>
    <xf numFmtId="0" fontId="39" fillId="0" borderId="0" xfId="0" applyFont="1"/>
    <xf numFmtId="0" fontId="48" fillId="0" borderId="0" xfId="0" applyFont="1"/>
    <xf numFmtId="0" fontId="49" fillId="0" borderId="0" xfId="0" applyFont="1" applyAlignment="1">
      <alignment horizontal="left"/>
    </xf>
    <xf numFmtId="164" fontId="6" fillId="0" borderId="3" xfId="9" applyNumberFormat="1" applyFont="1" applyBorder="1"/>
    <xf numFmtId="43" fontId="6" fillId="0" borderId="0" xfId="0" applyNumberFormat="1" applyFont="1"/>
    <xf numFmtId="164" fontId="7" fillId="0" borderId="3" xfId="9" applyNumberFormat="1" applyFont="1" applyBorder="1"/>
    <xf numFmtId="0" fontId="41" fillId="0" borderId="0" xfId="0" applyFont="1"/>
    <xf numFmtId="165" fontId="14" fillId="0" borderId="0" xfId="0" applyNumberFormat="1" applyFont="1"/>
    <xf numFmtId="0" fontId="43" fillId="0" borderId="0" xfId="0" applyFont="1"/>
    <xf numFmtId="44" fontId="5" fillId="0" borderId="0" xfId="3" applyFont="1" applyFill="1" applyBorder="1" applyProtection="1">
      <protection locked="0"/>
    </xf>
    <xf numFmtId="44" fontId="50" fillId="0" borderId="0" xfId="0" applyNumberFormat="1" applyFont="1"/>
    <xf numFmtId="0" fontId="51" fillId="0" borderId="0" xfId="0" applyFont="1"/>
    <xf numFmtId="0" fontId="5" fillId="0" borderId="18" xfId="0" applyFont="1" applyBorder="1"/>
    <xf numFmtId="44" fontId="5" fillId="0" borderId="0" xfId="0" applyNumberFormat="1" applyFont="1" applyFill="1" applyBorder="1"/>
    <xf numFmtId="0" fontId="5" fillId="2" borderId="18" xfId="0" applyFont="1" applyFill="1" applyBorder="1"/>
    <xf numFmtId="0" fontId="5" fillId="0" borderId="18" xfId="0" applyFont="1" applyFill="1" applyBorder="1"/>
    <xf numFmtId="0" fontId="5" fillId="0" borderId="0" xfId="0" applyFont="1" applyFill="1" applyBorder="1"/>
    <xf numFmtId="164" fontId="5" fillId="0" borderId="0" xfId="0" applyNumberFormat="1" applyFont="1"/>
    <xf numFmtId="43" fontId="5" fillId="0" borderId="0" xfId="0" applyNumberFormat="1" applyFont="1"/>
    <xf numFmtId="0" fontId="46" fillId="0" borderId="0" xfId="0" applyFont="1" applyFill="1" applyBorder="1"/>
    <xf numFmtId="0" fontId="46" fillId="0" borderId="0" xfId="0" applyFont="1"/>
    <xf numFmtId="0" fontId="52" fillId="0" borderId="0" xfId="0" applyFont="1"/>
    <xf numFmtId="164" fontId="44" fillId="0" borderId="0" xfId="9" applyNumberFormat="1" applyFont="1"/>
    <xf numFmtId="43" fontId="44" fillId="0" borderId="0" xfId="1" applyFont="1"/>
    <xf numFmtId="165" fontId="0" fillId="0" borderId="0" xfId="2" applyNumberFormat="1" applyFont="1"/>
    <xf numFmtId="0" fontId="0" fillId="0" borderId="0" xfId="0" quotePrefix="1"/>
    <xf numFmtId="0" fontId="0" fillId="0" borderId="0" xfId="0" quotePrefix="1" applyAlignment="1">
      <alignment horizontal="left"/>
    </xf>
    <xf numFmtId="164" fontId="5" fillId="0" borderId="3" xfId="9" applyNumberFormat="1" applyFont="1" applyBorder="1"/>
    <xf numFmtId="164" fontId="7" fillId="0" borderId="3" xfId="10" applyNumberFormat="1" applyFont="1" applyBorder="1" applyAlignment="1">
      <alignment horizontal="right"/>
    </xf>
    <xf numFmtId="0" fontId="3" fillId="0" borderId="0" xfId="0" applyFont="1" applyAlignment="1">
      <alignment horizontal="center"/>
    </xf>
    <xf numFmtId="44" fontId="5" fillId="0" borderId="0" xfId="3" applyFont="1"/>
    <xf numFmtId="165" fontId="6" fillId="0" borderId="0" xfId="0" applyNumberFormat="1" applyFont="1"/>
    <xf numFmtId="0" fontId="53" fillId="0" borderId="0" xfId="0" applyFont="1" applyAlignment="1">
      <alignment horizontal="center" wrapText="1"/>
    </xf>
    <xf numFmtId="0" fontId="17" fillId="0" borderId="0" xfId="0" applyFont="1" applyFill="1"/>
    <xf numFmtId="0" fontId="17" fillId="0" borderId="0" xfId="0" applyFont="1"/>
    <xf numFmtId="44" fontId="15" fillId="0" borderId="0" xfId="3" applyFont="1" applyAlignment="1">
      <alignment horizontal="center"/>
    </xf>
    <xf numFmtId="44" fontId="16" fillId="0" borderId="0" xfId="3" applyFont="1" applyAlignment="1">
      <alignment horizontal="center"/>
    </xf>
    <xf numFmtId="0" fontId="54" fillId="0" borderId="0" xfId="0" applyFont="1" applyBorder="1" applyAlignment="1">
      <alignment horizontal="center"/>
    </xf>
    <xf numFmtId="165" fontId="55" fillId="0" borderId="0" xfId="0" applyNumberFormat="1" applyFont="1" applyBorder="1" applyAlignment="1">
      <alignment horizontal="center"/>
    </xf>
    <xf numFmtId="164" fontId="56" fillId="0" borderId="0" xfId="9" applyNumberFormat="1" applyFont="1" applyAlignment="1"/>
    <xf numFmtId="165" fontId="55" fillId="0" borderId="0" xfId="0" applyNumberFormat="1" applyFont="1" applyBorder="1" applyAlignment="1"/>
    <xf numFmtId="166" fontId="55" fillId="0" borderId="0" xfId="0" applyNumberFormat="1" applyFont="1" applyAlignment="1">
      <alignment horizontal="right"/>
    </xf>
    <xf numFmtId="0" fontId="17" fillId="0" borderId="0" xfId="0" applyFont="1" applyAlignment="1">
      <alignment horizontal="right"/>
    </xf>
    <xf numFmtId="166" fontId="57" fillId="0" borderId="0" xfId="3" applyNumberFormat="1" applyFont="1" applyAlignment="1">
      <alignment horizontal="right"/>
    </xf>
    <xf numFmtId="166" fontId="58" fillId="0" borderId="0" xfId="0" applyNumberFormat="1" applyFont="1"/>
    <xf numFmtId="166" fontId="59" fillId="0" borderId="0" xfId="3" applyNumberFormat="1" applyFont="1" applyAlignment="1">
      <alignment horizontal="right"/>
    </xf>
    <xf numFmtId="166" fontId="55" fillId="0" borderId="0" xfId="3" applyNumberFormat="1" applyFont="1" applyAlignment="1">
      <alignment horizontal="right"/>
    </xf>
    <xf numFmtId="166" fontId="55" fillId="0" borderId="0" xfId="3" applyNumberFormat="1" applyFont="1" applyBorder="1" applyAlignment="1">
      <alignment horizontal="center"/>
    </xf>
    <xf numFmtId="166" fontId="17" fillId="0" borderId="0" xfId="0" applyNumberFormat="1" applyFont="1"/>
    <xf numFmtId="166" fontId="54" fillId="0" borderId="0" xfId="3" applyNumberFormat="1" applyFont="1" applyBorder="1" applyAlignment="1">
      <alignment horizontal="center"/>
    </xf>
    <xf numFmtId="166" fontId="17" fillId="0" borderId="0" xfId="0" applyNumberFormat="1" applyFont="1" applyFill="1"/>
    <xf numFmtId="166" fontId="16" fillId="0" borderId="0" xfId="3" applyNumberFormat="1" applyFont="1" applyAlignment="1">
      <alignment horizontal="right"/>
    </xf>
    <xf numFmtId="166" fontId="19" fillId="0" borderId="0" xfId="3" applyNumberFormat="1" applyFont="1" applyAlignment="1">
      <alignment horizontal="center"/>
    </xf>
    <xf numFmtId="43" fontId="19" fillId="0" borderId="0" xfId="1" applyFont="1" applyAlignment="1">
      <alignment horizontal="center"/>
    </xf>
    <xf numFmtId="44" fontId="19" fillId="0" borderId="0" xfId="3" applyFont="1" applyAlignment="1">
      <alignment horizontal="center"/>
    </xf>
    <xf numFmtId="9" fontId="54" fillId="0" borderId="0" xfId="9" applyFont="1" applyBorder="1" applyAlignment="1">
      <alignment horizontal="center"/>
    </xf>
    <xf numFmtId="166" fontId="60" fillId="0" borderId="0" xfId="3" applyNumberFormat="1" applyFont="1" applyAlignment="1">
      <alignment horizontal="right"/>
    </xf>
    <xf numFmtId="6" fontId="15" fillId="0" borderId="0" xfId="3" applyNumberFormat="1" applyFont="1" applyAlignment="1">
      <alignment horizontal="right"/>
    </xf>
    <xf numFmtId="164" fontId="19" fillId="0" borderId="0" xfId="9" applyNumberFormat="1" applyFont="1" applyAlignment="1">
      <alignment horizontal="center"/>
    </xf>
    <xf numFmtId="165" fontId="3" fillId="0" borderId="0" xfId="2" applyNumberFormat="1" applyFont="1" applyAlignment="1">
      <alignment horizontal="center"/>
    </xf>
    <xf numFmtId="43" fontId="6" fillId="0" borderId="0" xfId="1" applyFont="1"/>
    <xf numFmtId="165" fontId="5" fillId="0" borderId="0" xfId="0" applyNumberFormat="1" applyFont="1"/>
    <xf numFmtId="43" fontId="5" fillId="0" borderId="0" xfId="0" applyNumberFormat="1" applyFont="1" applyFill="1"/>
    <xf numFmtId="0" fontId="5" fillId="0" borderId="0" xfId="0" applyFont="1" applyFill="1"/>
    <xf numFmtId="164" fontId="61" fillId="0" borderId="0" xfId="9" applyNumberFormat="1" applyFont="1"/>
    <xf numFmtId="166" fontId="5" fillId="0" borderId="0" xfId="0" applyNumberFormat="1" applyFont="1"/>
    <xf numFmtId="165" fontId="5" fillId="0" borderId="0" xfId="0" applyNumberFormat="1" applyFont="1" applyFill="1"/>
    <xf numFmtId="166" fontId="44" fillId="0" borderId="0" xfId="3" applyNumberFormat="1" applyFont="1"/>
    <xf numFmtId="44" fontId="44" fillId="0" borderId="0" xfId="3" applyFont="1"/>
    <xf numFmtId="0" fontId="62" fillId="0" borderId="0" xfId="0" applyFont="1"/>
    <xf numFmtId="166" fontId="62" fillId="0" borderId="0" xfId="3" applyNumberFormat="1" applyFont="1"/>
    <xf numFmtId="43" fontId="62" fillId="0" borderId="0" xfId="0" applyNumberFormat="1" applyFont="1"/>
    <xf numFmtId="43" fontId="46" fillId="0" borderId="0" xfId="0" applyNumberFormat="1" applyFont="1"/>
    <xf numFmtId="44" fontId="62" fillId="0" borderId="0" xfId="3" applyFont="1"/>
    <xf numFmtId="43" fontId="50" fillId="0" borderId="0" xfId="0" applyNumberFormat="1" applyFont="1"/>
    <xf numFmtId="166" fontId="50" fillId="0" borderId="0" xfId="3" applyNumberFormat="1" applyFont="1"/>
    <xf numFmtId="44" fontId="50" fillId="0" borderId="0" xfId="3" applyFont="1"/>
    <xf numFmtId="165" fontId="50" fillId="0" borderId="0" xfId="0" applyNumberFormat="1" applyFont="1"/>
    <xf numFmtId="166" fontId="44" fillId="0" borderId="0" xfId="3" applyNumberFormat="1" applyFont="1" applyFill="1"/>
    <xf numFmtId="0" fontId="62" fillId="0" borderId="0" xfId="0" applyFont="1" applyFill="1"/>
    <xf numFmtId="43" fontId="62" fillId="0" borderId="0" xfId="0" applyNumberFormat="1" applyFont="1" applyFill="1"/>
    <xf numFmtId="43" fontId="63" fillId="0" borderId="0" xfId="1" applyFont="1"/>
    <xf numFmtId="43" fontId="63" fillId="0" borderId="0" xfId="0" applyNumberFormat="1" applyFont="1"/>
    <xf numFmtId="166" fontId="63" fillId="0" borderId="0" xfId="3" applyNumberFormat="1" applyFont="1"/>
    <xf numFmtId="166" fontId="63" fillId="0" borderId="0" xfId="0" applyNumberFormat="1" applyFont="1"/>
    <xf numFmtId="44" fontId="63" fillId="0" borderId="0" xfId="3" applyFont="1"/>
    <xf numFmtId="165" fontId="63" fillId="0" borderId="0" xfId="1" applyNumberFormat="1" applyFont="1"/>
    <xf numFmtId="166" fontId="14" fillId="0" borderId="0" xfId="3" applyNumberFormat="1" applyFont="1"/>
    <xf numFmtId="166" fontId="14" fillId="0" borderId="0" xfId="0" applyNumberFormat="1" applyFont="1"/>
    <xf numFmtId="0" fontId="51" fillId="0" borderId="0" xfId="0" applyFont="1" applyAlignment="1">
      <alignment horizontal="center"/>
    </xf>
    <xf numFmtId="0" fontId="52" fillId="0" borderId="0" xfId="0" applyFont="1" applyAlignment="1">
      <alignment horizontal="center"/>
    </xf>
    <xf numFmtId="43" fontId="6" fillId="0" borderId="0" xfId="0" applyNumberFormat="1" applyFont="1" applyFill="1"/>
    <xf numFmtId="43" fontId="46" fillId="0" borderId="0" xfId="0" applyNumberFormat="1" applyFont="1" applyFill="1"/>
    <xf numFmtId="164" fontId="64" fillId="0" borderId="0" xfId="9" applyNumberFormat="1" applyFont="1"/>
    <xf numFmtId="164" fontId="50" fillId="0" borderId="0" xfId="9" applyNumberFormat="1" applyFont="1"/>
    <xf numFmtId="0" fontId="52" fillId="0" borderId="0" xfId="0" applyFont="1" applyAlignment="1">
      <alignment horizontal="center"/>
    </xf>
    <xf numFmtId="165" fontId="5" fillId="0" borderId="0" xfId="2" applyNumberFormat="1" applyFont="1" applyFill="1"/>
    <xf numFmtId="165" fontId="5" fillId="0" borderId="0" xfId="2" applyNumberFormat="1" applyFont="1"/>
    <xf numFmtId="0" fontId="5" fillId="0" borderId="0" xfId="0" quotePrefix="1" applyFont="1"/>
    <xf numFmtId="165" fontId="44" fillId="0" borderId="0" xfId="2" applyNumberFormat="1" applyFont="1"/>
    <xf numFmtId="165" fontId="62" fillId="0" borderId="0" xfId="2" applyNumberFormat="1" applyFont="1"/>
    <xf numFmtId="165" fontId="65" fillId="0" borderId="0" xfId="2" applyNumberFormat="1" applyFont="1"/>
    <xf numFmtId="0" fontId="65" fillId="0" borderId="0" xfId="0" applyFont="1"/>
    <xf numFmtId="165" fontId="62" fillId="0" borderId="0" xfId="0" applyNumberFormat="1" applyFont="1"/>
    <xf numFmtId="164" fontId="64" fillId="0" borderId="0" xfId="0" applyNumberFormat="1" applyFont="1"/>
    <xf numFmtId="165" fontId="51" fillId="0" borderId="0" xfId="0" applyNumberFormat="1" applyFont="1"/>
    <xf numFmtId="165" fontId="45" fillId="0" borderId="0" xfId="0" applyNumberFormat="1" applyFont="1"/>
    <xf numFmtId="165" fontId="51" fillId="0" borderId="0" xfId="1" applyNumberFormat="1" applyFont="1"/>
    <xf numFmtId="165" fontId="45" fillId="0" borderId="0" xfId="1" applyNumberFormat="1" applyFont="1"/>
    <xf numFmtId="0" fontId="4" fillId="0" borderId="0" xfId="0" applyFont="1" applyFill="1" applyAlignment="1">
      <alignment horizontal="center"/>
    </xf>
    <xf numFmtId="165" fontId="44" fillId="0" borderId="0" xfId="2" applyNumberFormat="1" applyFont="1" applyFill="1"/>
    <xf numFmtId="165" fontId="5" fillId="0" borderId="0" xfId="1" applyNumberFormat="1" applyFont="1" applyFill="1" applyProtection="1"/>
    <xf numFmtId="43" fontId="0" fillId="0" borderId="0" xfId="0" applyNumberFormat="1"/>
    <xf numFmtId="16" fontId="10" fillId="0" borderId="0" xfId="0" applyNumberFormat="1" applyFont="1" applyAlignment="1">
      <alignment horizontal="center"/>
    </xf>
    <xf numFmtId="0" fontId="3" fillId="0" borderId="0" xfId="0" quotePrefix="1" applyFont="1" applyAlignment="1">
      <alignment horizontal="center"/>
    </xf>
    <xf numFmtId="0" fontId="44" fillId="0" borderId="0" xfId="1" applyNumberFormat="1" applyFont="1"/>
    <xf numFmtId="44" fontId="44" fillId="0" borderId="0" xfId="1" applyNumberFormat="1" applyFont="1"/>
    <xf numFmtId="165" fontId="62" fillId="0" borderId="0" xfId="2" applyNumberFormat="1" applyFont="1" applyFill="1"/>
    <xf numFmtId="0" fontId="6" fillId="0" borderId="0" xfId="0" applyFont="1"/>
    <xf numFmtId="0" fontId="57" fillId="0" borderId="0" xfId="0" applyFont="1" applyBorder="1"/>
    <xf numFmtId="0" fontId="53" fillId="0" borderId="0" xfId="0" applyFont="1" applyAlignment="1">
      <alignment horizontal="right" wrapText="1"/>
    </xf>
    <xf numFmtId="0" fontId="53" fillId="0" borderId="0" xfId="0" applyFont="1" applyAlignment="1">
      <alignment wrapText="1"/>
    </xf>
    <xf numFmtId="0" fontId="54" fillId="0" borderId="0" xfId="0" applyFont="1" applyBorder="1"/>
    <xf numFmtId="0" fontId="57" fillId="0" borderId="0" xfId="0" applyFont="1" applyFill="1" applyBorder="1"/>
    <xf numFmtId="0" fontId="57" fillId="0" borderId="0" xfId="0" applyFont="1" applyAlignment="1">
      <alignment wrapText="1"/>
    </xf>
    <xf numFmtId="0" fontId="17" fillId="0" borderId="0" xfId="0" applyFont="1" applyAlignment="1">
      <alignment horizontal="right" wrapText="1"/>
    </xf>
    <xf numFmtId="164" fontId="53" fillId="0" borderId="0" xfId="9" applyNumberFormat="1" applyFont="1" applyAlignment="1">
      <alignment horizontal="center" wrapText="1"/>
    </xf>
    <xf numFmtId="0" fontId="57" fillId="0" borderId="0" xfId="0" applyFont="1" applyBorder="1" applyAlignment="1">
      <alignment wrapText="1"/>
    </xf>
    <xf numFmtId="0" fontId="15" fillId="0" borderId="0" xfId="0" applyFont="1" applyAlignment="1">
      <alignment wrapText="1"/>
    </xf>
    <xf numFmtId="0" fontId="15" fillId="0" borderId="0" xfId="0" applyFont="1" applyAlignment="1">
      <alignment horizontal="right" wrapText="1"/>
    </xf>
    <xf numFmtId="0" fontId="54" fillId="0" borderId="0" xfId="0" applyFont="1" applyBorder="1" applyAlignment="1"/>
    <xf numFmtId="0" fontId="17" fillId="0" borderId="0" xfId="0" applyFont="1" applyAlignment="1">
      <alignment wrapText="1"/>
    </xf>
    <xf numFmtId="6" fontId="15" fillId="0" borderId="0" xfId="3" applyNumberFormat="1" applyFont="1" applyAlignment="1">
      <alignment horizontal="right" wrapText="1"/>
    </xf>
    <xf numFmtId="6" fontId="15" fillId="0" borderId="0" xfId="3" applyNumberFormat="1" applyFont="1" applyAlignment="1">
      <alignment horizontal="center" wrapText="1"/>
    </xf>
    <xf numFmtId="164" fontId="19" fillId="0" borderId="0" xfId="9" applyNumberFormat="1" applyFont="1" applyAlignment="1">
      <alignment horizontal="center" wrapText="1"/>
    </xf>
    <xf numFmtId="0" fontId="17" fillId="0" borderId="0" xfId="0" applyFont="1" applyBorder="1"/>
    <xf numFmtId="0" fontId="17" fillId="0" borderId="0" xfId="0" applyFont="1" applyFill="1" applyBorder="1"/>
    <xf numFmtId="0" fontId="17" fillId="0" borderId="0" xfId="0" applyFont="1" applyBorder="1" applyAlignment="1"/>
    <xf numFmtId="166" fontId="66" fillId="0" borderId="0" xfId="3" applyNumberFormat="1" applyFont="1" applyAlignment="1">
      <alignment horizontal="center"/>
    </xf>
    <xf numFmtId="44" fontId="0" fillId="0" borderId="0" xfId="3" applyFont="1"/>
    <xf numFmtId="164" fontId="46" fillId="0" borderId="0" xfId="9" applyNumberFormat="1" applyFont="1"/>
    <xf numFmtId="0" fontId="21" fillId="3" borderId="10" xfId="0" applyFont="1" applyFill="1" applyBorder="1"/>
    <xf numFmtId="0" fontId="22" fillId="3" borderId="11" xfId="0" applyFont="1" applyFill="1" applyBorder="1"/>
    <xf numFmtId="0" fontId="67" fillId="3" borderId="11" xfId="0" applyFont="1" applyFill="1" applyBorder="1"/>
    <xf numFmtId="0" fontId="67" fillId="3" borderId="12" xfId="0" applyFont="1" applyFill="1" applyBorder="1"/>
    <xf numFmtId="0" fontId="23" fillId="3" borderId="13" xfId="0" applyFont="1" applyFill="1" applyBorder="1"/>
    <xf numFmtId="0" fontId="23" fillId="3" borderId="0" xfId="0" applyFont="1" applyFill="1" applyBorder="1"/>
    <xf numFmtId="0" fontId="24" fillId="3" borderId="0" xfId="0" applyFont="1" applyFill="1" applyBorder="1"/>
    <xf numFmtId="0" fontId="67" fillId="3" borderId="0" xfId="0" applyFont="1" applyFill="1" applyBorder="1"/>
    <xf numFmtId="0" fontId="67" fillId="3" borderId="14" xfId="0" applyFont="1" applyFill="1" applyBorder="1"/>
    <xf numFmtId="15" fontId="23" fillId="3" borderId="13" xfId="0" applyNumberFormat="1" applyFont="1" applyFill="1" applyBorder="1"/>
    <xf numFmtId="15" fontId="23" fillId="3" borderId="0" xfId="0" applyNumberFormat="1" applyFont="1" applyFill="1" applyBorder="1"/>
    <xf numFmtId="0" fontId="67" fillId="3" borderId="13" xfId="0" applyFont="1" applyFill="1" applyBorder="1"/>
    <xf numFmtId="0" fontId="23" fillId="3" borderId="0" xfId="0" applyFont="1" applyFill="1" applyBorder="1" applyAlignment="1">
      <alignment horizontal="center"/>
    </xf>
    <xf numFmtId="0" fontId="26" fillId="3" borderId="0" xfId="0" applyFont="1" applyFill="1" applyBorder="1" applyAlignment="1">
      <alignment horizontal="center"/>
    </xf>
    <xf numFmtId="0" fontId="23" fillId="3" borderId="21" xfId="0" applyFont="1" applyFill="1" applyBorder="1"/>
    <xf numFmtId="0" fontId="67" fillId="3" borderId="0" xfId="0" applyFont="1" applyFill="1" applyBorder="1" applyAlignment="1">
      <alignment horizontal="center"/>
    </xf>
    <xf numFmtId="41" fontId="67" fillId="3" borderId="0" xfId="0" applyNumberFormat="1" applyFont="1" applyFill="1" applyBorder="1"/>
    <xf numFmtId="44" fontId="27" fillId="3" borderId="0" xfId="4" applyFont="1" applyFill="1" applyBorder="1"/>
    <xf numFmtId="166" fontId="67" fillId="3" borderId="0" xfId="4" applyNumberFormat="1" applyFont="1" applyFill="1" applyBorder="1"/>
    <xf numFmtId="0" fontId="22" fillId="3" borderId="13" xfId="0" applyFont="1" applyFill="1" applyBorder="1"/>
    <xf numFmtId="0" fontId="22" fillId="3" borderId="0" xfId="0" applyFont="1" applyFill="1" applyBorder="1"/>
    <xf numFmtId="41" fontId="28" fillId="3" borderId="0" xfId="0" applyNumberFormat="1" applyFont="1" applyFill="1" applyBorder="1"/>
    <xf numFmtId="166" fontId="28" fillId="3" borderId="0" xfId="4" applyNumberFormat="1" applyFont="1" applyFill="1" applyBorder="1"/>
    <xf numFmtId="44" fontId="67" fillId="3" borderId="0" xfId="4" applyFont="1" applyFill="1" applyBorder="1"/>
    <xf numFmtId="166" fontId="68" fillId="3" borderId="0" xfId="4" applyNumberFormat="1" applyFont="1" applyFill="1" applyBorder="1"/>
    <xf numFmtId="44" fontId="22" fillId="3" borderId="0" xfId="4" applyFont="1" applyFill="1" applyBorder="1"/>
    <xf numFmtId="44" fontId="22" fillId="3" borderId="14" xfId="4" applyFont="1" applyFill="1" applyBorder="1"/>
    <xf numFmtId="0" fontId="26" fillId="3" borderId="13" xfId="0" applyFont="1" applyFill="1" applyBorder="1"/>
    <xf numFmtId="166" fontId="22" fillId="3" borderId="0" xfId="4" applyNumberFormat="1" applyFont="1" applyFill="1" applyBorder="1"/>
    <xf numFmtId="41" fontId="68" fillId="3" borderId="0" xfId="0" applyNumberFormat="1" applyFont="1" applyFill="1" applyBorder="1"/>
    <xf numFmtId="44" fontId="28" fillId="3" borderId="14" xfId="4" applyNumberFormat="1" applyFont="1" applyFill="1" applyBorder="1"/>
    <xf numFmtId="44" fontId="23" fillId="3" borderId="14" xfId="4" applyNumberFormat="1" applyFont="1" applyFill="1" applyBorder="1"/>
    <xf numFmtId="9" fontId="0" fillId="0" borderId="0" xfId="10" applyFont="1"/>
    <xf numFmtId="166" fontId="47" fillId="3" borderId="0" xfId="4" applyNumberFormat="1" applyFont="1" applyFill="1" applyBorder="1"/>
    <xf numFmtId="44" fontId="23" fillId="3" borderId="14" xfId="4" applyFont="1" applyFill="1" applyBorder="1"/>
    <xf numFmtId="164" fontId="69" fillId="3" borderId="0" xfId="10" applyNumberFormat="1" applyFont="1" applyFill="1" applyBorder="1"/>
    <xf numFmtId="44" fontId="29" fillId="3" borderId="14" xfId="4" applyNumberFormat="1" applyFont="1" applyFill="1" applyBorder="1"/>
    <xf numFmtId="41" fontId="0" fillId="0" borderId="0" xfId="0" applyNumberFormat="1"/>
    <xf numFmtId="9" fontId="69" fillId="3" borderId="0" xfId="10" applyFont="1" applyFill="1" applyBorder="1"/>
    <xf numFmtId="44" fontId="30" fillId="3" borderId="14" xfId="4" applyNumberFormat="1" applyFont="1" applyFill="1" applyBorder="1"/>
    <xf numFmtId="0" fontId="0" fillId="3" borderId="15" xfId="0" applyFill="1" applyBorder="1"/>
    <xf numFmtId="0" fontId="0" fillId="3" borderId="16" xfId="0" applyFill="1" applyBorder="1"/>
    <xf numFmtId="0" fontId="0" fillId="3" borderId="17" xfId="0" applyFill="1" applyBorder="1"/>
    <xf numFmtId="165" fontId="67" fillId="3" borderId="0" xfId="1" applyNumberFormat="1" applyFont="1" applyFill="1" applyBorder="1"/>
    <xf numFmtId="44" fontId="67" fillId="3" borderId="0" xfId="0" applyNumberFormat="1" applyFont="1" applyFill="1" applyBorder="1"/>
    <xf numFmtId="166" fontId="67" fillId="3" borderId="0" xfId="0" applyNumberFormat="1" applyFont="1" applyFill="1" applyBorder="1"/>
    <xf numFmtId="166" fontId="67" fillId="3" borderId="0" xfId="3" applyNumberFormat="1" applyFont="1" applyFill="1" applyBorder="1"/>
    <xf numFmtId="165" fontId="0" fillId="0" borderId="0" xfId="1" applyNumberFormat="1" applyFont="1"/>
    <xf numFmtId="166" fontId="0" fillId="0" borderId="0" xfId="3" applyNumberFormat="1" applyFont="1"/>
    <xf numFmtId="166" fontId="0" fillId="0" borderId="0" xfId="0" applyNumberFormat="1"/>
    <xf numFmtId="166" fontId="6" fillId="0" borderId="0" xfId="0" applyNumberFormat="1" applyFont="1"/>
    <xf numFmtId="166" fontId="6" fillId="0" borderId="0" xfId="3" applyNumberFormat="1" applyFont="1"/>
    <xf numFmtId="0" fontId="57" fillId="0" borderId="0" xfId="0" applyFont="1" applyAlignment="1">
      <alignment horizontal="center" wrapText="1"/>
    </xf>
    <xf numFmtId="166" fontId="17" fillId="0" borderId="0" xfId="4" applyNumberFormat="1" applyFont="1" applyAlignment="1">
      <alignment horizontal="right"/>
    </xf>
    <xf numFmtId="166" fontId="18" fillId="0" borderId="0" xfId="4" applyNumberFormat="1" applyFont="1" applyAlignment="1">
      <alignment horizontal="right"/>
    </xf>
    <xf numFmtId="0" fontId="0" fillId="0" borderId="6" xfId="0" applyBorder="1"/>
    <xf numFmtId="0" fontId="0" fillId="0" borderId="2" xfId="0" applyBorder="1"/>
    <xf numFmtId="0" fontId="3" fillId="0" borderId="8" xfId="0" applyFont="1" applyBorder="1"/>
    <xf numFmtId="164" fontId="5" fillId="0" borderId="0" xfId="9" applyNumberFormat="1" applyFont="1"/>
    <xf numFmtId="164" fontId="70" fillId="0" borderId="0" xfId="9" applyNumberFormat="1" applyFont="1"/>
    <xf numFmtId="164" fontId="8" fillId="0" borderId="0" xfId="9" applyNumberFormat="1" applyFont="1"/>
    <xf numFmtId="0" fontId="52" fillId="0" borderId="0" xfId="0" quotePrefix="1" applyFont="1" applyAlignment="1">
      <alignment horizontal="center"/>
    </xf>
    <xf numFmtId="164" fontId="8" fillId="0" borderId="0" xfId="0" applyNumberFormat="1" applyFont="1"/>
    <xf numFmtId="0" fontId="3" fillId="0" borderId="0" xfId="0" applyFont="1" applyAlignment="1">
      <alignment horizontal="right" indent="1"/>
    </xf>
    <xf numFmtId="0" fontId="5" fillId="0" borderId="0" xfId="0" applyFont="1" applyAlignment="1">
      <alignment horizontal="right" indent="1"/>
    </xf>
    <xf numFmtId="0" fontId="33" fillId="3" borderId="0" xfId="0" applyFont="1" applyFill="1" applyBorder="1" applyAlignment="1">
      <alignment vertical="top" wrapText="1"/>
    </xf>
    <xf numFmtId="166" fontId="67" fillId="3" borderId="20" xfId="4" applyNumberFormat="1" applyFont="1" applyFill="1" applyBorder="1"/>
    <xf numFmtId="166" fontId="22" fillId="3" borderId="0" xfId="0" applyNumberFormat="1" applyFont="1" applyFill="1"/>
    <xf numFmtId="166" fontId="67" fillId="3" borderId="20" xfId="3" applyNumberFormat="1" applyFont="1" applyFill="1" applyBorder="1"/>
    <xf numFmtId="166" fontId="22" fillId="3" borderId="20" xfId="0" applyNumberFormat="1" applyFont="1" applyFill="1" applyBorder="1"/>
    <xf numFmtId="0" fontId="47" fillId="3" borderId="13" xfId="0" applyFont="1" applyFill="1" applyBorder="1"/>
    <xf numFmtId="0" fontId="22" fillId="3" borderId="0" xfId="0" applyFont="1" applyFill="1"/>
    <xf numFmtId="165" fontId="2" fillId="0" borderId="0" xfId="2" applyNumberFormat="1" applyFont="1" applyFill="1"/>
    <xf numFmtId="0" fontId="2" fillId="0" borderId="0" xfId="0" applyFont="1"/>
    <xf numFmtId="0" fontId="3" fillId="0" borderId="0" xfId="0" applyFont="1" applyAlignment="1">
      <alignment vertical="top" wrapText="1"/>
    </xf>
    <xf numFmtId="44" fontId="14" fillId="0" borderId="0" xfId="3" applyFont="1"/>
    <xf numFmtId="0" fontId="14" fillId="0" borderId="0" xfId="0" applyFont="1"/>
    <xf numFmtId="0" fontId="14" fillId="0" borderId="0" xfId="0" applyFont="1" applyAlignment="1">
      <alignment vertical="top" wrapText="1"/>
    </xf>
    <xf numFmtId="0" fontId="33" fillId="0" borderId="0" xfId="0" applyFont="1" applyAlignment="1">
      <alignment vertical="top" wrapText="1"/>
    </xf>
    <xf numFmtId="167" fontId="0" fillId="0" borderId="0" xfId="0" applyNumberFormat="1"/>
    <xf numFmtId="165" fontId="1" fillId="0" borderId="0" xfId="2" applyNumberFormat="1" applyFont="1"/>
    <xf numFmtId="44" fontId="1" fillId="0" borderId="0" xfId="4" applyFont="1"/>
    <xf numFmtId="167" fontId="74" fillId="5" borderId="10" xfId="0" applyNumberFormat="1" applyFont="1" applyFill="1" applyBorder="1"/>
    <xf numFmtId="167" fontId="74" fillId="5" borderId="11" xfId="0" applyNumberFormat="1" applyFont="1" applyFill="1" applyBorder="1"/>
    <xf numFmtId="167" fontId="74" fillId="5" borderId="12" xfId="0" applyNumberFormat="1" applyFont="1" applyFill="1" applyBorder="1"/>
    <xf numFmtId="167" fontId="74" fillId="0" borderId="0" xfId="0" applyNumberFormat="1" applyFont="1"/>
    <xf numFmtId="165" fontId="74" fillId="0" borderId="0" xfId="2" applyNumberFormat="1" applyFont="1"/>
    <xf numFmtId="167" fontId="74" fillId="5" borderId="27" xfId="0" applyNumberFormat="1" applyFont="1" applyFill="1" applyBorder="1" applyAlignment="1">
      <alignment horizontal="center"/>
    </xf>
    <xf numFmtId="44" fontId="74" fillId="5" borderId="27" xfId="4" applyFont="1" applyFill="1" applyBorder="1" applyAlignment="1">
      <alignment horizontal="center"/>
    </xf>
    <xf numFmtId="167" fontId="74" fillId="5" borderId="17" xfId="0" applyNumberFormat="1" applyFont="1" applyFill="1" applyBorder="1" applyAlignment="1">
      <alignment horizontal="center"/>
    </xf>
    <xf numFmtId="167" fontId="75" fillId="0" borderId="0" xfId="0" applyNumberFormat="1" applyFont="1" applyAlignment="1">
      <alignment horizontal="center"/>
    </xf>
    <xf numFmtId="167" fontId="22" fillId="0" borderId="10" xfId="0" applyNumberFormat="1" applyFont="1" applyBorder="1"/>
    <xf numFmtId="167" fontId="22" fillId="0" borderId="11" xfId="0" applyNumberFormat="1" applyFont="1" applyBorder="1"/>
    <xf numFmtId="167" fontId="22" fillId="0" borderId="12" xfId="0" applyNumberFormat="1" applyFont="1" applyBorder="1"/>
    <xf numFmtId="167" fontId="22" fillId="0" borderId="28" xfId="0" applyNumberFormat="1" applyFont="1" applyBorder="1"/>
    <xf numFmtId="44" fontId="22" fillId="0" borderId="28" xfId="4" applyFont="1" applyBorder="1"/>
    <xf numFmtId="10" fontId="22" fillId="0" borderId="28" xfId="10" applyNumberFormat="1" applyFont="1" applyBorder="1"/>
    <xf numFmtId="167" fontId="22" fillId="0" borderId="0" xfId="0" applyNumberFormat="1" applyFont="1"/>
    <xf numFmtId="165" fontId="22" fillId="0" borderId="0" xfId="2" applyNumberFormat="1" applyFont="1"/>
    <xf numFmtId="167" fontId="74" fillId="0" borderId="13" xfId="0" applyNumberFormat="1" applyFont="1" applyBorder="1"/>
    <xf numFmtId="167" fontId="22" fillId="0" borderId="14" xfId="0" applyNumberFormat="1" applyFont="1" applyBorder="1"/>
    <xf numFmtId="44" fontId="22" fillId="4" borderId="29" xfId="3" applyFont="1" applyFill="1" applyBorder="1"/>
    <xf numFmtId="44" fontId="22" fillId="0" borderId="29" xfId="4" applyFont="1" applyBorder="1"/>
    <xf numFmtId="10" fontId="22" fillId="0" borderId="29" xfId="10" applyNumberFormat="1" applyFont="1" applyBorder="1"/>
    <xf numFmtId="44" fontId="22" fillId="4" borderId="29" xfId="4" applyFont="1" applyFill="1" applyBorder="1"/>
    <xf numFmtId="7" fontId="22" fillId="0" borderId="29" xfId="4" applyNumberFormat="1" applyFont="1" applyBorder="1"/>
    <xf numFmtId="164" fontId="22" fillId="0" borderId="0" xfId="10" applyNumberFormat="1" applyFont="1"/>
    <xf numFmtId="168" fontId="22" fillId="0" borderId="0" xfId="0" applyNumberFormat="1" applyFont="1"/>
    <xf numFmtId="164" fontId="76" fillId="0" borderId="0" xfId="10" applyNumberFormat="1" applyFont="1"/>
    <xf numFmtId="167" fontId="75" fillId="0" borderId="13" xfId="0" applyNumberFormat="1" applyFont="1" applyBorder="1"/>
    <xf numFmtId="167" fontId="22" fillId="0" borderId="29" xfId="0" applyNumberFormat="1" applyFont="1" applyBorder="1"/>
    <xf numFmtId="44" fontId="77" fillId="0" borderId="29" xfId="4" applyFont="1" applyBorder="1"/>
    <xf numFmtId="164" fontId="78" fillId="0" borderId="0" xfId="10" applyNumberFormat="1" applyFont="1"/>
    <xf numFmtId="10" fontId="22" fillId="0" borderId="0" xfId="10" applyNumberFormat="1" applyFont="1"/>
    <xf numFmtId="167" fontId="22" fillId="0" borderId="13" xfId="0" applyNumberFormat="1" applyFont="1" applyBorder="1"/>
    <xf numFmtId="167" fontId="22" fillId="0" borderId="14" xfId="0" applyNumberFormat="1" applyFont="1" applyBorder="1" applyAlignment="1">
      <alignment horizontal="right"/>
    </xf>
    <xf numFmtId="44" fontId="69" fillId="0" borderId="29" xfId="4" applyFont="1" applyBorder="1"/>
    <xf numFmtId="44" fontId="22" fillId="0" borderId="29" xfId="4" applyFont="1" applyFill="1" applyBorder="1"/>
    <xf numFmtId="44" fontId="22" fillId="0" borderId="0" xfId="4" applyFont="1" applyBorder="1"/>
    <xf numFmtId="167" fontId="22" fillId="0" borderId="15" xfId="0" applyNumberFormat="1" applyFont="1" applyBorder="1"/>
    <xf numFmtId="167" fontId="22" fillId="0" borderId="16" xfId="0" applyNumberFormat="1" applyFont="1" applyBorder="1"/>
    <xf numFmtId="167" fontId="22" fillId="0" borderId="17" xfId="0" applyNumberFormat="1" applyFont="1" applyBorder="1"/>
    <xf numFmtId="167" fontId="22" fillId="0" borderId="30" xfId="0" applyNumberFormat="1" applyFont="1" applyBorder="1"/>
    <xf numFmtId="44" fontId="79" fillId="0" borderId="30" xfId="4" applyFont="1" applyBorder="1"/>
    <xf numFmtId="44" fontId="22" fillId="0" borderId="30" xfId="4" applyFont="1" applyBorder="1"/>
    <xf numFmtId="10" fontId="22" fillId="0" borderId="30" xfId="10" applyNumberFormat="1" applyFont="1" applyBorder="1"/>
    <xf numFmtId="44" fontId="22" fillId="0" borderId="0" xfId="4" applyFont="1"/>
    <xf numFmtId="167" fontId="23" fillId="0" borderId="0" xfId="0" applyNumberFormat="1" applyFont="1"/>
    <xf numFmtId="166" fontId="22" fillId="0" borderId="0" xfId="4" applyNumberFormat="1" applyFont="1"/>
    <xf numFmtId="0" fontId="23" fillId="3" borderId="0" xfId="0" applyFont="1" applyFill="1"/>
    <xf numFmtId="0" fontId="24" fillId="3" borderId="0" xfId="0" applyFont="1" applyFill="1"/>
    <xf numFmtId="0" fontId="67" fillId="3" borderId="0" xfId="0" applyFont="1" applyFill="1"/>
    <xf numFmtId="0" fontId="33" fillId="3" borderId="13" xfId="0" applyFont="1" applyFill="1" applyBorder="1" applyAlignment="1">
      <alignment vertical="top" wrapText="1"/>
    </xf>
    <xf numFmtId="0" fontId="23" fillId="3" borderId="0" xfId="0" applyFont="1" applyFill="1" applyAlignment="1">
      <alignment horizontal="center"/>
    </xf>
    <xf numFmtId="0" fontId="26" fillId="3" borderId="0" xfId="0" applyFont="1" applyFill="1" applyAlignment="1">
      <alignment horizontal="center"/>
    </xf>
    <xf numFmtId="0" fontId="67" fillId="3" borderId="0" xfId="0" applyFont="1" applyFill="1" applyAlignment="1">
      <alignment horizontal="center"/>
    </xf>
    <xf numFmtId="41" fontId="67" fillId="3" borderId="0" xfId="0" applyNumberFormat="1" applyFont="1" applyFill="1"/>
    <xf numFmtId="44" fontId="27" fillId="3" borderId="0" xfId="4" applyFont="1" applyFill="1"/>
    <xf numFmtId="166" fontId="67" fillId="3" borderId="0" xfId="4" applyNumberFormat="1" applyFont="1" applyFill="1"/>
    <xf numFmtId="41" fontId="28" fillId="3" borderId="0" xfId="0" applyNumberFormat="1" applyFont="1" applyFill="1"/>
    <xf numFmtId="166" fontId="28" fillId="3" borderId="0" xfId="4" applyNumberFormat="1" applyFont="1" applyFill="1"/>
    <xf numFmtId="166" fontId="67" fillId="3" borderId="0" xfId="3" applyNumberFormat="1" applyFont="1" applyFill="1"/>
    <xf numFmtId="166" fontId="67" fillId="3" borderId="0" xfId="0" applyNumberFormat="1" applyFont="1" applyFill="1"/>
    <xf numFmtId="165" fontId="67" fillId="3" borderId="0" xfId="1" applyNumberFormat="1" applyFont="1" applyFill="1"/>
    <xf numFmtId="44" fontId="67" fillId="3" borderId="0" xfId="0" applyNumberFormat="1" applyFont="1" applyFill="1"/>
    <xf numFmtId="166" fontId="68" fillId="3" borderId="0" xfId="4" applyNumberFormat="1" applyFont="1" applyFill="1"/>
    <xf numFmtId="44" fontId="67" fillId="3" borderId="0" xfId="4" applyFont="1" applyFill="1"/>
    <xf numFmtId="44" fontId="22" fillId="3" borderId="0" xfId="4" applyFont="1" applyFill="1"/>
    <xf numFmtId="166" fontId="22" fillId="3" borderId="0" xfId="4" applyNumberFormat="1" applyFont="1" applyFill="1"/>
    <xf numFmtId="41" fontId="68" fillId="3" borderId="0" xfId="0" applyNumberFormat="1" applyFont="1" applyFill="1"/>
    <xf numFmtId="44" fontId="28" fillId="3" borderId="14" xfId="4" applyFont="1" applyFill="1" applyBorder="1"/>
    <xf numFmtId="44" fontId="30" fillId="3" borderId="14" xfId="4" applyFont="1" applyFill="1" applyBorder="1"/>
    <xf numFmtId="166" fontId="47" fillId="3" borderId="0" xfId="4" applyNumberFormat="1" applyFont="1" applyFill="1"/>
    <xf numFmtId="164" fontId="69" fillId="3" borderId="0" xfId="10" applyNumberFormat="1" applyFont="1" applyFill="1"/>
    <xf numFmtId="44" fontId="29" fillId="3" borderId="14" xfId="4" applyFont="1" applyFill="1" applyBorder="1"/>
    <xf numFmtId="9" fontId="69" fillId="3" borderId="0" xfId="10" applyFont="1" applyFill="1"/>
    <xf numFmtId="0" fontId="0" fillId="0" borderId="13" xfId="0" applyBorder="1"/>
    <xf numFmtId="0" fontId="0" fillId="0" borderId="14" xfId="0" applyBorder="1"/>
    <xf numFmtId="15" fontId="23" fillId="3" borderId="0" xfId="0" applyNumberFormat="1" applyFont="1" applyFill="1"/>
    <xf numFmtId="164" fontId="6" fillId="0" borderId="0" xfId="9" applyNumberFormat="1" applyFont="1"/>
    <xf numFmtId="164" fontId="6" fillId="0" borderId="0" xfId="0" applyNumberFormat="1" applyFont="1"/>
    <xf numFmtId="166" fontId="17" fillId="0" borderId="0" xfId="3" applyNumberFormat="1" applyFont="1" applyAlignment="1">
      <alignment horizontal="right"/>
    </xf>
    <xf numFmtId="166" fontId="18" fillId="0" borderId="0" xfId="3" applyNumberFormat="1" applyFont="1" applyAlignment="1">
      <alignment horizontal="right"/>
    </xf>
    <xf numFmtId="165" fontId="2" fillId="0" borderId="0" xfId="0" applyNumberFormat="1" applyFont="1"/>
    <xf numFmtId="43" fontId="2" fillId="0" borderId="0" xfId="0" applyNumberFormat="1" applyFont="1"/>
    <xf numFmtId="165" fontId="11" fillId="0" borderId="0" xfId="0" applyNumberFormat="1" applyFont="1"/>
    <xf numFmtId="165" fontId="2" fillId="0" borderId="0" xfId="1" applyNumberFormat="1" applyFont="1"/>
    <xf numFmtId="166" fontId="46" fillId="0" borderId="0" xfId="3" applyNumberFormat="1" applyFont="1"/>
    <xf numFmtId="166" fontId="65" fillId="0" borderId="0" xfId="3" applyNumberFormat="1" applyFont="1"/>
    <xf numFmtId="0" fontId="65" fillId="0" borderId="0" xfId="0" applyFont="1" applyFill="1"/>
    <xf numFmtId="0" fontId="0" fillId="3" borderId="14" xfId="0" applyFill="1" applyBorder="1"/>
    <xf numFmtId="41" fontId="67" fillId="6" borderId="0" xfId="0" applyNumberFormat="1" applyFont="1" applyFill="1" applyBorder="1"/>
    <xf numFmtId="166" fontId="22" fillId="3" borderId="0" xfId="0" applyNumberFormat="1" applyFont="1" applyFill="1" applyBorder="1"/>
    <xf numFmtId="166" fontId="2" fillId="0" borderId="0" xfId="3" applyNumberFormat="1" applyFont="1"/>
    <xf numFmtId="44" fontId="2" fillId="0" borderId="0" xfId="3" applyFont="1"/>
    <xf numFmtId="43" fontId="2" fillId="0" borderId="0" xfId="0" applyNumberFormat="1" applyFont="1" applyFill="1"/>
    <xf numFmtId="166" fontId="2" fillId="0" borderId="0" xfId="3" applyNumberFormat="1" applyFont="1" applyFill="1"/>
    <xf numFmtId="164" fontId="51" fillId="0" borderId="0" xfId="9" applyNumberFormat="1" applyFont="1"/>
    <xf numFmtId="164" fontId="52" fillId="0" borderId="0" xfId="9" applyNumberFormat="1" applyFont="1"/>
    <xf numFmtId="165" fontId="3" fillId="0" borderId="0" xfId="0" applyNumberFormat="1" applyFont="1"/>
    <xf numFmtId="44" fontId="6" fillId="0" borderId="0" xfId="3" applyFont="1"/>
    <xf numFmtId="165" fontId="6" fillId="0" borderId="0" xfId="1" applyNumberFormat="1" applyFont="1"/>
    <xf numFmtId="166" fontId="6" fillId="0" borderId="0" xfId="3" applyNumberFormat="1" applyFont="1" applyFill="1"/>
    <xf numFmtId="43" fontId="62" fillId="0" borderId="0" xfId="1" applyFont="1"/>
    <xf numFmtId="0" fontId="41" fillId="0" borderId="0" xfId="7" applyFont="1" applyAlignment="1">
      <alignment wrapText="1"/>
    </xf>
    <xf numFmtId="0" fontId="35" fillId="0" borderId="0" xfId="7" applyFont="1" applyAlignment="1">
      <alignment horizontal="right" wrapText="1"/>
    </xf>
    <xf numFmtId="0" fontId="5" fillId="0" borderId="0" xfId="7" applyAlignment="1">
      <alignment horizontal="right" wrapText="1"/>
    </xf>
    <xf numFmtId="0" fontId="41" fillId="0" borderId="0" xfId="7" applyFont="1" applyAlignment="1">
      <alignment horizontal="right" wrapText="1"/>
    </xf>
    <xf numFmtId="0" fontId="43" fillId="0" borderId="0" xfId="7" applyFont="1" applyAlignment="1">
      <alignment horizontal="right" wrapText="1"/>
    </xf>
    <xf numFmtId="0" fontId="39" fillId="0" borderId="0" xfId="7" applyFont="1" applyAlignment="1">
      <alignment horizontal="right" wrapText="1"/>
    </xf>
    <xf numFmtId="165" fontId="46" fillId="0" borderId="0" xfId="2" applyNumberFormat="1" applyFont="1"/>
    <xf numFmtId="165" fontId="46" fillId="0" borderId="0" xfId="2" applyNumberFormat="1" applyFont="1" applyFill="1"/>
    <xf numFmtId="44" fontId="46" fillId="0" borderId="18" xfId="3" applyFont="1" applyFill="1" applyBorder="1" applyProtection="1">
      <protection locked="0"/>
    </xf>
    <xf numFmtId="44" fontId="46" fillId="0" borderId="18" xfId="3" applyFont="1" applyFill="1" applyBorder="1"/>
    <xf numFmtId="44" fontId="46" fillId="0" borderId="18" xfId="5" applyFont="1" applyFill="1" applyBorder="1"/>
    <xf numFmtId="44" fontId="46" fillId="0" borderId="19" xfId="5" applyFont="1" applyFill="1" applyBorder="1"/>
    <xf numFmtId="43" fontId="46" fillId="0" borderId="0" xfId="1" applyFont="1"/>
    <xf numFmtId="164" fontId="0" fillId="0" borderId="0" xfId="9" applyNumberFormat="1" applyFont="1"/>
    <xf numFmtId="43" fontId="82" fillId="0" borderId="2" xfId="1" applyFont="1" applyBorder="1" applyAlignment="1" applyProtection="1">
      <alignment horizontal="right"/>
      <protection locked="0"/>
    </xf>
    <xf numFmtId="43" fontId="82" fillId="0" borderId="2" xfId="1" applyFont="1" applyBorder="1" applyProtection="1">
      <protection locked="0"/>
    </xf>
    <xf numFmtId="43" fontId="83" fillId="0" borderId="2" xfId="1" applyFont="1" applyBorder="1" applyProtection="1">
      <protection locked="0"/>
    </xf>
    <xf numFmtId="43" fontId="82" fillId="0" borderId="0" xfId="1" applyFont="1" applyBorder="1" applyAlignment="1" applyProtection="1">
      <alignment horizontal="right"/>
      <protection locked="0"/>
    </xf>
    <xf numFmtId="43" fontId="83" fillId="0" borderId="0" xfId="1" applyFont="1" applyBorder="1" applyAlignment="1" applyProtection="1">
      <alignment horizontal="right"/>
      <protection locked="0"/>
    </xf>
    <xf numFmtId="43" fontId="82" fillId="0" borderId="0" xfId="1" applyFont="1" applyBorder="1" applyProtection="1">
      <protection locked="0"/>
    </xf>
    <xf numFmtId="43" fontId="83" fillId="0" borderId="0" xfId="1" applyFont="1" applyBorder="1" applyProtection="1">
      <protection locked="0"/>
    </xf>
    <xf numFmtId="0" fontId="0" fillId="4" borderId="0" xfId="0" applyFill="1"/>
    <xf numFmtId="43" fontId="5" fillId="4" borderId="0" xfId="0" applyNumberFormat="1" applyFont="1" applyFill="1"/>
    <xf numFmtId="0" fontId="5" fillId="4" borderId="0" xfId="0" applyFont="1" applyFill="1"/>
    <xf numFmtId="166" fontId="44" fillId="4" borderId="0" xfId="3" applyNumberFormat="1" applyFont="1" applyFill="1"/>
    <xf numFmtId="44" fontId="44" fillId="4" borderId="0" xfId="3" applyFont="1" applyFill="1"/>
    <xf numFmtId="165" fontId="5" fillId="4" borderId="0" xfId="0" applyNumberFormat="1" applyFont="1" applyFill="1"/>
    <xf numFmtId="43" fontId="44" fillId="4" borderId="0" xfId="1" applyFont="1" applyFill="1"/>
    <xf numFmtId="164" fontId="5" fillId="4" borderId="0" xfId="9" applyNumberFormat="1" applyFont="1" applyFill="1"/>
    <xf numFmtId="164" fontId="5" fillId="4" borderId="0" xfId="0" applyNumberFormat="1" applyFont="1" applyFill="1"/>
    <xf numFmtId="43" fontId="82" fillId="0" borderId="0" xfId="1" applyFont="1" applyFill="1" applyBorder="1" applyAlignment="1" applyProtection="1">
      <alignment horizontal="right"/>
      <protection locked="0"/>
    </xf>
    <xf numFmtId="43" fontId="83" fillId="0" borderId="0" xfId="1" applyFont="1" applyFill="1" applyBorder="1" applyAlignment="1" applyProtection="1">
      <alignment horizontal="right"/>
      <protection locked="0"/>
    </xf>
    <xf numFmtId="43" fontId="0" fillId="0" borderId="0" xfId="1" applyFont="1" applyFill="1"/>
    <xf numFmtId="43" fontId="0" fillId="0" borderId="0" xfId="0" applyNumberFormat="1" applyFill="1"/>
    <xf numFmtId="0" fontId="46" fillId="0" borderId="0" xfId="0" applyFont="1" applyFill="1"/>
    <xf numFmtId="44" fontId="44" fillId="0" borderId="0" xfId="3" applyFont="1" applyFill="1"/>
    <xf numFmtId="165" fontId="44" fillId="0" borderId="0" xfId="1" applyNumberFormat="1" applyFont="1" applyFill="1"/>
    <xf numFmtId="44" fontId="0" fillId="0" borderId="0" xfId="3" applyFont="1" applyFill="1"/>
    <xf numFmtId="0" fontId="33" fillId="3" borderId="13" xfId="0" applyFont="1" applyFill="1" applyBorder="1" applyAlignment="1">
      <alignment vertical="top" wrapText="1"/>
    </xf>
    <xf numFmtId="0" fontId="72" fillId="0" borderId="0" xfId="0" applyFont="1" applyAlignment="1">
      <alignment horizontal="center" wrapText="1"/>
    </xf>
    <xf numFmtId="0" fontId="72" fillId="0" borderId="0" xfId="0" applyFont="1" applyAlignment="1">
      <alignment wrapText="1"/>
    </xf>
    <xf numFmtId="0" fontId="37" fillId="0" borderId="0" xfId="11" applyFont="1"/>
    <xf numFmtId="0" fontId="2" fillId="0" borderId="0" xfId="11"/>
    <xf numFmtId="165" fontId="44" fillId="0" borderId="0" xfId="12" applyNumberFormat="1" applyFont="1"/>
    <xf numFmtId="0" fontId="52" fillId="0" borderId="0" xfId="11" applyFont="1" applyAlignment="1">
      <alignment horizontal="center"/>
    </xf>
    <xf numFmtId="0" fontId="52" fillId="0" borderId="0" xfId="11" applyFont="1"/>
    <xf numFmtId="0" fontId="84" fillId="0" borderId="0" xfId="11" applyFont="1" applyAlignment="1">
      <alignment horizontal="center"/>
    </xf>
    <xf numFmtId="165" fontId="51" fillId="0" borderId="0" xfId="12" applyNumberFormat="1" applyFont="1"/>
    <xf numFmtId="0" fontId="85" fillId="0" borderId="0" xfId="11" applyFont="1" applyAlignment="1">
      <alignment horizontal="center"/>
    </xf>
    <xf numFmtId="165" fontId="52" fillId="0" borderId="0" xfId="12" quotePrefix="1" applyNumberFormat="1" applyFont="1" applyAlignment="1">
      <alignment horizontal="center"/>
    </xf>
    <xf numFmtId="0" fontId="10" fillId="0" borderId="0" xfId="11" applyFont="1"/>
    <xf numFmtId="0" fontId="86" fillId="0" borderId="0" xfId="11" applyFont="1"/>
    <xf numFmtId="0" fontId="87" fillId="0" borderId="0" xfId="11" applyFont="1"/>
    <xf numFmtId="0" fontId="88" fillId="0" borderId="0" xfId="11" applyFont="1"/>
    <xf numFmtId="165" fontId="52" fillId="0" borderId="0" xfId="1" applyNumberFormat="1" applyFont="1"/>
    <xf numFmtId="0" fontId="80" fillId="0" borderId="0" xfId="11" applyFont="1"/>
    <xf numFmtId="165" fontId="2" fillId="0" borderId="0" xfId="11" applyNumberFormat="1"/>
    <xf numFmtId="165" fontId="44" fillId="0" borderId="0" xfId="11" applyNumberFormat="1" applyFont="1" applyAlignment="1">
      <alignment horizontal="center"/>
    </xf>
    <xf numFmtId="165" fontId="44" fillId="0" borderId="0" xfId="1" applyNumberFormat="1" applyFont="1" applyAlignment="1">
      <alignment horizontal="center"/>
    </xf>
    <xf numFmtId="165" fontId="89" fillId="0" borderId="0" xfId="11" applyNumberFormat="1" applyFont="1"/>
    <xf numFmtId="165" fontId="62" fillId="0" borderId="0" xfId="11" applyNumberFormat="1" applyFont="1"/>
    <xf numFmtId="165" fontId="62" fillId="0" borderId="0" xfId="1" applyNumberFormat="1" applyFont="1" applyAlignment="1">
      <alignment horizontal="center"/>
    </xf>
    <xf numFmtId="165" fontId="6" fillId="0" borderId="0" xfId="11" applyNumberFormat="1" applyFont="1"/>
    <xf numFmtId="0" fontId="90" fillId="0" borderId="0" xfId="11" applyFont="1"/>
    <xf numFmtId="0" fontId="88" fillId="0" borderId="0" xfId="11" applyFont="1" applyAlignment="1">
      <alignment horizontal="left"/>
    </xf>
    <xf numFmtId="3" fontId="84" fillId="0" borderId="0" xfId="11" applyNumberFormat="1" applyFont="1"/>
    <xf numFmtId="3" fontId="52" fillId="0" borderId="0" xfId="11" applyNumberFormat="1" applyFont="1"/>
    <xf numFmtId="165" fontId="10" fillId="0" borderId="0" xfId="11" applyNumberFormat="1" applyFont="1"/>
    <xf numFmtId="43" fontId="2" fillId="0" borderId="0" xfId="11" applyNumberFormat="1"/>
    <xf numFmtId="0" fontId="91" fillId="0" borderId="0" xfId="11" applyFont="1"/>
    <xf numFmtId="3" fontId="85" fillId="0" borderId="0" xfId="11" applyNumberFormat="1" applyFont="1"/>
    <xf numFmtId="165" fontId="11" fillId="0" borderId="0" xfId="11" applyNumberFormat="1" applyFont="1"/>
    <xf numFmtId="0" fontId="92" fillId="0" borderId="0" xfId="11" applyFont="1" applyAlignment="1">
      <alignment horizontal="left"/>
    </xf>
    <xf numFmtId="0" fontId="93" fillId="0" borderId="0" xfId="11" applyFont="1" applyAlignment="1">
      <alignment horizontal="left"/>
    </xf>
    <xf numFmtId="3" fontId="94" fillId="0" borderId="0" xfId="11" applyNumberFormat="1" applyFont="1"/>
    <xf numFmtId="3" fontId="64" fillId="0" borderId="0" xfId="11" applyNumberFormat="1" applyFont="1"/>
    <xf numFmtId="3" fontId="51" fillId="0" borderId="0" xfId="11" applyNumberFormat="1" applyFont="1"/>
    <xf numFmtId="0" fontId="84" fillId="0" borderId="0" xfId="11" applyFont="1"/>
    <xf numFmtId="0" fontId="51" fillId="0" borderId="0" xfId="11" applyFont="1"/>
    <xf numFmtId="164" fontId="94" fillId="0" borderId="0" xfId="13" applyNumberFormat="1" applyFont="1"/>
    <xf numFmtId="164" fontId="64" fillId="0" borderId="0" xfId="13" applyNumberFormat="1" applyFont="1"/>
    <xf numFmtId="3" fontId="2" fillId="0" borderId="0" xfId="11" applyNumberFormat="1"/>
    <xf numFmtId="0" fontId="51" fillId="0" borderId="0" xfId="11" applyFont="1" applyAlignment="1">
      <alignment horizontal="center"/>
    </xf>
    <xf numFmtId="165" fontId="51" fillId="0" borderId="0" xfId="1" applyNumberFormat="1" applyFont="1" applyAlignment="1">
      <alignment horizontal="center"/>
    </xf>
    <xf numFmtId="0" fontId="10" fillId="0" borderId="0" xfId="11" applyFont="1" applyAlignment="1">
      <alignment horizontal="center"/>
    </xf>
    <xf numFmtId="165" fontId="52" fillId="0" borderId="0" xfId="1" applyNumberFormat="1" applyFont="1" applyAlignment="1">
      <alignment horizontal="center"/>
    </xf>
    <xf numFmtId="165" fontId="2" fillId="0" borderId="0" xfId="12" applyNumberFormat="1" applyFont="1"/>
    <xf numFmtId="164" fontId="44" fillId="0" borderId="0" xfId="13" applyNumberFormat="1" applyFont="1"/>
    <xf numFmtId="0" fontId="3" fillId="0" borderId="0" xfId="11" applyFont="1"/>
    <xf numFmtId="164" fontId="3" fillId="0" borderId="0" xfId="9" applyNumberFormat="1" applyFont="1"/>
    <xf numFmtId="0" fontId="95" fillId="0" borderId="0" xfId="11" applyFont="1" applyAlignment="1">
      <alignment vertical="center"/>
    </xf>
    <xf numFmtId="0" fontId="96" fillId="0" borderId="0" xfId="11" applyFont="1" applyAlignment="1">
      <alignment vertical="center"/>
    </xf>
    <xf numFmtId="0" fontId="96" fillId="0" borderId="0" xfId="11" applyFont="1" applyAlignment="1">
      <alignment horizontal="left" vertical="center" indent="4"/>
    </xf>
    <xf numFmtId="0" fontId="96" fillId="0" borderId="0" xfId="11" applyFont="1" applyAlignment="1">
      <alignment horizontal="left" vertical="top" wrapText="1"/>
    </xf>
    <xf numFmtId="0" fontId="2" fillId="0" borderId="0" xfId="11" applyAlignment="1">
      <alignment vertical="top" wrapText="1"/>
    </xf>
    <xf numFmtId="0" fontId="3" fillId="0" borderId="0" xfId="11" applyFont="1" applyAlignment="1">
      <alignment horizontal="center"/>
    </xf>
    <xf numFmtId="0" fontId="52" fillId="0" borderId="0" xfId="11" quotePrefix="1" applyFont="1" applyAlignment="1">
      <alignment horizontal="center"/>
    </xf>
    <xf numFmtId="165" fontId="64" fillId="0" borderId="0" xfId="1" applyNumberFormat="1" applyFont="1"/>
    <xf numFmtId="0" fontId="99" fillId="0" borderId="0" xfId="11" applyFont="1"/>
    <xf numFmtId="165" fontId="14" fillId="0" borderId="0" xfId="11" applyNumberFormat="1" applyFont="1"/>
    <xf numFmtId="0" fontId="2" fillId="0" borderId="0" xfId="0" applyFont="1" applyAlignment="1">
      <alignment wrapText="1"/>
    </xf>
    <xf numFmtId="0" fontId="0" fillId="0" borderId="5" xfId="0" applyBorder="1" applyAlignment="1">
      <alignment wrapText="1"/>
    </xf>
    <xf numFmtId="14" fontId="0" fillId="0" borderId="0" xfId="0" applyNumberFormat="1"/>
    <xf numFmtId="166" fontId="15" fillId="0" borderId="0" xfId="3" applyNumberFormat="1" applyFont="1" applyAlignment="1">
      <alignment horizontal="right"/>
    </xf>
    <xf numFmtId="9" fontId="22" fillId="0" borderId="29" xfId="9" applyFont="1" applyBorder="1"/>
    <xf numFmtId="44" fontId="0" fillId="0" borderId="0" xfId="0" applyNumberFormat="1"/>
    <xf numFmtId="0" fontId="10" fillId="0" borderId="0" xfId="0" applyFont="1"/>
    <xf numFmtId="166" fontId="67" fillId="3" borderId="14" xfId="0" applyNumberFormat="1" applyFont="1" applyFill="1" applyBorder="1"/>
    <xf numFmtId="0" fontId="33" fillId="3" borderId="13" xfId="0" applyFont="1" applyFill="1" applyBorder="1" applyAlignment="1">
      <alignment vertical="top" wrapText="1"/>
    </xf>
    <xf numFmtId="9" fontId="5" fillId="0" borderId="0" xfId="9" applyFont="1"/>
    <xf numFmtId="164" fontId="69" fillId="3" borderId="0" xfId="13" applyNumberFormat="1" applyFont="1" applyFill="1" applyBorder="1"/>
    <xf numFmtId="9" fontId="69" fillId="3" borderId="0" xfId="13" applyFont="1" applyFill="1" applyBorder="1"/>
    <xf numFmtId="0" fontId="2" fillId="0" borderId="0" xfId="0" applyFont="1" applyAlignment="1">
      <alignment vertical="top" wrapText="1"/>
    </xf>
    <xf numFmtId="0" fontId="25" fillId="3" borderId="13" xfId="0" applyFont="1" applyFill="1" applyBorder="1" applyAlignment="1"/>
    <xf numFmtId="0" fontId="25" fillId="3" borderId="0" xfId="0" applyFont="1" applyFill="1" applyAlignment="1"/>
    <xf numFmtId="0" fontId="25" fillId="3" borderId="14" xfId="0" applyFont="1" applyFill="1" applyBorder="1" applyAlignment="1"/>
    <xf numFmtId="44" fontId="5" fillId="0" borderId="0" xfId="3" applyNumberFormat="1" applyFont="1"/>
    <xf numFmtId="44" fontId="5" fillId="0" borderId="0" xfId="0" applyNumberFormat="1" applyFont="1"/>
    <xf numFmtId="0" fontId="25" fillId="3" borderId="13" xfId="0" applyFont="1" applyFill="1" applyBorder="1" applyAlignment="1">
      <alignment horizontal="center"/>
    </xf>
    <xf numFmtId="0" fontId="25" fillId="3" borderId="0" xfId="0" applyFont="1" applyFill="1" applyBorder="1" applyAlignment="1">
      <alignment horizontal="center"/>
    </xf>
    <xf numFmtId="0" fontId="25" fillId="3" borderId="14" xfId="0" applyFont="1" applyFill="1" applyBorder="1" applyAlignment="1">
      <alignment horizontal="center"/>
    </xf>
    <xf numFmtId="0" fontId="33" fillId="3" borderId="19" xfId="0" applyFont="1" applyFill="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167" fontId="75" fillId="0" borderId="0" xfId="0" applyNumberFormat="1" applyFont="1" applyAlignment="1">
      <alignment horizontal="center"/>
    </xf>
    <xf numFmtId="167" fontId="74" fillId="5" borderId="15" xfId="0" applyNumberFormat="1" applyFont="1" applyFill="1" applyBorder="1" applyAlignment="1">
      <alignment horizontal="center"/>
    </xf>
    <xf numFmtId="167" fontId="74" fillId="5" borderId="16" xfId="0" applyNumberFormat="1" applyFont="1" applyFill="1" applyBorder="1" applyAlignment="1">
      <alignment horizontal="center"/>
    </xf>
    <xf numFmtId="167" fontId="74" fillId="5" borderId="17" xfId="0" applyNumberFormat="1" applyFont="1" applyFill="1" applyBorder="1" applyAlignment="1">
      <alignment horizontal="center"/>
    </xf>
    <xf numFmtId="167" fontId="23" fillId="0" borderId="0" xfId="0" applyNumberFormat="1" applyFont="1" applyAlignment="1">
      <alignment vertical="top" wrapText="1"/>
    </xf>
    <xf numFmtId="0" fontId="34" fillId="0" borderId="0" xfId="0" applyFont="1" applyAlignment="1">
      <alignment vertical="top" wrapText="1"/>
    </xf>
    <xf numFmtId="167" fontId="73" fillId="0" borderId="0" xfId="0" applyNumberFormat="1" applyFont="1" applyAlignment="1">
      <alignment horizontal="center"/>
    </xf>
    <xf numFmtId="167" fontId="74" fillId="5" borderId="24" xfId="0" applyNumberFormat="1" applyFont="1" applyFill="1" applyBorder="1" applyAlignment="1">
      <alignment horizontal="center"/>
    </xf>
    <xf numFmtId="167" fontId="74" fillId="5" borderId="25" xfId="0" applyNumberFormat="1" applyFont="1" applyFill="1" applyBorder="1" applyAlignment="1">
      <alignment horizontal="center"/>
    </xf>
    <xf numFmtId="167" fontId="74" fillId="5" borderId="26" xfId="0" applyNumberFormat="1" applyFont="1" applyFill="1" applyBorder="1" applyAlignment="1">
      <alignment horizontal="center"/>
    </xf>
    <xf numFmtId="0" fontId="25" fillId="3" borderId="0" xfId="0" applyFont="1" applyFill="1" applyAlignment="1">
      <alignment horizontal="center"/>
    </xf>
    <xf numFmtId="0" fontId="81" fillId="0" borderId="0" xfId="0" applyFont="1" applyAlignment="1">
      <alignment horizontal="justify" vertical="top" wrapText="1"/>
    </xf>
    <xf numFmtId="0" fontId="80" fillId="0" borderId="0" xfId="0" applyFont="1" applyAlignment="1">
      <alignment vertical="top" wrapText="1"/>
    </xf>
    <xf numFmtId="0" fontId="33" fillId="3" borderId="13" xfId="0" applyFont="1" applyFill="1" applyBorder="1" applyAlignment="1">
      <alignment vertical="top" wrapText="1"/>
    </xf>
    <xf numFmtId="0" fontId="2" fillId="0" borderId="0" xfId="0" applyFont="1" applyBorder="1" applyAlignment="1">
      <alignment vertical="top" wrapText="1"/>
    </xf>
    <xf numFmtId="0" fontId="33" fillId="3" borderId="31" xfId="0" applyFont="1" applyFill="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71" fillId="0" borderId="0" xfId="0" applyFont="1" applyAlignment="1">
      <alignment horizontal="center"/>
    </xf>
    <xf numFmtId="0" fontId="10" fillId="0" borderId="0" xfId="0" applyFont="1" applyAlignment="1">
      <alignment horizontal="center"/>
    </xf>
    <xf numFmtId="0" fontId="52"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20" fillId="0" borderId="0" xfId="0" applyFont="1" applyAlignment="1">
      <alignment horizontal="center"/>
    </xf>
    <xf numFmtId="0" fontId="3" fillId="2" borderId="19"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72" fillId="0" borderId="0" xfId="0" applyFont="1" applyAlignment="1">
      <alignment horizontal="center" wrapText="1"/>
    </xf>
    <xf numFmtId="0" fontId="96" fillId="0" borderId="0" xfId="11" applyFont="1" applyAlignment="1">
      <alignment horizontal="left" vertical="top" wrapText="1"/>
    </xf>
    <xf numFmtId="0" fontId="2" fillId="0" borderId="0" xfId="11" applyAlignment="1">
      <alignment vertical="top" wrapText="1"/>
    </xf>
    <xf numFmtId="3" fontId="52" fillId="0" borderId="0" xfId="11" applyNumberFormat="1" applyFont="1" applyAlignment="1">
      <alignment horizontal="center"/>
    </xf>
    <xf numFmtId="165" fontId="52" fillId="0" borderId="0" xfId="1" applyNumberFormat="1" applyFont="1" applyAlignment="1">
      <alignment horizontal="center"/>
    </xf>
    <xf numFmtId="0" fontId="96" fillId="0" borderId="0" xfId="11" applyFont="1" applyAlignment="1">
      <alignment vertical="top" wrapText="1"/>
    </xf>
    <xf numFmtId="0" fontId="96" fillId="0" borderId="0" xfId="11" applyFont="1" applyAlignment="1">
      <alignment horizontal="left" vertical="center" wrapText="1"/>
    </xf>
    <xf numFmtId="0" fontId="2" fillId="0" borderId="0" xfId="11" applyAlignment="1">
      <alignment wrapText="1"/>
    </xf>
  </cellXfs>
  <cellStyles count="14">
    <cellStyle name="Comma" xfId="1" builtinId="3"/>
    <cellStyle name="Comma 2" xfId="2" xr:uid="{00000000-0005-0000-0000-000001000000}"/>
    <cellStyle name="Comma 2 2" xfId="12" xr:uid="{982998C9-0467-452C-A0ED-A45567DE6E17}"/>
    <cellStyle name="Currency" xfId="3" builtinId="4"/>
    <cellStyle name="Currency 2" xfId="4" xr:uid="{00000000-0005-0000-0000-000003000000}"/>
    <cellStyle name="Currency 5 2" xfId="5" xr:uid="{00000000-0005-0000-0000-000004000000}"/>
    <cellStyle name="Currency 6" xfId="6" xr:uid="{00000000-0005-0000-0000-000005000000}"/>
    <cellStyle name="Normal" xfId="0" builtinId="0"/>
    <cellStyle name="Normal 2" xfId="7" xr:uid="{00000000-0005-0000-0000-000007000000}"/>
    <cellStyle name="Normal 3" xfId="8" xr:uid="{00000000-0005-0000-0000-000008000000}"/>
    <cellStyle name="Normal 4" xfId="11" xr:uid="{6C921859-A9C4-4117-84EF-568D8967C63B}"/>
    <cellStyle name="Percent" xfId="9" builtinId="5"/>
    <cellStyle name="Percent 2" xfId="10" xr:uid="{00000000-0005-0000-0000-00000A000000}"/>
    <cellStyle name="Percent 2 2" xfId="13" xr:uid="{3095A006-17D4-4B58-A430-9A5F52FCAF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 Id="rId63" Type="http://schemas.openxmlformats.org/officeDocument/2006/relationships/externalLink" Target="externalLinks/externalLink48.xml"/><Relationship Id="rId68" Type="http://schemas.openxmlformats.org/officeDocument/2006/relationships/externalLink" Target="externalLinks/externalLink53.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56.xml"/><Relationship Id="rId2" Type="http://schemas.openxmlformats.org/officeDocument/2006/relationships/worksheet" Target="worksheets/sheet2.xml"/><Relationship Id="rId16" Type="http://schemas.openxmlformats.org/officeDocument/2006/relationships/externalLink" Target="externalLinks/externalLink1.xml"/><Relationship Id="rId29" Type="http://schemas.openxmlformats.org/officeDocument/2006/relationships/externalLink" Target="externalLinks/externalLink14.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66" Type="http://schemas.openxmlformats.org/officeDocument/2006/relationships/externalLink" Target="externalLinks/externalLink51.xml"/><Relationship Id="rId74" Type="http://schemas.openxmlformats.org/officeDocument/2006/relationships/theme" Target="theme/theme1.xml"/><Relationship Id="rId79"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6.xml"/><Relationship Id="rId82"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73" Type="http://schemas.openxmlformats.org/officeDocument/2006/relationships/externalLink" Target="externalLinks/externalLink58.xml"/><Relationship Id="rId78" Type="http://schemas.openxmlformats.org/officeDocument/2006/relationships/calcChain" Target="calcChain.xml"/><Relationship Id="rId8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externalLink" Target="externalLinks/externalLink49.xml"/><Relationship Id="rId69" Type="http://schemas.openxmlformats.org/officeDocument/2006/relationships/externalLink" Target="externalLinks/externalLink54.xml"/><Relationship Id="rId77"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externalLink" Target="externalLinks/externalLink36.xml"/><Relationship Id="rId72" Type="http://schemas.openxmlformats.org/officeDocument/2006/relationships/externalLink" Target="externalLinks/externalLink57.xml"/><Relationship Id="rId80"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externalLink" Target="externalLinks/externalLink44.xml"/><Relationship Id="rId67" Type="http://schemas.openxmlformats.org/officeDocument/2006/relationships/externalLink" Target="externalLinks/externalLink52.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externalLink" Target="externalLinks/externalLink47.xml"/><Relationship Id="rId70" Type="http://schemas.openxmlformats.org/officeDocument/2006/relationships/externalLink" Target="externalLinks/externalLink55.xml"/><Relationship Id="rId75" Type="http://schemas.openxmlformats.org/officeDocument/2006/relationships/styles" Target="styles.xml"/><Relationship Id="rId83"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personal/greg_hammond_utc_wa_gov/Documents/TG-200890%20WM%20NS%20Rev%20Share/TG-190958-staff%20work%20papers%20(003).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May%2024.xlsx" TargetMode="External"/><Relationship Id="rId1" Type="http://schemas.openxmlformats.org/officeDocument/2006/relationships/externalLinkPath" Target="/PUBLIC/Evan%20Burmester/WUTC/Commodity%20Rebate%20Filings/2024/King%20County%20Snohomish%20County/Source%20Data/Tonnage%20Analysis/NS%20MV%20SEA%20SS%20TA%20May%2024.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June%2024.xlsx" TargetMode="External"/><Relationship Id="rId1" Type="http://schemas.openxmlformats.org/officeDocument/2006/relationships/externalLinkPath" Target="/PUBLIC/Evan%20Burmester/WUTC/Commodity%20Rebate%20Filings/2024/King%20County%20Snohomish%20County/Source%20Data/Tonnage%20Analysis/NS%20MV%20SEA%20SS%20TA%20June%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Customer%20Counts/SEA%20SS%20CC%20October%202023.csv"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Customer%20Counts/NS%20MV%20CC%20October%202023.csv"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Customer%20Counts/SEA%20SS%20CC%20November%202023.csv"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Customer%20Counts/NS%20MV%20CC%20November%202023.csv"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December%202023.csv" TargetMode="External"/><Relationship Id="rId1" Type="http://schemas.openxmlformats.org/officeDocument/2006/relationships/externalLinkPath" Target="/PUBLIC/Evan%20Burmester/WUTC/Commodity%20Rebate%20Filings/2024/King%20County%20Snohomish%20County/Source%20Data/Customer%20Counts/SEA%20SS%20CC%20December%202023.csv"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December%202023.csv" TargetMode="External"/><Relationship Id="rId1" Type="http://schemas.openxmlformats.org/officeDocument/2006/relationships/externalLinkPath" Target="/PUBLIC/Evan%20Burmester/WUTC/Commodity%20Rebate%20Filings/2024/King%20County%20Snohomish%20County/Source%20Data/Customer%20Counts/NS%20MV%20CC%20December%202023.csv"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January%202024.xlsx" TargetMode="External"/><Relationship Id="rId1" Type="http://schemas.openxmlformats.org/officeDocument/2006/relationships/externalLinkPath" Target="/PUBLIC/Evan%20Burmester/WUTC/Commodity%20Rebate%20Filings/2024/King%20County%20Snohomish%20County/Source%20Data/Customer%20Counts/SEA%20SS%20CC%20January%202024.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January%202024.xlsx" TargetMode="External"/><Relationship Id="rId1" Type="http://schemas.openxmlformats.org/officeDocument/2006/relationships/externalLinkPath" Target="/PUBLIC/Evan%20Burmester/WUTC/Commodity%20Rebate%20Filings/2024/King%20County%20Snohomish%20County/Source%20Data/Customer%20Counts/NS%20MV%20CC%20January%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North%20Sound%20Marysville\2024-2025%20Commodity%20Rebate%20and%20RSA%20Analysis%20and%20workpapers%20(002).xlsx" TargetMode="External"/><Relationship Id="rId1" Type="http://schemas.openxmlformats.org/officeDocument/2006/relationships/externalLinkPath" Target="2024-2025%20Commodity%20Rebate%20and%20RSA%20Analysis%20and%20workpapers%20(002).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February%202024.xlsx" TargetMode="External"/><Relationship Id="rId1" Type="http://schemas.openxmlformats.org/officeDocument/2006/relationships/externalLinkPath" Target="/PUBLIC/Evan%20Burmester/WUTC/Commodity%20Rebate%20Filings/2024/King%20County%20Snohomish%20County/Source%20Data/Customer%20Counts/SEA%20SS%20CC%20February%202024.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February%202024.xlsx" TargetMode="External"/><Relationship Id="rId1" Type="http://schemas.openxmlformats.org/officeDocument/2006/relationships/externalLinkPath" Target="/PUBLIC/Evan%20Burmester/WUTC/Commodity%20Rebate%20Filings/2024/King%20County%20Snohomish%20County/Source%20Data/Customer%20Counts/NS%20MV%20CC%20February%202024.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March%202024.csv" TargetMode="External"/><Relationship Id="rId1" Type="http://schemas.openxmlformats.org/officeDocument/2006/relationships/externalLinkPath" Target="/PUBLIC/Evan%20Burmester/WUTC/Commodity%20Rebate%20Filings/2024/King%20County%20Snohomish%20County/Source%20Data/Customer%20Counts/SEA%20SS%20CC%20March%202024.csv"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March%202024.csv" TargetMode="External"/><Relationship Id="rId1" Type="http://schemas.openxmlformats.org/officeDocument/2006/relationships/externalLinkPath" Target="/PUBLIC/Evan%20Burmester/WUTC/Commodity%20Rebate%20Filings/2024/King%20County%20Snohomish%20County/Source%20Data/Customer%20Counts/NS%20MV%20CC%20March%202024.csv"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April%202024.csv" TargetMode="External"/><Relationship Id="rId1" Type="http://schemas.openxmlformats.org/officeDocument/2006/relationships/externalLinkPath" Target="/PUBLIC/Evan%20Burmester/WUTC/Commodity%20Rebate%20Filings/2024/King%20County%20Snohomish%20County/Source%20Data/Customer%20Counts/SEA%20SS%20CC%20April%202024.csv"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April%202024.csv" TargetMode="External"/><Relationship Id="rId1" Type="http://schemas.openxmlformats.org/officeDocument/2006/relationships/externalLinkPath" Target="/PUBLIC/Evan%20Burmester/WUTC/Commodity%20Rebate%20Filings/2024/King%20County%20Snohomish%20County/Source%20Data/Customer%20Counts/NS%20MV%20CC%20April%202024.csv"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May%202024.csv" TargetMode="External"/><Relationship Id="rId1" Type="http://schemas.openxmlformats.org/officeDocument/2006/relationships/externalLinkPath" Target="/PUBLIC/Evan%20Burmester/WUTC/Commodity%20Rebate%20Filings/2024/King%20County%20Snohomish%20County/Source%20Data/Customer%20Counts/SEA%20SS%20CC%20May%202024.csv"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May%202024.csv" TargetMode="External"/><Relationship Id="rId1" Type="http://schemas.openxmlformats.org/officeDocument/2006/relationships/externalLinkPath" Target="/PUBLIC/Evan%20Burmester/WUTC/Commodity%20Rebate%20Filings/2024/King%20County%20Snohomish%20County/Source%20Data/Customer%20Counts/NS%20MV%20CC%20May%202024.csv" TargetMode="External"/></Relationships>
</file>

<file path=xl/externalLinks/_rels/externalLink28.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June%202024.csv" TargetMode="External"/><Relationship Id="rId1" Type="http://schemas.openxmlformats.org/officeDocument/2006/relationships/externalLinkPath" Target="/PUBLIC/Evan%20Burmester/WUTC/Commodity%20Rebate%20Filings/2024/King%20County%20Snohomish%20County/Source%20Data/Customer%20Counts/SEA%20SS%20CC%20June%202024.csv" TargetMode="External"/></Relationships>
</file>

<file path=xl/externalLinks/_rels/externalLink29.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June%202024.csv" TargetMode="External"/><Relationship Id="rId1" Type="http://schemas.openxmlformats.org/officeDocument/2006/relationships/externalLinkPath" Target="/PUBLIC/Evan%20Burmester/WUTC/Commodity%20Rebate%20Filings/2024/King%20County%20Snohomish%20County/Source%20Data/Customer%20Counts/NS%20MV%20CC%20June%202024.cs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Tonnage%20Analysis/NS%20MV%20SEA%20SS%20TA%20October%2023.csv"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xhous10fps01\WAKIRK03FPS01\Group\Finance\ACCT\Recycling%20Accounting%20Analysis\2023%20Recycling%20Acctg%20Analysis\12-2023\2023%20CRC%20Passback_Dec%20-%20updated.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eburmest\AppData\Local\Microsoft\Windows\INetCache\Content.Outlook\UGAOJRTF\2024%20CRC%20Passback_Jan.xlsx"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3%20CRC%20Passback_2.2024.xlsx" TargetMode="External"/><Relationship Id="rId1" Type="http://schemas.openxmlformats.org/officeDocument/2006/relationships/externalLinkPath" Target="file:///C:\Users\eburmest\AppData\Local\Microsoft\Windows\INetCache\Content.Outlook\IC4FR9HZ\2023%20CRC%20Passback_2.2024.xlsx" TargetMode="External"/></Relationships>
</file>

<file path=xl/externalLinks/_rels/externalLink33.xml.rels><?xml version="1.0" encoding="UTF-8" standalone="yes"?>
<Relationships xmlns="http://schemas.openxmlformats.org/package/2006/relationships"><Relationship Id="rId2" Type="http://schemas.openxmlformats.org/officeDocument/2006/relationships/externalLinkPath" Target="file:///C:\Users\eburmest\Downloads\2023%20CRC%20Passback_3.2024.xlsx" TargetMode="External"/><Relationship Id="rId1" Type="http://schemas.openxmlformats.org/officeDocument/2006/relationships/externalLinkPath" Target="file:///C:\Users\eburmest\Downloads\2023%20CRC%20Passback_3.2024.xlsx" TargetMode="External"/></Relationships>
</file>

<file path=xl/externalLinks/_rels/externalLink34.xml.rels><?xml version="1.0" encoding="UTF-8" standalone="yes"?>
<Relationships xmlns="http://schemas.openxmlformats.org/package/2006/relationships"><Relationship Id="rId2" Type="http://schemas.openxmlformats.org/officeDocument/2006/relationships/externalLinkPath" Target="file:///C:\Users\eburmest\Downloads\2023%20CRC%20Passback_4.2024.xlsx" TargetMode="External"/><Relationship Id="rId1" Type="http://schemas.openxmlformats.org/officeDocument/2006/relationships/externalLinkPath" Target="file:///C:\Users\eburmest\Downloads\2023%20CRC%20Passback_4.2024.xlsx" TargetMode="External"/></Relationships>
</file>

<file path=xl/externalLinks/_rels/externalLink35.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3%20CRC%20Passback_5.2024.xlsx" TargetMode="External"/><Relationship Id="rId1" Type="http://schemas.openxmlformats.org/officeDocument/2006/relationships/externalLinkPath" Target="file:///C:\Users\eburmest\AppData\Local\Microsoft\Windows\INetCache\Content.Outlook\IC4FR9HZ\2023%20CRC%20Passback_5.2024.xlsx" TargetMode="External"/></Relationships>
</file>

<file path=xl/externalLinks/_rels/externalLink36.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4%20CRC%20Passback_6.2024.xlsx" TargetMode="External"/><Relationship Id="rId1" Type="http://schemas.openxmlformats.org/officeDocument/2006/relationships/externalLinkPath" Target="file:///C:\Users\eburmest\AppData\Local\Microsoft\Windows\INetCache\Content.Outlook\IC4FR9HZ\2024%20CRC%20Passback_6.2024.xlsx" TargetMode="External"/></Relationships>
</file>

<file path=xl/externalLinks/_rels/externalLink37.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4%20CRC%20Passback_7.2024.xlsx" TargetMode="External"/><Relationship Id="rId1" Type="http://schemas.openxmlformats.org/officeDocument/2006/relationships/externalLinkPath" Target="file:///C:\Users\eburmest\AppData\Local\Microsoft\Windows\INetCache\Content.Outlook\IC4FR9HZ\2024%20CRC%20Passback_7.2024.xlsx" TargetMode="External"/></Relationships>
</file>

<file path=xl/externalLinks/_rels/externalLink38.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4%20CRC%20Passback_8.2024.xlsx" TargetMode="External"/><Relationship Id="rId1" Type="http://schemas.openxmlformats.org/officeDocument/2006/relationships/externalLinkPath" Target="file:///C:\Users\eburmest\AppData\Local\Microsoft\Windows\INetCache\Content.Outlook\IC4FR9HZ\2024%20CRC%20Passback_8.2024.xlsx" TargetMode="External"/></Relationships>
</file>

<file path=xl/externalLinks/_rels/externalLink39.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9-2024\CRC%20Passback%20Files%20-%209.2024\2024%20CRC%20Passback_9.2024.xlsx" TargetMode="External"/><Relationship Id="rId1" Type="http://schemas.openxmlformats.org/officeDocument/2006/relationships/externalLinkPath" Target="file:///\\Txhous10fps01\WAKIRK03FPS01\Group\Finance\ACCT\Recycling%20Accounting%20Analysis\2024%20Recycling%20Acctg%20Analysis\09-2024\CRC%20Passback%20Files%20-%209.2024\2024%20CRC%20Passback_9.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Tonnage%20Analysis/NS%20MV%20SEA%20SS%20TA%20November%2023.csv" TargetMode="External"/></Relationships>
</file>

<file path=xl/externalLinks/_rels/externalLink40.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10-2024\CRC%20Passback%20Files%20-%2010.2024\2024%20CRC%20Passback_10.2024.xlsx" TargetMode="External"/><Relationship Id="rId1" Type="http://schemas.openxmlformats.org/officeDocument/2006/relationships/externalLinkPath" Target="file:///\\Txhous10fps01\WAKIRK03FPS01\Group\Finance\ACCT\Recycling%20Accounting%20Analysis\2024%20Recycling%20Acctg%20Analysis\10-2024\CRC%20Passback%20Files%20-%2010.2024\2024%20CRC%20Passback_10.2024.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eburmest\AppData\Local\Microsoft\Windows\INetCache\Content.Outlook\UGAOJRTF\K133-LGM-9000M-WA0021%20-%20JMK%20Residential%20Passback%2012.202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eburmest\AppData\Local\Microsoft\Windows\INetCache\Content.Outlook\UGAOJRTF\2024%20JMK%20Passback_Jan.xlsx" TargetMode="External"/></Relationships>
</file>

<file path=xl/externalLinks/_rels/externalLink43.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K133-LGM-9000M-WA0021%20-%20JMK%20Residential%20Passback%2002.2024.xlsx" TargetMode="External"/><Relationship Id="rId1" Type="http://schemas.openxmlformats.org/officeDocument/2006/relationships/externalLinkPath" Target="file:///C:\Users\eburmest\AppData\Local\Microsoft\Windows\INetCache\Content.Outlook\IC4FR9HZ\K133-LGM-9000M-WA0021%20-%20JMK%20Residential%20Passback%2002.2024.xlsx" TargetMode="External"/></Relationships>
</file>

<file path=xl/externalLinks/_rels/externalLink44.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3-2024\K133-LGM-9000M-WA0021%20-%20JMK%20Residential%20Passback%2003.2024.xlsx" TargetMode="External"/><Relationship Id="rId1" Type="http://schemas.openxmlformats.org/officeDocument/2006/relationships/externalLinkPath" Target="file:///\\Txhous10fps01\WAKIRK03FPS01\Group\Finance\ACCT\Recycling%20Accounting%20Analysis\2024%20Recycling%20Acctg%20Analysis\03-2024\K133-LGM-9000M-WA0021%20-%20JMK%20Residential%20Passback%2003.2024.xlsx" TargetMode="External"/></Relationships>
</file>

<file path=xl/externalLinks/_rels/externalLink45.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4-2024\K133-LGM-9000M-WA0021%20-%20JMK%20Residential%20Passback%2004.2024.xlsx" TargetMode="External"/><Relationship Id="rId1" Type="http://schemas.openxmlformats.org/officeDocument/2006/relationships/externalLinkPath" Target="file:///\\Txhous10fps01\WAKIRK03FPS01\Group\Finance\ACCT\Recycling%20Accounting%20Analysis\2024%20Recycling%20Acctg%20Analysis\04-2024\K133-LGM-9000M-WA0021%20-%20JMK%20Residential%20Passback%2004.2024.xlsx" TargetMode="External"/></Relationships>
</file>

<file path=xl/externalLinks/_rels/externalLink46.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5-2024\K133-LGM-9000M-WA0021%20-%20JMK%20Residential%20Passback%2005.2024.xlsx" TargetMode="External"/><Relationship Id="rId1" Type="http://schemas.openxmlformats.org/officeDocument/2006/relationships/externalLinkPath" Target="file:///\\Txhous10fps01\WAKIRK03FPS01\Group\Finance\ACCT\Recycling%20Accounting%20Analysis\2024%20Recycling%20Acctg%20Analysis\05-2024\K133-LGM-9000M-WA0021%20-%20JMK%20Residential%20Passback%2005.2024.xlsx" TargetMode="External"/></Relationships>
</file>

<file path=xl/externalLinks/_rels/externalLink47.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6-2024\K133-LGM-9000M-WA0021%20-%20JMK%20Residential%20Passback%2006.2024.xlsx" TargetMode="External"/><Relationship Id="rId1" Type="http://schemas.openxmlformats.org/officeDocument/2006/relationships/externalLinkPath" Target="file:///\\Txhous10fps01\WAKIRK03FPS01\Group\Finance\ACCT\Recycling%20Accounting%20Analysis\2024%20Recycling%20Acctg%20Analysis\06-2024\K133-LGM-9000M-WA0021%20-%20JMK%20Residential%20Passback%2006.2024.xlsx" TargetMode="External"/></Relationships>
</file>

<file path=xl/externalLinks/_rels/externalLink48.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K133-LGM-9000M-WA0021%20-%20JMK%20Residential%20Passback%2007.2024.xlsx" TargetMode="External"/><Relationship Id="rId1" Type="http://schemas.openxmlformats.org/officeDocument/2006/relationships/externalLinkPath" Target="file:///C:\Users\eburmest\AppData\Local\Microsoft\Windows\INetCache\Content.Outlook\IC4FR9HZ\K133-LGM-9000M-WA0021%20-%20JMK%20Residential%20Passback%2007.2024.xlsx" TargetMode="External"/></Relationships>
</file>

<file path=xl/externalLinks/_rels/externalLink49.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K133-LGM-9000M-WA0021%20-%20JMK%20Residential%20Passback%2008.2024.xlsx" TargetMode="External"/><Relationship Id="rId1" Type="http://schemas.openxmlformats.org/officeDocument/2006/relationships/externalLinkPath" Target="file:///C:\Users\eburmest\AppData\Local\Microsoft\Windows\INetCache\Content.Outlook\IC4FR9HZ\K133-LGM-9000M-WA0021%20-%20JMK%20Residential%20Passback%2008.202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December%2023.csv" TargetMode="External"/><Relationship Id="rId1" Type="http://schemas.openxmlformats.org/officeDocument/2006/relationships/externalLinkPath" Target="/PUBLIC/Evan%20Burmester/WUTC/Commodity%20Rebate%20Filings/2024/King%20County%20Snohomish%20County/Source%20Data/Tonnage%20Analysis/NS%20MV%20SEA%20SS%20TA%20December%2023.csv" TargetMode="External"/></Relationships>
</file>

<file path=xl/externalLinks/_rels/externalLink50.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9-2024\K133-LGM-9000M-WA0021%20-%20JMK%20Residential%20Passback%2009.2024.xlsx" TargetMode="External"/><Relationship Id="rId1" Type="http://schemas.openxmlformats.org/officeDocument/2006/relationships/externalLinkPath" Target="file:///\\Txhous10fps01\WAKIRK03FPS01\Group\Finance\ACCT\Recycling%20Accounting%20Analysis\2024%20Recycling%20Acctg%20Analysis\09-2024\K133-LGM-9000M-WA0021%20-%20JMK%20Residential%20Passback%2009.2024.xlsx" TargetMode="External"/></Relationships>
</file>

<file path=xl/externalLinks/_rels/externalLink51.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10-2024\K133-LGM-9000M-WA0021%20-%20JMK%20Residential%20Passback%2010.2024.xlsx" TargetMode="External"/><Relationship Id="rId1" Type="http://schemas.openxmlformats.org/officeDocument/2006/relationships/externalLinkPath" Target="file:///\\Txhous10fps01\WAKIRK03FPS01\Group\Finance\ACCT\Recycling%20Accounting%20Analysis\2024%20Recycling%20Acctg%20Analysis\10-2024\K133-LGM-9000M-WA0021%20-%20JMK%20Residential%20Passback%2010.2024.xlsx" TargetMode="External"/></Relationships>
</file>

<file path=xl/externalLinks/_rels/externalLink52.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3%20CRC%20Passback_2.2024%20v2%20Accounting.xlsx" TargetMode="External"/><Relationship Id="rId1" Type="http://schemas.openxmlformats.org/officeDocument/2006/relationships/externalLinkPath" Target="file:///C:\Users\eburmest\AppData\Local\Microsoft\Windows\INetCache\Content.Outlook\IC4FR9HZ\2023%20CRC%20Passback_2.2024%20v2%20Accounting.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eburmest\OneDrive%20-%20Waste%20Management\Documents\Lake%20Stevens%20Annexation.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eburmest\OneDrive%20-%20Waste%20Management\Documents\Marysville%20Average.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2.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Users\eburmest\Downloads\PricingDashboard%20-%20MUNI_SHARE%20per%20Customer%20Type,%20Service%20Type%20and%20SITE_NAME,%20MUNICIPALITY_NAME%20(13).csv"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January%2024.xlsx" TargetMode="External"/><Relationship Id="rId1" Type="http://schemas.openxmlformats.org/officeDocument/2006/relationships/externalLinkPath" Target="/PUBLIC/Evan%20Burmester/WUTC/Commodity%20Rebate%20Filings/2024/King%20County%20Snohomish%20County/Source%20Data/Tonnage%20Analysis/NS%20MV%20SEA%20SS%20TA%20January%2024.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February%2024.xlsx" TargetMode="External"/><Relationship Id="rId1" Type="http://schemas.openxmlformats.org/officeDocument/2006/relationships/externalLinkPath" Target="/PUBLIC/Evan%20Burmester/WUTC/Commodity%20Rebate%20Filings/2024/King%20County%20Snohomish%20County/Source%20Data/Tonnage%20Analysis/NS%20MV%20SEA%20SS%20TA%20February%2024.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March%2024.xlsx" TargetMode="External"/><Relationship Id="rId1" Type="http://schemas.openxmlformats.org/officeDocument/2006/relationships/externalLinkPath" Target="/PUBLIC/Evan%20Burmester/WUTC/Commodity%20Rebate%20Filings/2024/King%20County%20Snohomish%20County/Source%20Data/Tonnage%20Analysis/NS%20MV%20SEA%20SS%20TA%20March%2024.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April%2024.xlsx" TargetMode="External"/><Relationship Id="rId1" Type="http://schemas.openxmlformats.org/officeDocument/2006/relationships/externalLinkPath" Target="/PUBLIC/Evan%20Burmester/WUTC/Commodity%20Rebate%20Filings/2024/King%20County%20Snohomish%20County/Source%20Data/Tonnage%20Analysis/NS%20MV%20SEA%20SS%20TA%20April%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Calculation"/>
      <sheetName val="Staff Calculation (2)"/>
      <sheetName val="Rate Sheet Summary"/>
      <sheetName val="Rebate Analysis"/>
      <sheetName val="2018-2019 Recy. Tons &amp; Revenue"/>
      <sheetName val="CRC Prices &amp; Revenue"/>
      <sheetName val="Composition"/>
      <sheetName val="Customer Counts"/>
      <sheetName val="KC 2018-2019 Budget vs. Actual"/>
      <sheetName val="SC 2018-2019 Budget vs. Actual"/>
      <sheetName val="KC 2020-2021 Preliminary Budget"/>
      <sheetName val="SC 2020-2021 Preliminary Budget"/>
      <sheetName val="KC Incentive Analysis"/>
      <sheetName val="SC Incentive analysis"/>
    </sheetNames>
    <sheetDataSet>
      <sheetData sheetId="0"/>
      <sheetData sheetId="1"/>
      <sheetData sheetId="2"/>
      <sheetData sheetId="3"/>
      <sheetData sheetId="4"/>
      <sheetData sheetId="5"/>
      <sheetData sheetId="6"/>
      <sheetData sheetId="7">
        <row r="18">
          <cell r="G18">
            <v>64098</v>
          </cell>
          <cell r="H18">
            <v>35649</v>
          </cell>
        </row>
        <row r="19">
          <cell r="G19">
            <v>64174</v>
          </cell>
          <cell r="H19">
            <v>35714</v>
          </cell>
        </row>
        <row r="20">
          <cell r="G20">
            <v>64138</v>
          </cell>
          <cell r="H20">
            <v>35678</v>
          </cell>
        </row>
        <row r="21">
          <cell r="G21">
            <v>64182</v>
          </cell>
          <cell r="H21">
            <v>35683</v>
          </cell>
        </row>
        <row r="22">
          <cell r="G22">
            <v>64142</v>
          </cell>
          <cell r="H22">
            <v>35576</v>
          </cell>
        </row>
        <row r="23">
          <cell r="G23">
            <v>64325</v>
          </cell>
          <cell r="H23">
            <v>35730</v>
          </cell>
        </row>
        <row r="24">
          <cell r="G24">
            <v>64583</v>
          </cell>
          <cell r="H24">
            <v>35918</v>
          </cell>
        </row>
        <row r="25">
          <cell r="G25">
            <v>64739</v>
          </cell>
          <cell r="H25">
            <v>36074</v>
          </cell>
        </row>
        <row r="26">
          <cell r="G26">
            <v>64746</v>
          </cell>
          <cell r="H26">
            <v>36177</v>
          </cell>
        </row>
        <row r="27">
          <cell r="G27">
            <v>64930</v>
          </cell>
          <cell r="H27">
            <v>36312</v>
          </cell>
        </row>
        <row r="28">
          <cell r="G28">
            <v>65089</v>
          </cell>
          <cell r="H28">
            <v>36437</v>
          </cell>
        </row>
        <row r="29">
          <cell r="G29">
            <v>65157</v>
          </cell>
          <cell r="H29">
            <v>36405</v>
          </cell>
        </row>
      </sheetData>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t="str">
            <v>Bellevue</v>
          </cell>
          <cell r="D1" t="str">
            <v>Brier UTC</v>
          </cell>
          <cell r="E1" t="str">
            <v>Duvall</v>
          </cell>
          <cell r="F1" t="str">
            <v>Edmonds UTC</v>
          </cell>
          <cell r="G1" t="str">
            <v>Everett UTC</v>
          </cell>
          <cell r="H1" t="str">
            <v>Index</v>
          </cell>
          <cell r="I1" t="str">
            <v>UTC KC North Sound</v>
          </cell>
          <cell r="J1" t="str">
            <v>Kirkland</v>
          </cell>
          <cell r="K1" t="str">
            <v>Lake Stevens</v>
          </cell>
          <cell r="L1" t="str">
            <v>Lynnwood UTC</v>
          </cell>
          <cell r="M1" t="str">
            <v>Mill Creek</v>
          </cell>
          <cell r="N1" t="str">
            <v>Monroe</v>
          </cell>
          <cell r="O1" t="str">
            <v>Mountlake Terrace</v>
          </cell>
          <cell r="P1" t="str">
            <v>Mukilteo</v>
          </cell>
          <cell r="Q1" t="str">
            <v>Redmond</v>
          </cell>
          <cell r="R1" t="str">
            <v>Seattle</v>
          </cell>
          <cell r="S1" t="str">
            <v>UTC SC North Sound</v>
          </cell>
          <cell r="T1" t="str">
            <v>Snoqualmie</v>
          </cell>
          <cell r="U1" t="str">
            <v>Woodinville - UTC</v>
          </cell>
          <cell r="V1" t="str">
            <v>Arlington</v>
          </cell>
          <cell r="W1" t="str">
            <v>Everett UTC</v>
          </cell>
          <cell r="X1" t="str">
            <v>Granite Falls</v>
          </cell>
          <cell r="Y1" t="str">
            <v>Lake Stevens</v>
          </cell>
          <cell r="Z1" t="str">
            <v>Marysville</v>
          </cell>
          <cell r="AA1" t="str">
            <v>UTC Marysville</v>
          </cell>
          <cell r="AB1" t="str">
            <v>Stanwood</v>
          </cell>
          <cell r="AC1" t="str">
            <v>Burien</v>
          </cell>
          <cell r="AD1" t="str">
            <v>UTC Seattle</v>
          </cell>
          <cell r="AE1" t="str">
            <v>Newcastle</v>
          </cell>
          <cell r="AF1" t="str">
            <v>Normandy Park</v>
          </cell>
          <cell r="AG1" t="str">
            <v>Renton</v>
          </cell>
          <cell r="AH1" t="str">
            <v>SeaTac</v>
          </cell>
          <cell r="AI1" t="str">
            <v>Seattle</v>
          </cell>
          <cell r="AJ1" t="str">
            <v>Tukwila</v>
          </cell>
          <cell r="AK1" t="str">
            <v>Algona</v>
          </cell>
          <cell r="AL1" t="str">
            <v>Auburn</v>
          </cell>
          <cell r="AM1" t="str">
            <v>Enumclaw</v>
          </cell>
          <cell r="AN1" t="str">
            <v>Federal Way</v>
          </cell>
          <cell r="AO1" t="str">
            <v>UTC South Sound</v>
          </cell>
          <cell r="AP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North Sound</v>
          </cell>
          <cell r="V2" t="str">
            <v>WM of Marysville</v>
          </cell>
          <cell r="W2" t="str">
            <v>WM of Marysville</v>
          </cell>
          <cell r="X2" t="str">
            <v>WM of Marysville</v>
          </cell>
          <cell r="Y2" t="str">
            <v>WM of Marysville</v>
          </cell>
          <cell r="Z2" t="str">
            <v>WM of Marysville</v>
          </cell>
          <cell r="AA2" t="str">
            <v>WM of Marysville</v>
          </cell>
          <cell r="AB2" t="str">
            <v>WM of Marysville</v>
          </cell>
          <cell r="AC2" t="str">
            <v>WM of Seattle</v>
          </cell>
          <cell r="AD2" t="str">
            <v>WM of Seattle</v>
          </cell>
          <cell r="AE2" t="str">
            <v>WM of Seattle</v>
          </cell>
          <cell r="AF2" t="str">
            <v>WM of Seattle</v>
          </cell>
          <cell r="AG2" t="str">
            <v>WM of Seattle</v>
          </cell>
          <cell r="AH2" t="str">
            <v>WM of Seattle</v>
          </cell>
          <cell r="AI2" t="str">
            <v>WM of Seattle</v>
          </cell>
          <cell r="AJ2" t="str">
            <v>WM of Seattle</v>
          </cell>
          <cell r="AK2" t="str">
            <v>WM South Sound</v>
          </cell>
          <cell r="AL2" t="str">
            <v>WM South Sound</v>
          </cell>
          <cell r="AM2" t="str">
            <v>WM South Sound</v>
          </cell>
          <cell r="AN2" t="str">
            <v>WM South Sound</v>
          </cell>
          <cell r="AO2" t="str">
            <v>WM South Sound</v>
          </cell>
          <cell r="AP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North Sound</v>
          </cell>
          <cell r="V3" t="str">
            <v>WM of Marysville</v>
          </cell>
          <cell r="W3" t="str">
            <v>WM of Marysville</v>
          </cell>
          <cell r="X3" t="str">
            <v>WM of Marysville</v>
          </cell>
          <cell r="Y3" t="str">
            <v>WM of Marysville</v>
          </cell>
          <cell r="Z3" t="str">
            <v>WM of Marysville</v>
          </cell>
          <cell r="AA3" t="str">
            <v>WM of Marysville</v>
          </cell>
          <cell r="AB3" t="str">
            <v>WM of Marysville</v>
          </cell>
          <cell r="AC3" t="str">
            <v>WM of Seattle</v>
          </cell>
          <cell r="AD3" t="str">
            <v>WM of Seattle</v>
          </cell>
          <cell r="AE3" t="str">
            <v>WM of Seattle</v>
          </cell>
          <cell r="AF3" t="str">
            <v>WM of Seattle</v>
          </cell>
          <cell r="AG3" t="str">
            <v>WM of Seattle</v>
          </cell>
          <cell r="AH3" t="str">
            <v>WM of Seattle</v>
          </cell>
          <cell r="AI3" t="str">
            <v>WM of Seattle</v>
          </cell>
          <cell r="AJ3" t="str">
            <v>WM of Seattle</v>
          </cell>
          <cell r="AK3" t="str">
            <v>WM South Sound</v>
          </cell>
          <cell r="AL3" t="str">
            <v>WM South Sound</v>
          </cell>
          <cell r="AM3" t="str">
            <v>WM South Sound</v>
          </cell>
          <cell r="AN3" t="str">
            <v>WM South Sound</v>
          </cell>
          <cell r="AO3" t="str">
            <v>WM South Sound</v>
          </cell>
          <cell r="AP3" t="str">
            <v>WM South Sound</v>
          </cell>
          <cell r="AQ3" t="str">
            <v>Grand total</v>
          </cell>
        </row>
        <row r="4">
          <cell r="A4" t="str">
            <v>Customer Type</v>
          </cell>
          <cell r="B4" t="str">
            <v>Service Type</v>
          </cell>
          <cell r="C4" t="str">
            <v>Bellevue</v>
          </cell>
          <cell r="D4" t="str">
            <v>Brier</v>
          </cell>
          <cell r="E4" t="str">
            <v>Duvall</v>
          </cell>
          <cell r="F4" t="str">
            <v>Edmonds</v>
          </cell>
          <cell r="G4" t="str">
            <v>Everett</v>
          </cell>
          <cell r="H4" t="str">
            <v>Index</v>
          </cell>
          <cell r="I4" t="str">
            <v>King County</v>
          </cell>
          <cell r="J4" t="str">
            <v>Kirkland</v>
          </cell>
          <cell r="K4" t="str">
            <v>Lake Stevens</v>
          </cell>
          <cell r="L4" t="str">
            <v>Lynnwood</v>
          </cell>
          <cell r="M4" t="str">
            <v>Mill Creek</v>
          </cell>
          <cell r="N4" t="str">
            <v>Monroe</v>
          </cell>
          <cell r="O4" t="str">
            <v>Mountlake Terrace</v>
          </cell>
          <cell r="P4" t="str">
            <v>Mukilteo</v>
          </cell>
          <cell r="Q4" t="str">
            <v>Redmond</v>
          </cell>
          <cell r="R4" t="str">
            <v>Seattle</v>
          </cell>
          <cell r="S4" t="str">
            <v>Snohomish County</v>
          </cell>
          <cell r="T4" t="str">
            <v>Snoqualmie</v>
          </cell>
          <cell r="U4" t="str">
            <v>Woodinville</v>
          </cell>
          <cell r="V4" t="str">
            <v>Arlington</v>
          </cell>
          <cell r="W4" t="str">
            <v>Everett</v>
          </cell>
          <cell r="X4" t="str">
            <v>Granite Falls</v>
          </cell>
          <cell r="Y4" t="str">
            <v>Lake Stevens</v>
          </cell>
          <cell r="Z4" t="str">
            <v>Marysville</v>
          </cell>
          <cell r="AA4" t="str">
            <v>Snohomish County</v>
          </cell>
          <cell r="AB4" t="str">
            <v>Stanwood</v>
          </cell>
          <cell r="AC4" t="str">
            <v>Burien</v>
          </cell>
          <cell r="AD4" t="str">
            <v>King County</v>
          </cell>
          <cell r="AE4" t="str">
            <v>Newcastle</v>
          </cell>
          <cell r="AF4" t="str">
            <v>Normandy Park</v>
          </cell>
          <cell r="AG4" t="str">
            <v>Renton</v>
          </cell>
          <cell r="AH4" t="str">
            <v>SeaTac</v>
          </cell>
          <cell r="AI4" t="str">
            <v>Seattle</v>
          </cell>
          <cell r="AJ4" t="str">
            <v>Tukwila</v>
          </cell>
          <cell r="AK4" t="str">
            <v>Algona</v>
          </cell>
          <cell r="AL4" t="str">
            <v>Auburn</v>
          </cell>
          <cell r="AM4" t="str">
            <v>Enumclaw</v>
          </cell>
          <cell r="AN4" t="str">
            <v>Federal Way</v>
          </cell>
          <cell r="AO4" t="str">
            <v>King County</v>
          </cell>
          <cell r="AP4" t="str">
            <v>Pacific</v>
          </cell>
          <cell r="AQ4" t="str">
            <v>Grand total</v>
          </cell>
        </row>
        <row r="5">
          <cell r="A5" t="str">
            <v>Residential</v>
          </cell>
          <cell r="B5" t="str">
            <v>Recycling</v>
          </cell>
          <cell r="D5">
            <v>43.573132893064702</v>
          </cell>
          <cell r="E5">
            <v>73.456266264050001</v>
          </cell>
          <cell r="F5">
            <v>4.9059591124436102</v>
          </cell>
          <cell r="G5">
            <v>46.128043818813197</v>
          </cell>
          <cell r="I5">
            <v>503.630116626524</v>
          </cell>
          <cell r="J5">
            <v>582.30496679685302</v>
          </cell>
          <cell r="K5">
            <v>7.6600968423924196E-3</v>
          </cell>
          <cell r="L5">
            <v>94.173822509970407</v>
          </cell>
          <cell r="M5">
            <v>136.87832608095701</v>
          </cell>
          <cell r="O5">
            <v>120.687566488523</v>
          </cell>
          <cell r="P5">
            <v>114.048651693932</v>
          </cell>
          <cell r="Q5">
            <v>298.43224522755003</v>
          </cell>
          <cell r="S5">
            <v>1414.3951388246101</v>
          </cell>
          <cell r="T5">
            <v>105.179935341307</v>
          </cell>
          <cell r="U5">
            <v>79.130605751750096</v>
          </cell>
          <cell r="V5">
            <v>113.52084175504</v>
          </cell>
          <cell r="W5">
            <v>0.77928531970012005</v>
          </cell>
          <cell r="X5">
            <v>36.619905615410801</v>
          </cell>
          <cell r="Y5">
            <v>253.56756124236799</v>
          </cell>
          <cell r="Z5">
            <v>488.41543918348401</v>
          </cell>
          <cell r="AA5">
            <v>634.17162925680202</v>
          </cell>
          <cell r="AB5">
            <v>1.0322024771136201E-2</v>
          </cell>
          <cell r="AD5">
            <v>280.65870251858001</v>
          </cell>
          <cell r="AE5">
            <v>68.012564287005702</v>
          </cell>
          <cell r="AF5">
            <v>51.146986418282196</v>
          </cell>
          <cell r="AK5">
            <v>17.267959512854901</v>
          </cell>
          <cell r="AL5">
            <v>402.68744511013898</v>
          </cell>
          <cell r="AM5">
            <v>4.5077239284443698</v>
          </cell>
          <cell r="AN5">
            <v>435.70854986384001</v>
          </cell>
          <cell r="AO5">
            <v>171.72135282165999</v>
          </cell>
          <cell r="AP5">
            <v>32.493306247678198</v>
          </cell>
          <cell r="AQ5">
            <v>6608.2220126332604</v>
          </cell>
        </row>
        <row r="6">
          <cell r="A6" t="str">
            <v>Multifamily</v>
          </cell>
          <cell r="B6" t="str">
            <v>Recycling</v>
          </cell>
          <cell r="D6">
            <v>6.1406049420819502E-2</v>
          </cell>
          <cell r="E6">
            <v>1.30270967517778</v>
          </cell>
          <cell r="F6">
            <v>1.21239624152981</v>
          </cell>
          <cell r="G6">
            <v>22.005724720082899</v>
          </cell>
          <cell r="I6">
            <v>7.4830998054261801</v>
          </cell>
          <cell r="J6">
            <v>199.332696734801</v>
          </cell>
          <cell r="L6">
            <v>34.199664776503198</v>
          </cell>
          <cell r="M6">
            <v>16.380818031647401</v>
          </cell>
          <cell r="O6">
            <v>33.773662997891599</v>
          </cell>
          <cell r="P6">
            <v>16.634150690565601</v>
          </cell>
          <cell r="Q6">
            <v>143.61497653097501</v>
          </cell>
          <cell r="S6">
            <v>178.897090803601</v>
          </cell>
          <cell r="T6">
            <v>1.7074288908516999</v>
          </cell>
          <cell r="U6">
            <v>29.985061072221399</v>
          </cell>
          <cell r="V6">
            <v>8.10138979050841</v>
          </cell>
          <cell r="W6">
            <v>7.1556279390092306E-2</v>
          </cell>
          <cell r="X6">
            <v>0.26270462092614</v>
          </cell>
          <cell r="Y6">
            <v>2.1983837219410498</v>
          </cell>
          <cell r="Z6">
            <v>48.289911941463203</v>
          </cell>
          <cell r="AA6">
            <v>2.83482397426451</v>
          </cell>
          <cell r="AD6">
            <v>59.822731398828601</v>
          </cell>
          <cell r="AE6">
            <v>21.0475954351162</v>
          </cell>
          <cell r="AF6">
            <v>3.20552827019258</v>
          </cell>
          <cell r="AI6">
            <v>2.2446973437831801</v>
          </cell>
          <cell r="AK6">
            <v>6.4899358961779896E-2</v>
          </cell>
          <cell r="AL6">
            <v>119.807230586705</v>
          </cell>
          <cell r="AN6">
            <v>107.10418943052299</v>
          </cell>
          <cell r="AO6">
            <v>5.3131028048397804</v>
          </cell>
          <cell r="AP6">
            <v>1.9873171651743999</v>
          </cell>
          <cell r="AQ6">
            <v>1068.9469491433099</v>
          </cell>
        </row>
        <row r="7">
          <cell r="A7" t="str">
            <v>Commercial</v>
          </cell>
        </row>
        <row r="8">
          <cell r="A8" t="str">
            <v>Roll Off Commercial</v>
          </cell>
        </row>
        <row r="9">
          <cell r="A9" t="str">
            <v>Grand total</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t="str">
            <v>Brier UTC</v>
          </cell>
          <cell r="D1" t="str">
            <v>Duvall</v>
          </cell>
          <cell r="E1" t="str">
            <v>Edmonds UTC</v>
          </cell>
          <cell r="F1" t="str">
            <v>Everett UTC</v>
          </cell>
          <cell r="G1" t="str">
            <v>UTC KC North Sound</v>
          </cell>
          <cell r="H1" t="str">
            <v>Kirkland</v>
          </cell>
          <cell r="I1" t="str">
            <v>Kitsap County</v>
          </cell>
          <cell r="J1" t="str">
            <v>Lynnwood UTC</v>
          </cell>
          <cell r="K1" t="str">
            <v>Mill Creek</v>
          </cell>
          <cell r="L1" t="str">
            <v>Mountlake Terrace</v>
          </cell>
          <cell r="M1" t="str">
            <v>Mukilteo</v>
          </cell>
          <cell r="N1" t="str">
            <v>Redmond</v>
          </cell>
          <cell r="O1" t="str">
            <v>UTC SC North Sound</v>
          </cell>
          <cell r="P1" t="str">
            <v>Snoqualmie</v>
          </cell>
          <cell r="Q1" t="str">
            <v>Woodinville - UTC</v>
          </cell>
          <cell r="R1" t="str">
            <v>Arlington</v>
          </cell>
          <cell r="S1" t="str">
            <v>Everett UTC</v>
          </cell>
          <cell r="T1" t="str">
            <v>Granite Falls</v>
          </cell>
          <cell r="U1" t="str">
            <v>Kitsap County</v>
          </cell>
          <cell r="V1" t="str">
            <v>Lake Stevens</v>
          </cell>
          <cell r="W1" t="str">
            <v>Marysville</v>
          </cell>
          <cell r="X1" t="str">
            <v>UTC Marysville</v>
          </cell>
          <cell r="Y1" t="str">
            <v>UTC Seattle</v>
          </cell>
          <cell r="Z1" t="str">
            <v>Newcastle</v>
          </cell>
          <cell r="AA1" t="str">
            <v>Normandy Park</v>
          </cell>
          <cell r="AB1" t="str">
            <v>Seattle</v>
          </cell>
          <cell r="AC1" t="str">
            <v>Algona</v>
          </cell>
          <cell r="AD1" t="str">
            <v>Auburn</v>
          </cell>
          <cell r="AE1" t="str">
            <v>Enumclaw</v>
          </cell>
          <cell r="AF1" t="str">
            <v>Federal Way</v>
          </cell>
          <cell r="AG1" t="str">
            <v>UTC South Sound</v>
          </cell>
          <cell r="AH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of Marysville</v>
          </cell>
          <cell r="S2" t="str">
            <v>WM of Marysville</v>
          </cell>
          <cell r="T2" t="str">
            <v>WM of Marysville</v>
          </cell>
          <cell r="U2" t="str">
            <v>WM of Marysville</v>
          </cell>
          <cell r="V2" t="str">
            <v>WM of Marysville</v>
          </cell>
          <cell r="W2" t="str">
            <v>WM of Marysville</v>
          </cell>
          <cell r="X2" t="str">
            <v>WM of Marysville</v>
          </cell>
          <cell r="Y2" t="str">
            <v>WM of Seattle</v>
          </cell>
          <cell r="Z2" t="str">
            <v>WM of Seattle</v>
          </cell>
          <cell r="AA2" t="str">
            <v>WM of Seattle</v>
          </cell>
          <cell r="AB2" t="str">
            <v>WM of Seattle</v>
          </cell>
          <cell r="AC2" t="str">
            <v>WM South Sound</v>
          </cell>
          <cell r="AD2" t="str">
            <v>WM South Sound</v>
          </cell>
          <cell r="AE2" t="str">
            <v>WM South Sound</v>
          </cell>
          <cell r="AF2" t="str">
            <v>WM South Sound</v>
          </cell>
          <cell r="AG2" t="str">
            <v>WM South Sound</v>
          </cell>
          <cell r="AH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of Marysville</v>
          </cell>
          <cell r="S3" t="str">
            <v>WM of Marysville</v>
          </cell>
          <cell r="T3" t="str">
            <v>WM of Marysville</v>
          </cell>
          <cell r="U3" t="str">
            <v>WM of Marysville</v>
          </cell>
          <cell r="V3" t="str">
            <v>WM of Marysville</v>
          </cell>
          <cell r="W3" t="str">
            <v>WM of Marysville</v>
          </cell>
          <cell r="X3" t="str">
            <v>WM of Marysville</v>
          </cell>
          <cell r="Y3" t="str">
            <v>WM of Seattle</v>
          </cell>
          <cell r="Z3" t="str">
            <v>WM of Seattle</v>
          </cell>
          <cell r="AA3" t="str">
            <v>WM of Seattle</v>
          </cell>
          <cell r="AB3" t="str">
            <v>WM of Seattle</v>
          </cell>
          <cell r="AC3" t="str">
            <v>WM South Sound</v>
          </cell>
          <cell r="AD3" t="str">
            <v>WM South Sound</v>
          </cell>
          <cell r="AE3" t="str">
            <v>WM South Sound</v>
          </cell>
          <cell r="AF3" t="str">
            <v>WM South Sound</v>
          </cell>
          <cell r="AG3" t="str">
            <v>WM South Sound</v>
          </cell>
          <cell r="AH3" t="str">
            <v>WM South Sound</v>
          </cell>
          <cell r="AI3" t="str">
            <v>Grand total</v>
          </cell>
        </row>
        <row r="4">
          <cell r="A4" t="str">
            <v>Customer Type</v>
          </cell>
          <cell r="B4" t="str">
            <v>Service Type</v>
          </cell>
          <cell r="C4" t="str">
            <v>Brier</v>
          </cell>
          <cell r="D4" t="str">
            <v>Duvall</v>
          </cell>
          <cell r="E4" t="str">
            <v>Edmonds</v>
          </cell>
          <cell r="F4" t="str">
            <v>Everett</v>
          </cell>
          <cell r="G4" t="str">
            <v>King County</v>
          </cell>
          <cell r="H4" t="str">
            <v>Kirkland</v>
          </cell>
          <cell r="I4" t="str">
            <v>Kitsap County</v>
          </cell>
          <cell r="J4" t="str">
            <v>Lynnwood</v>
          </cell>
          <cell r="K4" t="str">
            <v>Mill Creek</v>
          </cell>
          <cell r="L4" t="str">
            <v>Mountlake Terrace</v>
          </cell>
          <cell r="M4" t="str">
            <v>Mukilteo</v>
          </cell>
          <cell r="N4" t="str">
            <v>Redmond</v>
          </cell>
          <cell r="O4" t="str">
            <v>Snohomish County</v>
          </cell>
          <cell r="P4" t="str">
            <v>Snoqualmie</v>
          </cell>
          <cell r="Q4" t="str">
            <v>Woodinville</v>
          </cell>
          <cell r="R4" t="str">
            <v>Arlington</v>
          </cell>
          <cell r="S4" t="str">
            <v>Everett</v>
          </cell>
          <cell r="T4" t="str">
            <v>Granite Falls</v>
          </cell>
          <cell r="U4" t="str">
            <v>Kitsap County</v>
          </cell>
          <cell r="V4" t="str">
            <v>Lake Stevens</v>
          </cell>
          <cell r="W4" t="str">
            <v>Marysville</v>
          </cell>
          <cell r="X4" t="str">
            <v>Snohomish County</v>
          </cell>
          <cell r="Y4" t="str">
            <v>King County</v>
          </cell>
          <cell r="Z4" t="str">
            <v>Newcastle</v>
          </cell>
          <cell r="AA4" t="str">
            <v>Normandy Park</v>
          </cell>
          <cell r="AB4" t="str">
            <v>Seattle</v>
          </cell>
          <cell r="AC4" t="str">
            <v>Algona</v>
          </cell>
          <cell r="AD4" t="str">
            <v>Auburn</v>
          </cell>
          <cell r="AE4" t="str">
            <v>Enumclaw</v>
          </cell>
          <cell r="AF4" t="str">
            <v>Federal Way</v>
          </cell>
          <cell r="AG4" t="str">
            <v>King County</v>
          </cell>
          <cell r="AH4" t="str">
            <v>Pacific</v>
          </cell>
          <cell r="AI4" t="str">
            <v>Grand total</v>
          </cell>
        </row>
        <row r="5">
          <cell r="A5" t="str">
            <v>Residential</v>
          </cell>
          <cell r="B5" t="str">
            <v>Recycling</v>
          </cell>
          <cell r="C5">
            <v>41.725711669185799</v>
          </cell>
          <cell r="D5">
            <v>63.478480816597802</v>
          </cell>
          <cell r="E5">
            <v>5.0685517454133002</v>
          </cell>
          <cell r="F5">
            <v>43.926813155223201</v>
          </cell>
          <cell r="G5">
            <v>436.726470392723</v>
          </cell>
          <cell r="H5">
            <v>525.67599144343001</v>
          </cell>
          <cell r="I5">
            <v>4.1219720718153304E-3</v>
          </cell>
          <cell r="J5">
            <v>92.908720224877499</v>
          </cell>
          <cell r="K5">
            <v>120.119682031013</v>
          </cell>
          <cell r="L5">
            <v>100.25002381704201</v>
          </cell>
          <cell r="M5">
            <v>109.261383582063</v>
          </cell>
          <cell r="N5">
            <v>275.513431602477</v>
          </cell>
          <cell r="O5">
            <v>1243.9948142063399</v>
          </cell>
          <cell r="P5">
            <v>101.43105877977101</v>
          </cell>
          <cell r="Q5">
            <v>68.860355766935896</v>
          </cell>
          <cell r="R5">
            <v>109.09279080980301</v>
          </cell>
          <cell r="S5">
            <v>0.65589108856149803</v>
          </cell>
          <cell r="T5">
            <v>20.072863448421899</v>
          </cell>
          <cell r="U5">
            <v>6.8973662454234102E-3</v>
          </cell>
          <cell r="V5">
            <v>213.18894547093299</v>
          </cell>
          <cell r="W5">
            <v>425.93519395910897</v>
          </cell>
          <cell r="X5">
            <v>592.56000720930194</v>
          </cell>
          <cell r="Y5">
            <v>260.18726598367903</v>
          </cell>
          <cell r="Z5">
            <v>70.044581543485805</v>
          </cell>
          <cell r="AA5">
            <v>63.229809374040698</v>
          </cell>
          <cell r="AC5">
            <v>17.5827556814308</v>
          </cell>
          <cell r="AD5">
            <v>342.01170681218201</v>
          </cell>
          <cell r="AE5">
            <v>3.1229045248488099</v>
          </cell>
          <cell r="AF5">
            <v>385.63170435948302</v>
          </cell>
          <cell r="AG5">
            <v>147.062616621698</v>
          </cell>
          <cell r="AH5">
            <v>30.4859854727844</v>
          </cell>
          <cell r="AI5">
            <v>5909.81753093117</v>
          </cell>
        </row>
        <row r="6">
          <cell r="A6" t="str">
            <v>Multifamily</v>
          </cell>
          <cell r="B6" t="str">
            <v>Recycling</v>
          </cell>
          <cell r="C6">
            <v>4.0193933669353199E-2</v>
          </cell>
          <cell r="D6">
            <v>1.06160479726117</v>
          </cell>
          <cell r="E6">
            <v>1.3556066709579999</v>
          </cell>
          <cell r="F6">
            <v>22.4326972700913</v>
          </cell>
          <cell r="G6">
            <v>6.4245482617363301</v>
          </cell>
          <cell r="H6">
            <v>187.988248617468</v>
          </cell>
          <cell r="J6">
            <v>32.5639064290731</v>
          </cell>
          <cell r="K6">
            <v>14.1480873414576</v>
          </cell>
          <cell r="L6">
            <v>32.741393596606201</v>
          </cell>
          <cell r="M6">
            <v>17.015691822741601</v>
          </cell>
          <cell r="N6">
            <v>128.54140289662101</v>
          </cell>
          <cell r="O6">
            <v>168.924525310934</v>
          </cell>
          <cell r="P6">
            <v>1.4204991289737501</v>
          </cell>
          <cell r="Q6">
            <v>28.648110227979299</v>
          </cell>
          <cell r="R6">
            <v>7.3843340190911197</v>
          </cell>
          <cell r="S6">
            <v>7.3665950111662507E-2</v>
          </cell>
          <cell r="T6">
            <v>0.29592112908061702</v>
          </cell>
          <cell r="V6">
            <v>2.1839121948481699</v>
          </cell>
          <cell r="W6">
            <v>44.7509969830081</v>
          </cell>
          <cell r="X6">
            <v>2.36667830319423</v>
          </cell>
          <cell r="Y6">
            <v>52.909122683034198</v>
          </cell>
          <cell r="Z6">
            <v>20.1628662648241</v>
          </cell>
          <cell r="AA6">
            <v>2.46454545025107</v>
          </cell>
          <cell r="AB6">
            <v>1.75813031000063</v>
          </cell>
          <cell r="AC6">
            <v>8.3580680700665197E-2</v>
          </cell>
          <cell r="AD6">
            <v>120.19301774008601</v>
          </cell>
          <cell r="AF6">
            <v>100.96272329415299</v>
          </cell>
          <cell r="AG6">
            <v>5.8286299878991397</v>
          </cell>
          <cell r="AH6">
            <v>1.9848431452041599</v>
          </cell>
          <cell r="AI6">
            <v>1006.70948444106</v>
          </cell>
        </row>
        <row r="7">
          <cell r="A7" t="str">
            <v>Grand total</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 SS CC October 2023"/>
    </sheetNames>
    <sheetDataSet>
      <sheetData sheetId="0">
        <row r="4">
          <cell r="Q4">
            <v>11542</v>
          </cell>
          <cell r="R4">
            <v>8759</v>
          </cell>
          <cell r="S4">
            <v>7196</v>
          </cell>
          <cell r="T4">
            <v>39828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 MV CC October 2023"/>
    </sheetNames>
    <sheetDataSet>
      <sheetData sheetId="0">
        <row r="1">
          <cell r="D1" t="str">
            <v>Non-WUTC</v>
          </cell>
        </row>
        <row r="5">
          <cell r="AE5">
            <v>43114</v>
          </cell>
          <cell r="AF5">
            <v>21724</v>
          </cell>
          <cell r="AG5">
            <v>16369</v>
          </cell>
          <cell r="AH5">
            <v>69409</v>
          </cell>
          <cell r="AI5">
            <v>37692</v>
          </cell>
          <cell r="AJ5">
            <v>24974</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 SS CC November 2023"/>
    </sheetNames>
    <sheetDataSet>
      <sheetData sheetId="0">
        <row r="4">
          <cell r="Q4">
            <v>11518</v>
          </cell>
          <cell r="R4">
            <v>5575</v>
          </cell>
          <cell r="S4">
            <v>7195</v>
          </cell>
          <cell r="T4">
            <v>39822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 MV CC November 2023"/>
    </sheetNames>
    <sheetDataSet>
      <sheetData sheetId="0">
        <row r="5">
          <cell r="AD5">
            <v>43187</v>
          </cell>
          <cell r="AE5">
            <v>21721</v>
          </cell>
          <cell r="AF5">
            <v>16365</v>
          </cell>
          <cell r="AG5">
            <v>69362</v>
          </cell>
          <cell r="AH5">
            <v>37769</v>
          </cell>
          <cell r="AI5">
            <v>24922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December 2023"/>
    </sheetNames>
    <sheetDataSet>
      <sheetData sheetId="0">
        <row r="4">
          <cell r="Q4">
            <v>11521</v>
          </cell>
          <cell r="R4">
            <v>5567</v>
          </cell>
          <cell r="S4">
            <v>7202</v>
          </cell>
          <cell r="T4">
            <v>39826</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December 2023"/>
    </sheetNames>
    <sheetDataSet>
      <sheetData sheetId="0">
        <row r="5">
          <cell r="AD5">
            <v>43198</v>
          </cell>
          <cell r="AE5">
            <v>21729</v>
          </cell>
          <cell r="AF5">
            <v>16343</v>
          </cell>
          <cell r="AG5">
            <v>69348</v>
          </cell>
          <cell r="AH5">
            <v>37803</v>
          </cell>
          <cell r="AI5">
            <v>24888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QUANTITY per"/>
    </sheetNames>
    <sheetDataSet>
      <sheetData sheetId="0">
        <row r="4">
          <cell r="P4">
            <v>11513</v>
          </cell>
          <cell r="Q4">
            <v>5571</v>
          </cell>
          <cell r="R4">
            <v>7181</v>
          </cell>
          <cell r="S4">
            <v>39834</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QUANTITY per"/>
    </sheetNames>
    <sheetDataSet>
      <sheetData sheetId="0">
        <row r="1">
          <cell r="D1" t="str">
            <v>Non-WUTC</v>
          </cell>
        </row>
        <row r="5">
          <cell r="AC5">
            <v>43231</v>
          </cell>
          <cell r="AD5">
            <v>21692</v>
          </cell>
          <cell r="AE5">
            <v>16321</v>
          </cell>
          <cell r="AF5">
            <v>69356</v>
          </cell>
          <cell r="AG5">
            <v>37848</v>
          </cell>
          <cell r="AH5">
            <v>24902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bate (Charge) Analysis"/>
      <sheetName val="Rate Sheet Summary"/>
      <sheetName val="Rebate (charge) Calculation"/>
      <sheetName val="2022-2023 Recy. Tons &amp; Revenue"/>
      <sheetName val="KC Tonnage - Enspire"/>
      <sheetName val="SC Tonnage - Enspire"/>
      <sheetName val="Customer Counts - Enspire"/>
      <sheetName val="Prices - Recy. Acct. Analysis"/>
      <sheetName val="Composition-Rec. Acct. Analysis"/>
      <sheetName val="SC 2024-2025 Budget"/>
      <sheetName val="KC 2024-2025 Budget"/>
      <sheetName val="SC 2022-2023 Budget vs. Actual"/>
      <sheetName val="KC 2022-2023 Budget vs. Actual"/>
      <sheetName val="KC Incentive Analysis"/>
      <sheetName val="SC Incentive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7">
          <cell r="D7">
            <v>93927.833333333343</v>
          </cell>
        </row>
        <row r="11">
          <cell r="D11">
            <v>49518.977811530138</v>
          </cell>
        </row>
        <row r="15">
          <cell r="D15">
            <v>1861000</v>
          </cell>
        </row>
      </sheetData>
      <sheetData sheetId="10">
        <row r="8">
          <cell r="D8">
            <v>40291.541666666672</v>
          </cell>
        </row>
        <row r="12">
          <cell r="D12">
            <v>23185.754970424936</v>
          </cell>
        </row>
        <row r="16">
          <cell r="D16">
            <v>883000</v>
          </cell>
        </row>
      </sheetData>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QUANTITY per"/>
    </sheetNames>
    <sheetDataSet>
      <sheetData sheetId="0">
        <row r="4">
          <cell r="P4">
            <v>11524</v>
          </cell>
          <cell r="Q4">
            <v>5574</v>
          </cell>
          <cell r="R4">
            <v>7176</v>
          </cell>
          <cell r="S4">
            <v>39836</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QUANTITY per"/>
    </sheetNames>
    <sheetDataSet>
      <sheetData sheetId="0">
        <row r="5">
          <cell r="AE5">
            <v>43215</v>
          </cell>
          <cell r="AF5">
            <v>21699</v>
          </cell>
          <cell r="AG5">
            <v>16320</v>
          </cell>
          <cell r="AH5">
            <v>69381</v>
          </cell>
          <cell r="AI5">
            <v>37925</v>
          </cell>
          <cell r="AJ5">
            <v>24877</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March 2024"/>
    </sheetNames>
    <sheetDataSet>
      <sheetData sheetId="0">
        <row r="4">
          <cell r="D4">
            <v>11545</v>
          </cell>
          <cell r="E4">
            <v>3479</v>
          </cell>
          <cell r="F4">
            <v>2101</v>
          </cell>
          <cell r="L4">
            <v>889</v>
          </cell>
          <cell r="M4">
            <v>18258</v>
          </cell>
          <cell r="N4">
            <v>167</v>
          </cell>
          <cell r="O4">
            <v>18872</v>
          </cell>
          <cell r="P4">
            <v>7189</v>
          </cell>
          <cell r="Q4">
            <v>2</v>
          </cell>
          <cell r="S4">
            <v>1674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March 2024"/>
    </sheetNames>
    <sheetDataSet>
      <sheetData sheetId="0">
        <row r="4">
          <cell r="C4">
            <v>11</v>
          </cell>
          <cell r="F4">
            <v>1910</v>
          </cell>
          <cell r="G4">
            <v>2817</v>
          </cell>
          <cell r="H4">
            <v>214</v>
          </cell>
          <cell r="I4">
            <v>2352</v>
          </cell>
          <cell r="K4">
            <v>18650</v>
          </cell>
          <cell r="L4">
            <v>22754</v>
          </cell>
          <cell r="N4">
            <v>4629</v>
          </cell>
          <cell r="O4">
            <v>5479</v>
          </cell>
          <cell r="Q4">
            <v>5433</v>
          </cell>
          <cell r="R4">
            <v>5429</v>
          </cell>
          <cell r="S4">
            <v>13298</v>
          </cell>
          <cell r="V4">
            <v>60407</v>
          </cell>
          <cell r="W4">
            <v>4394</v>
          </cell>
          <cell r="X4">
            <v>3076</v>
          </cell>
          <cell r="Y4">
            <v>4830</v>
          </cell>
          <cell r="AB4">
            <v>31</v>
          </cell>
          <cell r="AC4">
            <v>1163</v>
          </cell>
          <cell r="AD4">
            <v>10685</v>
          </cell>
          <cell r="AE4">
            <v>21297</v>
          </cell>
          <cell r="AH4">
            <v>24845</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April 2024"/>
    </sheetNames>
    <sheetDataSet>
      <sheetData sheetId="0">
        <row r="3">
          <cell r="D3">
            <v>11548</v>
          </cell>
          <cell r="E3">
            <v>3487</v>
          </cell>
          <cell r="F3">
            <v>2101</v>
          </cell>
          <cell r="K3">
            <v>886</v>
          </cell>
          <cell r="L3">
            <v>18253</v>
          </cell>
          <cell r="M3">
            <v>167</v>
          </cell>
          <cell r="N3">
            <v>18870</v>
          </cell>
          <cell r="O3">
            <v>7202</v>
          </cell>
          <cell r="P3">
            <v>2</v>
          </cell>
          <cell r="R3">
            <v>1670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April 2024"/>
    </sheetNames>
    <sheetDataSet>
      <sheetData sheetId="0">
        <row r="3">
          <cell r="F3">
            <v>1911</v>
          </cell>
          <cell r="G3">
            <v>2831</v>
          </cell>
          <cell r="H3">
            <v>220</v>
          </cell>
          <cell r="I3">
            <v>2369</v>
          </cell>
          <cell r="K3">
            <v>18661</v>
          </cell>
          <cell r="L3">
            <v>22791</v>
          </cell>
          <cell r="N3">
            <v>4636</v>
          </cell>
          <cell r="O3">
            <v>5485</v>
          </cell>
          <cell r="Q3">
            <v>5432</v>
          </cell>
          <cell r="R3">
            <v>5429</v>
          </cell>
          <cell r="S3">
            <v>13285</v>
          </cell>
          <cell r="V3">
            <v>60461</v>
          </cell>
          <cell r="W3">
            <v>4397</v>
          </cell>
          <cell r="X3">
            <v>3071</v>
          </cell>
          <cell r="Y3">
            <v>4813</v>
          </cell>
          <cell r="AB3">
            <v>1168</v>
          </cell>
          <cell r="AC3">
            <v>10707</v>
          </cell>
          <cell r="AD3">
            <v>21343</v>
          </cell>
          <cell r="AE3">
            <v>24835</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May 2024"/>
    </sheetNames>
    <sheetDataSet>
      <sheetData sheetId="0">
        <row r="3">
          <cell r="D3">
            <v>11563</v>
          </cell>
          <cell r="E3">
            <v>3489</v>
          </cell>
          <cell r="F3">
            <v>2113</v>
          </cell>
          <cell r="K3">
            <v>888</v>
          </cell>
          <cell r="L3">
            <v>18263</v>
          </cell>
          <cell r="M3">
            <v>166</v>
          </cell>
          <cell r="N3">
            <v>18907</v>
          </cell>
          <cell r="O3">
            <v>7232</v>
          </cell>
          <cell r="P3">
            <v>2</v>
          </cell>
          <cell r="R3">
            <v>1669</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May 2024"/>
    </sheetNames>
    <sheetDataSet>
      <sheetData sheetId="0">
        <row r="3">
          <cell r="F3">
            <v>1917</v>
          </cell>
          <cell r="G3">
            <v>2842</v>
          </cell>
          <cell r="H3">
            <v>222</v>
          </cell>
          <cell r="I3">
            <v>2390</v>
          </cell>
          <cell r="K3">
            <v>18727</v>
          </cell>
          <cell r="L3">
            <v>22842</v>
          </cell>
          <cell r="N3">
            <v>4659</v>
          </cell>
          <cell r="O3">
            <v>5490</v>
          </cell>
          <cell r="Q3">
            <v>5430</v>
          </cell>
          <cell r="R3">
            <v>5443</v>
          </cell>
          <cell r="S3">
            <v>13268</v>
          </cell>
          <cell r="V3">
            <v>60566</v>
          </cell>
          <cell r="W3">
            <v>4384</v>
          </cell>
          <cell r="X3">
            <v>3069</v>
          </cell>
          <cell r="Y3">
            <v>4835</v>
          </cell>
          <cell r="Z3">
            <v>30</v>
          </cell>
          <cell r="AA3">
            <v>1175</v>
          </cell>
          <cell r="AB3">
            <v>10727</v>
          </cell>
          <cell r="AC3">
            <v>21408</v>
          </cell>
          <cell r="AD3">
            <v>24903</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June 2024"/>
    </sheetNames>
    <sheetDataSet>
      <sheetData sheetId="0">
        <row r="3">
          <cell r="C3">
            <v>11580</v>
          </cell>
          <cell r="D3">
            <v>3496</v>
          </cell>
          <cell r="E3">
            <v>2108</v>
          </cell>
          <cell r="G3">
            <v>1</v>
          </cell>
          <cell r="H3">
            <v>884</v>
          </cell>
          <cell r="I3">
            <v>18267</v>
          </cell>
          <cell r="J3">
            <v>167</v>
          </cell>
          <cell r="K3">
            <v>18915</v>
          </cell>
          <cell r="L3">
            <v>7241</v>
          </cell>
          <cell r="M3">
            <v>1677</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June 2024"/>
    </sheetNames>
    <sheetDataSet>
      <sheetData sheetId="0">
        <row r="3">
          <cell r="C3">
            <v>1910</v>
          </cell>
          <cell r="D3">
            <v>2843</v>
          </cell>
          <cell r="E3">
            <v>222</v>
          </cell>
          <cell r="F3">
            <v>2391</v>
          </cell>
          <cell r="G3">
            <v>18738</v>
          </cell>
          <cell r="H3">
            <v>22866</v>
          </cell>
          <cell r="J3">
            <v>4676</v>
          </cell>
          <cell r="L3">
            <v>5490</v>
          </cell>
          <cell r="M3">
            <v>5431</v>
          </cell>
          <cell r="N3">
            <v>5453</v>
          </cell>
          <cell r="O3">
            <v>13261</v>
          </cell>
          <cell r="P3">
            <v>60507</v>
          </cell>
          <cell r="Q3">
            <v>4378</v>
          </cell>
          <cell r="R3">
            <v>3064</v>
          </cell>
          <cell r="S3">
            <v>4849</v>
          </cell>
          <cell r="T3">
            <v>31</v>
          </cell>
          <cell r="U3">
            <v>1180</v>
          </cell>
          <cell r="V3">
            <v>10747</v>
          </cell>
          <cell r="W3">
            <v>21461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 MV SEA SS TA October 23"/>
    </sheetNames>
    <sheetDataSet>
      <sheetData sheetId="0">
        <row r="1">
          <cell r="C1" t="str">
            <v>Bothell</v>
          </cell>
          <cell r="D1" t="str">
            <v>Brier UTC</v>
          </cell>
          <cell r="E1" t="str">
            <v>Duvall</v>
          </cell>
          <cell r="F1" t="str">
            <v>Edmonds UTC</v>
          </cell>
          <cell r="G1" t="str">
            <v>Everett UTC</v>
          </cell>
          <cell r="H1" t="str">
            <v>Index</v>
          </cell>
          <cell r="I1" t="str">
            <v>UTC KC North Sound</v>
          </cell>
          <cell r="J1" t="str">
            <v>Kirkland</v>
          </cell>
          <cell r="K1" t="str">
            <v>Kitsap County</v>
          </cell>
          <cell r="L1" t="str">
            <v>Lynnwood UTC</v>
          </cell>
          <cell r="M1" t="str">
            <v>Mill Creek</v>
          </cell>
          <cell r="N1" t="str">
            <v>Mountlake Terrace</v>
          </cell>
          <cell r="O1" t="str">
            <v>Mukilteo</v>
          </cell>
          <cell r="P1" t="str">
            <v>Redmond</v>
          </cell>
          <cell r="Q1" t="str">
            <v>Sammamish</v>
          </cell>
          <cell r="R1" t="str">
            <v>UTC SC North Sound</v>
          </cell>
          <cell r="S1" t="str">
            <v>Snoqualmie</v>
          </cell>
          <cell r="T1" t="str">
            <v>Woodinville - UTC</v>
          </cell>
          <cell r="U1" t="str">
            <v>Arlington</v>
          </cell>
          <cell r="V1" t="str">
            <v>Everett</v>
          </cell>
          <cell r="W1" t="str">
            <v>Granite Falls</v>
          </cell>
          <cell r="X1" t="str">
            <v>Kitsap County</v>
          </cell>
          <cell r="Y1" t="str">
            <v>Lake Stevens</v>
          </cell>
          <cell r="Z1" t="str">
            <v>Marysville</v>
          </cell>
          <cell r="AA1" t="str">
            <v>UTC Marysville</v>
          </cell>
          <cell r="AB1" t="str">
            <v>UTC Seattle</v>
          </cell>
          <cell r="AC1" t="str">
            <v>Newcastle</v>
          </cell>
          <cell r="AD1" t="str">
            <v>Normandy Park</v>
          </cell>
          <cell r="AE1" t="str">
            <v>Seattle</v>
          </cell>
          <cell r="AF1" t="str">
            <v>Tukwila</v>
          </cell>
          <cell r="AG1" t="str">
            <v>Algona</v>
          </cell>
          <cell r="AH1" t="str">
            <v>Auburn</v>
          </cell>
          <cell r="AI1" t="str">
            <v>Enumclaw</v>
          </cell>
          <cell r="AJ1" t="str">
            <v>Federal Way</v>
          </cell>
          <cell r="AK1" t="str">
            <v>UTC South Sound</v>
          </cell>
          <cell r="AL1" t="str">
            <v>Kirkland</v>
          </cell>
          <cell r="AM1" t="str">
            <v>Pacific</v>
          </cell>
        </row>
        <row r="2">
          <cell r="A2" t="str">
            <v>Customer Type</v>
          </cell>
          <cell r="B2" t="str">
            <v>Service Type</v>
          </cell>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of Marysville</v>
          </cell>
          <cell r="V2" t="str">
            <v>WM of Marysville</v>
          </cell>
          <cell r="W2" t="str">
            <v>WM of Marysville</v>
          </cell>
          <cell r="X2" t="str">
            <v>WM of Marysville</v>
          </cell>
          <cell r="Y2" t="str">
            <v>WM of Marysville</v>
          </cell>
          <cell r="Z2" t="str">
            <v>WM of Marysville</v>
          </cell>
          <cell r="AA2" t="str">
            <v>WM of Marysville</v>
          </cell>
          <cell r="AB2" t="str">
            <v>WM of Seattle</v>
          </cell>
          <cell r="AC2" t="str">
            <v>WM of Seattle</v>
          </cell>
          <cell r="AD2" t="str">
            <v>WM of Seattle</v>
          </cell>
          <cell r="AE2" t="str">
            <v>WM of Seattle</v>
          </cell>
          <cell r="AF2" t="str">
            <v>WM of Seattle</v>
          </cell>
          <cell r="AG2" t="str">
            <v>WM South Sound</v>
          </cell>
          <cell r="AH2" t="str">
            <v>WM South Sound</v>
          </cell>
          <cell r="AI2" t="str">
            <v>WM South Sound</v>
          </cell>
          <cell r="AJ2" t="str">
            <v>WM South Sound</v>
          </cell>
          <cell r="AK2" t="str">
            <v>WM South Sound</v>
          </cell>
          <cell r="AL2" t="str">
            <v>WM South Sound</v>
          </cell>
          <cell r="AM2" t="str">
            <v>WM South Sound</v>
          </cell>
        </row>
        <row r="3">
          <cell r="A3" t="str">
            <v>Customer Type</v>
          </cell>
          <cell r="B3" t="str">
            <v>Service Type</v>
          </cell>
          <cell r="C3" t="str">
            <v>Bothell</v>
          </cell>
          <cell r="D3" t="str">
            <v>Brier</v>
          </cell>
          <cell r="E3" t="str">
            <v>Duvall</v>
          </cell>
          <cell r="F3" t="str">
            <v>Edmonds</v>
          </cell>
          <cell r="G3" t="str">
            <v>Everett</v>
          </cell>
          <cell r="H3" t="str">
            <v>Index</v>
          </cell>
          <cell r="I3" t="str">
            <v>King County</v>
          </cell>
          <cell r="J3" t="str">
            <v>Kirkland</v>
          </cell>
          <cell r="K3" t="str">
            <v>Kitsap County</v>
          </cell>
          <cell r="L3" t="str">
            <v>Lynnwood</v>
          </cell>
          <cell r="M3" t="str">
            <v>Mill Creek</v>
          </cell>
          <cell r="N3" t="str">
            <v>Mountlake Terrace</v>
          </cell>
          <cell r="O3" t="str">
            <v>Mukilteo</v>
          </cell>
          <cell r="P3" t="str">
            <v>Redmond</v>
          </cell>
          <cell r="Q3" t="str">
            <v>Sammamish</v>
          </cell>
          <cell r="R3" t="str">
            <v>Snohomish County</v>
          </cell>
          <cell r="S3" t="str">
            <v>Snoqualmie</v>
          </cell>
          <cell r="T3" t="str">
            <v>Woodinville</v>
          </cell>
          <cell r="U3" t="str">
            <v>Arlington</v>
          </cell>
          <cell r="V3" t="str">
            <v>Everett</v>
          </cell>
          <cell r="W3" t="str">
            <v>Granite Falls</v>
          </cell>
          <cell r="X3" t="str">
            <v>Kitsap County</v>
          </cell>
          <cell r="Y3" t="str">
            <v>Lake Stevens</v>
          </cell>
          <cell r="Z3" t="str">
            <v>Marysville</v>
          </cell>
          <cell r="AA3" t="str">
            <v>Snohomish County</v>
          </cell>
          <cell r="AB3" t="str">
            <v>King County</v>
          </cell>
          <cell r="AC3" t="str">
            <v>Newcastle</v>
          </cell>
          <cell r="AD3" t="str">
            <v>Normandy Park</v>
          </cell>
          <cell r="AE3" t="str">
            <v>Seattle</v>
          </cell>
          <cell r="AF3" t="str">
            <v>Tukwila</v>
          </cell>
          <cell r="AG3" t="str">
            <v>Algona</v>
          </cell>
          <cell r="AH3" t="str">
            <v>Auburn</v>
          </cell>
          <cell r="AI3" t="str">
            <v>Enumclaw</v>
          </cell>
          <cell r="AJ3" t="str">
            <v>Federal Way</v>
          </cell>
          <cell r="AK3" t="str">
            <v>King County</v>
          </cell>
          <cell r="AL3" t="str">
            <v>Kirkland</v>
          </cell>
          <cell r="AM3" t="str">
            <v>Pacific</v>
          </cell>
        </row>
        <row r="4">
          <cell r="A4" t="str">
            <v>Residential</v>
          </cell>
          <cell r="B4" t="str">
            <v>Recycling</v>
          </cell>
          <cell r="D4">
            <v>32.247082615445201</v>
          </cell>
          <cell r="E4">
            <v>64.562303587225301</v>
          </cell>
          <cell r="F4">
            <v>3.8623254260827702</v>
          </cell>
          <cell r="G4">
            <v>41.812368025661698</v>
          </cell>
          <cell r="H4">
            <v>3.3113773119135097E-2</v>
          </cell>
          <cell r="I4">
            <v>358.08214815126098</v>
          </cell>
          <cell r="J4">
            <v>583.11876706649298</v>
          </cell>
          <cell r="K4">
            <v>8.3788690520140707E-3</v>
          </cell>
          <cell r="L4">
            <v>100.562295661992</v>
          </cell>
          <cell r="M4">
            <v>173.11324779990099</v>
          </cell>
          <cell r="N4">
            <v>80.486019635471806</v>
          </cell>
          <cell r="O4">
            <v>107.70748631308901</v>
          </cell>
          <cell r="P4">
            <v>341.445863789128</v>
          </cell>
          <cell r="Q4">
            <v>5.7678849566776699E-2</v>
          </cell>
          <cell r="R4">
            <v>1081.53001214545</v>
          </cell>
          <cell r="S4">
            <v>127.534693177184</v>
          </cell>
          <cell r="T4">
            <v>54.884201792247303</v>
          </cell>
          <cell r="U4">
            <v>84.963964703747095</v>
          </cell>
          <cell r="V4">
            <v>0.58582260249211504</v>
          </cell>
          <cell r="W4">
            <v>22.262812135347801</v>
          </cell>
          <cell r="X4">
            <v>1.8671337342674701E-2</v>
          </cell>
          <cell r="Y4">
            <v>187.523161385028</v>
          </cell>
          <cell r="Z4">
            <v>432.69391757534601</v>
          </cell>
          <cell r="AA4">
            <v>497.05350690682701</v>
          </cell>
          <cell r="AB4">
            <v>349.13065538436399</v>
          </cell>
          <cell r="AC4">
            <v>91.859978690082201</v>
          </cell>
          <cell r="AD4">
            <v>55.547415015129403</v>
          </cell>
          <cell r="AF4">
            <v>98.695310729660704</v>
          </cell>
          <cell r="AG4">
            <v>12.8161885547532</v>
          </cell>
          <cell r="AH4">
            <v>383.90366841540498</v>
          </cell>
          <cell r="AI4">
            <v>3.0582413266160602</v>
          </cell>
          <cell r="AJ4">
            <v>425.26156449078701</v>
          </cell>
          <cell r="AK4">
            <v>141.43036696424801</v>
          </cell>
          <cell r="AL4">
            <v>9.2073637341216E-2</v>
          </cell>
          <cell r="AM4">
            <v>27.8752659688646</v>
          </cell>
        </row>
        <row r="5">
          <cell r="A5" t="str">
            <v>Multifamily</v>
          </cell>
          <cell r="B5" t="str">
            <v>Recycling</v>
          </cell>
          <cell r="C5">
            <v>1.92033205085847</v>
          </cell>
          <cell r="D5">
            <v>3.2716802182651501E-2</v>
          </cell>
          <cell r="E5">
            <v>1.24524915452048</v>
          </cell>
          <cell r="F5">
            <v>1.65849239298303</v>
          </cell>
          <cell r="G5">
            <v>27.763879186558299</v>
          </cell>
          <cell r="I5">
            <v>7.2920933234979097</v>
          </cell>
          <cell r="J5">
            <v>270.52123525686198</v>
          </cell>
          <cell r="L5">
            <v>33.702075371952397</v>
          </cell>
          <cell r="M5">
            <v>22.746649302600801</v>
          </cell>
          <cell r="N5">
            <v>38.434405571670901</v>
          </cell>
          <cell r="O5">
            <v>24.140980881207799</v>
          </cell>
          <cell r="P5">
            <v>188.18687389985001</v>
          </cell>
          <cell r="R5">
            <v>200.050968815499</v>
          </cell>
          <cell r="S5">
            <v>1.4050814283772499</v>
          </cell>
          <cell r="T5">
            <v>39.272317066611599</v>
          </cell>
          <cell r="U5">
            <v>10.273362886725799</v>
          </cell>
          <cell r="V5">
            <v>7.4685349370698706E-2</v>
          </cell>
          <cell r="W5">
            <v>0.39308078616157199</v>
          </cell>
          <cell r="Y5">
            <v>2.9500579602603398</v>
          </cell>
          <cell r="Z5">
            <v>52.338408198221401</v>
          </cell>
          <cell r="AA5">
            <v>5.7265974331948701</v>
          </cell>
          <cell r="AB5">
            <v>64.7775912124618</v>
          </cell>
          <cell r="AC5">
            <v>22.489506378550601</v>
          </cell>
          <cell r="AD5">
            <v>3.5060008908764599</v>
          </cell>
          <cell r="AE5">
            <v>1.98616863673672</v>
          </cell>
          <cell r="AF5">
            <v>46.926953648364702</v>
          </cell>
          <cell r="AG5">
            <v>9.9600585733628205E-2</v>
          </cell>
          <cell r="AH5">
            <v>140.28271941932601</v>
          </cell>
          <cell r="AJ5">
            <v>123.90933859526599</v>
          </cell>
          <cell r="AK5">
            <v>4.7123917711783703</v>
          </cell>
          <cell r="AM5">
            <v>2.6808146256025802</v>
          </cell>
        </row>
        <row r="6">
          <cell r="A6" t="str">
            <v>Grand total</v>
          </cell>
          <cell r="B6" t="str">
            <v>Grand total</v>
          </cell>
          <cell r="C6">
            <v>1.92033205085847</v>
          </cell>
          <cell r="D6">
            <v>32.2797994176278</v>
          </cell>
          <cell r="E6">
            <v>65.807552741745795</v>
          </cell>
          <cell r="F6">
            <v>5.5208178190658002</v>
          </cell>
          <cell r="G6">
            <v>69.576247212220096</v>
          </cell>
          <cell r="H6">
            <v>3.3113773119135097E-2</v>
          </cell>
          <cell r="I6">
            <v>365.374241474759</v>
          </cell>
          <cell r="J6">
            <v>853.64000232335502</v>
          </cell>
          <cell r="K6">
            <v>8.3788690520140707E-3</v>
          </cell>
          <cell r="L6">
            <v>134.264371033944</v>
          </cell>
          <cell r="M6">
            <v>195.859897102502</v>
          </cell>
          <cell r="N6">
            <v>118.920425207143</v>
          </cell>
          <cell r="O6">
            <v>131.848467194297</v>
          </cell>
          <cell r="P6">
            <v>529.63273768897898</v>
          </cell>
          <cell r="Q6">
            <v>5.7678849566776699E-2</v>
          </cell>
          <cell r="R6">
            <v>1281.58098096095</v>
          </cell>
          <cell r="S6">
            <v>128.93977460556101</v>
          </cell>
          <cell r="T6">
            <v>94.156518858859002</v>
          </cell>
          <cell r="U6">
            <v>95.237327590472901</v>
          </cell>
          <cell r="V6">
            <v>0.66050795186281397</v>
          </cell>
          <cell r="W6">
            <v>22.655892921509398</v>
          </cell>
          <cell r="X6">
            <v>1.8671337342674701E-2</v>
          </cell>
          <cell r="Y6">
            <v>190.47321934528799</v>
          </cell>
          <cell r="Z6">
            <v>485.032325773568</v>
          </cell>
          <cell r="AA6">
            <v>502.78010434002198</v>
          </cell>
          <cell r="AB6">
            <v>413.90824659682499</v>
          </cell>
          <cell r="AC6">
            <v>114.349485068633</v>
          </cell>
          <cell r="AD6">
            <v>59.053415906005803</v>
          </cell>
          <cell r="AE6">
            <v>1.98616863673672</v>
          </cell>
          <cell r="AF6">
            <v>145.62226437802499</v>
          </cell>
          <cell r="AG6">
            <v>12.915789140486799</v>
          </cell>
          <cell r="AH6">
            <v>524.18638783473</v>
          </cell>
          <cell r="AI6">
            <v>3.0582413266160602</v>
          </cell>
          <cell r="AJ6">
            <v>549.17090308605202</v>
          </cell>
          <cell r="AK6">
            <v>146.14275873542601</v>
          </cell>
          <cell r="AL6">
            <v>9.2073637341216E-2</v>
          </cell>
          <cell r="AM6">
            <v>30.5560805944672</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Composition"/>
      <sheetName val="Fastlane RETI Inbound"/>
      <sheetName val="Prices"/>
      <sheetName val="Journal Entry"/>
      <sheetName val="SMART Info"/>
      <sheetName val="WM of Marysville"/>
      <sheetName val="WM of Eastmont"/>
      <sheetName val="WM of Skagit"/>
    </sheetNames>
    <sheetDataSet>
      <sheetData sheetId="0" refreshError="1"/>
      <sheetData sheetId="1">
        <row r="6">
          <cell r="T6">
            <v>0</v>
          </cell>
          <cell r="V6">
            <v>0</v>
          </cell>
          <cell r="X6">
            <v>0</v>
          </cell>
        </row>
        <row r="7">
          <cell r="T7">
            <v>1063.6120166574692</v>
          </cell>
          <cell r="V7">
            <v>1803.2334966220142</v>
          </cell>
          <cell r="X7">
            <v>1997.5333716396417</v>
          </cell>
        </row>
        <row r="8">
          <cell r="T8">
            <v>2693.5900192018162</v>
          </cell>
          <cell r="V8">
            <v>1872.3141222985232</v>
          </cell>
          <cell r="X8">
            <v>2488.4380760602344</v>
          </cell>
        </row>
        <row r="9">
          <cell r="T9">
            <v>127.98387578340618</v>
          </cell>
          <cell r="V9">
            <v>58.768153470290088</v>
          </cell>
          <cell r="X9">
            <v>101.66489955057499</v>
          </cell>
        </row>
        <row r="10">
          <cell r="T10">
            <v>1168.556849434018</v>
          </cell>
          <cell r="V10">
            <v>1832.6070095369178</v>
          </cell>
          <cell r="X10">
            <v>2529.6700381910337</v>
          </cell>
        </row>
        <row r="11">
          <cell r="T11">
            <v>219.82225968553189</v>
          </cell>
          <cell r="V11">
            <v>160.89571153383318</v>
          </cell>
          <cell r="X11">
            <v>115.67688981431989</v>
          </cell>
        </row>
        <row r="12">
          <cell r="T12">
            <v>7.151599943121381</v>
          </cell>
          <cell r="V12">
            <v>4.8262753227492681</v>
          </cell>
          <cell r="X12">
            <v>57.748796671371991</v>
          </cell>
        </row>
        <row r="13">
          <cell r="T13">
            <v>38.599417389831245</v>
          </cell>
          <cell r="V13">
            <v>27.981778750235076</v>
          </cell>
          <cell r="X13">
            <v>12.10712844060062</v>
          </cell>
        </row>
        <row r="14">
          <cell r="T14">
            <v>16.640316417024948</v>
          </cell>
          <cell r="V14">
            <v>22.458835197864342</v>
          </cell>
          <cell r="X14">
            <v>37.646774226293665</v>
          </cell>
        </row>
        <row r="15">
          <cell r="T15">
            <v>63.322207131465511</v>
          </cell>
          <cell r="V15">
            <v>47.025607052424512</v>
          </cell>
          <cell r="X15">
            <v>63.058098410562295</v>
          </cell>
        </row>
        <row r="16">
          <cell r="T16">
            <v>17.143595334632554</v>
          </cell>
          <cell r="V16">
            <v>16.919945381623201</v>
          </cell>
          <cell r="X16">
            <v>21.880765067864665</v>
          </cell>
        </row>
        <row r="17">
          <cell r="T17">
            <v>0.27171460894065852</v>
          </cell>
          <cell r="V17">
            <v>0.2285084276254673</v>
          </cell>
          <cell r="X17">
            <v>0.33788910239881198</v>
          </cell>
        </row>
        <row r="18">
          <cell r="T18">
            <v>0</v>
          </cell>
          <cell r="V18">
            <v>0</v>
          </cell>
          <cell r="X18">
            <v>27.961377695934715</v>
          </cell>
        </row>
        <row r="19">
          <cell r="T19">
            <v>116.85458768057001</v>
          </cell>
          <cell r="V19">
            <v>104.63028155714703</v>
          </cell>
          <cell r="X19">
            <v>36.643509553036083</v>
          </cell>
        </row>
        <row r="20">
          <cell r="T20">
            <v>1257.2915407321723</v>
          </cell>
          <cell r="V20">
            <v>1013.0602748487527</v>
          </cell>
          <cell r="X20">
            <v>1298.7523855761324</v>
          </cell>
        </row>
      </sheetData>
      <sheetData sheetId="2" refreshError="1"/>
      <sheetData sheetId="3">
        <row r="13">
          <cell r="B13">
            <v>0</v>
          </cell>
          <cell r="C13">
            <v>51.58</v>
          </cell>
          <cell r="D13">
            <v>133.02000000000001</v>
          </cell>
          <cell r="E13">
            <v>1090.92</v>
          </cell>
          <cell r="F13">
            <v>176.73</v>
          </cell>
          <cell r="G13">
            <v>-40.479999999999997</v>
          </cell>
          <cell r="H13">
            <v>96.76</v>
          </cell>
          <cell r="J13">
            <v>520</v>
          </cell>
          <cell r="K13">
            <v>133.88999999999999</v>
          </cell>
          <cell r="L13">
            <v>-87.85</v>
          </cell>
        </row>
        <row r="14">
          <cell r="B14">
            <v>0</v>
          </cell>
          <cell r="C14">
            <v>51.43</v>
          </cell>
          <cell r="D14">
            <v>133.68</v>
          </cell>
          <cell r="E14">
            <v>1144.6099999999999</v>
          </cell>
          <cell r="F14">
            <v>191.5</v>
          </cell>
          <cell r="G14">
            <v>-40.98</v>
          </cell>
          <cell r="H14">
            <v>120</v>
          </cell>
          <cell r="J14">
            <v>540</v>
          </cell>
          <cell r="K14">
            <v>280.52999999999997</v>
          </cell>
          <cell r="L14">
            <v>-87.85</v>
          </cell>
        </row>
        <row r="15">
          <cell r="B15">
            <v>0</v>
          </cell>
          <cell r="C15">
            <v>59.54</v>
          </cell>
          <cell r="D15">
            <v>140.44999999999999</v>
          </cell>
          <cell r="E15">
            <v>1203.5</v>
          </cell>
          <cell r="F15">
            <v>213.53</v>
          </cell>
          <cell r="G15">
            <v>-39.630000000000003</v>
          </cell>
          <cell r="H15">
            <v>130</v>
          </cell>
          <cell r="J15">
            <v>626.99</v>
          </cell>
          <cell r="K15">
            <v>626.99</v>
          </cell>
          <cell r="L15">
            <v>-169.14</v>
          </cell>
        </row>
      </sheetData>
      <sheetData sheetId="4" refreshError="1"/>
      <sheetData sheetId="5" refreshError="1"/>
      <sheetData sheetId="6" refreshError="1"/>
      <sheetData sheetId="7" refreshError="1"/>
      <sheetData sheetId="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Fastlane RETI Inbound"/>
      <sheetName val="Composition"/>
      <sheetName val="Prices"/>
      <sheetName val="Journal Entry"/>
      <sheetName val="SMART Info"/>
      <sheetName val="WM of Marysville"/>
      <sheetName val="WM of Eastmont"/>
      <sheetName val="WM of Skagit"/>
    </sheetNames>
    <sheetDataSet>
      <sheetData sheetId="0" refreshError="1"/>
      <sheetData sheetId="1" refreshError="1"/>
      <sheetData sheetId="2">
        <row r="6">
          <cell r="B6">
            <v>127.65897038718192</v>
          </cell>
        </row>
        <row r="7">
          <cell r="B7">
            <v>2270.9588914147898</v>
          </cell>
        </row>
        <row r="8">
          <cell r="B8">
            <v>1989.3248116547325</v>
          </cell>
        </row>
        <row r="9">
          <cell r="B9">
            <v>102.23430282561857</v>
          </cell>
        </row>
        <row r="10">
          <cell r="B10">
            <v>1659.6676762938514</v>
          </cell>
        </row>
        <row r="11">
          <cell r="B11">
            <v>211.95506106717576</v>
          </cell>
        </row>
        <row r="12">
          <cell r="B12">
            <v>31.038443685051622</v>
          </cell>
        </row>
        <row r="13">
          <cell r="B13">
            <v>22.788483339938335</v>
          </cell>
        </row>
        <row r="14">
          <cell r="B14">
            <v>11.84212449212272</v>
          </cell>
        </row>
        <row r="15">
          <cell r="B15">
            <v>18.108390013487231</v>
          </cell>
        </row>
        <row r="16">
          <cell r="B16">
            <v>0</v>
          </cell>
        </row>
        <row r="17">
          <cell r="B17">
            <v>0.25243969530087379</v>
          </cell>
        </row>
        <row r="18">
          <cell r="B18">
            <v>0</v>
          </cell>
        </row>
        <row r="19">
          <cell r="B19">
            <v>21.690537112495125</v>
          </cell>
        </row>
        <row r="20">
          <cell r="B20">
            <v>838.0698680182544</v>
          </cell>
        </row>
      </sheetData>
      <sheetData sheetId="3">
        <row r="4">
          <cell r="B4">
            <v>104.39</v>
          </cell>
          <cell r="C4">
            <v>67.239999999999995</v>
          </cell>
          <cell r="D4">
            <v>151.65</v>
          </cell>
          <cell r="E4">
            <v>1104.3399999999999</v>
          </cell>
          <cell r="F4">
            <v>208.52</v>
          </cell>
          <cell r="G4">
            <v>-47.58</v>
          </cell>
          <cell r="H4">
            <v>150</v>
          </cell>
          <cell r="J4">
            <v>620</v>
          </cell>
          <cell r="K4">
            <v>340</v>
          </cell>
          <cell r="L4">
            <v>3.28</v>
          </cell>
        </row>
      </sheetData>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1.2024"/>
      <sheetName val="OPUS PIVOT - Eastern WA"/>
    </sheetNames>
    <sheetDataSet>
      <sheetData sheetId="0"/>
      <sheetData sheetId="1"/>
      <sheetData sheetId="2"/>
      <sheetData sheetId="3">
        <row r="5">
          <cell r="B5">
            <v>93.21</v>
          </cell>
          <cell r="C5">
            <v>66.900000000000006</v>
          </cell>
          <cell r="D5">
            <v>156.06</v>
          </cell>
          <cell r="E5">
            <v>1019.35</v>
          </cell>
          <cell r="F5">
            <v>254</v>
          </cell>
          <cell r="G5">
            <v>-46.73</v>
          </cell>
          <cell r="H5">
            <v>150</v>
          </cell>
          <cell r="J5">
            <v>560</v>
          </cell>
          <cell r="K5">
            <v>340</v>
          </cell>
          <cell r="L5">
            <v>-169.14</v>
          </cell>
        </row>
      </sheetData>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3.2024"/>
      <sheetName val="OPUS PIVOT - Eastern WA"/>
    </sheetNames>
    <sheetDataSet>
      <sheetData sheetId="0"/>
      <sheetData sheetId="1">
        <row r="6">
          <cell r="D6">
            <v>296.33</v>
          </cell>
          <cell r="F6">
            <v>819.9</v>
          </cell>
        </row>
        <row r="7">
          <cell r="F7">
            <v>2319.38</v>
          </cell>
        </row>
        <row r="8">
          <cell r="F8">
            <v>2050.4450000000002</v>
          </cell>
        </row>
        <row r="9">
          <cell r="F9">
            <v>164.964</v>
          </cell>
        </row>
        <row r="10">
          <cell r="F10">
            <v>1481.9550000000002</v>
          </cell>
        </row>
        <row r="11">
          <cell r="F11">
            <v>337.18500000000006</v>
          </cell>
        </row>
        <row r="12">
          <cell r="F12">
            <v>48.17</v>
          </cell>
        </row>
        <row r="13">
          <cell r="F13">
            <v>79.28</v>
          </cell>
        </row>
        <row r="14">
          <cell r="F14"/>
        </row>
        <row r="15">
          <cell r="F15">
            <v>68.867500000000007</v>
          </cell>
        </row>
        <row r="16">
          <cell r="F16">
            <v>22.729999999999997</v>
          </cell>
        </row>
        <row r="19">
          <cell r="F19">
            <v>139.94</v>
          </cell>
        </row>
        <row r="20">
          <cell r="F20">
            <v>1717.6399999999999</v>
          </cell>
        </row>
      </sheetData>
      <sheetData sheetId="2"/>
      <sheetData sheetId="3">
        <row r="5">
          <cell r="B5">
            <v>93.21</v>
          </cell>
        </row>
        <row r="6">
          <cell r="B6">
            <v>91.11</v>
          </cell>
          <cell r="C6">
            <v>66.67</v>
          </cell>
          <cell r="D6">
            <v>163.21</v>
          </cell>
          <cell r="E6">
            <v>1018.33</v>
          </cell>
          <cell r="F6">
            <v>188.25</v>
          </cell>
          <cell r="G6">
            <v>-46.73</v>
          </cell>
          <cell r="H6">
            <v>149.30000000000001</v>
          </cell>
          <cell r="J6">
            <v>560</v>
          </cell>
          <cell r="K6">
            <v>340</v>
          </cell>
          <cell r="L6">
            <v>-169.14</v>
          </cell>
        </row>
      </sheetData>
      <sheetData sheetId="4"/>
      <sheetData sheetId="5"/>
      <sheetData sheetId="6"/>
      <sheetData sheetId="7">
        <row r="9">
          <cell r="D9">
            <v>953.27999999999975</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4.2024"/>
      <sheetName val="OPUS PIVOT - Eastern WA"/>
    </sheetNames>
    <sheetDataSet>
      <sheetData sheetId="0" refreshError="1"/>
      <sheetData sheetId="1">
        <row r="6">
          <cell r="H6">
            <v>1714.72</v>
          </cell>
        </row>
        <row r="7">
          <cell r="H7">
            <v>1560.01</v>
          </cell>
        </row>
        <row r="8">
          <cell r="H8">
            <v>2346.75</v>
          </cell>
        </row>
        <row r="9">
          <cell r="H9">
            <v>192.3</v>
          </cell>
        </row>
        <row r="10">
          <cell r="H10">
            <v>1601.49</v>
          </cell>
        </row>
        <row r="11">
          <cell r="H11">
            <v>343.04</v>
          </cell>
        </row>
        <row r="12">
          <cell r="H12">
            <v>50.92</v>
          </cell>
        </row>
        <row r="13">
          <cell r="H13">
            <v>85.07</v>
          </cell>
        </row>
        <row r="14">
          <cell r="H14"/>
        </row>
        <row r="15">
          <cell r="H15">
            <v>61.29</v>
          </cell>
        </row>
        <row r="16">
          <cell r="H16">
            <v>31.7</v>
          </cell>
        </row>
        <row r="18">
          <cell r="H18">
            <v>99.48</v>
          </cell>
        </row>
        <row r="19">
          <cell r="H19">
            <v>193.47</v>
          </cell>
        </row>
        <row r="20">
          <cell r="H20">
            <v>1852.1</v>
          </cell>
        </row>
      </sheetData>
      <sheetData sheetId="2" refreshError="1"/>
      <sheetData sheetId="3">
        <row r="5">
          <cell r="B5">
            <v>93.21</v>
          </cell>
        </row>
        <row r="7">
          <cell r="B7">
            <v>86.37</v>
          </cell>
          <cell r="C7">
            <v>77.12</v>
          </cell>
          <cell r="D7">
            <v>158.32</v>
          </cell>
          <cell r="E7">
            <v>1304.8</v>
          </cell>
          <cell r="F7">
            <v>187.8</v>
          </cell>
          <cell r="G7">
            <v>-12.43</v>
          </cell>
          <cell r="H7">
            <v>157.38</v>
          </cell>
          <cell r="J7">
            <v>560</v>
          </cell>
          <cell r="K7">
            <v>340</v>
          </cell>
          <cell r="L7">
            <v>-169.14</v>
          </cell>
        </row>
      </sheetData>
      <sheetData sheetId="4" refreshError="1"/>
      <sheetData sheetId="5" refreshError="1"/>
      <sheetData sheetId="6" refreshError="1"/>
      <sheetData sheetId="7">
        <row r="7">
          <cell r="D7">
            <v>1001.8699999999997</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5.2024"/>
      <sheetName val="OPUS PIVOT - Eastern WA"/>
    </sheetNames>
    <sheetDataSet>
      <sheetData sheetId="0"/>
      <sheetData sheetId="1">
        <row r="6">
          <cell r="J6">
            <v>1672.05</v>
          </cell>
        </row>
        <row r="7">
          <cell r="J7">
            <v>1606</v>
          </cell>
        </row>
        <row r="8">
          <cell r="J8">
            <v>2275.81</v>
          </cell>
        </row>
        <row r="9">
          <cell r="J9">
            <v>187.55</v>
          </cell>
        </row>
        <row r="10">
          <cell r="J10">
            <v>1544.3</v>
          </cell>
        </row>
        <row r="11">
          <cell r="J11">
            <v>424.04</v>
          </cell>
        </row>
        <row r="12">
          <cell r="J12">
            <v>56.12</v>
          </cell>
        </row>
        <row r="13">
          <cell r="J13">
            <v>117.24</v>
          </cell>
        </row>
        <row r="15">
          <cell r="J15">
            <v>75.150000000000006</v>
          </cell>
        </row>
        <row r="16">
          <cell r="J16">
            <v>35.19</v>
          </cell>
        </row>
        <row r="18">
          <cell r="J18">
            <v>85.3</v>
          </cell>
        </row>
        <row r="19">
          <cell r="J19">
            <v>161.9</v>
          </cell>
        </row>
        <row r="20">
          <cell r="J20">
            <v>2007.27</v>
          </cell>
        </row>
      </sheetData>
      <sheetData sheetId="2"/>
      <sheetData sheetId="3">
        <row r="8">
          <cell r="B8">
            <v>93.08</v>
          </cell>
          <cell r="C8">
            <v>81.42</v>
          </cell>
          <cell r="D8">
            <v>169.85</v>
          </cell>
          <cell r="E8">
            <v>1293.8</v>
          </cell>
          <cell r="F8">
            <v>187.66</v>
          </cell>
          <cell r="G8">
            <v>-25.66</v>
          </cell>
          <cell r="H8">
            <v>210</v>
          </cell>
          <cell r="J8">
            <v>600</v>
          </cell>
          <cell r="K8">
            <v>346.65</v>
          </cell>
          <cell r="L8">
            <v>-169.14</v>
          </cell>
        </row>
      </sheetData>
      <sheetData sheetId="4"/>
      <sheetData sheetId="5"/>
      <sheetData sheetId="6"/>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6.2024"/>
      <sheetName val="OPUS PIVOT - Eastern WA"/>
    </sheetNames>
    <sheetDataSet>
      <sheetData sheetId="0"/>
      <sheetData sheetId="1">
        <row r="6">
          <cell r="L6">
            <v>559.96</v>
          </cell>
        </row>
        <row r="7">
          <cell r="L7">
            <v>1841.43</v>
          </cell>
        </row>
        <row r="8">
          <cell r="L8">
            <v>2489.25</v>
          </cell>
        </row>
        <row r="9">
          <cell r="L9">
            <v>151.91999999999999</v>
          </cell>
        </row>
        <row r="10">
          <cell r="L10">
            <v>1354.6</v>
          </cell>
        </row>
        <row r="11">
          <cell r="L11">
            <v>272.08</v>
          </cell>
        </row>
        <row r="12">
          <cell r="L12">
            <v>44.32</v>
          </cell>
        </row>
        <row r="13">
          <cell r="L13">
            <v>75.88</v>
          </cell>
        </row>
        <row r="15">
          <cell r="L15">
            <v>60.77</v>
          </cell>
        </row>
        <row r="16">
          <cell r="L16">
            <v>29.67</v>
          </cell>
        </row>
        <row r="18">
          <cell r="L18">
            <v>119.65</v>
          </cell>
        </row>
        <row r="19">
          <cell r="L19">
            <v>122.42</v>
          </cell>
        </row>
        <row r="20">
          <cell r="L20">
            <v>1485.93</v>
          </cell>
        </row>
      </sheetData>
      <sheetData sheetId="2"/>
      <sheetData sheetId="3">
        <row r="9">
          <cell r="B9">
            <v>115.15</v>
          </cell>
          <cell r="C9">
            <v>92.09</v>
          </cell>
          <cell r="D9">
            <v>175.19</v>
          </cell>
          <cell r="E9">
            <v>1374.96</v>
          </cell>
          <cell r="F9">
            <v>184.52</v>
          </cell>
          <cell r="G9">
            <v>-32.61</v>
          </cell>
          <cell r="H9">
            <v>210</v>
          </cell>
          <cell r="J9">
            <v>600</v>
          </cell>
          <cell r="K9">
            <v>344.99</v>
          </cell>
          <cell r="L9">
            <v>-169.14</v>
          </cell>
        </row>
      </sheetData>
      <sheetData sheetId="4"/>
      <sheetData sheetId="5"/>
      <sheetData sheetId="6"/>
      <sheetData sheetId="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7.2024"/>
      <sheetName val="OPUS PIVOT - Eastern WA"/>
    </sheetNames>
    <sheetDataSet>
      <sheetData sheetId="0"/>
      <sheetData sheetId="1">
        <row r="6">
          <cell r="N6">
            <v>1387.52</v>
          </cell>
        </row>
        <row r="7">
          <cell r="N7">
            <v>1033.9099999999999</v>
          </cell>
        </row>
        <row r="8">
          <cell r="N8">
            <v>2272.9100000000003</v>
          </cell>
        </row>
        <row r="9">
          <cell r="N9">
            <v>146.774</v>
          </cell>
        </row>
        <row r="10">
          <cell r="N10">
            <v>1386.51</v>
          </cell>
        </row>
        <row r="11">
          <cell r="N11">
            <v>330.04</v>
          </cell>
        </row>
        <row r="12">
          <cell r="N12">
            <v>41</v>
          </cell>
        </row>
        <row r="13">
          <cell r="N13">
            <v>72.77</v>
          </cell>
        </row>
        <row r="15">
          <cell r="N15">
            <v>60.848500000000001</v>
          </cell>
        </row>
        <row r="16">
          <cell r="N16">
            <v>27.765000000000001</v>
          </cell>
        </row>
        <row r="18">
          <cell r="N18">
            <v>89.08</v>
          </cell>
        </row>
        <row r="19">
          <cell r="N19">
            <v>130.37</v>
          </cell>
        </row>
        <row r="20">
          <cell r="N20">
            <v>1625.23</v>
          </cell>
        </row>
      </sheetData>
      <sheetData sheetId="2"/>
      <sheetData sheetId="3">
        <row r="10">
          <cell r="B10">
            <v>103.34</v>
          </cell>
          <cell r="C10">
            <v>89.65</v>
          </cell>
          <cell r="D10">
            <v>170.88</v>
          </cell>
          <cell r="E10">
            <v>1145.1400000000001</v>
          </cell>
          <cell r="F10">
            <v>183.13</v>
          </cell>
          <cell r="G10">
            <v>-33.75</v>
          </cell>
          <cell r="H10">
            <v>236.93</v>
          </cell>
          <cell r="J10">
            <v>640</v>
          </cell>
          <cell r="K10">
            <v>220</v>
          </cell>
          <cell r="L10">
            <v>-169.14</v>
          </cell>
        </row>
      </sheetData>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8.2024"/>
      <sheetName val="OPUS PIVOT - Eastern WA"/>
    </sheetNames>
    <sheetDataSet>
      <sheetData sheetId="0"/>
      <sheetData sheetId="1">
        <row r="6">
          <cell r="P6">
            <v>888.02</v>
          </cell>
        </row>
        <row r="7">
          <cell r="P7">
            <v>2492.2999999999997</v>
          </cell>
        </row>
        <row r="8">
          <cell r="P8">
            <v>2140.6120000000001</v>
          </cell>
        </row>
        <row r="9">
          <cell r="P9">
            <v>156.291</v>
          </cell>
        </row>
        <row r="10">
          <cell r="P10">
            <v>1630.5649999999998</v>
          </cell>
        </row>
        <row r="11">
          <cell r="P11">
            <v>372.03999999999996</v>
          </cell>
        </row>
        <row r="12">
          <cell r="P12">
            <v>50.629999999999995</v>
          </cell>
        </row>
        <row r="13">
          <cell r="P13">
            <v>96.24</v>
          </cell>
        </row>
        <row r="15">
          <cell r="P15">
            <v>71.91</v>
          </cell>
        </row>
        <row r="16">
          <cell r="P16">
            <v>23.64</v>
          </cell>
        </row>
        <row r="18">
          <cell r="P18">
            <v>126.04</v>
          </cell>
        </row>
        <row r="19">
          <cell r="P19">
            <v>149.63</v>
          </cell>
        </row>
        <row r="20">
          <cell r="P20">
            <v>2137.64</v>
          </cell>
        </row>
      </sheetData>
      <sheetData sheetId="2"/>
      <sheetData sheetId="3">
        <row r="11">
          <cell r="B11">
            <v>106.45</v>
          </cell>
          <cell r="C11">
            <v>88.81</v>
          </cell>
          <cell r="D11">
            <v>160.58000000000001</v>
          </cell>
          <cell r="E11">
            <v>1217.0999999999999</v>
          </cell>
          <cell r="F11">
            <v>182.7</v>
          </cell>
          <cell r="G11">
            <v>-36.24</v>
          </cell>
          <cell r="H11">
            <v>253.24</v>
          </cell>
          <cell r="J11">
            <v>680</v>
          </cell>
          <cell r="K11">
            <v>200</v>
          </cell>
          <cell r="L11">
            <v>-169.14</v>
          </cell>
        </row>
      </sheetData>
      <sheetData sheetId="4"/>
      <sheetData sheetId="5"/>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RMT Customer Summary"/>
      <sheetName val="Prices"/>
      <sheetName val="Journal Entry"/>
      <sheetName val="Opus Info"/>
      <sheetName val="OPUS Data 8.2024"/>
      <sheetName val="OPUS PIVOT - Eastern WA"/>
    </sheetNames>
    <sheetDataSet>
      <sheetData sheetId="0" refreshError="1"/>
      <sheetData sheetId="1">
        <row r="6">
          <cell r="R6">
            <v>562.23</v>
          </cell>
        </row>
        <row r="7">
          <cell r="R7">
            <v>2414.7949999999996</v>
          </cell>
        </row>
        <row r="8">
          <cell r="R8">
            <v>1717.3360000000002</v>
          </cell>
        </row>
        <row r="9">
          <cell r="R9">
            <v>125.125</v>
          </cell>
        </row>
        <row r="10">
          <cell r="R10">
            <v>1482.1695</v>
          </cell>
        </row>
        <row r="11">
          <cell r="R11">
            <v>349.15000000000003</v>
          </cell>
        </row>
        <row r="12">
          <cell r="R12">
            <v>50.34</v>
          </cell>
        </row>
        <row r="13">
          <cell r="R13">
            <v>106.75999999999999</v>
          </cell>
        </row>
        <row r="15">
          <cell r="R15">
            <v>55.039999999999992</v>
          </cell>
        </row>
        <row r="16">
          <cell r="R16">
            <v>22.785</v>
          </cell>
        </row>
        <row r="18">
          <cell r="R18">
            <v>85.9</v>
          </cell>
        </row>
        <row r="19">
          <cell r="R19">
            <v>122.07000000000001</v>
          </cell>
        </row>
        <row r="20">
          <cell r="R20">
            <v>1740.0744999999999</v>
          </cell>
        </row>
      </sheetData>
      <sheetData sheetId="2" refreshError="1"/>
      <sheetData sheetId="3">
        <row r="12">
          <cell r="B12">
            <v>112.53</v>
          </cell>
          <cell r="C12">
            <v>78.58</v>
          </cell>
          <cell r="D12">
            <v>141.75</v>
          </cell>
          <cell r="E12">
            <v>1334</v>
          </cell>
          <cell r="F12">
            <v>180.05</v>
          </cell>
          <cell r="G12">
            <v>-27.4</v>
          </cell>
          <cell r="H12">
            <v>260</v>
          </cell>
          <cell r="J12">
            <v>820</v>
          </cell>
          <cell r="K12">
            <v>220</v>
          </cell>
          <cell r="L12">
            <v>-169.14</v>
          </cell>
        </row>
      </sheetData>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 MV SEA SS TA November 23"/>
    </sheetNames>
    <sheetDataSet>
      <sheetData sheetId="0">
        <row r="1">
          <cell r="C1" t="str">
            <v>Bothell</v>
          </cell>
          <cell r="D1" t="str">
            <v>Brier UTC</v>
          </cell>
          <cell r="E1" t="str">
            <v>Duvall</v>
          </cell>
          <cell r="F1" t="str">
            <v>Edmonds UTC</v>
          </cell>
          <cell r="G1" t="str">
            <v>Everett UTC</v>
          </cell>
          <cell r="H1" t="str">
            <v>Index</v>
          </cell>
          <cell r="I1" t="str">
            <v>UTC KC North Sound</v>
          </cell>
          <cell r="J1" t="str">
            <v>Kirkland</v>
          </cell>
          <cell r="K1" t="str">
            <v>Lynnwood UTC</v>
          </cell>
          <cell r="L1" t="str">
            <v>Mill Creek</v>
          </cell>
          <cell r="M1" t="str">
            <v>Mountlake Terrace</v>
          </cell>
          <cell r="N1" t="str">
            <v>Mukilteo</v>
          </cell>
          <cell r="O1" t="str">
            <v>Redmond</v>
          </cell>
          <cell r="P1" t="str">
            <v>Sammamish</v>
          </cell>
          <cell r="Q1" t="str">
            <v>UTC SC North Sound</v>
          </cell>
          <cell r="R1" t="str">
            <v>Snoqualmie</v>
          </cell>
          <cell r="S1" t="str">
            <v>Woodinville - UTC</v>
          </cell>
          <cell r="T1" t="str">
            <v>Arlington</v>
          </cell>
          <cell r="U1" t="str">
            <v>Everett</v>
          </cell>
          <cell r="V1" t="str">
            <v>Granite Falls</v>
          </cell>
          <cell r="W1" t="str">
            <v>Kitsap County</v>
          </cell>
          <cell r="X1" t="str">
            <v>Lake Stevens</v>
          </cell>
          <cell r="Y1" t="str">
            <v>Marysville</v>
          </cell>
          <cell r="Z1" t="str">
            <v>UTC Marysville</v>
          </cell>
          <cell r="AA1" t="str">
            <v>UTC Seattle</v>
          </cell>
          <cell r="AB1" t="str">
            <v>Newcastle</v>
          </cell>
          <cell r="AC1" t="str">
            <v>Normandy Park</v>
          </cell>
          <cell r="AD1" t="str">
            <v>Seattle</v>
          </cell>
          <cell r="AE1" t="str">
            <v>Tukwila</v>
          </cell>
          <cell r="AF1" t="str">
            <v>Algona</v>
          </cell>
          <cell r="AG1" t="str">
            <v>Auburn</v>
          </cell>
          <cell r="AH1" t="str">
            <v>Enumclaw</v>
          </cell>
          <cell r="AI1" t="str">
            <v>Federal Way</v>
          </cell>
          <cell r="AJ1" t="str">
            <v>UTC South Sound</v>
          </cell>
          <cell r="AK1" t="str">
            <v>Kirkland</v>
          </cell>
          <cell r="AL1" t="str">
            <v>Pacific</v>
          </cell>
          <cell r="AM1" t="str">
            <v>Grand total</v>
          </cell>
        </row>
        <row r="2">
          <cell r="A2" t="str">
            <v>Customer Type</v>
          </cell>
          <cell r="B2" t="str">
            <v>Service Type</v>
          </cell>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of Marysville</v>
          </cell>
          <cell r="U2" t="str">
            <v>WM of Marysville</v>
          </cell>
          <cell r="V2" t="str">
            <v>WM of Marysville</v>
          </cell>
          <cell r="W2" t="str">
            <v>WM of Marysville</v>
          </cell>
          <cell r="X2" t="str">
            <v>WM of Marysville</v>
          </cell>
          <cell r="Y2" t="str">
            <v>WM of Marysville</v>
          </cell>
          <cell r="Z2" t="str">
            <v>WM of Marysville</v>
          </cell>
          <cell r="AA2" t="str">
            <v>WM of Seattle</v>
          </cell>
          <cell r="AB2" t="str">
            <v>WM of Seattle</v>
          </cell>
          <cell r="AC2" t="str">
            <v>WM of Seattle</v>
          </cell>
          <cell r="AD2" t="str">
            <v>WM of Seattle</v>
          </cell>
          <cell r="AE2" t="str">
            <v>WM of Seattle</v>
          </cell>
          <cell r="AF2" t="str">
            <v>WM South Sound</v>
          </cell>
          <cell r="AG2" t="str">
            <v>WM South Sound</v>
          </cell>
          <cell r="AH2" t="str">
            <v>WM South Sound</v>
          </cell>
          <cell r="AI2" t="str">
            <v>WM South Sound</v>
          </cell>
          <cell r="AJ2" t="str">
            <v>WM South Sound</v>
          </cell>
          <cell r="AK2" t="str">
            <v>WM South Sound</v>
          </cell>
          <cell r="AL2" t="str">
            <v>WM South Sound</v>
          </cell>
          <cell r="AM2" t="str">
            <v>Grand total</v>
          </cell>
        </row>
        <row r="3">
          <cell r="A3" t="str">
            <v>Customer Type</v>
          </cell>
          <cell r="B3" t="str">
            <v>Service Type</v>
          </cell>
          <cell r="C3" t="str">
            <v>Bothell</v>
          </cell>
          <cell r="D3" t="str">
            <v>Brier</v>
          </cell>
          <cell r="E3" t="str">
            <v>Duvall</v>
          </cell>
          <cell r="F3" t="str">
            <v>Edmonds</v>
          </cell>
          <cell r="G3" t="str">
            <v>Everett</v>
          </cell>
          <cell r="H3" t="str">
            <v>Index</v>
          </cell>
          <cell r="I3" t="str">
            <v>King County</v>
          </cell>
          <cell r="J3" t="str">
            <v>Kirkland</v>
          </cell>
          <cell r="K3" t="str">
            <v>Lynnwood</v>
          </cell>
          <cell r="L3" t="str">
            <v>Mill Creek</v>
          </cell>
          <cell r="M3" t="str">
            <v>Mountlake Terrace</v>
          </cell>
          <cell r="N3" t="str">
            <v>Mukilteo</v>
          </cell>
          <cell r="O3" t="str">
            <v>Redmond</v>
          </cell>
          <cell r="P3" t="str">
            <v>Sammamish</v>
          </cell>
          <cell r="Q3" t="str">
            <v>Snohomish County</v>
          </cell>
          <cell r="R3" t="str">
            <v>Snoqualmie</v>
          </cell>
          <cell r="S3" t="str">
            <v>Woodinville</v>
          </cell>
          <cell r="T3" t="str">
            <v>Arlington</v>
          </cell>
          <cell r="U3" t="str">
            <v>Everett</v>
          </cell>
          <cell r="V3" t="str">
            <v>Granite Falls</v>
          </cell>
          <cell r="W3" t="str">
            <v>Kitsap County</v>
          </cell>
          <cell r="X3" t="str">
            <v>Lake Stevens</v>
          </cell>
          <cell r="Y3" t="str">
            <v>Marysville</v>
          </cell>
          <cell r="Z3" t="str">
            <v>Snohomish County</v>
          </cell>
          <cell r="AA3" t="str">
            <v>King County</v>
          </cell>
          <cell r="AB3" t="str">
            <v>Newcastle</v>
          </cell>
          <cell r="AC3" t="str">
            <v>Normandy Park</v>
          </cell>
          <cell r="AD3" t="str">
            <v>Seattle</v>
          </cell>
          <cell r="AE3" t="str">
            <v>Tukwila</v>
          </cell>
          <cell r="AF3" t="str">
            <v>Algona</v>
          </cell>
          <cell r="AG3" t="str">
            <v>Auburn</v>
          </cell>
          <cell r="AH3" t="str">
            <v>Enumclaw</v>
          </cell>
          <cell r="AI3" t="str">
            <v>Federal Way</v>
          </cell>
          <cell r="AJ3" t="str">
            <v>King County</v>
          </cell>
          <cell r="AK3" t="str">
            <v>Kirkland</v>
          </cell>
          <cell r="AL3" t="str">
            <v>Pacific</v>
          </cell>
          <cell r="AM3" t="str">
            <v>Grand total</v>
          </cell>
        </row>
        <row r="4">
          <cell r="A4" t="str">
            <v>Residential</v>
          </cell>
          <cell r="B4" t="str">
            <v>Recycling</v>
          </cell>
          <cell r="D4">
            <v>34.446145629999997</v>
          </cell>
          <cell r="E4">
            <v>66.182372689999994</v>
          </cell>
          <cell r="F4">
            <v>3.6979841229999999</v>
          </cell>
          <cell r="G4">
            <v>38.68898695</v>
          </cell>
          <cell r="H4">
            <v>4.1989100000000001E-2</v>
          </cell>
          <cell r="I4">
            <v>345.26211219999999</v>
          </cell>
          <cell r="J4">
            <v>586.26562750000005</v>
          </cell>
          <cell r="K4">
            <v>80.018800880000001</v>
          </cell>
          <cell r="L4">
            <v>146.58313939999999</v>
          </cell>
          <cell r="M4">
            <v>110.85035809999999</v>
          </cell>
          <cell r="N4">
            <v>89.945677020000005</v>
          </cell>
          <cell r="O4">
            <v>346.04211700000002</v>
          </cell>
          <cell r="P4">
            <v>3.3785750000000003E-2</v>
          </cell>
          <cell r="Q4">
            <v>1156.07889</v>
          </cell>
          <cell r="R4">
            <v>120.1187496</v>
          </cell>
          <cell r="S4">
            <v>52.735547480000001</v>
          </cell>
          <cell r="T4">
            <v>73.174941630000006</v>
          </cell>
          <cell r="U4">
            <v>0.59579808199999995</v>
          </cell>
          <cell r="V4">
            <v>33.419579159999998</v>
          </cell>
          <cell r="W4">
            <v>1.9379226999999999E-2</v>
          </cell>
          <cell r="X4">
            <v>233.2042581</v>
          </cell>
          <cell r="Y4">
            <v>460.38647470000001</v>
          </cell>
          <cell r="Z4">
            <v>501.61981780000002</v>
          </cell>
          <cell r="AA4">
            <v>314.79406289999997</v>
          </cell>
          <cell r="AB4">
            <v>87.402874409999995</v>
          </cell>
          <cell r="AC4">
            <v>52.29907214</v>
          </cell>
          <cell r="AE4">
            <v>3.1510446440000002</v>
          </cell>
          <cell r="AF4">
            <v>13.949019570000001</v>
          </cell>
          <cell r="AG4">
            <v>440.21079309999999</v>
          </cell>
          <cell r="AH4">
            <v>3.692863934</v>
          </cell>
          <cell r="AI4">
            <v>486.06961030000002</v>
          </cell>
          <cell r="AJ4">
            <v>185.7993448</v>
          </cell>
          <cell r="AK4">
            <v>7.0676201999999994E-2</v>
          </cell>
          <cell r="AL4">
            <v>31.357905519999999</v>
          </cell>
          <cell r="AM4">
            <v>6098.379629</v>
          </cell>
        </row>
        <row r="5">
          <cell r="A5" t="str">
            <v>Multifamily</v>
          </cell>
          <cell r="B5" t="str">
            <v>Recycling</v>
          </cell>
          <cell r="C5">
            <v>1.7757541699999999</v>
          </cell>
          <cell r="D5">
            <v>5.0512626999999997E-2</v>
          </cell>
          <cell r="E5">
            <v>1.3132542840000001</v>
          </cell>
          <cell r="F5">
            <v>1.4049537510000001</v>
          </cell>
          <cell r="G5">
            <v>27.038526919999999</v>
          </cell>
          <cell r="I5">
            <v>7.5571103500000003</v>
          </cell>
          <cell r="J5">
            <v>268.19212709999999</v>
          </cell>
          <cell r="K5">
            <v>36.510662019999998</v>
          </cell>
          <cell r="L5">
            <v>22.159764590000002</v>
          </cell>
          <cell r="M5">
            <v>39.388905819999998</v>
          </cell>
          <cell r="N5">
            <v>23.05491164</v>
          </cell>
          <cell r="O5">
            <v>190.7026199</v>
          </cell>
          <cell r="Q5">
            <v>208.0328701</v>
          </cell>
          <cell r="R5">
            <v>1.749464608</v>
          </cell>
          <cell r="S5">
            <v>42.073453839999999</v>
          </cell>
          <cell r="T5">
            <v>10.17552218</v>
          </cell>
          <cell r="U5">
            <v>7.7516907999999995E-2</v>
          </cell>
          <cell r="V5">
            <v>0.32638698300000002</v>
          </cell>
          <cell r="X5">
            <v>4.5178078199999998</v>
          </cell>
          <cell r="Y5">
            <v>54.729997249999997</v>
          </cell>
          <cell r="Z5">
            <v>4.8121432789999998</v>
          </cell>
          <cell r="AA5">
            <v>69.713041489999995</v>
          </cell>
          <cell r="AB5">
            <v>23.567461510000001</v>
          </cell>
          <cell r="AC5">
            <v>3.3546151160000002</v>
          </cell>
          <cell r="AD5">
            <v>1.7929599650000001</v>
          </cell>
          <cell r="AE5">
            <v>6.1887162000000003E-2</v>
          </cell>
          <cell r="AF5">
            <v>8.5634177000000006E-2</v>
          </cell>
          <cell r="AG5">
            <v>143.57344509999999</v>
          </cell>
          <cell r="AI5">
            <v>127.00351569999999</v>
          </cell>
          <cell r="AJ5">
            <v>5.0792495720000002</v>
          </cell>
          <cell r="AL5">
            <v>2.4382164550000001</v>
          </cell>
          <cell r="AM5">
            <v>1322.314292</v>
          </cell>
        </row>
        <row r="6">
          <cell r="A6" t="str">
            <v>Grand total</v>
          </cell>
          <cell r="B6" t="str">
            <v>Grand total</v>
          </cell>
          <cell r="C6">
            <v>1.7757541699999999</v>
          </cell>
          <cell r="D6">
            <v>34.496658250000003</v>
          </cell>
          <cell r="E6">
            <v>67.495626970000004</v>
          </cell>
          <cell r="F6">
            <v>5.1029378740000002</v>
          </cell>
          <cell r="G6">
            <v>65.727513869999996</v>
          </cell>
          <cell r="H6">
            <v>4.1989100000000001E-2</v>
          </cell>
          <cell r="I6">
            <v>352.81922259999999</v>
          </cell>
          <cell r="J6">
            <v>854.45775460000004</v>
          </cell>
          <cell r="K6">
            <v>116.5294629</v>
          </cell>
          <cell r="L6">
            <v>168.74290400000001</v>
          </cell>
          <cell r="M6">
            <v>150.2392639</v>
          </cell>
          <cell r="N6">
            <v>113.00058869999999</v>
          </cell>
          <cell r="O6">
            <v>536.74473690000002</v>
          </cell>
          <cell r="P6">
            <v>3.3785750000000003E-2</v>
          </cell>
          <cell r="Q6">
            <v>1364.11176</v>
          </cell>
          <cell r="R6">
            <v>121.8682142</v>
          </cell>
          <cell r="S6">
            <v>94.809001319999993</v>
          </cell>
          <cell r="T6">
            <v>83.350463809999994</v>
          </cell>
          <cell r="U6">
            <v>0.67331499100000003</v>
          </cell>
          <cell r="V6">
            <v>33.74596614</v>
          </cell>
          <cell r="W6">
            <v>1.9379226999999999E-2</v>
          </cell>
          <cell r="X6">
            <v>237.72206589999999</v>
          </cell>
          <cell r="Y6">
            <v>515.11647189999996</v>
          </cell>
          <cell r="Z6">
            <v>506.43196110000002</v>
          </cell>
          <cell r="AA6">
            <v>384.5071044</v>
          </cell>
          <cell r="AB6">
            <v>110.97033589999999</v>
          </cell>
          <cell r="AC6">
            <v>55.653687249999997</v>
          </cell>
          <cell r="AD6">
            <v>1.7929599650000001</v>
          </cell>
          <cell r="AE6">
            <v>3.2129318059999998</v>
          </cell>
          <cell r="AF6">
            <v>14.03465375</v>
          </cell>
          <cell r="AG6">
            <v>583.7842382</v>
          </cell>
          <cell r="AH6">
            <v>3.692863934</v>
          </cell>
          <cell r="AI6">
            <v>613.073126</v>
          </cell>
          <cell r="AJ6">
            <v>190.8785944</v>
          </cell>
          <cell r="AK6">
            <v>7.0676201999999994E-2</v>
          </cell>
          <cell r="AL6">
            <v>33.796121970000002</v>
          </cell>
          <cell r="AM6">
            <v>7420.693921</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RMT Customer Summary"/>
      <sheetName val="Prices"/>
      <sheetName val="Journal Entry"/>
      <sheetName val="Opus Info"/>
      <sheetName val="OPUS Data 8.2024"/>
      <sheetName val="OPUS PIVOT - Eastern WA"/>
    </sheetNames>
    <sheetDataSet>
      <sheetData sheetId="0"/>
      <sheetData sheetId="1">
        <row r="6">
          <cell r="T6">
            <v>1510.4</v>
          </cell>
        </row>
        <row r="7">
          <cell r="T7">
            <v>1884.1969999999999</v>
          </cell>
        </row>
        <row r="8">
          <cell r="T8">
            <v>1989.049</v>
          </cell>
        </row>
        <row r="9">
          <cell r="T9">
            <v>133.315</v>
          </cell>
        </row>
        <row r="10">
          <cell r="T10">
            <v>1335.55</v>
          </cell>
        </row>
        <row r="11">
          <cell r="T11">
            <v>340.07399999999996</v>
          </cell>
        </row>
        <row r="12">
          <cell r="T12">
            <v>49.83</v>
          </cell>
        </row>
        <row r="13">
          <cell r="T13">
            <v>120.38200000000001</v>
          </cell>
        </row>
        <row r="15">
          <cell r="T15">
            <v>55.853999999999999</v>
          </cell>
        </row>
        <row r="16">
          <cell r="T16">
            <v>28.565000000000001</v>
          </cell>
        </row>
        <row r="18">
          <cell r="T18">
            <v>112.53</v>
          </cell>
        </row>
        <row r="19">
          <cell r="T19">
            <v>177.72899999999998</v>
          </cell>
        </row>
        <row r="20">
          <cell r="T20">
            <v>1750.16</v>
          </cell>
        </row>
      </sheetData>
      <sheetData sheetId="2"/>
      <sheetData sheetId="3">
        <row r="13">
          <cell r="B13">
            <v>78.680000000000007</v>
          </cell>
          <cell r="C13">
            <v>68.180000000000007</v>
          </cell>
          <cell r="D13">
            <v>125.95</v>
          </cell>
          <cell r="E13">
            <v>1570.15</v>
          </cell>
          <cell r="F13">
            <v>179.07</v>
          </cell>
          <cell r="G13">
            <v>-17.440000000000001</v>
          </cell>
          <cell r="H13">
            <v>250</v>
          </cell>
          <cell r="J13">
            <v>855.96</v>
          </cell>
          <cell r="K13">
            <v>221.67</v>
          </cell>
          <cell r="L13">
            <v>-169.14</v>
          </cell>
        </row>
      </sheetData>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refreshError="1"/>
      <sheetData sheetId="1">
        <row r="6">
          <cell r="R6">
            <v>0</v>
          </cell>
        </row>
      </sheetData>
      <sheetData sheetId="2" refreshError="1"/>
      <sheetData sheetId="3" refreshError="1"/>
      <sheetData sheetId="4">
        <row r="13">
          <cell r="B13">
            <v>0</v>
          </cell>
          <cell r="C13">
            <v>54.12</v>
          </cell>
          <cell r="D13">
            <v>139.84</v>
          </cell>
          <cell r="E13">
            <v>1356.05</v>
          </cell>
          <cell r="F13">
            <v>186.08</v>
          </cell>
          <cell r="G13">
            <v>-26.39</v>
          </cell>
          <cell r="H13">
            <v>100</v>
          </cell>
          <cell r="J13">
            <v>520</v>
          </cell>
          <cell r="K13">
            <v>100</v>
          </cell>
          <cell r="L13">
            <v>-187.5</v>
          </cell>
        </row>
        <row r="14">
          <cell r="B14">
            <v>0</v>
          </cell>
          <cell r="C14">
            <v>56.75</v>
          </cell>
          <cell r="D14">
            <v>140.37</v>
          </cell>
          <cell r="E14">
            <v>1360.06</v>
          </cell>
          <cell r="F14">
            <v>201.66</v>
          </cell>
          <cell r="G14">
            <v>-22.45</v>
          </cell>
          <cell r="H14">
            <v>120</v>
          </cell>
          <cell r="J14">
            <v>540</v>
          </cell>
          <cell r="K14">
            <v>300</v>
          </cell>
          <cell r="L14">
            <v>-187.5</v>
          </cell>
        </row>
        <row r="15">
          <cell r="B15">
            <v>0</v>
          </cell>
          <cell r="C15">
            <v>56.86</v>
          </cell>
          <cell r="D15">
            <v>148.05000000000001</v>
          </cell>
          <cell r="E15">
            <v>1417.34</v>
          </cell>
          <cell r="F15">
            <v>219.28</v>
          </cell>
          <cell r="G15">
            <v>-27.75</v>
          </cell>
          <cell r="H15">
            <v>126.47</v>
          </cell>
          <cell r="J15">
            <v>553.85</v>
          </cell>
          <cell r="K15">
            <v>320</v>
          </cell>
          <cell r="L15">
            <v>187.5</v>
          </cell>
        </row>
      </sheetData>
      <sheetData sheetId="5" refreshError="1"/>
      <sheetData sheetId="6" refreshError="1"/>
      <sheetData sheetId="7" refreshError="1"/>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Composition"/>
      <sheetName val="Fastlane Inbound"/>
      <sheetName val="Prices"/>
      <sheetName val="Journal Entry"/>
      <sheetName val="SMART Data"/>
      <sheetName val="Brem Air"/>
      <sheetName val="WM Eastmont"/>
      <sheetName val="Pivot"/>
    </sheetNames>
    <sheetDataSet>
      <sheetData sheetId="0" refreshError="1"/>
      <sheetData sheetId="1" refreshError="1"/>
      <sheetData sheetId="2" refreshError="1"/>
      <sheetData sheetId="3">
        <row r="4">
          <cell r="B4">
            <v>127.91</v>
          </cell>
          <cell r="C4">
            <v>85.78</v>
          </cell>
          <cell r="D4">
            <v>150.01</v>
          </cell>
          <cell r="E4">
            <v>1355.04</v>
          </cell>
          <cell r="F4">
            <v>225.48</v>
          </cell>
          <cell r="G4">
            <v>-26.7</v>
          </cell>
          <cell r="H4">
            <v>150</v>
          </cell>
          <cell r="J4">
            <v>619.78</v>
          </cell>
          <cell r="K4">
            <v>340</v>
          </cell>
          <cell r="L4">
            <v>-187.5</v>
          </cell>
        </row>
      </sheetData>
      <sheetData sheetId="4" refreshError="1"/>
      <sheetData sheetId="5" refreshError="1"/>
      <sheetData sheetId="6" refreshError="1"/>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row r="6">
          <cell r="D6">
            <v>0</v>
          </cell>
        </row>
      </sheetData>
      <sheetData sheetId="2"/>
      <sheetData sheetId="3"/>
      <sheetData sheetId="4">
        <row r="5">
          <cell r="B5">
            <v>0</v>
          </cell>
          <cell r="C5">
            <v>66.48</v>
          </cell>
          <cell r="D5">
            <v>157.72999999999999</v>
          </cell>
          <cell r="E5">
            <v>1319.47</v>
          </cell>
          <cell r="F5">
            <v>220.58</v>
          </cell>
          <cell r="G5">
            <v>-28.95</v>
          </cell>
          <cell r="H5">
            <v>150</v>
          </cell>
          <cell r="J5">
            <v>543.30999999999995</v>
          </cell>
          <cell r="K5">
            <v>340</v>
          </cell>
          <cell r="L5">
            <v>-187.5</v>
          </cell>
        </row>
      </sheetData>
      <sheetData sheetId="5"/>
      <sheetData sheetId="6"/>
      <sheetData sheetId="7"/>
      <sheetData sheetId="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5">
          <cell r="B5">
            <v>0</v>
          </cell>
        </row>
        <row r="6">
          <cell r="C6">
            <v>67.63</v>
          </cell>
          <cell r="D6">
            <v>175.48</v>
          </cell>
          <cell r="E6">
            <v>1325.07</v>
          </cell>
          <cell r="F6">
            <v>194.68</v>
          </cell>
          <cell r="G6">
            <v>-28.49</v>
          </cell>
          <cell r="H6">
            <v>150</v>
          </cell>
          <cell r="J6">
            <v>560</v>
          </cell>
          <cell r="K6">
            <v>340</v>
          </cell>
          <cell r="L6">
            <v>-187.5</v>
          </cell>
        </row>
      </sheetData>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7">
          <cell r="B7">
            <v>0</v>
          </cell>
          <cell r="C7">
            <v>81.92</v>
          </cell>
          <cell r="D7">
            <v>150.25</v>
          </cell>
          <cell r="E7">
            <v>1538.59</v>
          </cell>
          <cell r="F7">
            <v>193.42</v>
          </cell>
          <cell r="G7">
            <v>-27.25</v>
          </cell>
          <cell r="H7">
            <v>171.08</v>
          </cell>
          <cell r="J7">
            <v>560</v>
          </cell>
          <cell r="K7">
            <v>340</v>
          </cell>
          <cell r="L7">
            <v>-187.5</v>
          </cell>
        </row>
      </sheetData>
      <sheetData sheetId="5"/>
      <sheetData sheetId="6"/>
      <sheetData sheetId="7"/>
      <sheetData sheetId="8"/>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8">
          <cell r="B8">
            <v>0</v>
          </cell>
          <cell r="C8">
            <v>91.75</v>
          </cell>
          <cell r="D8">
            <v>180.01</v>
          </cell>
          <cell r="E8">
            <v>1579.12</v>
          </cell>
          <cell r="F8">
            <v>198</v>
          </cell>
          <cell r="G8">
            <v>-26.1</v>
          </cell>
          <cell r="H8">
            <v>210</v>
          </cell>
          <cell r="J8">
            <v>600</v>
          </cell>
          <cell r="K8">
            <v>346.65</v>
          </cell>
          <cell r="L8">
            <v>-187.5</v>
          </cell>
        </row>
      </sheetData>
      <sheetData sheetId="5"/>
      <sheetData sheetId="6"/>
      <sheetData sheetId="7"/>
      <sheetData sheetId="8"/>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9">
          <cell r="B9">
            <v>0</v>
          </cell>
          <cell r="C9">
            <v>105.54</v>
          </cell>
          <cell r="D9">
            <v>192.39</v>
          </cell>
          <cell r="E9">
            <v>1589.98</v>
          </cell>
          <cell r="F9">
            <v>186.28</v>
          </cell>
          <cell r="G9">
            <v>-22.01</v>
          </cell>
          <cell r="H9">
            <v>229.79</v>
          </cell>
          <cell r="J9">
            <v>600</v>
          </cell>
          <cell r="K9">
            <v>344.99</v>
          </cell>
          <cell r="L9">
            <v>-187.5</v>
          </cell>
        </row>
      </sheetData>
      <sheetData sheetId="5"/>
      <sheetData sheetId="6"/>
      <sheetData sheetId="7"/>
      <sheetData sheetId="8"/>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refreshError="1"/>
      <sheetData sheetId="1" refreshError="1"/>
      <sheetData sheetId="2" refreshError="1"/>
      <sheetData sheetId="3" refreshError="1"/>
      <sheetData sheetId="4">
        <row r="10">
          <cell r="B10">
            <v>0</v>
          </cell>
          <cell r="C10">
            <v>101.15</v>
          </cell>
          <cell r="D10">
            <v>187.68</v>
          </cell>
          <cell r="E10">
            <v>1540.01</v>
          </cell>
          <cell r="F10">
            <v>221.74</v>
          </cell>
          <cell r="G10">
            <v>-28.06</v>
          </cell>
          <cell r="H10">
            <v>231.89</v>
          </cell>
          <cell r="J10">
            <v>860</v>
          </cell>
          <cell r="K10">
            <v>220</v>
          </cell>
          <cell r="L10">
            <v>-187.5</v>
          </cell>
        </row>
      </sheetData>
      <sheetData sheetId="5" refreshError="1"/>
      <sheetData sheetId="6" refreshError="1"/>
      <sheetData sheetId="7" refreshError="1"/>
      <sheetData sheetId="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11">
          <cell r="B11">
            <v>0</v>
          </cell>
          <cell r="C11">
            <v>102.96</v>
          </cell>
          <cell r="D11">
            <v>149.78</v>
          </cell>
          <cell r="E11">
            <v>1535.08</v>
          </cell>
          <cell r="F11">
            <v>230</v>
          </cell>
          <cell r="G11">
            <v>-23.97</v>
          </cell>
          <cell r="H11">
            <v>260</v>
          </cell>
          <cell r="J11">
            <v>680</v>
          </cell>
          <cell r="K11">
            <v>200</v>
          </cell>
          <cell r="L11">
            <v>-187.5</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SEA SS TA December 23"/>
    </sheetNames>
    <sheetDataSet>
      <sheetData sheetId="0">
        <row r="1">
          <cell r="C1" t="str">
            <v>Bothell</v>
          </cell>
          <cell r="D1" t="str">
            <v>Brier UTC</v>
          </cell>
          <cell r="E1" t="str">
            <v>Duvall</v>
          </cell>
          <cell r="F1" t="str">
            <v>Edmonds UTC</v>
          </cell>
          <cell r="G1" t="str">
            <v>Everett UTC</v>
          </cell>
          <cell r="H1" t="str">
            <v>Index</v>
          </cell>
          <cell r="I1" t="str">
            <v>UTC KC North Sound</v>
          </cell>
          <cell r="J1" t="str">
            <v>Kirkland</v>
          </cell>
          <cell r="K1" t="str">
            <v>Lynnwood UTC</v>
          </cell>
          <cell r="L1" t="str">
            <v>Mill Creek</v>
          </cell>
          <cell r="M1" t="str">
            <v>Mountlake Terrace</v>
          </cell>
          <cell r="N1" t="str">
            <v>Mukilteo</v>
          </cell>
          <cell r="O1" t="str">
            <v>Redmond</v>
          </cell>
          <cell r="P1" t="str">
            <v>Sammamish</v>
          </cell>
          <cell r="Q1" t="str">
            <v>UTC SC North Sound</v>
          </cell>
          <cell r="R1" t="str">
            <v>Snoqualmie</v>
          </cell>
          <cell r="S1" t="str">
            <v>Woodinville - UTC</v>
          </cell>
          <cell r="T1" t="str">
            <v>Arlington</v>
          </cell>
          <cell r="U1" t="str">
            <v>Everett</v>
          </cell>
          <cell r="V1" t="str">
            <v>Granite Falls</v>
          </cell>
          <cell r="W1" t="str">
            <v>Kitsap County</v>
          </cell>
          <cell r="X1" t="str">
            <v>Lake Stevens</v>
          </cell>
          <cell r="Y1" t="str">
            <v>Marysville</v>
          </cell>
          <cell r="Z1" t="str">
            <v>UTC Marysville</v>
          </cell>
          <cell r="AA1" t="str">
            <v>UTC Seattle</v>
          </cell>
          <cell r="AB1" t="str">
            <v>Newcastle</v>
          </cell>
          <cell r="AC1" t="str">
            <v>Normandy Park</v>
          </cell>
          <cell r="AD1" t="str">
            <v>Seattle</v>
          </cell>
          <cell r="AE1" t="str">
            <v>Algona</v>
          </cell>
          <cell r="AF1" t="str">
            <v>Auburn</v>
          </cell>
          <cell r="AG1" t="str">
            <v>Enumclaw</v>
          </cell>
          <cell r="AH1" t="str">
            <v>Federal Way</v>
          </cell>
          <cell r="AI1" t="str">
            <v>UTC South Sound</v>
          </cell>
          <cell r="AJ1" t="str">
            <v>Kirkland</v>
          </cell>
          <cell r="AK1" t="str">
            <v>Pacific</v>
          </cell>
        </row>
        <row r="2">
          <cell r="A2" t="str">
            <v>Customer Type</v>
          </cell>
          <cell r="B2" t="str">
            <v>Service Type</v>
          </cell>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of Marysville</v>
          </cell>
          <cell r="U2" t="str">
            <v>WM of Marysville</v>
          </cell>
          <cell r="V2" t="str">
            <v>WM of Marysville</v>
          </cell>
          <cell r="W2" t="str">
            <v>WM of Marysville</v>
          </cell>
          <cell r="X2" t="str">
            <v>WM of Marysville</v>
          </cell>
          <cell r="Y2" t="str">
            <v>WM of Marysville</v>
          </cell>
          <cell r="Z2" t="str">
            <v>WM of Marysville</v>
          </cell>
          <cell r="AA2" t="str">
            <v>WM of Seattle</v>
          </cell>
          <cell r="AB2" t="str">
            <v>WM of Seattle</v>
          </cell>
          <cell r="AC2" t="str">
            <v>WM of Seattle</v>
          </cell>
          <cell r="AD2" t="str">
            <v>WM of Seattle</v>
          </cell>
          <cell r="AE2" t="str">
            <v>WM South Sound</v>
          </cell>
          <cell r="AF2" t="str">
            <v>WM South Sound</v>
          </cell>
          <cell r="AG2" t="str">
            <v>WM South Sound</v>
          </cell>
          <cell r="AH2" t="str">
            <v>WM South Sound</v>
          </cell>
          <cell r="AI2" t="str">
            <v>WM South Sound</v>
          </cell>
          <cell r="AJ2" t="str">
            <v>WM South Sound</v>
          </cell>
          <cell r="AK2" t="str">
            <v>WM South Sound</v>
          </cell>
          <cell r="AL2" t="str">
            <v>Grand total</v>
          </cell>
        </row>
        <row r="3">
          <cell r="A3" t="str">
            <v>Customer Type</v>
          </cell>
          <cell r="B3" t="str">
            <v>Service Type</v>
          </cell>
          <cell r="C3" t="str">
            <v>Bothell</v>
          </cell>
          <cell r="D3" t="str">
            <v>Brier</v>
          </cell>
          <cell r="E3" t="str">
            <v>Duvall</v>
          </cell>
          <cell r="F3" t="str">
            <v>Edmonds</v>
          </cell>
          <cell r="G3" t="str">
            <v>Everett</v>
          </cell>
          <cell r="H3" t="str">
            <v>Index</v>
          </cell>
          <cell r="I3" t="str">
            <v>King County</v>
          </cell>
          <cell r="J3" t="str">
            <v>Kirkland</v>
          </cell>
          <cell r="K3" t="str">
            <v>Lynnwood</v>
          </cell>
          <cell r="L3" t="str">
            <v>Mill Creek</v>
          </cell>
          <cell r="M3" t="str">
            <v>Mountlake Terrace</v>
          </cell>
          <cell r="N3" t="str">
            <v>Mukilteo</v>
          </cell>
          <cell r="O3" t="str">
            <v>Redmond</v>
          </cell>
          <cell r="P3" t="str">
            <v>Sammamish</v>
          </cell>
          <cell r="Q3" t="str">
            <v>Snohomish County</v>
          </cell>
          <cell r="R3" t="str">
            <v>Snoqualmie</v>
          </cell>
          <cell r="S3" t="str">
            <v>Woodinville</v>
          </cell>
          <cell r="T3" t="str">
            <v>Arlington</v>
          </cell>
          <cell r="U3" t="str">
            <v>Everett</v>
          </cell>
          <cell r="V3" t="str">
            <v>Granite Falls</v>
          </cell>
          <cell r="W3" t="str">
            <v>Kitsap County</v>
          </cell>
          <cell r="X3" t="str">
            <v>Lake Stevens</v>
          </cell>
          <cell r="Y3" t="str">
            <v>Marysville</v>
          </cell>
          <cell r="Z3" t="str">
            <v>Snohomish County</v>
          </cell>
          <cell r="AA3" t="str">
            <v>King County</v>
          </cell>
          <cell r="AB3" t="str">
            <v>Newcastle</v>
          </cell>
          <cell r="AC3" t="str">
            <v>Normandy Park</v>
          </cell>
          <cell r="AD3" t="str">
            <v>Seattle</v>
          </cell>
          <cell r="AE3" t="str">
            <v>Algona</v>
          </cell>
          <cell r="AF3" t="str">
            <v>Auburn</v>
          </cell>
          <cell r="AG3" t="str">
            <v>Enumclaw</v>
          </cell>
          <cell r="AH3" t="str">
            <v>Federal Way</v>
          </cell>
          <cell r="AI3" t="str">
            <v>King County</v>
          </cell>
          <cell r="AJ3" t="str">
            <v>Kirkland</v>
          </cell>
          <cell r="AK3" t="str">
            <v>Pacific</v>
          </cell>
          <cell r="AL3" t="str">
            <v>Grand total</v>
          </cell>
        </row>
        <row r="4">
          <cell r="A4" t="str">
            <v>Residential</v>
          </cell>
          <cell r="B4" t="str">
            <v>Recycling</v>
          </cell>
          <cell r="D4">
            <v>36.289934760000001</v>
          </cell>
          <cell r="E4">
            <v>74.579558239999997</v>
          </cell>
          <cell r="F4">
            <v>4.1645717930000004</v>
          </cell>
          <cell r="G4">
            <v>43.43013002</v>
          </cell>
          <cell r="H4">
            <v>3.7663416999999998E-2</v>
          </cell>
          <cell r="I4">
            <v>364.04363599999999</v>
          </cell>
          <cell r="J4">
            <v>594.99638830000004</v>
          </cell>
          <cell r="K4">
            <v>85.107077320000002</v>
          </cell>
          <cell r="L4">
            <v>142.82857820000001</v>
          </cell>
          <cell r="M4">
            <v>90.284610020000002</v>
          </cell>
          <cell r="N4">
            <v>101.0095415</v>
          </cell>
          <cell r="O4">
            <v>362.44513929999999</v>
          </cell>
          <cell r="P4">
            <v>3.7063011999999999E-2</v>
          </cell>
          <cell r="Q4">
            <v>1157.3747840000001</v>
          </cell>
          <cell r="R4">
            <v>120.5256411</v>
          </cell>
          <cell r="S4">
            <v>63.604277150000001</v>
          </cell>
          <cell r="T4">
            <v>83.5627645</v>
          </cell>
          <cell r="U4">
            <v>0.625867536</v>
          </cell>
          <cell r="V4">
            <v>25.175684489999998</v>
          </cell>
          <cell r="W4">
            <v>1.0649373E-2</v>
          </cell>
          <cell r="X4">
            <v>227.22284819999999</v>
          </cell>
          <cell r="Y4">
            <v>455.3140492</v>
          </cell>
          <cell r="Z4">
            <v>503.1162933</v>
          </cell>
          <cell r="AA4">
            <v>315.37138670000002</v>
          </cell>
          <cell r="AB4">
            <v>94.908833430000001</v>
          </cell>
          <cell r="AC4">
            <v>56.31700086</v>
          </cell>
          <cell r="AE4">
            <v>14.940303050000001</v>
          </cell>
          <cell r="AF4">
            <v>395.6094903</v>
          </cell>
          <cell r="AG4">
            <v>3.1525204969999998</v>
          </cell>
          <cell r="AH4">
            <v>421.26437850000002</v>
          </cell>
          <cell r="AI4">
            <v>155.42607899999999</v>
          </cell>
          <cell r="AJ4">
            <v>6.1363912999999999E-2</v>
          </cell>
          <cell r="AK4">
            <v>25.702570569999999</v>
          </cell>
          <cell r="AL4">
            <v>6018.7351529999996</v>
          </cell>
        </row>
        <row r="5">
          <cell r="A5" t="str">
            <v>Multifamily</v>
          </cell>
          <cell r="B5" t="str">
            <v>Recycling</v>
          </cell>
          <cell r="C5">
            <v>1.955102162</v>
          </cell>
          <cell r="D5">
            <v>3.8667468000000003E-2</v>
          </cell>
          <cell r="E5">
            <v>1.1920558889999999</v>
          </cell>
          <cell r="F5">
            <v>1.4827155489999999</v>
          </cell>
          <cell r="G5">
            <v>27.458767770000001</v>
          </cell>
          <cell r="I5">
            <v>8.1418138580000008</v>
          </cell>
          <cell r="J5">
            <v>291.39524870000002</v>
          </cell>
          <cell r="K5">
            <v>35.716126760000002</v>
          </cell>
          <cell r="L5">
            <v>20.376850170000001</v>
          </cell>
          <cell r="M5">
            <v>40.06934116</v>
          </cell>
          <cell r="N5">
            <v>23.908264070000001</v>
          </cell>
          <cell r="O5">
            <v>188.59208219999999</v>
          </cell>
          <cell r="Q5">
            <v>198.725978</v>
          </cell>
          <cell r="R5">
            <v>1.593502591</v>
          </cell>
          <cell r="S5">
            <v>41.860682699999998</v>
          </cell>
          <cell r="T5">
            <v>10.401331170000001</v>
          </cell>
          <cell r="U5">
            <v>8.4307535000000003E-2</v>
          </cell>
          <cell r="V5">
            <v>0.26623432000000002</v>
          </cell>
          <cell r="X5">
            <v>3.5436737890000001</v>
          </cell>
          <cell r="Y5">
            <v>53.811483969999998</v>
          </cell>
          <cell r="Z5">
            <v>4.0709633429999998</v>
          </cell>
          <cell r="AA5">
            <v>73.403252109999997</v>
          </cell>
          <cell r="AB5">
            <v>24.347031600000001</v>
          </cell>
          <cell r="AC5">
            <v>3.9904482830000001</v>
          </cell>
          <cell r="AD5">
            <v>2.0395442309999998</v>
          </cell>
          <cell r="AE5">
            <v>9.4109302000000006E-2</v>
          </cell>
          <cell r="AF5">
            <v>141.46313369999999</v>
          </cell>
          <cell r="AH5">
            <v>130.7325285</v>
          </cell>
          <cell r="AI5">
            <v>5.2987944760000003</v>
          </cell>
          <cell r="AK5">
            <v>2.4643411209999999</v>
          </cell>
          <cell r="AL5">
            <v>1338.518376</v>
          </cell>
        </row>
        <row r="6">
          <cell r="A6" t="str">
            <v>Grand total</v>
          </cell>
          <cell r="B6" t="str">
            <v>Grand total</v>
          </cell>
          <cell r="C6">
            <v>1.955102162</v>
          </cell>
          <cell r="D6">
            <v>36.328602230000001</v>
          </cell>
          <cell r="E6">
            <v>75.771614130000003</v>
          </cell>
          <cell r="F6">
            <v>5.6472873420000003</v>
          </cell>
          <cell r="G6">
            <v>70.888897779999994</v>
          </cell>
          <cell r="H6">
            <v>3.7663416999999998E-2</v>
          </cell>
          <cell r="I6">
            <v>372.18544989999998</v>
          </cell>
          <cell r="J6">
            <v>886.39163689999998</v>
          </cell>
          <cell r="K6">
            <v>120.8232041</v>
          </cell>
          <cell r="L6">
            <v>163.20542839999999</v>
          </cell>
          <cell r="M6">
            <v>130.35395120000001</v>
          </cell>
          <cell r="N6">
            <v>124.9178055</v>
          </cell>
          <cell r="O6">
            <v>551.03722149999999</v>
          </cell>
          <cell r="P6">
            <v>3.7063011999999999E-2</v>
          </cell>
          <cell r="Q6">
            <v>1356.100762</v>
          </cell>
          <cell r="R6">
            <v>122.1191437</v>
          </cell>
          <cell r="S6">
            <v>105.4649598</v>
          </cell>
          <cell r="T6">
            <v>93.964095670000006</v>
          </cell>
          <cell r="U6">
            <v>0.71017507000000002</v>
          </cell>
          <cell r="V6">
            <v>25.441918810000001</v>
          </cell>
          <cell r="W6">
            <v>1.0649373E-2</v>
          </cell>
          <cell r="X6">
            <v>230.76652200000001</v>
          </cell>
          <cell r="Y6">
            <v>509.12553309999998</v>
          </cell>
          <cell r="Z6">
            <v>507.18725660000001</v>
          </cell>
          <cell r="AA6">
            <v>388.77463879999999</v>
          </cell>
          <cell r="AB6">
            <v>119.255865</v>
          </cell>
          <cell r="AC6">
            <v>60.307449140000003</v>
          </cell>
          <cell r="AD6">
            <v>2.0395442309999998</v>
          </cell>
          <cell r="AE6">
            <v>15.034412359999999</v>
          </cell>
          <cell r="AF6">
            <v>537.07262400000002</v>
          </cell>
          <cell r="AG6">
            <v>3.1525204969999998</v>
          </cell>
          <cell r="AH6">
            <v>551.99690699999996</v>
          </cell>
          <cell r="AI6">
            <v>160.7248735</v>
          </cell>
          <cell r="AJ6">
            <v>6.1363912999999999E-2</v>
          </cell>
          <cell r="AK6">
            <v>28.166911689999999</v>
          </cell>
          <cell r="AL6">
            <v>7357.25353</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Calculation"/>
      <sheetName val="Composition"/>
      <sheetName val="Fastlane RETI Inbound - CRC"/>
      <sheetName val="RMT Summary"/>
      <sheetName val="Prices"/>
      <sheetName val="Journal Entry"/>
      <sheetName val="SMART Data"/>
      <sheetName val="SMART Consolidated"/>
      <sheetName val="Process"/>
      <sheetName val="Outbound"/>
      <sheetName val="Inbound"/>
      <sheetName val="Calc"/>
      <sheetName val="MRF Inv"/>
      <sheetName val="MRF Inv-Old"/>
      <sheetName val="Inbound Lookup"/>
    </sheetNames>
    <sheetDataSet>
      <sheetData sheetId="0"/>
      <sheetData sheetId="1"/>
      <sheetData sheetId="2"/>
      <sheetData sheetId="3"/>
      <sheetData sheetId="4"/>
      <sheetData sheetId="5">
        <row r="12">
          <cell r="B12">
            <v>0</v>
          </cell>
          <cell r="C12">
            <v>95.78</v>
          </cell>
          <cell r="D12">
            <v>154.36000000000001</v>
          </cell>
          <cell r="E12">
            <v>1510.66</v>
          </cell>
          <cell r="F12">
            <v>219.49</v>
          </cell>
          <cell r="G12">
            <v>-23.33</v>
          </cell>
          <cell r="H12">
            <v>260</v>
          </cell>
          <cell r="J12">
            <v>820</v>
          </cell>
          <cell r="K12">
            <v>220</v>
          </cell>
          <cell r="L12">
            <v>-187.5</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Calculation"/>
      <sheetName val="Composition"/>
      <sheetName val="Fastlane RETI Inbound - CRC"/>
      <sheetName val="RMT Summary"/>
      <sheetName val="Prices"/>
      <sheetName val="Journal Entry"/>
      <sheetName val="SMART Data"/>
      <sheetName val="SMART Consolidated"/>
      <sheetName val="Process"/>
      <sheetName val="Outbound"/>
      <sheetName val="Inbound"/>
      <sheetName val="Calc"/>
      <sheetName val="MRF Inv"/>
      <sheetName val="Inbound Lookup"/>
    </sheetNames>
    <sheetDataSet>
      <sheetData sheetId="0" refreshError="1"/>
      <sheetData sheetId="1" refreshError="1"/>
      <sheetData sheetId="2" refreshError="1"/>
      <sheetData sheetId="3" refreshError="1"/>
      <sheetData sheetId="4" refreshError="1"/>
      <sheetData sheetId="5">
        <row r="13">
          <cell r="B13">
            <v>0</v>
          </cell>
          <cell r="C13">
            <v>93.96</v>
          </cell>
          <cell r="D13">
            <v>127.98</v>
          </cell>
          <cell r="E13">
            <v>1599.53</v>
          </cell>
          <cell r="F13">
            <v>225</v>
          </cell>
          <cell r="G13">
            <v>-24.63</v>
          </cell>
          <cell r="H13">
            <v>250</v>
          </cell>
          <cell r="J13">
            <v>880</v>
          </cell>
          <cell r="K13">
            <v>230</v>
          </cell>
          <cell r="L13">
            <v>-187.5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2.2024"/>
      <sheetName val="OPUS PIVOT - Eastern WA"/>
    </sheetNames>
    <sheetDataSet>
      <sheetData sheetId="0"/>
      <sheetData sheetId="1">
        <row r="6">
          <cell r="D6">
            <v>296.33</v>
          </cell>
        </row>
        <row r="7">
          <cell r="D7">
            <v>3340.49</v>
          </cell>
        </row>
        <row r="8">
          <cell r="D8">
            <v>1999.8300000000002</v>
          </cell>
        </row>
        <row r="9">
          <cell r="D9">
            <v>163.2235</v>
          </cell>
        </row>
        <row r="10">
          <cell r="D10">
            <v>2306.9699999999998</v>
          </cell>
        </row>
        <row r="11">
          <cell r="D11">
            <v>314.61</v>
          </cell>
        </row>
        <row r="12">
          <cell r="D12">
            <v>54.39</v>
          </cell>
        </row>
        <row r="13">
          <cell r="D13">
            <v>68.62</v>
          </cell>
        </row>
        <row r="15">
          <cell r="D15">
            <v>22.912499999999994</v>
          </cell>
        </row>
        <row r="16">
          <cell r="D16">
            <v>30.439999999999998</v>
          </cell>
        </row>
        <row r="17">
          <cell r="D17">
            <v>0</v>
          </cell>
        </row>
        <row r="19">
          <cell r="D19">
            <v>158.19000000000003</v>
          </cell>
        </row>
        <row r="20">
          <cell r="D20">
            <v>1131.1199999999999</v>
          </cell>
        </row>
      </sheetData>
      <sheetData sheetId="2"/>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ingDashboard - MUNI_SHARE p"/>
    </sheetNames>
    <sheetDataSet>
      <sheetData sheetId="0">
        <row r="3">
          <cell r="AN3">
            <v>35459.968380576021</v>
          </cell>
        </row>
        <row r="4">
          <cell r="AN4">
            <v>60546.356882593434</v>
          </cell>
        </row>
        <row r="5">
          <cell r="AN5">
            <v>26784.23670561461</v>
          </cell>
        </row>
        <row r="6">
          <cell r="AN6">
            <v>27.858605715940779</v>
          </cell>
        </row>
        <row r="7">
          <cell r="AN7">
            <v>16712.247475102755</v>
          </cell>
        </row>
        <row r="8">
          <cell r="AN8">
            <v>3182.4987705294461</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4">
          <cell r="F4">
            <v>-3177.5322004812988</v>
          </cell>
        </row>
        <row r="5">
          <cell r="F5">
            <v>-2379.6544125902001</v>
          </cell>
        </row>
        <row r="6">
          <cell r="F6">
            <v>-2106.9150379566017</v>
          </cell>
        </row>
        <row r="7">
          <cell r="F7">
            <v>6.8982055594713998</v>
          </cell>
        </row>
        <row r="8">
          <cell r="F8">
            <v>-698.48988644860037</v>
          </cell>
        </row>
        <row r="9">
          <cell r="F9">
            <v>-93.567852082249829</v>
          </cell>
        </row>
      </sheetData>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3">
          <cell r="G3">
            <v>-2778.9284960447903</v>
          </cell>
        </row>
        <row r="4">
          <cell r="G4">
            <v>-3099.1450598082993</v>
          </cell>
        </row>
        <row r="5">
          <cell r="G5">
            <v>-1509.0373371802507</v>
          </cell>
        </row>
        <row r="6">
          <cell r="G6">
            <v>-0.20666942591769999</v>
          </cell>
        </row>
        <row r="7">
          <cell r="G7">
            <v>-85.277945045775027</v>
          </cell>
        </row>
        <row r="8">
          <cell r="G8">
            <v>-16.4061446924715</v>
          </cell>
        </row>
      </sheetData>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ingDashboard - MUNI_SHARE p"/>
    </sheetNames>
    <sheetDataSet>
      <sheetData sheetId="0">
        <row r="3">
          <cell r="AR3">
            <v>31032.776534457807</v>
          </cell>
        </row>
        <row r="4">
          <cell r="AR4">
            <v>61206.706104244193</v>
          </cell>
        </row>
        <row r="5">
          <cell r="AR5">
            <v>25552.774469067161</v>
          </cell>
        </row>
        <row r="6">
          <cell r="AR6">
            <v>22.529217603480276</v>
          </cell>
        </row>
        <row r="7">
          <cell r="AR7">
            <v>14407.234876898729</v>
          </cell>
        </row>
        <row r="8">
          <cell r="AR8">
            <v>2873.660265459851</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ingDashboard - MUNI_SHARE p"/>
    </sheetNames>
    <sheetDataSet>
      <sheetData sheetId="0">
        <row r="3">
          <cell r="AP3">
            <v>28645.621689050986</v>
          </cell>
        </row>
        <row r="4">
          <cell r="AP4">
            <v>56956.576603717796</v>
          </cell>
        </row>
        <row r="5">
          <cell r="AP5">
            <v>22754.984343056662</v>
          </cell>
        </row>
        <row r="6">
          <cell r="AP6">
            <v>30.109679487249728</v>
          </cell>
        </row>
        <row r="7">
          <cell r="AP7">
            <v>16251.50297132312</v>
          </cell>
        </row>
        <row r="8">
          <cell r="AP8">
            <v>3351.4613278582469</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ingDashboard - MUNI_SHARE p"/>
    </sheetNames>
    <sheetDataSet>
      <sheetData sheetId="0">
        <row r="3">
          <cell r="AT3">
            <v>42286.724431902854</v>
          </cell>
          <cell r="AU3">
            <v>10210.5443511251</v>
          </cell>
        </row>
        <row r="4">
          <cell r="AT4">
            <v>70978.705907315452</v>
          </cell>
          <cell r="AU4">
            <v>34785.604445951001</v>
          </cell>
        </row>
        <row r="6">
          <cell r="AT6">
            <v>40.668352592702114</v>
          </cell>
          <cell r="AU6">
            <v>3.1354184123127302</v>
          </cell>
        </row>
        <row r="7">
          <cell r="AT7">
            <v>25063.137096178536</v>
          </cell>
          <cell r="AU7">
            <v>446.17340826402801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D1" t="str">
            <v>Bothell</v>
          </cell>
          <cell r="E1" t="str">
            <v>Brier UTC</v>
          </cell>
          <cell r="F1" t="str">
            <v>Duvall</v>
          </cell>
          <cell r="G1" t="str">
            <v>Edmonds UTC</v>
          </cell>
          <cell r="H1" t="str">
            <v>Everett UTC</v>
          </cell>
          <cell r="I1" t="str">
            <v>Index</v>
          </cell>
          <cell r="J1" t="str">
            <v>UTC KC North Sound</v>
          </cell>
          <cell r="K1" t="str">
            <v>Kirkland</v>
          </cell>
          <cell r="L1" t="str">
            <v>Lynnwood UTC</v>
          </cell>
          <cell r="M1" t="str">
            <v>Mill Creek</v>
          </cell>
          <cell r="N1" t="str">
            <v>Mountlake Terrace</v>
          </cell>
          <cell r="O1" t="str">
            <v>Mukilteo</v>
          </cell>
          <cell r="P1" t="str">
            <v>Redmond</v>
          </cell>
          <cell r="Q1" t="str">
            <v>Sammamish</v>
          </cell>
          <cell r="R1" t="str">
            <v>UTC SC North Sound</v>
          </cell>
          <cell r="S1" t="str">
            <v>Snoqualmie</v>
          </cell>
          <cell r="T1" t="str">
            <v>Woodinville - UTC</v>
          </cell>
          <cell r="U1" t="str">
            <v>Arlington</v>
          </cell>
          <cell r="V1" t="str">
            <v>Everett</v>
          </cell>
          <cell r="W1" t="str">
            <v>Granite Falls</v>
          </cell>
          <cell r="X1" t="str">
            <v>King County</v>
          </cell>
          <cell r="Y1" t="str">
            <v>Lake Stevens</v>
          </cell>
          <cell r="Z1" t="str">
            <v>Marysville</v>
          </cell>
          <cell r="AA1" t="str">
            <v>UTC Marysville</v>
          </cell>
          <cell r="AB1" t="str">
            <v>UTC Seattle</v>
          </cell>
          <cell r="AC1" t="str">
            <v>Newcastle</v>
          </cell>
          <cell r="AD1" t="str">
            <v>Normandy Park</v>
          </cell>
          <cell r="AE1" t="str">
            <v>Seattle</v>
          </cell>
          <cell r="AF1" t="str">
            <v>Algona</v>
          </cell>
          <cell r="AG1" t="str">
            <v>Auburn</v>
          </cell>
          <cell r="AH1" t="str">
            <v>Enumclaw</v>
          </cell>
          <cell r="AI1" t="str">
            <v>Federal Way</v>
          </cell>
          <cell r="AJ1" t="str">
            <v>UTC South Sound</v>
          </cell>
          <cell r="AK1" t="str">
            <v>Kirkland</v>
          </cell>
          <cell r="AL1" t="str">
            <v>Pacific</v>
          </cell>
        </row>
        <row r="2">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of Marysville</v>
          </cell>
          <cell r="V2" t="str">
            <v>WM of Marysville</v>
          </cell>
          <cell r="W2" t="str">
            <v>WM of Marysville</v>
          </cell>
          <cell r="X2" t="str">
            <v>WM of Marysville</v>
          </cell>
          <cell r="Y2" t="str">
            <v>WM of Marysville</v>
          </cell>
          <cell r="Z2" t="str">
            <v>WM of Marysville</v>
          </cell>
          <cell r="AA2" t="str">
            <v>WM of Marysville</v>
          </cell>
          <cell r="AB2" t="str">
            <v>WM of Seattle</v>
          </cell>
          <cell r="AC2" t="str">
            <v>WM of Seattle</v>
          </cell>
          <cell r="AD2" t="str">
            <v>WM of Seattle</v>
          </cell>
          <cell r="AE2" t="str">
            <v>WM of Seattle</v>
          </cell>
          <cell r="AF2" t="str">
            <v>WM South Sound</v>
          </cell>
          <cell r="AG2" t="str">
            <v>WM South Sound</v>
          </cell>
          <cell r="AH2" t="str">
            <v>WM South Sound</v>
          </cell>
          <cell r="AI2" t="str">
            <v>WM South Sound</v>
          </cell>
          <cell r="AJ2" t="str">
            <v>WM South Sound</v>
          </cell>
          <cell r="AK2" t="str">
            <v>WM South Sound</v>
          </cell>
          <cell r="AL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of Marysville</v>
          </cell>
          <cell r="V3" t="str">
            <v>WM of Marysville</v>
          </cell>
          <cell r="W3" t="str">
            <v>WM of Marysville</v>
          </cell>
          <cell r="X3" t="str">
            <v>WM of Marysville</v>
          </cell>
          <cell r="Y3" t="str">
            <v>WM of Marysville</v>
          </cell>
          <cell r="Z3" t="str">
            <v>WM of Marysville</v>
          </cell>
          <cell r="AA3" t="str">
            <v>WM of Marysville</v>
          </cell>
          <cell r="AB3" t="str">
            <v>WM of Seattle</v>
          </cell>
          <cell r="AC3" t="str">
            <v>WM of Seattle</v>
          </cell>
          <cell r="AD3" t="str">
            <v>WM of Seattle</v>
          </cell>
          <cell r="AE3" t="str">
            <v>WM of Seattle</v>
          </cell>
          <cell r="AF3" t="str">
            <v>WM South Sound</v>
          </cell>
          <cell r="AG3" t="str">
            <v>WM South Sound</v>
          </cell>
          <cell r="AH3" t="str">
            <v>WM South Sound</v>
          </cell>
          <cell r="AI3" t="str">
            <v>WM South Sound</v>
          </cell>
          <cell r="AJ3" t="str">
            <v>WM South Sound</v>
          </cell>
          <cell r="AK3" t="str">
            <v>WM South Sound</v>
          </cell>
          <cell r="AL3" t="str">
            <v>WM South Sound</v>
          </cell>
        </row>
        <row r="4">
          <cell r="A4" t="str">
            <v>Customer Type</v>
          </cell>
          <cell r="B4" t="str">
            <v>Service Type</v>
          </cell>
          <cell r="C4" t="str">
            <v>Auburn</v>
          </cell>
          <cell r="D4" t="str">
            <v>Bothell</v>
          </cell>
          <cell r="E4" t="str">
            <v>Brier</v>
          </cell>
          <cell r="F4" t="str">
            <v>Duvall</v>
          </cell>
          <cell r="G4" t="str">
            <v>Edmonds</v>
          </cell>
          <cell r="H4" t="str">
            <v>Everett</v>
          </cell>
          <cell r="I4" t="str">
            <v>Index</v>
          </cell>
          <cell r="J4" t="str">
            <v>King County</v>
          </cell>
          <cell r="K4" t="str">
            <v>Kirkland</v>
          </cell>
          <cell r="L4" t="str">
            <v>Lynnwood</v>
          </cell>
          <cell r="M4" t="str">
            <v>Mill Creek</v>
          </cell>
          <cell r="N4" t="str">
            <v>Mountlake Terrace</v>
          </cell>
          <cell r="O4" t="str">
            <v>Mukilteo</v>
          </cell>
          <cell r="P4" t="str">
            <v>Redmond</v>
          </cell>
          <cell r="Q4" t="str">
            <v>Sammamish</v>
          </cell>
          <cell r="R4" t="str">
            <v>Snohomish County</v>
          </cell>
          <cell r="S4" t="str">
            <v>Snoqualmie</v>
          </cell>
          <cell r="T4" t="str">
            <v>Woodinville</v>
          </cell>
          <cell r="U4" t="str">
            <v>Arlington</v>
          </cell>
          <cell r="V4" t="str">
            <v>Everett</v>
          </cell>
          <cell r="W4" t="str">
            <v>Granite Falls</v>
          </cell>
          <cell r="X4" t="str">
            <v>King County</v>
          </cell>
          <cell r="Y4" t="str">
            <v>Lake Stevens</v>
          </cell>
          <cell r="Z4" t="str">
            <v>Marysville</v>
          </cell>
          <cell r="AA4" t="str">
            <v>Snohomish County</v>
          </cell>
          <cell r="AB4" t="str">
            <v>King County</v>
          </cell>
          <cell r="AC4" t="str">
            <v>Newcastle</v>
          </cell>
          <cell r="AD4" t="str">
            <v>Normandy Park</v>
          </cell>
          <cell r="AE4" t="str">
            <v>Seattle</v>
          </cell>
          <cell r="AF4" t="str">
            <v>Algona</v>
          </cell>
          <cell r="AG4" t="str">
            <v>Auburn</v>
          </cell>
          <cell r="AH4" t="str">
            <v>Enumclaw</v>
          </cell>
          <cell r="AI4" t="str">
            <v>Federal Way</v>
          </cell>
          <cell r="AJ4" t="str">
            <v>King County</v>
          </cell>
          <cell r="AK4" t="str">
            <v>Kirkland</v>
          </cell>
          <cell r="AL4" t="str">
            <v>Pacific</v>
          </cell>
        </row>
        <row r="5">
          <cell r="A5" t="str">
            <v>Residential</v>
          </cell>
          <cell r="B5" t="str">
            <v>Recycling</v>
          </cell>
          <cell r="C5">
            <v>0.277775680553771</v>
          </cell>
          <cell r="E5">
            <v>40.953258043882698</v>
          </cell>
          <cell r="F5">
            <v>68.914388296181599</v>
          </cell>
          <cell r="G5">
            <v>3.49800486418405</v>
          </cell>
          <cell r="H5">
            <v>41.528813005454602</v>
          </cell>
          <cell r="I5">
            <v>2.6263691721632999E-2</v>
          </cell>
          <cell r="J5">
            <v>355.12168972575398</v>
          </cell>
          <cell r="K5">
            <v>583.35346303685606</v>
          </cell>
          <cell r="L5">
            <v>87.907489006737507</v>
          </cell>
          <cell r="M5">
            <v>131.440621383262</v>
          </cell>
          <cell r="N5">
            <v>99.572054916947195</v>
          </cell>
          <cell r="O5">
            <v>124.012362605989</v>
          </cell>
          <cell r="P5">
            <v>345.15221472000701</v>
          </cell>
          <cell r="Q5">
            <v>3.4882603638609802E-2</v>
          </cell>
          <cell r="R5">
            <v>1101.3421423217401</v>
          </cell>
          <cell r="S5">
            <v>118.7963785443</v>
          </cell>
          <cell r="T5">
            <v>56.496708205092197</v>
          </cell>
          <cell r="U5">
            <v>89.923040048728794</v>
          </cell>
          <cell r="V5">
            <v>0.53461300690450597</v>
          </cell>
          <cell r="W5">
            <v>23.747241888393901</v>
          </cell>
          <cell r="X5">
            <v>1.26458381840312E-2</v>
          </cell>
          <cell r="Y5">
            <v>264.13095886642202</v>
          </cell>
          <cell r="Z5">
            <v>481.14267246359202</v>
          </cell>
          <cell r="AA5">
            <v>509.633891124142</v>
          </cell>
          <cell r="AB5">
            <v>332.31465725889097</v>
          </cell>
          <cell r="AC5">
            <v>134.71599864606799</v>
          </cell>
          <cell r="AD5">
            <v>84.383259817036105</v>
          </cell>
          <cell r="AF5">
            <v>13.583582396217199</v>
          </cell>
          <cell r="AG5">
            <v>353.90210959931801</v>
          </cell>
          <cell r="AH5">
            <v>2.9360271191123601</v>
          </cell>
          <cell r="AI5">
            <v>406.98820452831399</v>
          </cell>
          <cell r="AJ5">
            <v>159.61100328038799</v>
          </cell>
          <cell r="AK5">
            <v>3.9460963948274502E-2</v>
          </cell>
          <cell r="AL5">
            <v>41.425497782295601</v>
          </cell>
        </row>
        <row r="6">
          <cell r="A6" t="str">
            <v>Multifamily</v>
          </cell>
          <cell r="B6" t="str">
            <v>Recycling</v>
          </cell>
          <cell r="D6">
            <v>1.9280099947619</v>
          </cell>
          <cell r="E6">
            <v>3.4921960030048702E-2</v>
          </cell>
          <cell r="F6">
            <v>1.0416668657925401</v>
          </cell>
          <cell r="G6">
            <v>1.7443137745812201</v>
          </cell>
          <cell r="H6">
            <v>29.914706037793501</v>
          </cell>
          <cell r="J6">
            <v>8.8962654774235599</v>
          </cell>
          <cell r="K6">
            <v>293.74058504584099</v>
          </cell>
          <cell r="L6">
            <v>36.347794887412597</v>
          </cell>
          <cell r="M6">
            <v>19.4640604987123</v>
          </cell>
          <cell r="N6">
            <v>42.440857215740003</v>
          </cell>
          <cell r="O6">
            <v>22.343487448079099</v>
          </cell>
          <cell r="P6">
            <v>202.58563936655599</v>
          </cell>
          <cell r="R6">
            <v>224.27467335011801</v>
          </cell>
          <cell r="S6">
            <v>1.49243032250301</v>
          </cell>
          <cell r="T6">
            <v>37.447816163750801</v>
          </cell>
          <cell r="U6">
            <v>10.9296045374131</v>
          </cell>
          <cell r="V6">
            <v>8.5330242166129097E-2</v>
          </cell>
          <cell r="W6">
            <v>0.44910653771646902</v>
          </cell>
          <cell r="Y6">
            <v>2.0386199437104899</v>
          </cell>
          <cell r="Z6">
            <v>65.276784073551298</v>
          </cell>
          <cell r="AA6">
            <v>4.5183854291554297</v>
          </cell>
          <cell r="AB6">
            <v>75.0245887020493</v>
          </cell>
          <cell r="AC6">
            <v>25.102793097224701</v>
          </cell>
          <cell r="AD6">
            <v>3.9919957647041899</v>
          </cell>
          <cell r="AE6">
            <v>1.9549357278842601</v>
          </cell>
          <cell r="AF6">
            <v>0.111899950334046</v>
          </cell>
          <cell r="AG6">
            <v>143.333623940736</v>
          </cell>
          <cell r="AI6">
            <v>135.14719183828001</v>
          </cell>
          <cell r="AJ6">
            <v>5.1116156620951596</v>
          </cell>
          <cell r="AL6">
            <v>2.4852542072489099</v>
          </cell>
        </row>
        <row r="7">
          <cell r="A7" t="str">
            <v>Grand total</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v>0</v>
          </cell>
          <cell r="D1" t="str">
            <v>Bothell</v>
          </cell>
          <cell r="E1" t="str">
            <v>Brier UTC</v>
          </cell>
          <cell r="F1" t="str">
            <v>Duvall</v>
          </cell>
          <cell r="G1" t="str">
            <v>Edmonds UTC</v>
          </cell>
          <cell r="H1" t="str">
            <v>Everett UTC</v>
          </cell>
          <cell r="I1" t="str">
            <v>Index</v>
          </cell>
          <cell r="J1" t="str">
            <v>UTC KC North Sound</v>
          </cell>
          <cell r="K1" t="str">
            <v>Kirkland</v>
          </cell>
          <cell r="L1" t="str">
            <v>Lynnwood UTC</v>
          </cell>
          <cell r="M1" t="str">
            <v>Mill Creek</v>
          </cell>
          <cell r="N1" t="str">
            <v>Mountlake Terrace</v>
          </cell>
          <cell r="O1" t="str">
            <v>Mukilteo</v>
          </cell>
          <cell r="P1" t="str">
            <v>Redmond</v>
          </cell>
          <cell r="Q1" t="str">
            <v>Sammamish</v>
          </cell>
          <cell r="R1" t="str">
            <v>UTC SC North Sound</v>
          </cell>
          <cell r="S1" t="str">
            <v>Snoqualmie</v>
          </cell>
          <cell r="T1" t="str">
            <v>Woodinville - UTC</v>
          </cell>
          <cell r="U1" t="str">
            <v>Arlington</v>
          </cell>
          <cell r="V1">
            <v>0</v>
          </cell>
          <cell r="W1" t="str">
            <v>Everett UTC</v>
          </cell>
          <cell r="X1" t="str">
            <v>Granite Falls</v>
          </cell>
          <cell r="Y1" t="str">
            <v>Lake Stevens</v>
          </cell>
          <cell r="Z1" t="str">
            <v>Marysville</v>
          </cell>
          <cell r="AA1" t="str">
            <v>UTC Marysville</v>
          </cell>
          <cell r="AB1" t="str">
            <v>UTC Seattle</v>
          </cell>
          <cell r="AC1" t="str">
            <v>Newcastle</v>
          </cell>
          <cell r="AD1" t="str">
            <v>Normandy Park</v>
          </cell>
          <cell r="AE1" t="str">
            <v>Seattle</v>
          </cell>
          <cell r="AF1" t="str">
            <v>Algona</v>
          </cell>
          <cell r="AG1" t="str">
            <v>Auburn</v>
          </cell>
          <cell r="AH1" t="str">
            <v>Enumclaw</v>
          </cell>
          <cell r="AI1" t="str">
            <v>Federal Way</v>
          </cell>
          <cell r="AJ1" t="str">
            <v>UTC South Sound</v>
          </cell>
          <cell r="AK1" t="str">
            <v>Kirkland</v>
          </cell>
          <cell r="AL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of Marysville</v>
          </cell>
          <cell r="V2" t="str">
            <v>WM of Marysville</v>
          </cell>
          <cell r="W2" t="str">
            <v>WM of Marysville</v>
          </cell>
          <cell r="X2" t="str">
            <v>WM of Marysville</v>
          </cell>
          <cell r="Y2" t="str">
            <v>WM of Marysville</v>
          </cell>
          <cell r="Z2" t="str">
            <v>WM of Marysville</v>
          </cell>
          <cell r="AA2" t="str">
            <v>WM of Marysville</v>
          </cell>
          <cell r="AB2" t="str">
            <v>WM of Seattle</v>
          </cell>
          <cell r="AC2" t="str">
            <v>WM of Seattle</v>
          </cell>
          <cell r="AD2" t="str">
            <v>WM of Seattle</v>
          </cell>
          <cell r="AE2" t="str">
            <v>WM of Seattle</v>
          </cell>
          <cell r="AF2" t="str">
            <v>WM South Sound</v>
          </cell>
          <cell r="AG2" t="str">
            <v>WM South Sound</v>
          </cell>
          <cell r="AH2" t="str">
            <v>WM South Sound</v>
          </cell>
          <cell r="AI2" t="str">
            <v>WM South Sound</v>
          </cell>
          <cell r="AJ2" t="str">
            <v>WM South Sound</v>
          </cell>
          <cell r="AK2" t="str">
            <v>WM South Sound</v>
          </cell>
          <cell r="AL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of Marysville</v>
          </cell>
          <cell r="V3" t="str">
            <v>WM of Marysville</v>
          </cell>
          <cell r="W3" t="str">
            <v>WM of Marysville</v>
          </cell>
          <cell r="X3" t="str">
            <v>WM of Marysville</v>
          </cell>
          <cell r="Y3" t="str">
            <v>WM of Marysville</v>
          </cell>
          <cell r="Z3" t="str">
            <v>WM of Marysville</v>
          </cell>
          <cell r="AA3" t="str">
            <v>WM of Marysville</v>
          </cell>
          <cell r="AB3" t="str">
            <v>WM of Seattle</v>
          </cell>
          <cell r="AC3" t="str">
            <v>WM of Seattle</v>
          </cell>
          <cell r="AD3" t="str">
            <v>WM of Seattle</v>
          </cell>
          <cell r="AE3" t="str">
            <v>WM of Seattle</v>
          </cell>
          <cell r="AF3" t="str">
            <v>WM South Sound</v>
          </cell>
          <cell r="AG3" t="str">
            <v>WM South Sound</v>
          </cell>
          <cell r="AH3" t="str">
            <v>WM South Sound</v>
          </cell>
          <cell r="AI3" t="str">
            <v>WM South Sound</v>
          </cell>
          <cell r="AJ3" t="str">
            <v>WM South Sound</v>
          </cell>
          <cell r="AK3" t="str">
            <v>WM South Sound</v>
          </cell>
          <cell r="AL3" t="str">
            <v>WM South Sound</v>
          </cell>
        </row>
        <row r="4">
          <cell r="A4" t="str">
            <v>Customer Type</v>
          </cell>
          <cell r="B4" t="str">
            <v>Service Type</v>
          </cell>
          <cell r="C4" t="str">
            <v>Auburn</v>
          </cell>
          <cell r="D4" t="str">
            <v>Bothell</v>
          </cell>
          <cell r="E4" t="str">
            <v>Brier</v>
          </cell>
          <cell r="F4" t="str">
            <v>Duvall</v>
          </cell>
          <cell r="G4" t="str">
            <v>Edmonds</v>
          </cell>
          <cell r="H4" t="str">
            <v>Everett</v>
          </cell>
          <cell r="I4" t="str">
            <v>Index</v>
          </cell>
          <cell r="J4" t="str">
            <v>King County</v>
          </cell>
          <cell r="K4" t="str">
            <v>Kirkland</v>
          </cell>
          <cell r="L4" t="str">
            <v>Lynnwood</v>
          </cell>
          <cell r="M4" t="str">
            <v>Mill Creek</v>
          </cell>
          <cell r="N4" t="str">
            <v>Mountlake Terrace</v>
          </cell>
          <cell r="O4" t="str">
            <v>Mukilteo</v>
          </cell>
          <cell r="P4" t="str">
            <v>Redmond</v>
          </cell>
          <cell r="Q4" t="str">
            <v>Sammamish</v>
          </cell>
          <cell r="R4" t="str">
            <v>Snohomish County</v>
          </cell>
          <cell r="S4" t="str">
            <v>Snoqualmie</v>
          </cell>
          <cell r="T4" t="str">
            <v>Woodinville</v>
          </cell>
          <cell r="U4" t="str">
            <v>Arlington</v>
          </cell>
          <cell r="V4" t="str">
            <v>Auburn</v>
          </cell>
          <cell r="W4" t="str">
            <v>Everett</v>
          </cell>
          <cell r="X4" t="str">
            <v>Granite Falls</v>
          </cell>
          <cell r="Y4" t="str">
            <v>Lake Stevens</v>
          </cell>
          <cell r="Z4" t="str">
            <v>Marysville</v>
          </cell>
          <cell r="AA4" t="str">
            <v>Snohomish County</v>
          </cell>
          <cell r="AB4" t="str">
            <v>King County</v>
          </cell>
          <cell r="AC4" t="str">
            <v>Newcastle</v>
          </cell>
          <cell r="AD4" t="str">
            <v>Normandy Park</v>
          </cell>
          <cell r="AE4" t="str">
            <v>Seattle</v>
          </cell>
          <cell r="AF4" t="str">
            <v>Algona</v>
          </cell>
          <cell r="AG4" t="str">
            <v>Auburn</v>
          </cell>
          <cell r="AH4" t="str">
            <v>Enumclaw</v>
          </cell>
          <cell r="AI4" t="str">
            <v>Federal Way</v>
          </cell>
          <cell r="AJ4" t="str">
            <v>King County</v>
          </cell>
          <cell r="AK4" t="str">
            <v>Kirkland</v>
          </cell>
          <cell r="AL4" t="str">
            <v>Pacific</v>
          </cell>
        </row>
        <row r="5">
          <cell r="A5" t="str">
            <v>Residential</v>
          </cell>
          <cell r="B5" t="str">
            <v>Recycling</v>
          </cell>
          <cell r="C5">
            <v>0.203297184238908</v>
          </cell>
          <cell r="E5">
            <v>31.636010213557899</v>
          </cell>
          <cell r="F5">
            <v>65.159508800648098</v>
          </cell>
          <cell r="G5">
            <v>3.38874661266146</v>
          </cell>
          <cell r="H5">
            <v>42.687921655544102</v>
          </cell>
          <cell r="I5">
            <v>4.1073624659473798E-2</v>
          </cell>
          <cell r="J5">
            <v>321.78751567304101</v>
          </cell>
          <cell r="K5">
            <v>542.83023154738999</v>
          </cell>
          <cell r="L5">
            <v>75.382009149720602</v>
          </cell>
          <cell r="M5">
            <v>137.50431324288101</v>
          </cell>
          <cell r="N5">
            <v>79.638996962641798</v>
          </cell>
          <cell r="O5">
            <v>82.142934862575899</v>
          </cell>
          <cell r="P5">
            <v>325.02439342141503</v>
          </cell>
          <cell r="Q5">
            <v>3.2789868425630399E-2</v>
          </cell>
          <cell r="R5">
            <v>1038.51777894623</v>
          </cell>
          <cell r="S5">
            <v>108.256786076748</v>
          </cell>
          <cell r="T5">
            <v>52.778227061384897</v>
          </cell>
          <cell r="U5">
            <v>91.950228308637804</v>
          </cell>
          <cell r="V5">
            <v>9.5247851952267194E-3</v>
          </cell>
          <cell r="W5">
            <v>0.60716309506061505</v>
          </cell>
          <cell r="X5">
            <v>21.535539326407601</v>
          </cell>
          <cell r="Y5">
            <v>204.813200307111</v>
          </cell>
          <cell r="Z5">
            <v>428.40298597720198</v>
          </cell>
          <cell r="AA5">
            <v>506.254538178563</v>
          </cell>
          <cell r="AB5">
            <v>245.674574461942</v>
          </cell>
          <cell r="AC5">
            <v>91.409442120601</v>
          </cell>
          <cell r="AD5">
            <v>40.617660453118603</v>
          </cell>
          <cell r="AF5">
            <v>19.5011068839876</v>
          </cell>
          <cell r="AG5">
            <v>276.72393986710802</v>
          </cell>
          <cell r="AH5">
            <v>2.7541209529880399</v>
          </cell>
          <cell r="AI5">
            <v>336.48146402410202</v>
          </cell>
          <cell r="AJ5">
            <v>128.998573220954</v>
          </cell>
          <cell r="AK5">
            <v>3.45957795457719E-2</v>
          </cell>
          <cell r="AL5">
            <v>25.346337114579899</v>
          </cell>
        </row>
        <row r="6">
          <cell r="A6" t="str">
            <v>Multifamily</v>
          </cell>
          <cell r="B6" t="str">
            <v>Recycling</v>
          </cell>
          <cell r="D6">
            <v>1.8122442544081301</v>
          </cell>
          <cell r="E6">
            <v>3.2789868425630399E-2</v>
          </cell>
          <cell r="F6">
            <v>1.2275491269026799</v>
          </cell>
          <cell r="G6">
            <v>1.3117673152800899</v>
          </cell>
          <cell r="H6">
            <v>25.400067552022499</v>
          </cell>
          <cell r="J6">
            <v>7.35476748786889</v>
          </cell>
          <cell r="K6">
            <v>249.81893182642801</v>
          </cell>
          <cell r="L6">
            <v>33.144171582882102</v>
          </cell>
          <cell r="M6">
            <v>17.135985239234401</v>
          </cell>
          <cell r="N6">
            <v>37.387698291923201</v>
          </cell>
          <cell r="O6">
            <v>20.406515747308799</v>
          </cell>
          <cell r="P6">
            <v>169.71915092327899</v>
          </cell>
          <cell r="R6">
            <v>211.49793033215801</v>
          </cell>
          <cell r="S6">
            <v>1.4824687678977999</v>
          </cell>
          <cell r="T6">
            <v>31.955970298090101</v>
          </cell>
          <cell r="U6">
            <v>8.3020808686684902</v>
          </cell>
          <cell r="W6">
            <v>7.5404549462211506E-2</v>
          </cell>
          <cell r="X6">
            <v>0.31749283984089099</v>
          </cell>
          <cell r="Y6">
            <v>0.458578720545186</v>
          </cell>
          <cell r="Z6">
            <v>50.0624837862349</v>
          </cell>
          <cell r="AA6">
            <v>4.03313892852844</v>
          </cell>
          <cell r="AB6">
            <v>57.545182725975401</v>
          </cell>
          <cell r="AC6">
            <v>21.985464510005698</v>
          </cell>
          <cell r="AD6">
            <v>2.7961518164272601</v>
          </cell>
          <cell r="AE6">
            <v>1.7458975337297999</v>
          </cell>
          <cell r="AF6">
            <v>7.7243273701518803E-2</v>
          </cell>
          <cell r="AG6">
            <v>122.366046372545</v>
          </cell>
          <cell r="AI6">
            <v>119.823680823469</v>
          </cell>
          <cell r="AJ6">
            <v>5.8647994330920001</v>
          </cell>
          <cell r="AL6">
            <v>2.4343521120409202</v>
          </cell>
        </row>
        <row r="7">
          <cell r="A7" t="str">
            <v>Grand total</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v>0</v>
          </cell>
          <cell r="D1">
            <v>0</v>
          </cell>
          <cell r="E1" t="str">
            <v>Bothell</v>
          </cell>
          <cell r="F1" t="str">
            <v>Brier UTC</v>
          </cell>
          <cell r="G1" t="str">
            <v>Duvall</v>
          </cell>
          <cell r="H1" t="str">
            <v>Edmonds UTC</v>
          </cell>
          <cell r="I1" t="str">
            <v>Everett UTC</v>
          </cell>
          <cell r="J1" t="str">
            <v>Index</v>
          </cell>
          <cell r="K1" t="str">
            <v>UTC KC North Sound</v>
          </cell>
          <cell r="L1" t="str">
            <v>Kirkland</v>
          </cell>
          <cell r="M1" t="str">
            <v>Lynnwood UTC</v>
          </cell>
          <cell r="N1" t="str">
            <v>Mill Creek</v>
          </cell>
          <cell r="O1">
            <v>0</v>
          </cell>
          <cell r="P1" t="str">
            <v>Mountlake Terrace</v>
          </cell>
          <cell r="Q1" t="str">
            <v>Mukilteo</v>
          </cell>
          <cell r="R1" t="str">
            <v>Redmond</v>
          </cell>
          <cell r="S1" t="str">
            <v>Sammamish</v>
          </cell>
          <cell r="T1" t="str">
            <v>Seattle</v>
          </cell>
          <cell r="U1" t="str">
            <v>UTC SC North Sound</v>
          </cell>
          <cell r="V1" t="str">
            <v>Snoqualmie</v>
          </cell>
          <cell r="W1" t="str">
            <v>Woodinville - UTC</v>
          </cell>
          <cell r="X1" t="str">
            <v>Arlington</v>
          </cell>
          <cell r="Y1">
            <v>0</v>
          </cell>
          <cell r="Z1" t="str">
            <v>Everett UTC</v>
          </cell>
          <cell r="AA1" t="str">
            <v>Granite Falls</v>
          </cell>
          <cell r="AB1" t="str">
            <v>Lake Stevens</v>
          </cell>
          <cell r="AC1" t="str">
            <v>Marysville</v>
          </cell>
          <cell r="AD1" t="str">
            <v>UTC Marysville</v>
          </cell>
          <cell r="AE1">
            <v>0</v>
          </cell>
          <cell r="AF1" t="str">
            <v>UTC Seattle</v>
          </cell>
          <cell r="AG1" t="str">
            <v>Newcastle</v>
          </cell>
          <cell r="AH1" t="str">
            <v>Normandy Park</v>
          </cell>
          <cell r="AI1">
            <v>0</v>
          </cell>
          <cell r="AJ1">
            <v>0</v>
          </cell>
          <cell r="AK1" t="str">
            <v>Seattle</v>
          </cell>
          <cell r="AL1" t="str">
            <v>Tukwila</v>
          </cell>
          <cell r="AM1" t="str">
            <v>Algona</v>
          </cell>
          <cell r="AN1" t="str">
            <v>Auburn</v>
          </cell>
          <cell r="AO1" t="str">
            <v>Enumclaw</v>
          </cell>
          <cell r="AP1" t="str">
            <v>Federal Way</v>
          </cell>
          <cell r="AQ1" t="str">
            <v>UTC South Sound</v>
          </cell>
          <cell r="AR1" t="str">
            <v>Kirkland</v>
          </cell>
          <cell r="AS1">
            <v>0</v>
          </cell>
          <cell r="AT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North Sound</v>
          </cell>
          <cell r="V2" t="str">
            <v>WM North Sound</v>
          </cell>
          <cell r="W2" t="str">
            <v>WM North Sound</v>
          </cell>
          <cell r="X2" t="str">
            <v>WM of Marysville</v>
          </cell>
          <cell r="Y2" t="str">
            <v>WM of Marysville</v>
          </cell>
          <cell r="Z2" t="str">
            <v>WM of Marysville</v>
          </cell>
          <cell r="AA2" t="str">
            <v>WM of Marysville</v>
          </cell>
          <cell r="AB2" t="str">
            <v>WM of Marysville</v>
          </cell>
          <cell r="AC2" t="str">
            <v>WM of Marysville</v>
          </cell>
          <cell r="AD2" t="str">
            <v>WM of Marysville</v>
          </cell>
          <cell r="AE2" t="str">
            <v>WM of Seattle</v>
          </cell>
          <cell r="AF2" t="str">
            <v>WM of Seattle</v>
          </cell>
          <cell r="AG2" t="str">
            <v>WM of Seattle</v>
          </cell>
          <cell r="AH2" t="str">
            <v>WM of Seattle</v>
          </cell>
          <cell r="AI2" t="str">
            <v>WM of Seattle</v>
          </cell>
          <cell r="AJ2" t="str">
            <v>WM of Seattle</v>
          </cell>
          <cell r="AK2" t="str">
            <v>WM of Seattle</v>
          </cell>
          <cell r="AL2" t="str">
            <v>WM of Seattle</v>
          </cell>
          <cell r="AM2" t="str">
            <v>WM South Sound</v>
          </cell>
          <cell r="AN2" t="str">
            <v>WM South Sound</v>
          </cell>
          <cell r="AO2" t="str">
            <v>WM South Sound</v>
          </cell>
          <cell r="AP2" t="str">
            <v>WM South Sound</v>
          </cell>
          <cell r="AQ2" t="str">
            <v>WM South Sound</v>
          </cell>
          <cell r="AR2" t="str">
            <v>WM South Sound</v>
          </cell>
          <cell r="AS2" t="str">
            <v>WM South Sound</v>
          </cell>
          <cell r="AT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North Sound</v>
          </cell>
          <cell r="V3" t="str">
            <v>WM North Sound</v>
          </cell>
          <cell r="W3" t="str">
            <v>WM North Sound</v>
          </cell>
          <cell r="X3" t="str">
            <v>WM of Marysville</v>
          </cell>
          <cell r="Y3" t="str">
            <v>WM of Marysville</v>
          </cell>
          <cell r="Z3" t="str">
            <v>WM of Marysville</v>
          </cell>
          <cell r="AA3" t="str">
            <v>WM of Marysville</v>
          </cell>
          <cell r="AB3" t="str">
            <v>WM of Marysville</v>
          </cell>
          <cell r="AC3" t="str">
            <v>WM of Marysville</v>
          </cell>
          <cell r="AD3" t="str">
            <v>WM of Marysville</v>
          </cell>
          <cell r="AE3" t="str">
            <v>WM of Seattle</v>
          </cell>
          <cell r="AF3" t="str">
            <v>WM of Seattle</v>
          </cell>
          <cell r="AG3" t="str">
            <v>WM of Seattle</v>
          </cell>
          <cell r="AH3" t="str">
            <v>WM of Seattle</v>
          </cell>
          <cell r="AI3" t="str">
            <v>WM of Seattle</v>
          </cell>
          <cell r="AJ3" t="str">
            <v>WM of Seattle</v>
          </cell>
          <cell r="AK3" t="str">
            <v>WM of Seattle</v>
          </cell>
          <cell r="AL3" t="str">
            <v>WM of Seattle</v>
          </cell>
          <cell r="AM3" t="str">
            <v>WM South Sound</v>
          </cell>
          <cell r="AN3" t="str">
            <v>WM South Sound</v>
          </cell>
          <cell r="AO3" t="str">
            <v>WM South Sound</v>
          </cell>
          <cell r="AP3" t="str">
            <v>WM South Sound</v>
          </cell>
          <cell r="AQ3" t="str">
            <v>WM South Sound</v>
          </cell>
          <cell r="AR3" t="str">
            <v>WM South Sound</v>
          </cell>
          <cell r="AS3" t="str">
            <v>WM South Sound</v>
          </cell>
          <cell r="AT3" t="str">
            <v>WM South Sound</v>
          </cell>
          <cell r="AU3" t="str">
            <v>Grand total</v>
          </cell>
        </row>
        <row r="4">
          <cell r="A4" t="str">
            <v>Customer Type</v>
          </cell>
          <cell r="B4" t="str">
            <v>Service Type</v>
          </cell>
          <cell r="C4" t="str">
            <v>Auburn</v>
          </cell>
          <cell r="D4" t="str">
            <v>Bellevue</v>
          </cell>
          <cell r="E4" t="str">
            <v>Bothell</v>
          </cell>
          <cell r="F4" t="str">
            <v>Brier</v>
          </cell>
          <cell r="G4" t="str">
            <v>Duvall</v>
          </cell>
          <cell r="H4" t="str">
            <v>Edmonds</v>
          </cell>
          <cell r="I4" t="str">
            <v>Everett</v>
          </cell>
          <cell r="J4" t="str">
            <v>Index</v>
          </cell>
          <cell r="K4" t="str">
            <v>King County</v>
          </cell>
          <cell r="L4" t="str">
            <v>Kirkland</v>
          </cell>
          <cell r="M4" t="str">
            <v>Lynnwood</v>
          </cell>
          <cell r="N4" t="str">
            <v>Mill Creek</v>
          </cell>
          <cell r="O4" t="str">
            <v>Monroe</v>
          </cell>
          <cell r="P4" t="str">
            <v>Mountlake Terrace</v>
          </cell>
          <cell r="Q4" t="str">
            <v>Mukilteo</v>
          </cell>
          <cell r="R4" t="str">
            <v>Redmond</v>
          </cell>
          <cell r="S4" t="str">
            <v>Sammamish</v>
          </cell>
          <cell r="T4" t="str">
            <v>Seattle</v>
          </cell>
          <cell r="U4" t="str">
            <v>Snohomish County</v>
          </cell>
          <cell r="V4" t="str">
            <v>Snoqualmie</v>
          </cell>
          <cell r="W4" t="str">
            <v>Woodinville</v>
          </cell>
          <cell r="X4" t="str">
            <v>Arlington</v>
          </cell>
          <cell r="Y4" t="str">
            <v>Auburn</v>
          </cell>
          <cell r="Z4" t="str">
            <v>Everett</v>
          </cell>
          <cell r="AA4" t="str">
            <v>Granite Falls</v>
          </cell>
          <cell r="AB4" t="str">
            <v>Lake Stevens</v>
          </cell>
          <cell r="AC4" t="str">
            <v>Marysville</v>
          </cell>
          <cell r="AD4" t="str">
            <v>Snohomish County</v>
          </cell>
          <cell r="AE4" t="str">
            <v>Burien</v>
          </cell>
          <cell r="AF4" t="str">
            <v>King County</v>
          </cell>
          <cell r="AG4" t="str">
            <v>Newcastle</v>
          </cell>
          <cell r="AH4" t="str">
            <v>Normandy Park</v>
          </cell>
          <cell r="AI4" t="str">
            <v>Renton</v>
          </cell>
          <cell r="AJ4" t="str">
            <v>SeaTac</v>
          </cell>
          <cell r="AK4" t="str">
            <v>Seattle</v>
          </cell>
          <cell r="AL4" t="str">
            <v>Tukwila</v>
          </cell>
          <cell r="AM4" t="str">
            <v>Algona</v>
          </cell>
          <cell r="AN4" t="str">
            <v>Auburn</v>
          </cell>
          <cell r="AO4" t="str">
            <v>Enumclaw</v>
          </cell>
          <cell r="AP4" t="str">
            <v>Federal Way</v>
          </cell>
          <cell r="AQ4" t="str">
            <v>King County</v>
          </cell>
          <cell r="AR4" t="str">
            <v>Kirkland</v>
          </cell>
          <cell r="AS4" t="str">
            <v>Kitsap County</v>
          </cell>
          <cell r="AT4" t="str">
            <v>Pacific</v>
          </cell>
          <cell r="AU4" t="str">
            <v>Grand total</v>
          </cell>
        </row>
        <row r="5">
          <cell r="A5" t="str">
            <v>Residential</v>
          </cell>
          <cell r="B5" t="str">
            <v>Recycling</v>
          </cell>
          <cell r="C5">
            <v>0.21452572024101399</v>
          </cell>
          <cell r="F5">
            <v>46.330765294809503</v>
          </cell>
          <cell r="G5">
            <v>80.833950170369803</v>
          </cell>
          <cell r="H5">
            <v>4.4736641530336003</v>
          </cell>
          <cell r="I5">
            <v>45.358204170373803</v>
          </cell>
          <cell r="J5">
            <v>3.2840887331222701E-2</v>
          </cell>
          <cell r="K5">
            <v>426.59913762647699</v>
          </cell>
          <cell r="L5">
            <v>527.88160792634994</v>
          </cell>
          <cell r="M5">
            <v>92.622635728370895</v>
          </cell>
          <cell r="N5">
            <v>117.93890525900299</v>
          </cell>
          <cell r="P5">
            <v>97.656288155907802</v>
          </cell>
          <cell r="Q5">
            <v>114.89924614980799</v>
          </cell>
          <cell r="R5">
            <v>263.80583006393601</v>
          </cell>
          <cell r="S5">
            <v>4.4902664264288301E-2</v>
          </cell>
          <cell r="U5">
            <v>1365.2106571926199</v>
          </cell>
          <cell r="V5">
            <v>103.04600797375601</v>
          </cell>
          <cell r="W5">
            <v>68.231965107952007</v>
          </cell>
          <cell r="X5">
            <v>86.682908147640305</v>
          </cell>
          <cell r="Y5">
            <v>1.9360961401701501E-2</v>
          </cell>
          <cell r="Z5">
            <v>0.67951117055752597</v>
          </cell>
          <cell r="AA5">
            <v>22.986179593168199</v>
          </cell>
          <cell r="AB5">
            <v>215.76395837866801</v>
          </cell>
          <cell r="AC5">
            <v>412.21165267077998</v>
          </cell>
          <cell r="AD5">
            <v>579.40273359380603</v>
          </cell>
          <cell r="AF5">
            <v>267.614881081796</v>
          </cell>
          <cell r="AG5">
            <v>70.713303540256803</v>
          </cell>
          <cell r="AH5">
            <v>53.553662087098097</v>
          </cell>
          <cell r="AM5">
            <v>17.8373805362098</v>
          </cell>
          <cell r="AN5">
            <v>363.06189442978501</v>
          </cell>
          <cell r="AO5">
            <v>3.2160051986999001</v>
          </cell>
          <cell r="AP5">
            <v>390.36536202188103</v>
          </cell>
          <cell r="AQ5">
            <v>145.30641984070101</v>
          </cell>
          <cell r="AR5">
            <v>4.3877851278379801E-2</v>
          </cell>
          <cell r="AT5">
            <v>30.987201726143301</v>
          </cell>
          <cell r="AU5">
            <v>6015.6274270744798</v>
          </cell>
        </row>
        <row r="6">
          <cell r="A6" t="str">
            <v>Multifamily</v>
          </cell>
          <cell r="B6" t="str">
            <v>Recycling</v>
          </cell>
          <cell r="E6">
            <v>1.5467425088106299</v>
          </cell>
          <cell r="F6">
            <v>4.0057028082413897E-2</v>
          </cell>
          <cell r="G6">
            <v>1.2366931188516199</v>
          </cell>
          <cell r="H6">
            <v>1.3461535474699799</v>
          </cell>
          <cell r="I6">
            <v>20.492415326660801</v>
          </cell>
          <cell r="K6">
            <v>6.7564349164117496</v>
          </cell>
          <cell r="L6">
            <v>182.80490074391801</v>
          </cell>
          <cell r="M6">
            <v>27.511654907232501</v>
          </cell>
          <cell r="N6">
            <v>12.9065257794835</v>
          </cell>
          <cell r="P6">
            <v>33.419985958650599</v>
          </cell>
          <cell r="Q6">
            <v>16.233850503610501</v>
          </cell>
          <cell r="R6">
            <v>132.05331896477099</v>
          </cell>
          <cell r="U6">
            <v>171.15776094693399</v>
          </cell>
          <cell r="V6">
            <v>1.4757253198790401</v>
          </cell>
          <cell r="W6">
            <v>30.8426215104612</v>
          </cell>
          <cell r="X6">
            <v>7.6529674281642297</v>
          </cell>
          <cell r="Z6">
            <v>7.0514480433148702E-2</v>
          </cell>
          <cell r="AA6">
            <v>0.25816645650370701</v>
          </cell>
          <cell r="AB6">
            <v>1.7230889301574901</v>
          </cell>
          <cell r="AC6">
            <v>44.1669077352432</v>
          </cell>
          <cell r="AD6">
            <v>3.4138141155351698</v>
          </cell>
          <cell r="AF6">
            <v>59.294215249961198</v>
          </cell>
          <cell r="AG6">
            <v>20.486341096304098</v>
          </cell>
          <cell r="AH6">
            <v>2.5967406307299998</v>
          </cell>
          <cell r="AK6">
            <v>1.4684125029895601</v>
          </cell>
          <cell r="AM6">
            <v>8.9143828917461795E-2</v>
          </cell>
          <cell r="AN6">
            <v>115.651649504413</v>
          </cell>
          <cell r="AP6">
            <v>97.589314819779602</v>
          </cell>
          <cell r="AQ6">
            <v>5.3328605904249002</v>
          </cell>
          <cell r="AT6">
            <v>1.6381457123698799</v>
          </cell>
          <cell r="AU6">
            <v>1001.25712416315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v>0</v>
          </cell>
          <cell r="D1" t="str">
            <v>Bothell</v>
          </cell>
          <cell r="E1" t="str">
            <v>Brier UTC</v>
          </cell>
          <cell r="F1" t="str">
            <v>Duvall</v>
          </cell>
          <cell r="G1" t="str">
            <v>Edmonds UTC</v>
          </cell>
          <cell r="H1" t="str">
            <v>Everett UTC</v>
          </cell>
          <cell r="I1" t="str">
            <v>Index</v>
          </cell>
          <cell r="J1" t="str">
            <v>UTC KC North Sound</v>
          </cell>
          <cell r="K1" t="str">
            <v>Kirkland</v>
          </cell>
          <cell r="L1" t="str">
            <v>Kitsap County</v>
          </cell>
          <cell r="M1" t="str">
            <v>Lynnwood UTC</v>
          </cell>
          <cell r="N1" t="str">
            <v>Mill Creek</v>
          </cell>
          <cell r="O1" t="str">
            <v>Monroe</v>
          </cell>
          <cell r="P1" t="str">
            <v>Mountlake Terrace</v>
          </cell>
          <cell r="Q1" t="str">
            <v>Mukilteo</v>
          </cell>
          <cell r="R1" t="str">
            <v>Redmond</v>
          </cell>
          <cell r="S1" t="str">
            <v>Sammamish</v>
          </cell>
          <cell r="T1" t="str">
            <v>Seattle</v>
          </cell>
          <cell r="U1" t="str">
            <v>UTC SC North Sound</v>
          </cell>
          <cell r="V1" t="str">
            <v>Snoqualmie</v>
          </cell>
          <cell r="W1" t="str">
            <v>Woodinville - UTC</v>
          </cell>
          <cell r="X1" t="str">
            <v>Arlington</v>
          </cell>
          <cell r="Y1" t="str">
            <v>Auburn</v>
          </cell>
          <cell r="Z1" t="str">
            <v>Everett UTC</v>
          </cell>
          <cell r="AA1" t="str">
            <v>Granite Falls</v>
          </cell>
          <cell r="AB1" t="str">
            <v>Lake Stevens</v>
          </cell>
          <cell r="AC1" t="str">
            <v>Marysville</v>
          </cell>
          <cell r="AD1" t="str">
            <v>UTC Marysville</v>
          </cell>
          <cell r="AE1" t="str">
            <v>Burien</v>
          </cell>
          <cell r="AF1" t="str">
            <v>UTC Seattle</v>
          </cell>
          <cell r="AG1" t="str">
            <v>Newcastle</v>
          </cell>
          <cell r="AH1" t="str">
            <v>Normandy Park</v>
          </cell>
          <cell r="AI1" t="str">
            <v>Renton</v>
          </cell>
          <cell r="AJ1" t="str">
            <v>SeaTac</v>
          </cell>
          <cell r="AK1" t="str">
            <v>Seattle</v>
          </cell>
          <cell r="AL1" t="str">
            <v>Tukwila</v>
          </cell>
          <cell r="AM1" t="str">
            <v>Algona</v>
          </cell>
          <cell r="AN1" t="str">
            <v>Auburn</v>
          </cell>
          <cell r="AO1" t="str">
            <v>Bremerton</v>
          </cell>
          <cell r="AP1" t="str">
            <v>Enumclaw</v>
          </cell>
          <cell r="AQ1" t="str">
            <v>Federal Way</v>
          </cell>
          <cell r="AR1" t="str">
            <v>UTC South Sound</v>
          </cell>
          <cell r="AU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North Sound</v>
          </cell>
          <cell r="V2" t="str">
            <v>WM North Sound</v>
          </cell>
          <cell r="W2" t="str">
            <v>WM North Sound</v>
          </cell>
          <cell r="X2" t="str">
            <v>WM of Marysville</v>
          </cell>
          <cell r="Y2" t="str">
            <v>WM of Marysville</v>
          </cell>
          <cell r="Z2" t="str">
            <v>WM of Marysville</v>
          </cell>
          <cell r="AA2" t="str">
            <v>WM of Marysville</v>
          </cell>
          <cell r="AB2" t="str">
            <v>WM of Marysville</v>
          </cell>
          <cell r="AC2" t="str">
            <v>WM of Marysville</v>
          </cell>
          <cell r="AD2" t="str">
            <v>WM of Marysville</v>
          </cell>
          <cell r="AE2" t="str">
            <v>WM of Seattle</v>
          </cell>
          <cell r="AF2" t="str">
            <v>WM of Seattle</v>
          </cell>
          <cell r="AG2" t="str">
            <v>WM of Seattle</v>
          </cell>
          <cell r="AH2" t="str">
            <v>WM of Seattle</v>
          </cell>
          <cell r="AI2" t="str">
            <v>WM of Seattle</v>
          </cell>
          <cell r="AJ2" t="str">
            <v>WM of Seattle</v>
          </cell>
          <cell r="AK2" t="str">
            <v>WM of Seattle</v>
          </cell>
          <cell r="AL2" t="str">
            <v>WM of Seattle</v>
          </cell>
          <cell r="AM2" t="str">
            <v>WM South Sound</v>
          </cell>
          <cell r="AN2" t="str">
            <v>WM South Sound</v>
          </cell>
          <cell r="AO2" t="str">
            <v>WM South Sound</v>
          </cell>
          <cell r="AP2" t="str">
            <v>WM South Sound</v>
          </cell>
          <cell r="AQ2" t="str">
            <v>WM South Sound</v>
          </cell>
          <cell r="AR2" t="str">
            <v>WM South Sound</v>
          </cell>
          <cell r="AS2" t="str">
            <v>WM South Sound</v>
          </cell>
          <cell r="AT2" t="str">
            <v>WM South Sound</v>
          </cell>
          <cell r="AU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North Sound</v>
          </cell>
          <cell r="V3" t="str">
            <v>WM North Sound</v>
          </cell>
          <cell r="W3" t="str">
            <v>WM North Sound</v>
          </cell>
          <cell r="X3" t="str">
            <v>WM of Marysville</v>
          </cell>
          <cell r="Y3" t="str">
            <v>WM of Marysville</v>
          </cell>
          <cell r="Z3" t="str">
            <v>WM of Marysville</v>
          </cell>
          <cell r="AA3" t="str">
            <v>WM of Marysville</v>
          </cell>
          <cell r="AB3" t="str">
            <v>WM of Marysville</v>
          </cell>
          <cell r="AC3" t="str">
            <v>WM of Marysville</v>
          </cell>
          <cell r="AD3" t="str">
            <v>WM of Marysville</v>
          </cell>
          <cell r="AE3" t="str">
            <v>WM of Seattle</v>
          </cell>
          <cell r="AF3" t="str">
            <v>WM of Seattle</v>
          </cell>
          <cell r="AG3" t="str">
            <v>WM of Seattle</v>
          </cell>
          <cell r="AH3" t="str">
            <v>WM of Seattle</v>
          </cell>
          <cell r="AI3" t="str">
            <v>WM of Seattle</v>
          </cell>
          <cell r="AJ3" t="str">
            <v>WM of Seattle</v>
          </cell>
          <cell r="AK3" t="str">
            <v>WM of Seattle</v>
          </cell>
          <cell r="AL3" t="str">
            <v>WM of Seattle</v>
          </cell>
          <cell r="AM3" t="str">
            <v>WM South Sound</v>
          </cell>
          <cell r="AN3" t="str">
            <v>WM South Sound</v>
          </cell>
          <cell r="AO3" t="str">
            <v>WM South Sound</v>
          </cell>
          <cell r="AP3" t="str">
            <v>WM South Sound</v>
          </cell>
          <cell r="AQ3" t="str">
            <v>WM South Sound</v>
          </cell>
          <cell r="AR3" t="str">
            <v>WM South Sound</v>
          </cell>
          <cell r="AS3" t="str">
            <v>WM South Sound</v>
          </cell>
          <cell r="AT3" t="str">
            <v>WM South Sound</v>
          </cell>
          <cell r="AU3" t="str">
            <v>WM South Sound</v>
          </cell>
          <cell r="AV3" t="str">
            <v>Grand total</v>
          </cell>
        </row>
        <row r="4">
          <cell r="A4" t="str">
            <v>Customer Type</v>
          </cell>
          <cell r="B4" t="str">
            <v>Service Type</v>
          </cell>
          <cell r="C4" t="str">
            <v>Auburn</v>
          </cell>
          <cell r="D4" t="str">
            <v>Bothell</v>
          </cell>
          <cell r="E4" t="str">
            <v>Brier</v>
          </cell>
          <cell r="F4" t="str">
            <v>Duvall</v>
          </cell>
          <cell r="G4" t="str">
            <v>Edmonds</v>
          </cell>
          <cell r="H4" t="str">
            <v>Everett</v>
          </cell>
          <cell r="I4" t="str">
            <v>Index</v>
          </cell>
          <cell r="J4" t="str">
            <v>King County</v>
          </cell>
          <cell r="K4" t="str">
            <v>Kirkland</v>
          </cell>
          <cell r="L4" t="str">
            <v>Kitsap County</v>
          </cell>
          <cell r="M4" t="str">
            <v>Lynnwood</v>
          </cell>
          <cell r="N4" t="str">
            <v>Mill Creek</v>
          </cell>
          <cell r="O4" t="str">
            <v>Monroe</v>
          </cell>
          <cell r="P4" t="str">
            <v>Mountlake Terrace</v>
          </cell>
          <cell r="Q4" t="str">
            <v>Mukilteo</v>
          </cell>
          <cell r="R4" t="str">
            <v>Redmond</v>
          </cell>
          <cell r="S4" t="str">
            <v>Sammamish</v>
          </cell>
          <cell r="T4" t="str">
            <v>Seattle</v>
          </cell>
          <cell r="U4" t="str">
            <v>Snohomish County</v>
          </cell>
          <cell r="V4" t="str">
            <v>Snoqualmie</v>
          </cell>
          <cell r="W4" t="str">
            <v>Woodinville</v>
          </cell>
          <cell r="X4" t="str">
            <v>Arlington</v>
          </cell>
          <cell r="Y4" t="str">
            <v>Auburn</v>
          </cell>
          <cell r="Z4" t="str">
            <v>Everett</v>
          </cell>
          <cell r="AA4" t="str">
            <v>Granite Falls</v>
          </cell>
          <cell r="AB4" t="str">
            <v>Lake Stevens</v>
          </cell>
          <cell r="AC4" t="str">
            <v>Marysville</v>
          </cell>
          <cell r="AD4" t="str">
            <v>Snohomish County</v>
          </cell>
          <cell r="AE4" t="str">
            <v>Burien</v>
          </cell>
          <cell r="AF4" t="str">
            <v>King County</v>
          </cell>
          <cell r="AG4" t="str">
            <v>Newcastle</v>
          </cell>
          <cell r="AH4" t="str">
            <v>Normandy Park</v>
          </cell>
          <cell r="AI4" t="str">
            <v>Renton</v>
          </cell>
          <cell r="AJ4" t="str">
            <v>SeaTac</v>
          </cell>
          <cell r="AK4" t="str">
            <v>Seattle</v>
          </cell>
          <cell r="AL4" t="str">
            <v>Tukwila</v>
          </cell>
          <cell r="AM4" t="str">
            <v>Algona</v>
          </cell>
          <cell r="AN4" t="str">
            <v>Auburn</v>
          </cell>
          <cell r="AO4" t="str">
            <v>Bremerton</v>
          </cell>
          <cell r="AP4" t="str">
            <v>Enumclaw</v>
          </cell>
          <cell r="AQ4" t="str">
            <v>Federal Way</v>
          </cell>
          <cell r="AR4" t="str">
            <v>King County</v>
          </cell>
          <cell r="AS4" t="str">
            <v>Kirkland</v>
          </cell>
          <cell r="AT4" t="str">
            <v>Kitsap County</v>
          </cell>
          <cell r="AU4" t="str">
            <v>Pacific</v>
          </cell>
          <cell r="AV4" t="str">
            <v>Grand total</v>
          </cell>
        </row>
        <row r="5">
          <cell r="A5" t="str">
            <v>Residential</v>
          </cell>
          <cell r="B5" t="str">
            <v>Recycling</v>
          </cell>
          <cell r="C5">
            <v>0.34223790999999998</v>
          </cell>
          <cell r="E5">
            <v>39.035162010000001</v>
          </cell>
          <cell r="F5">
            <v>56.414999350000002</v>
          </cell>
          <cell r="G5">
            <v>5.6609173000000004</v>
          </cell>
          <cell r="H5">
            <v>48.16892335</v>
          </cell>
          <cell r="I5">
            <v>3.1277591E-2</v>
          </cell>
          <cell r="J5">
            <v>469.7262834</v>
          </cell>
          <cell r="K5">
            <v>558.35089819999996</v>
          </cell>
          <cell r="L5">
            <v>6.317769E-3</v>
          </cell>
          <cell r="M5">
            <v>117.5789218</v>
          </cell>
          <cell r="N5">
            <v>123.7150492</v>
          </cell>
          <cell r="P5">
            <v>97.95559093</v>
          </cell>
          <cell r="Q5">
            <v>127.4939605</v>
          </cell>
          <cell r="R5">
            <v>274.08992480000001</v>
          </cell>
          <cell r="S5">
            <v>7.9859356000000006E-2</v>
          </cell>
          <cell r="U5">
            <v>1298.8607</v>
          </cell>
          <cell r="V5">
            <v>105.8117405</v>
          </cell>
          <cell r="W5">
            <v>71.157722289999995</v>
          </cell>
          <cell r="X5">
            <v>112.76884200000001</v>
          </cell>
          <cell r="Y5">
            <v>1.9785054E-2</v>
          </cell>
          <cell r="Z5">
            <v>0.66935530700000001</v>
          </cell>
          <cell r="AA5">
            <v>23.131848730000002</v>
          </cell>
          <cell r="AB5">
            <v>213.70197569999999</v>
          </cell>
          <cell r="AC5">
            <v>456.33448979999997</v>
          </cell>
          <cell r="AD5">
            <v>611.14213219999999</v>
          </cell>
          <cell r="AF5">
            <v>285.93053600000002</v>
          </cell>
          <cell r="AG5">
            <v>68.712624590000004</v>
          </cell>
          <cell r="AH5">
            <v>47.203692250000003</v>
          </cell>
          <cell r="AM5">
            <v>17.337719369999999</v>
          </cell>
          <cell r="AN5">
            <v>367.0799298</v>
          </cell>
          <cell r="AO5">
            <v>5.9647229999999999E-3</v>
          </cell>
          <cell r="AP5">
            <v>3.3631377730000001</v>
          </cell>
          <cell r="AQ5">
            <v>422.32385970000001</v>
          </cell>
          <cell r="AR5">
            <v>169.43128909999999</v>
          </cell>
          <cell r="AS5">
            <v>5.4290525999999999E-2</v>
          </cell>
          <cell r="AU5">
            <v>30.1996462</v>
          </cell>
          <cell r="AV5">
            <v>6223.8916049999998</v>
          </cell>
        </row>
        <row r="6">
          <cell r="A6" t="str">
            <v>Multifamily</v>
          </cell>
          <cell r="B6" t="str">
            <v>Recycling</v>
          </cell>
          <cell r="D6">
            <v>2.4259140349999999</v>
          </cell>
          <cell r="E6">
            <v>4.3588072999999998E-2</v>
          </cell>
          <cell r="F6">
            <v>0.98889801200000005</v>
          </cell>
          <cell r="G6">
            <v>1.578759314</v>
          </cell>
          <cell r="H6">
            <v>23.164975720000001</v>
          </cell>
          <cell r="J6">
            <v>6.3954073319999996</v>
          </cell>
          <cell r="K6">
            <v>201.42457350000001</v>
          </cell>
          <cell r="M6">
            <v>29.901647759999999</v>
          </cell>
          <cell r="N6">
            <v>13.973754339999999</v>
          </cell>
          <cell r="P6">
            <v>36.091825069999999</v>
          </cell>
          <cell r="Q6">
            <v>16.51653997</v>
          </cell>
          <cell r="R6">
            <v>146.92599200000001</v>
          </cell>
          <cell r="U6">
            <v>170.7866022</v>
          </cell>
          <cell r="V6">
            <v>1.364317934</v>
          </cell>
          <cell r="W6">
            <v>27.826559069999998</v>
          </cell>
          <cell r="X6">
            <v>7.5903524969999996</v>
          </cell>
          <cell r="Z6">
            <v>6.9670825000000006E-2</v>
          </cell>
          <cell r="AA6">
            <v>0.32317713799999997</v>
          </cell>
          <cell r="AB6">
            <v>0.71873048299999998</v>
          </cell>
          <cell r="AC6">
            <v>44.972015820000003</v>
          </cell>
          <cell r="AD6">
            <v>3.5133243539999999</v>
          </cell>
          <cell r="AF6">
            <v>57.219685300000002</v>
          </cell>
          <cell r="AG6">
            <v>22.821504780000001</v>
          </cell>
          <cell r="AH6">
            <v>2.7310621089999998</v>
          </cell>
          <cell r="AK6">
            <v>1.2997771680000001</v>
          </cell>
          <cell r="AM6">
            <v>6.3755827000000001E-2</v>
          </cell>
          <cell r="AN6">
            <v>127.1379161</v>
          </cell>
          <cell r="AQ6">
            <v>102.8246393</v>
          </cell>
          <cell r="AR6">
            <v>4.5827317990000003</v>
          </cell>
          <cell r="AU6">
            <v>1.5992697469999999</v>
          </cell>
          <cell r="AV6">
            <v>1056.876968</v>
          </cell>
        </row>
        <row r="7">
          <cell r="A7" t="str">
            <v>Commercial</v>
          </cell>
        </row>
        <row r="8">
          <cell r="A8" t="str">
            <v>Grand total</v>
          </cell>
        </row>
      </sheetData>
    </sheetDataSet>
  </externalBook>
</externalLink>
</file>

<file path=xl/persons/person.xml><?xml version="1.0" encoding="utf-8"?>
<personList xmlns="http://schemas.microsoft.com/office/spreadsheetml/2018/threadedcomments" xmlns:x="http://schemas.openxmlformats.org/spreadsheetml/2006/main">
  <person displayName="Hammond, Greg (UTC)" id="{D117A703-7D55-4E21-BAF7-02104FA8AC95}" userId="S::greg.hammond@utc.wa.gov::1a12d6dc-9091-421a-bf06-5f0772164ea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2" dT="2020-12-11T23:19:53.06" personId="{D117A703-7D55-4E21-BAF7-02104FA8AC95}" id="{EDEBCA1D-CC85-4BF7-944B-BAF87FDE560C}">
    <text>Company calculation was pulling from a blank cell, corrected to include cell F18, net commodity revenue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90" zoomScaleNormal="90" workbookViewId="0">
      <selection activeCell="A20" sqref="A20"/>
    </sheetView>
  </sheetViews>
  <sheetFormatPr defaultRowHeight="12.5"/>
  <cols>
    <col min="1" max="1" width="64.1796875" customWidth="1"/>
    <col min="2" max="2" width="16.453125" customWidth="1"/>
    <col min="3" max="3" width="14.26953125" bestFit="1" customWidth="1"/>
    <col min="5" max="5" width="14" bestFit="1" customWidth="1"/>
    <col min="6" max="6" width="15.54296875" bestFit="1" customWidth="1"/>
    <col min="7" max="7" width="9.1796875" bestFit="1" customWidth="1"/>
    <col min="9" max="9" width="73.1796875" bestFit="1" customWidth="1"/>
    <col min="11" max="11" width="13.453125" bestFit="1" customWidth="1"/>
    <col min="13" max="13" width="14" bestFit="1" customWidth="1"/>
    <col min="14" max="14" width="14.26953125" bestFit="1" customWidth="1"/>
    <col min="15" max="15" width="9.1796875" bestFit="1" customWidth="1"/>
    <col min="16" max="16" width="7.7265625" customWidth="1"/>
    <col min="17" max="17" width="13.453125" customWidth="1"/>
    <col min="18" max="18" width="14" bestFit="1" customWidth="1"/>
    <col min="19" max="19" width="12.26953125" bestFit="1" customWidth="1"/>
    <col min="20" max="20" width="14.54296875" bestFit="1" customWidth="1"/>
  </cols>
  <sheetData>
    <row r="1" spans="1:21" ht="23">
      <c r="A1" s="210" t="s">
        <v>108</v>
      </c>
      <c r="B1" s="211"/>
      <c r="C1" s="212"/>
      <c r="D1" s="212"/>
      <c r="E1" s="212"/>
      <c r="F1" s="212"/>
      <c r="G1" s="213"/>
      <c r="I1" s="210" t="s">
        <v>108</v>
      </c>
      <c r="J1" s="211"/>
      <c r="K1" s="212"/>
      <c r="L1" s="212"/>
      <c r="M1" s="212"/>
      <c r="N1" s="212"/>
      <c r="O1" s="213"/>
    </row>
    <row r="2" spans="1:21" ht="15.5">
      <c r="A2" s="214" t="s">
        <v>128</v>
      </c>
      <c r="B2" s="215"/>
      <c r="C2" s="216"/>
      <c r="D2" s="216"/>
      <c r="E2" s="217"/>
      <c r="F2" s="217"/>
      <c r="G2" s="218"/>
      <c r="I2" s="214" t="s">
        <v>109</v>
      </c>
      <c r="J2" s="215"/>
      <c r="K2" s="216"/>
      <c r="L2" s="216"/>
      <c r="M2" s="217"/>
      <c r="N2" s="217"/>
      <c r="O2" s="218"/>
    </row>
    <row r="3" spans="1:21" ht="15.5">
      <c r="A3" s="214"/>
      <c r="B3" s="215"/>
      <c r="C3" s="216"/>
      <c r="D3" s="216"/>
      <c r="E3" s="217"/>
      <c r="F3" s="217"/>
      <c r="G3" s="218"/>
      <c r="I3" s="214" t="s">
        <v>149</v>
      </c>
      <c r="J3" s="215"/>
      <c r="K3" s="216"/>
      <c r="L3" s="216"/>
      <c r="M3" s="217"/>
      <c r="N3" s="217"/>
      <c r="O3" s="218"/>
    </row>
    <row r="4" spans="1:21" ht="42.75" customHeight="1">
      <c r="A4" s="515" t="s">
        <v>147</v>
      </c>
      <c r="B4" s="516"/>
      <c r="C4" s="517"/>
      <c r="D4" s="216"/>
      <c r="E4" s="217"/>
      <c r="F4" s="217"/>
      <c r="G4" s="218"/>
      <c r="I4" s="214"/>
      <c r="J4" s="215"/>
      <c r="K4" s="216"/>
      <c r="L4" s="216"/>
      <c r="M4" s="217"/>
      <c r="N4" s="217"/>
      <c r="O4" s="218"/>
    </row>
    <row r="5" spans="1:21" ht="15.5">
      <c r="A5" s="275"/>
      <c r="B5" s="216"/>
      <c r="C5" s="216"/>
      <c r="D5" s="216"/>
      <c r="E5" s="217"/>
      <c r="F5" s="217"/>
      <c r="G5" s="218"/>
      <c r="I5" s="214"/>
      <c r="J5" s="215"/>
      <c r="K5" s="216"/>
      <c r="L5" s="216"/>
      <c r="M5" s="217"/>
      <c r="N5" s="217"/>
      <c r="O5" s="218"/>
    </row>
    <row r="6" spans="1:21" ht="15.5">
      <c r="A6" s="512" t="s">
        <v>19</v>
      </c>
      <c r="B6" s="513"/>
      <c r="C6" s="513"/>
      <c r="D6" s="513"/>
      <c r="E6" s="513"/>
      <c r="F6" s="513"/>
      <c r="G6" s="514"/>
      <c r="I6" s="512" t="s">
        <v>19</v>
      </c>
      <c r="J6" s="513"/>
      <c r="K6" s="513"/>
      <c r="L6" s="513"/>
      <c r="M6" s="513"/>
      <c r="N6" s="513"/>
      <c r="O6" s="514"/>
    </row>
    <row r="7" spans="1:21" ht="15.5">
      <c r="A7" s="221"/>
      <c r="B7" s="217"/>
      <c r="C7" s="217"/>
      <c r="D7" s="217"/>
      <c r="E7" s="217"/>
      <c r="F7" s="217"/>
      <c r="G7" s="218"/>
      <c r="I7" s="221"/>
      <c r="J7" s="217"/>
      <c r="K7" s="217"/>
      <c r="L7" s="217"/>
      <c r="M7" s="217"/>
      <c r="N7" s="217"/>
      <c r="O7" s="218"/>
    </row>
    <row r="8" spans="1:21" ht="15.5">
      <c r="A8" s="221"/>
      <c r="B8" s="217"/>
      <c r="C8" s="222"/>
      <c r="D8" s="222"/>
      <c r="E8" s="222" t="s">
        <v>110</v>
      </c>
      <c r="F8" s="222" t="s">
        <v>71</v>
      </c>
      <c r="G8" s="218"/>
      <c r="I8" s="221"/>
      <c r="J8" s="217"/>
      <c r="K8" s="222"/>
      <c r="L8" s="222"/>
      <c r="M8" s="222" t="s">
        <v>110</v>
      </c>
      <c r="N8" s="222" t="s">
        <v>71</v>
      </c>
      <c r="O8" s="218"/>
    </row>
    <row r="9" spans="1:21" ht="15.5">
      <c r="A9" s="221"/>
      <c r="B9" s="217"/>
      <c r="C9" s="223" t="s">
        <v>87</v>
      </c>
      <c r="D9" s="223"/>
      <c r="E9" s="223" t="s">
        <v>111</v>
      </c>
      <c r="F9" s="223" t="s">
        <v>112</v>
      </c>
      <c r="G9" s="218"/>
      <c r="I9" s="221"/>
      <c r="J9" s="217"/>
      <c r="K9" s="223" t="s">
        <v>87</v>
      </c>
      <c r="L9" s="223"/>
      <c r="M9" s="223" t="s">
        <v>111</v>
      </c>
      <c r="N9" s="223" t="s">
        <v>112</v>
      </c>
      <c r="O9" s="218"/>
    </row>
    <row r="10" spans="1:21" ht="15.5">
      <c r="A10" s="224" t="s">
        <v>127</v>
      </c>
      <c r="B10" s="215"/>
      <c r="C10" s="225"/>
      <c r="D10" s="225"/>
      <c r="E10" s="225"/>
      <c r="F10" s="225"/>
      <c r="G10" s="218"/>
      <c r="I10" s="224" t="s">
        <v>113</v>
      </c>
      <c r="J10" s="215"/>
      <c r="K10" s="225"/>
      <c r="L10" s="225"/>
      <c r="M10" s="225"/>
      <c r="N10" s="225"/>
      <c r="O10" s="218"/>
    </row>
    <row r="11" spans="1:21" ht="15.5">
      <c r="A11" s="221" t="s">
        <v>114</v>
      </c>
      <c r="B11" s="217"/>
      <c r="C11" s="226">
        <v>299451</v>
      </c>
      <c r="D11" s="226"/>
      <c r="E11" s="227">
        <f>+M12</f>
        <v>2.4500000000000002</v>
      </c>
      <c r="F11" s="228">
        <f>C11*E11</f>
        <v>733654.95000000007</v>
      </c>
      <c r="G11" s="218"/>
      <c r="I11" s="221" t="s">
        <v>114</v>
      </c>
      <c r="J11" s="217"/>
      <c r="K11" s="226">
        <v>291373</v>
      </c>
      <c r="L11" s="226"/>
      <c r="M11" s="227">
        <v>1.79</v>
      </c>
      <c r="N11" s="228">
        <f>K11*M11</f>
        <v>521557.67</v>
      </c>
      <c r="O11" s="218"/>
      <c r="R11" s="247"/>
      <c r="S11" s="208"/>
      <c r="T11" s="258"/>
    </row>
    <row r="12" spans="1:21" ht="18.5">
      <c r="A12" s="229" t="s">
        <v>115</v>
      </c>
      <c r="B12" s="230"/>
      <c r="C12" s="231">
        <v>706622</v>
      </c>
      <c r="D12" s="231"/>
      <c r="E12" s="227">
        <f>+O31</f>
        <v>0.73</v>
      </c>
      <c r="F12" s="232">
        <f>C12*E12</f>
        <v>515834.06</v>
      </c>
      <c r="G12" s="218"/>
      <c r="I12" s="229" t="s">
        <v>115</v>
      </c>
      <c r="J12" s="230"/>
      <c r="K12" s="231">
        <v>885244</v>
      </c>
      <c r="L12" s="231"/>
      <c r="M12" s="227">
        <v>2.4500000000000002</v>
      </c>
      <c r="N12" s="232">
        <f>K12*M12</f>
        <v>2168847.8000000003</v>
      </c>
      <c r="O12" s="218"/>
    </row>
    <row r="13" spans="1:21" ht="18.5">
      <c r="A13" s="221" t="s">
        <v>71</v>
      </c>
      <c r="B13" s="217"/>
      <c r="C13" s="226">
        <f>SUM(C11:C12)</f>
        <v>1006073</v>
      </c>
      <c r="D13" s="231"/>
      <c r="E13" s="217"/>
      <c r="F13" s="228">
        <f>SUM(F11:F12)</f>
        <v>1249489.01</v>
      </c>
      <c r="G13" s="218"/>
      <c r="I13" s="221" t="s">
        <v>71</v>
      </c>
      <c r="J13" s="217"/>
      <c r="K13" s="226">
        <f>SUM(K11:K12)</f>
        <v>1176617</v>
      </c>
      <c r="L13" s="231"/>
      <c r="M13" s="217"/>
      <c r="N13" s="228">
        <f>SUM(N11:N12)</f>
        <v>2690405.47</v>
      </c>
      <c r="O13" s="218"/>
      <c r="T13" s="260"/>
    </row>
    <row r="14" spans="1:21" ht="15.5">
      <c r="A14" s="221"/>
      <c r="B14" s="217"/>
      <c r="C14" s="217"/>
      <c r="D14" s="217"/>
      <c r="E14" s="217"/>
      <c r="F14" s="217"/>
      <c r="G14" s="218"/>
      <c r="I14" s="221"/>
      <c r="J14" s="217"/>
      <c r="K14" s="217"/>
      <c r="L14" s="217"/>
      <c r="M14" s="217"/>
      <c r="N14" s="217"/>
      <c r="O14" s="218"/>
      <c r="T14" s="259"/>
      <c r="U14" s="11"/>
    </row>
    <row r="15" spans="1:21" ht="15.5">
      <c r="A15" s="214"/>
      <c r="B15" s="217"/>
      <c r="C15" s="217"/>
      <c r="D15" s="217"/>
      <c r="E15" s="217"/>
      <c r="F15" s="256"/>
      <c r="G15" s="218"/>
      <c r="I15" s="221"/>
      <c r="J15" s="217"/>
      <c r="K15" s="217"/>
      <c r="L15" s="217"/>
      <c r="M15" s="217"/>
      <c r="N15" s="217"/>
      <c r="O15" s="218"/>
      <c r="T15" s="259"/>
      <c r="U15" s="11"/>
    </row>
    <row r="16" spans="1:21" ht="15.5">
      <c r="A16" s="214" t="s">
        <v>129</v>
      </c>
      <c r="B16" s="217"/>
      <c r="C16" s="217"/>
      <c r="D16" s="217"/>
      <c r="E16" s="217"/>
      <c r="F16" s="228">
        <v>528491.43671045091</v>
      </c>
      <c r="G16" s="218"/>
      <c r="I16" s="221"/>
      <c r="J16" s="217"/>
      <c r="K16" s="217"/>
      <c r="L16" s="217"/>
      <c r="M16" s="217"/>
      <c r="N16" s="217"/>
      <c r="O16" s="218"/>
      <c r="T16" s="259"/>
      <c r="U16" s="11"/>
    </row>
    <row r="17" spans="1:21" ht="15.5">
      <c r="A17" s="214" t="s">
        <v>150</v>
      </c>
      <c r="B17" s="217"/>
      <c r="C17" s="217"/>
      <c r="D17" s="217"/>
      <c r="E17" s="217"/>
      <c r="F17" s="276">
        <f>-F16*50%</f>
        <v>-264245.71835522546</v>
      </c>
      <c r="G17" s="218"/>
      <c r="I17" s="214"/>
      <c r="J17" s="217"/>
      <c r="K17" s="217"/>
      <c r="L17" s="217"/>
      <c r="M17" s="217"/>
      <c r="N17" s="228"/>
      <c r="O17" s="218"/>
    </row>
    <row r="18" spans="1:21" ht="15.5">
      <c r="A18" s="280" t="s">
        <v>153</v>
      </c>
      <c r="B18" s="217"/>
      <c r="C18" s="217"/>
      <c r="D18" s="217"/>
      <c r="E18" s="217"/>
      <c r="F18" s="255">
        <f>SUM(F16:F17)</f>
        <v>264245.71835522546</v>
      </c>
      <c r="G18" s="218"/>
      <c r="I18" s="221"/>
      <c r="J18" s="217"/>
      <c r="K18" s="217"/>
      <c r="L18" s="217"/>
      <c r="M18" s="217"/>
      <c r="N18" s="217"/>
      <c r="O18" s="218"/>
      <c r="T18" s="259"/>
      <c r="U18" s="11"/>
    </row>
    <row r="19" spans="1:21" ht="16">
      <c r="A19" s="281"/>
      <c r="B19" s="281"/>
      <c r="C19" s="281"/>
      <c r="D19" s="281"/>
      <c r="E19" s="281"/>
      <c r="F19" s="281"/>
      <c r="G19" s="218"/>
      <c r="I19" s="221"/>
      <c r="J19" s="217"/>
      <c r="K19" s="217"/>
      <c r="L19" s="217"/>
      <c r="M19" s="217"/>
      <c r="N19" s="217"/>
      <c r="O19" s="218"/>
      <c r="T19" s="261"/>
      <c r="U19" s="11"/>
    </row>
    <row r="20" spans="1:21" ht="15.5">
      <c r="A20" s="221" t="s">
        <v>117</v>
      </c>
      <c r="B20" s="217"/>
      <c r="C20" s="217"/>
      <c r="D20" s="217"/>
      <c r="E20" s="217"/>
      <c r="F20" s="256">
        <f>F18-F13</f>
        <v>-985243.29164477461</v>
      </c>
      <c r="G20" s="218"/>
      <c r="I20" s="214" t="s">
        <v>116</v>
      </c>
      <c r="J20" s="217"/>
      <c r="K20" s="217"/>
      <c r="L20" s="217"/>
      <c r="M20" s="217"/>
      <c r="N20" s="228">
        <v>1226082</v>
      </c>
      <c r="O20" s="218"/>
      <c r="Q20" s="258"/>
      <c r="T20" s="259"/>
    </row>
    <row r="21" spans="1:21" ht="18.5">
      <c r="A21" s="214" t="s">
        <v>151</v>
      </c>
      <c r="B21" s="217"/>
      <c r="C21" s="253">
        <v>199583</v>
      </c>
      <c r="D21" s="217"/>
      <c r="E21" s="254">
        <f>(O26*M36)+(O31*M36)+O34</f>
        <v>-0.29675000000000007</v>
      </c>
      <c r="F21" s="234">
        <f>E21*C21</f>
        <v>-59226.255250000017</v>
      </c>
      <c r="G21" s="218"/>
      <c r="I21" s="214"/>
      <c r="J21" s="217"/>
      <c r="K21" s="217"/>
      <c r="L21" s="217"/>
      <c r="M21" s="217"/>
      <c r="N21" s="228"/>
      <c r="O21" s="218"/>
    </row>
    <row r="22" spans="1:21" ht="15.5">
      <c r="A22" s="281" t="s">
        <v>154</v>
      </c>
      <c r="B22" s="281"/>
      <c r="C22" s="281"/>
      <c r="D22" s="281"/>
      <c r="E22" s="281"/>
      <c r="F22" s="277">
        <f>SUM(F20:F21)</f>
        <v>-1044469.5468947747</v>
      </c>
      <c r="G22" s="218"/>
      <c r="I22" s="221" t="s">
        <v>117</v>
      </c>
      <c r="J22" s="217"/>
      <c r="K22" s="217"/>
      <c r="L22" s="217"/>
      <c r="M22" s="217"/>
      <c r="N22" s="226">
        <f>N20-N13</f>
        <v>-1464323.4700000002</v>
      </c>
      <c r="O22" s="218"/>
      <c r="T22" s="259"/>
      <c r="U22" s="11"/>
    </row>
    <row r="23" spans="1:21" ht="18.5">
      <c r="A23" s="281"/>
      <c r="B23" s="281"/>
      <c r="C23" s="281"/>
      <c r="D23" s="281"/>
      <c r="E23" s="281"/>
      <c r="F23" s="281"/>
      <c r="G23" s="218"/>
      <c r="I23" s="221"/>
      <c r="J23" s="217"/>
      <c r="K23" s="233"/>
      <c r="L23" s="217"/>
      <c r="M23" s="217"/>
      <c r="N23" s="234"/>
      <c r="O23" s="218"/>
    </row>
    <row r="24" spans="1:21" ht="16">
      <c r="A24" s="221" t="s">
        <v>118</v>
      </c>
      <c r="B24" s="217"/>
      <c r="C24" s="217"/>
      <c r="D24" s="217"/>
      <c r="E24" s="217"/>
      <c r="F24" s="226">
        <v>1205656</v>
      </c>
      <c r="G24" s="218"/>
      <c r="I24" s="221" t="s">
        <v>118</v>
      </c>
      <c r="J24" s="217"/>
      <c r="K24" s="217"/>
      <c r="L24" s="217"/>
      <c r="M24" s="217"/>
      <c r="N24" s="226">
        <f>+K13</f>
        <v>1176617</v>
      </c>
      <c r="O24" s="218"/>
      <c r="T24" s="260"/>
    </row>
    <row r="25" spans="1:21" ht="15.5">
      <c r="A25" s="221"/>
      <c r="B25" s="217"/>
      <c r="C25" s="217"/>
      <c r="D25" s="217"/>
      <c r="E25" s="217"/>
      <c r="F25" s="217"/>
      <c r="G25" s="218"/>
      <c r="I25" s="221"/>
      <c r="J25" s="217"/>
      <c r="K25" s="217"/>
      <c r="L25" s="217"/>
      <c r="M25" s="217"/>
      <c r="N25" s="217"/>
      <c r="O25" s="218"/>
    </row>
    <row r="26" spans="1:21" ht="15.5">
      <c r="A26" s="221" t="s">
        <v>119</v>
      </c>
      <c r="B26" s="217"/>
      <c r="C26" s="217"/>
      <c r="D26" s="217"/>
      <c r="E26" s="217"/>
      <c r="F26" s="235"/>
      <c r="G26" s="236">
        <f>F22/F24</f>
        <v>-0.86630809028012523</v>
      </c>
      <c r="I26" s="221" t="s">
        <v>119</v>
      </c>
      <c r="J26" s="217"/>
      <c r="K26" s="217"/>
      <c r="L26" s="217"/>
      <c r="M26" s="217"/>
      <c r="N26" s="235"/>
      <c r="O26" s="236">
        <f>ROUND(N22/N24,2)</f>
        <v>-1.24</v>
      </c>
    </row>
    <row r="27" spans="1:21" ht="15.5">
      <c r="A27" s="221"/>
      <c r="B27" s="217"/>
      <c r="C27" s="217"/>
      <c r="D27" s="217"/>
      <c r="E27" s="217"/>
      <c r="F27" s="217"/>
      <c r="G27" s="236"/>
      <c r="I27" s="221"/>
      <c r="J27" s="217"/>
      <c r="K27" s="217"/>
      <c r="L27" s="217"/>
      <c r="M27" s="217"/>
      <c r="N27" s="217"/>
      <c r="O27" s="236"/>
    </row>
    <row r="28" spans="1:21" ht="15.5">
      <c r="A28" s="221"/>
      <c r="B28" s="217"/>
      <c r="C28" s="217"/>
      <c r="D28" s="217"/>
      <c r="E28" s="217"/>
      <c r="F28" s="217"/>
      <c r="G28" s="236"/>
      <c r="I28" s="221"/>
      <c r="J28" s="217"/>
      <c r="K28" s="217"/>
      <c r="L28" s="217"/>
      <c r="M28" s="217"/>
      <c r="N28" s="217"/>
      <c r="O28" s="236"/>
    </row>
    <row r="29" spans="1:21" ht="15.5">
      <c r="A29" s="237" t="s">
        <v>130</v>
      </c>
      <c r="B29" s="215"/>
      <c r="C29" s="217"/>
      <c r="D29" s="217"/>
      <c r="E29" s="217"/>
      <c r="F29" s="238">
        <f>F16</f>
        <v>528491.43671045091</v>
      </c>
      <c r="G29" s="236"/>
      <c r="I29" s="237" t="s">
        <v>120</v>
      </c>
      <c r="J29" s="215"/>
      <c r="K29" s="217"/>
      <c r="L29" s="217"/>
      <c r="M29" s="217"/>
      <c r="N29" s="238">
        <f>431654*2</f>
        <v>863308</v>
      </c>
      <c r="O29" s="236"/>
    </row>
    <row r="30" spans="1:21" ht="18.5">
      <c r="A30" s="214" t="s">
        <v>150</v>
      </c>
      <c r="B30" s="281"/>
      <c r="C30" s="281"/>
      <c r="D30" s="281"/>
      <c r="E30" s="281"/>
      <c r="F30" s="279">
        <f>F29*50%</f>
        <v>264245.71835522546</v>
      </c>
      <c r="G30" s="236"/>
      <c r="I30" s="221" t="s">
        <v>118</v>
      </c>
      <c r="J30" s="217"/>
      <c r="K30" s="217"/>
      <c r="L30" s="217"/>
      <c r="M30" s="217"/>
      <c r="N30" s="239">
        <f>+K13</f>
        <v>1176617</v>
      </c>
      <c r="O30" s="236"/>
    </row>
    <row r="31" spans="1:21" ht="18.5">
      <c r="A31" s="281" t="s">
        <v>152</v>
      </c>
      <c r="B31" s="281"/>
      <c r="C31" s="281"/>
      <c r="D31" s="281"/>
      <c r="E31" s="281"/>
      <c r="F31" s="277">
        <f>F29-F30</f>
        <v>264245.71835522546</v>
      </c>
      <c r="G31" s="236"/>
      <c r="I31" s="221" t="s">
        <v>121</v>
      </c>
      <c r="J31" s="217"/>
      <c r="K31" s="217"/>
      <c r="L31" s="217"/>
      <c r="M31" s="217"/>
      <c r="N31" s="217"/>
      <c r="O31" s="240">
        <f>ROUND(+N29/N30,2)</f>
        <v>0.73</v>
      </c>
    </row>
    <row r="32" spans="1:21" ht="18.5">
      <c r="A32" s="221" t="s">
        <v>118</v>
      </c>
      <c r="B32" s="217"/>
      <c r="C32" s="217"/>
      <c r="D32" s="217"/>
      <c r="E32" s="217"/>
      <c r="F32" s="239">
        <f>F24</f>
        <v>1205656</v>
      </c>
      <c r="G32" s="236"/>
      <c r="I32" s="214" t="s">
        <v>122</v>
      </c>
      <c r="J32" s="215"/>
      <c r="K32" s="217"/>
      <c r="L32" s="217"/>
      <c r="M32" s="217"/>
      <c r="N32" s="217"/>
      <c r="O32" s="241">
        <f>SUM(O26:O31)</f>
        <v>-0.51</v>
      </c>
      <c r="P32" s="242"/>
    </row>
    <row r="33" spans="1:16" ht="18.5">
      <c r="A33" s="221" t="s">
        <v>121</v>
      </c>
      <c r="B33" s="217"/>
      <c r="C33" s="217"/>
      <c r="D33" s="217"/>
      <c r="E33" s="217"/>
      <c r="F33" s="217"/>
      <c r="G33" s="240">
        <f>ROUND(+F29/F32,2)</f>
        <v>0.44</v>
      </c>
      <c r="I33" s="214"/>
      <c r="J33" s="215"/>
      <c r="K33" s="217"/>
      <c r="L33" s="217"/>
      <c r="M33" s="217"/>
      <c r="N33" s="217"/>
      <c r="O33" s="241"/>
      <c r="P33" s="242"/>
    </row>
    <row r="34" spans="1:16" ht="15.5">
      <c r="A34" s="214" t="s">
        <v>122</v>
      </c>
      <c r="B34" s="215"/>
      <c r="C34" s="217"/>
      <c r="D34" s="217"/>
      <c r="E34" s="217"/>
      <c r="F34" s="217"/>
      <c r="G34" s="241">
        <f>SUM(G26:G33)</f>
        <v>-0.42630809028012523</v>
      </c>
      <c r="I34" s="229" t="s">
        <v>123</v>
      </c>
      <c r="J34" s="215"/>
      <c r="K34" s="217"/>
      <c r="L34" s="217"/>
      <c r="M34" s="243">
        <f>+K13/12*0.5</f>
        <v>49025.708333333336</v>
      </c>
      <c r="N34" s="217"/>
      <c r="O34" s="244">
        <f>ROUND(-M34/K13*2,2)</f>
        <v>-0.08</v>
      </c>
    </row>
    <row r="35" spans="1:16" ht="15.5">
      <c r="A35" s="229"/>
      <c r="B35" s="215"/>
      <c r="C35" s="217"/>
      <c r="D35" s="217"/>
      <c r="E35" s="217"/>
      <c r="F35" s="217"/>
      <c r="G35" s="241"/>
      <c r="I35" s="229"/>
      <c r="J35" s="215"/>
      <c r="K35" s="217"/>
      <c r="L35" s="217"/>
      <c r="M35" s="217"/>
      <c r="N35" s="217"/>
      <c r="O35" s="241"/>
    </row>
    <row r="36" spans="1:16" ht="20">
      <c r="A36" s="229"/>
      <c r="B36" s="217"/>
      <c r="C36" s="217"/>
      <c r="D36" s="217"/>
      <c r="E36" s="245"/>
      <c r="F36" s="217"/>
      <c r="G36" s="246"/>
      <c r="I36" s="229" t="s">
        <v>124</v>
      </c>
      <c r="J36" s="217"/>
      <c r="K36" s="217"/>
      <c r="L36" s="217"/>
      <c r="M36" s="245">
        <v>0.42499999999999999</v>
      </c>
      <c r="N36" s="217"/>
      <c r="O36" s="246">
        <f>-M36*O31</f>
        <v>-0.31024999999999997</v>
      </c>
      <c r="P36" s="247"/>
    </row>
    <row r="37" spans="1:16" ht="20">
      <c r="A37" s="229"/>
      <c r="B37" s="217"/>
      <c r="C37" s="217"/>
      <c r="D37" s="217"/>
      <c r="E37" s="248"/>
      <c r="F37" s="217"/>
      <c r="G37" s="246"/>
      <c r="I37" s="229"/>
      <c r="J37" s="217"/>
      <c r="K37" s="217"/>
      <c r="L37" s="217"/>
      <c r="M37" s="248"/>
      <c r="N37" s="217"/>
      <c r="O37" s="246"/>
      <c r="P37" s="247"/>
    </row>
    <row r="38" spans="1:16" ht="17">
      <c r="A38" s="214"/>
      <c r="B38" s="217"/>
      <c r="C38" s="217"/>
      <c r="D38" s="217"/>
      <c r="E38" s="248"/>
      <c r="F38" s="217"/>
      <c r="G38" s="249"/>
      <c r="I38" s="214" t="s">
        <v>144</v>
      </c>
      <c r="J38" s="217"/>
      <c r="K38" s="217"/>
      <c r="L38" s="217"/>
      <c r="M38" s="248"/>
      <c r="N38" s="217"/>
      <c r="O38" s="249">
        <f>+O32+O36+O34</f>
        <v>-0.90024999999999988</v>
      </c>
      <c r="P38" s="242"/>
    </row>
    <row r="39" spans="1:16" ht="17">
      <c r="A39" s="214"/>
      <c r="B39" s="217"/>
      <c r="C39" s="217"/>
      <c r="D39" s="217"/>
      <c r="E39" s="248"/>
      <c r="F39" s="217"/>
      <c r="G39" s="249"/>
      <c r="I39" s="214"/>
      <c r="J39" s="217"/>
      <c r="K39" s="217"/>
      <c r="L39" s="217"/>
      <c r="M39" s="248"/>
      <c r="N39" s="217"/>
      <c r="O39" s="249"/>
      <c r="P39" s="242"/>
    </row>
    <row r="40" spans="1:16" ht="17">
      <c r="A40" s="214"/>
      <c r="B40" s="217"/>
      <c r="C40" s="217"/>
      <c r="D40" s="217"/>
      <c r="E40" s="248"/>
      <c r="F40" s="217"/>
      <c r="G40" s="249"/>
      <c r="I40" s="214" t="s">
        <v>145</v>
      </c>
      <c r="J40" s="217"/>
      <c r="K40" s="217"/>
      <c r="L40" s="217"/>
      <c r="M40" s="248"/>
      <c r="N40" s="217"/>
      <c r="O40" s="249">
        <f>+O32+O34</f>
        <v>-0.59</v>
      </c>
      <c r="P40" s="242"/>
    </row>
    <row r="41" spans="1:16" ht="13" thickBot="1">
      <c r="A41" s="250"/>
      <c r="B41" s="251"/>
      <c r="C41" s="251"/>
      <c r="D41" s="251"/>
      <c r="E41" s="251"/>
      <c r="F41" s="251"/>
      <c r="G41" s="252"/>
      <c r="I41" s="250"/>
      <c r="J41" s="251"/>
      <c r="K41" s="251"/>
      <c r="L41" s="251"/>
      <c r="M41" s="251"/>
      <c r="N41" s="251"/>
      <c r="O41" s="252"/>
    </row>
    <row r="44" spans="1:16" ht="13" thickBot="1"/>
    <row r="45" spans="1:16" ht="23">
      <c r="A45" s="210" t="s">
        <v>125</v>
      </c>
      <c r="B45" s="211"/>
      <c r="C45" s="212"/>
      <c r="D45" s="212"/>
      <c r="E45" s="212"/>
      <c r="F45" s="212"/>
      <c r="G45" s="213"/>
      <c r="I45" s="210" t="s">
        <v>125</v>
      </c>
      <c r="J45" s="211"/>
      <c r="K45" s="212"/>
      <c r="L45" s="212"/>
      <c r="M45" s="212"/>
      <c r="N45" s="212"/>
      <c r="O45" s="213"/>
    </row>
    <row r="46" spans="1:16" ht="15.5">
      <c r="A46" s="214" t="s">
        <v>128</v>
      </c>
      <c r="B46" s="215"/>
      <c r="C46" s="216"/>
      <c r="D46" s="216"/>
      <c r="E46" s="217"/>
      <c r="F46" s="217"/>
      <c r="G46" s="218"/>
      <c r="I46" s="214" t="s">
        <v>109</v>
      </c>
      <c r="J46" s="215"/>
      <c r="K46" s="216"/>
      <c r="L46" s="216"/>
      <c r="M46" s="217"/>
      <c r="N46" s="217"/>
      <c r="O46" s="218"/>
    </row>
    <row r="47" spans="1:16" ht="15.5">
      <c r="A47" s="219"/>
      <c r="B47" s="220"/>
      <c r="C47" s="217"/>
      <c r="D47" s="217"/>
      <c r="E47" s="217"/>
      <c r="F47" s="217"/>
      <c r="G47" s="218"/>
      <c r="I47" s="219"/>
      <c r="J47" s="220"/>
      <c r="K47" s="217"/>
      <c r="L47" s="217"/>
      <c r="M47" s="217"/>
      <c r="N47" s="217"/>
      <c r="O47" s="218"/>
    </row>
    <row r="48" spans="1:16" ht="15.5">
      <c r="A48" s="512" t="s">
        <v>19</v>
      </c>
      <c r="B48" s="513"/>
      <c r="C48" s="513"/>
      <c r="D48" s="513"/>
      <c r="E48" s="513"/>
      <c r="F48" s="513"/>
      <c r="G48" s="514"/>
      <c r="I48" s="512" t="s">
        <v>19</v>
      </c>
      <c r="J48" s="513"/>
      <c r="K48" s="513"/>
      <c r="L48" s="513"/>
      <c r="M48" s="513"/>
      <c r="N48" s="513"/>
      <c r="O48" s="514"/>
    </row>
    <row r="49" spans="1:17" ht="15.5">
      <c r="A49" s="221"/>
      <c r="B49" s="217"/>
      <c r="C49" s="217"/>
      <c r="D49" s="217"/>
      <c r="E49" s="217"/>
      <c r="F49" s="217"/>
      <c r="G49" s="218"/>
      <c r="I49" s="221"/>
      <c r="J49" s="217"/>
      <c r="K49" s="217"/>
      <c r="L49" s="217"/>
      <c r="M49" s="217"/>
      <c r="N49" s="217"/>
      <c r="O49" s="218"/>
    </row>
    <row r="50" spans="1:17" ht="15.5">
      <c r="A50" s="221"/>
      <c r="B50" s="217"/>
      <c r="C50" s="222"/>
      <c r="D50" s="222"/>
      <c r="E50" s="222" t="s">
        <v>110</v>
      </c>
      <c r="F50" s="222" t="s">
        <v>71</v>
      </c>
      <c r="G50" s="218"/>
      <c r="I50" s="221"/>
      <c r="J50" s="217"/>
      <c r="K50" s="222"/>
      <c r="L50" s="222"/>
      <c r="M50" s="222" t="s">
        <v>110</v>
      </c>
      <c r="N50" s="222" t="s">
        <v>71</v>
      </c>
      <c r="O50" s="218"/>
    </row>
    <row r="51" spans="1:17" ht="15.5">
      <c r="A51" s="221"/>
      <c r="B51" s="217"/>
      <c r="C51" s="223" t="s">
        <v>87</v>
      </c>
      <c r="D51" s="223"/>
      <c r="E51" s="223" t="s">
        <v>111</v>
      </c>
      <c r="F51" s="223" t="s">
        <v>112</v>
      </c>
      <c r="G51" s="218"/>
      <c r="I51" s="221"/>
      <c r="J51" s="217"/>
      <c r="K51" s="223" t="s">
        <v>87</v>
      </c>
      <c r="L51" s="223"/>
      <c r="M51" s="223" t="s">
        <v>111</v>
      </c>
      <c r="N51" s="223" t="s">
        <v>112</v>
      </c>
      <c r="O51" s="218"/>
    </row>
    <row r="52" spans="1:17" ht="15.5">
      <c r="A52" s="224" t="s">
        <v>127</v>
      </c>
      <c r="B52" s="215"/>
      <c r="C52" s="225"/>
      <c r="D52" s="225"/>
      <c r="E52" s="225"/>
      <c r="F52" s="225"/>
      <c r="G52" s="218"/>
      <c r="I52" s="224" t="s">
        <v>113</v>
      </c>
      <c r="J52" s="215"/>
      <c r="K52" s="225"/>
      <c r="L52" s="225"/>
      <c r="M52" s="225"/>
      <c r="N52" s="225"/>
      <c r="O52" s="218"/>
    </row>
    <row r="53" spans="1:17" ht="15.5">
      <c r="A53" s="221" t="s">
        <v>114</v>
      </c>
      <c r="B53" s="217"/>
      <c r="C53" s="226">
        <v>63231</v>
      </c>
      <c r="D53" s="226"/>
      <c r="E53" s="227">
        <f>+M54</f>
        <v>2.7</v>
      </c>
      <c r="F53" s="228">
        <f>C53*E53</f>
        <v>170723.7</v>
      </c>
      <c r="G53" s="218"/>
      <c r="I53" s="221" t="s">
        <v>114</v>
      </c>
      <c r="J53" s="217"/>
      <c r="K53" s="226">
        <v>62533</v>
      </c>
      <c r="L53" s="226"/>
      <c r="M53" s="227">
        <v>1.94</v>
      </c>
      <c r="N53" s="228">
        <f>K53*M53</f>
        <v>121314.01999999999</v>
      </c>
      <c r="O53" s="218"/>
    </row>
    <row r="54" spans="1:17" ht="18.5">
      <c r="A54" s="229" t="s">
        <v>115</v>
      </c>
      <c r="B54" s="230"/>
      <c r="C54" s="231">
        <v>148568</v>
      </c>
      <c r="D54" s="231"/>
      <c r="E54" s="227">
        <f>+O73</f>
        <v>0.72</v>
      </c>
      <c r="F54" s="232">
        <f>C54*E54</f>
        <v>106968.95999999999</v>
      </c>
      <c r="G54" s="218"/>
      <c r="I54" s="229" t="s">
        <v>115</v>
      </c>
      <c r="J54" s="230"/>
      <c r="K54" s="231">
        <v>188839</v>
      </c>
      <c r="L54" s="231"/>
      <c r="M54" s="227">
        <v>2.7</v>
      </c>
      <c r="N54" s="232">
        <f>K54*M54</f>
        <v>509865.30000000005</v>
      </c>
      <c r="O54" s="218"/>
    </row>
    <row r="55" spans="1:17" ht="18.5">
      <c r="A55" s="221" t="s">
        <v>71</v>
      </c>
      <c r="B55" s="217"/>
      <c r="C55" s="226">
        <f>SUM(C53:C54)</f>
        <v>211799</v>
      </c>
      <c r="D55" s="231"/>
      <c r="E55" s="217"/>
      <c r="F55" s="228">
        <f>SUM(F53:F54)</f>
        <v>277692.66000000003</v>
      </c>
      <c r="G55" s="218"/>
      <c r="I55" s="221" t="s">
        <v>71</v>
      </c>
      <c r="J55" s="217"/>
      <c r="K55" s="226">
        <f>SUM(K53:K54)</f>
        <v>251372</v>
      </c>
      <c r="L55" s="231"/>
      <c r="M55" s="217"/>
      <c r="N55" s="228">
        <f>SUM(N53:N54)</f>
        <v>631179.32000000007</v>
      </c>
      <c r="O55" s="218"/>
    </row>
    <row r="56" spans="1:17" ht="15.5">
      <c r="A56" s="221"/>
      <c r="B56" s="217"/>
      <c r="C56" s="217"/>
      <c r="D56" s="217"/>
      <c r="E56" s="217"/>
      <c r="F56" s="217"/>
      <c r="G56" s="218"/>
      <c r="I56" s="221"/>
      <c r="J56" s="217"/>
      <c r="K56" s="217"/>
      <c r="L56" s="217"/>
      <c r="M56" s="217"/>
      <c r="N56" s="217"/>
      <c r="O56" s="218"/>
    </row>
    <row r="57" spans="1:17" ht="15.5">
      <c r="A57" s="214" t="s">
        <v>129</v>
      </c>
      <c r="B57" s="217"/>
      <c r="C57" s="217"/>
      <c r="D57" s="217"/>
      <c r="E57" s="217"/>
      <c r="F57" s="228">
        <v>153774.15208976623</v>
      </c>
      <c r="G57" s="218"/>
      <c r="I57" s="221"/>
      <c r="J57" s="217"/>
      <c r="K57" s="217"/>
      <c r="L57" s="217"/>
      <c r="M57" s="217"/>
      <c r="N57" s="217"/>
      <c r="O57" s="218"/>
    </row>
    <row r="58" spans="1:17" ht="15.5">
      <c r="A58" s="214" t="s">
        <v>150</v>
      </c>
      <c r="B58" s="217"/>
      <c r="C58" s="217"/>
      <c r="D58" s="217"/>
      <c r="E58" s="217"/>
      <c r="F58" s="276">
        <f>-F57*50%</f>
        <v>-76887.076044883113</v>
      </c>
      <c r="G58" s="218"/>
      <c r="I58" s="221"/>
      <c r="J58" s="217"/>
      <c r="K58" s="217"/>
      <c r="L58" s="217"/>
      <c r="M58" s="217"/>
      <c r="N58" s="217"/>
      <c r="O58" s="218"/>
    </row>
    <row r="59" spans="1:17" ht="15.5">
      <c r="A59" s="280" t="s">
        <v>153</v>
      </c>
      <c r="B59" s="281"/>
      <c r="C59" s="281"/>
      <c r="D59" s="281"/>
      <c r="E59" s="281"/>
      <c r="F59" s="277">
        <f>SUM(F57:F58)</f>
        <v>76887.076044883113</v>
      </c>
      <c r="G59" s="218"/>
      <c r="I59" s="221"/>
      <c r="J59" s="217"/>
      <c r="K59" s="217"/>
      <c r="L59" s="217"/>
      <c r="M59" s="217"/>
      <c r="N59" s="217"/>
      <c r="O59" s="218"/>
    </row>
    <row r="60" spans="1:17" ht="15.5">
      <c r="A60" s="281"/>
      <c r="B60" s="281"/>
      <c r="C60" s="281"/>
      <c r="D60" s="281"/>
      <c r="E60" s="281"/>
      <c r="F60" s="281"/>
      <c r="G60" s="218"/>
      <c r="I60" s="221"/>
      <c r="J60" s="217"/>
      <c r="K60" s="217"/>
      <c r="L60" s="217"/>
      <c r="M60" s="217"/>
      <c r="N60" s="217"/>
      <c r="O60" s="218"/>
    </row>
    <row r="61" spans="1:17" ht="15.5">
      <c r="A61" s="221" t="s">
        <v>117</v>
      </c>
      <c r="B61" s="217"/>
      <c r="C61" s="217"/>
      <c r="D61" s="217"/>
      <c r="E61" s="217"/>
      <c r="F61" s="256">
        <f>F59-F55</f>
        <v>-200805.58395511692</v>
      </c>
      <c r="G61" s="218"/>
      <c r="I61" s="221"/>
      <c r="J61" s="217"/>
      <c r="K61" s="217"/>
      <c r="L61" s="217"/>
      <c r="M61" s="217"/>
      <c r="N61" s="217"/>
      <c r="O61" s="218"/>
    </row>
    <row r="62" spans="1:17" ht="15.5">
      <c r="A62" s="214" t="s">
        <v>151</v>
      </c>
      <c r="B62" s="217"/>
      <c r="C62" s="253">
        <v>42056</v>
      </c>
      <c r="D62" s="217"/>
      <c r="E62" s="254">
        <f>+O80</f>
        <v>-1.1600000000000001</v>
      </c>
      <c r="F62" s="228">
        <f>E62*C62</f>
        <v>-48784.960000000006</v>
      </c>
      <c r="G62" s="218"/>
      <c r="I62" s="214" t="s">
        <v>116</v>
      </c>
      <c r="J62" s="217"/>
      <c r="K62" s="217"/>
      <c r="L62" s="217"/>
      <c r="M62" s="217"/>
      <c r="N62" s="228">
        <v>269162</v>
      </c>
      <c r="O62" s="218"/>
      <c r="Q62" s="258"/>
    </row>
    <row r="63" spans="1:17" ht="15.5">
      <c r="A63" s="214" t="s">
        <v>148</v>
      </c>
      <c r="B63" s="281"/>
      <c r="C63" s="281"/>
      <c r="D63" s="281"/>
      <c r="E63" s="281"/>
      <c r="F63" s="278">
        <v>4957.7399619857606</v>
      </c>
      <c r="G63" s="218"/>
      <c r="I63" s="221"/>
      <c r="J63" s="217"/>
      <c r="K63" s="217"/>
      <c r="L63" s="217"/>
      <c r="M63" s="217"/>
      <c r="N63" s="228"/>
      <c r="O63" s="218"/>
    </row>
    <row r="64" spans="1:17" ht="15.5">
      <c r="A64" s="281" t="s">
        <v>154</v>
      </c>
      <c r="B64" s="281"/>
      <c r="C64" s="281"/>
      <c r="D64" s="281"/>
      <c r="E64" s="281"/>
      <c r="F64" s="277">
        <f>SUM(F61:F63)</f>
        <v>-244632.80399313118</v>
      </c>
      <c r="G64" s="218"/>
      <c r="I64" s="221" t="s">
        <v>117</v>
      </c>
      <c r="J64" s="217"/>
      <c r="K64" s="217"/>
      <c r="L64" s="217"/>
      <c r="M64" s="217"/>
      <c r="N64" s="226">
        <f>N62-N55</f>
        <v>-362017.32000000007</v>
      </c>
      <c r="O64" s="218"/>
    </row>
    <row r="65" spans="1:15" ht="18.5">
      <c r="A65" s="281"/>
      <c r="B65" s="281"/>
      <c r="C65" s="281"/>
      <c r="D65" s="281"/>
      <c r="E65" s="281"/>
      <c r="F65" s="281"/>
      <c r="G65" s="218"/>
      <c r="I65" s="221"/>
      <c r="J65" s="217"/>
      <c r="K65" s="233"/>
      <c r="L65" s="217"/>
      <c r="M65" s="217"/>
      <c r="N65" s="234"/>
      <c r="O65" s="218"/>
    </row>
    <row r="66" spans="1:15" ht="15.5">
      <c r="A66" s="221" t="s">
        <v>118</v>
      </c>
      <c r="B66" s="217"/>
      <c r="C66" s="217"/>
      <c r="D66" s="217"/>
      <c r="E66" s="217"/>
      <c r="F66" s="226">
        <v>253855</v>
      </c>
      <c r="G66" s="218"/>
      <c r="I66" s="221" t="s">
        <v>118</v>
      </c>
      <c r="J66" s="217"/>
      <c r="K66" s="217"/>
      <c r="L66" s="217"/>
      <c r="M66" s="217"/>
      <c r="N66" s="226">
        <f>+K55</f>
        <v>251372</v>
      </c>
      <c r="O66" s="218"/>
    </row>
    <row r="67" spans="1:15" ht="15.5">
      <c r="A67" s="221"/>
      <c r="B67" s="217"/>
      <c r="C67" s="217"/>
      <c r="D67" s="217"/>
      <c r="E67" s="217"/>
      <c r="F67" s="217"/>
      <c r="G67" s="218"/>
      <c r="I67" s="221"/>
      <c r="J67" s="217"/>
      <c r="K67" s="217"/>
      <c r="L67" s="217"/>
      <c r="M67" s="217"/>
      <c r="N67" s="217"/>
      <c r="O67" s="218"/>
    </row>
    <row r="68" spans="1:15" ht="15.5">
      <c r="A68" s="221" t="s">
        <v>119</v>
      </c>
      <c r="B68" s="217"/>
      <c r="C68" s="217"/>
      <c r="D68" s="217"/>
      <c r="E68" s="217"/>
      <c r="F68" s="235"/>
      <c r="G68" s="236">
        <f>F64/F66</f>
        <v>-0.96367140293920217</v>
      </c>
      <c r="I68" s="221" t="s">
        <v>119</v>
      </c>
      <c r="J68" s="217"/>
      <c r="K68" s="217"/>
      <c r="L68" s="217"/>
      <c r="M68" s="217"/>
      <c r="N68" s="235"/>
      <c r="O68" s="236">
        <f>ROUND(N64/N66,2)</f>
        <v>-1.44</v>
      </c>
    </row>
    <row r="69" spans="1:15" ht="15.5">
      <c r="A69" s="221"/>
      <c r="B69" s="217"/>
      <c r="C69" s="217"/>
      <c r="D69" s="217"/>
      <c r="E69" s="217"/>
      <c r="F69" s="217"/>
      <c r="G69" s="236"/>
      <c r="I69" s="221"/>
      <c r="J69" s="217"/>
      <c r="K69" s="217"/>
      <c r="L69" s="217"/>
      <c r="M69" s="217"/>
      <c r="N69" s="217"/>
      <c r="O69" s="236"/>
    </row>
    <row r="70" spans="1:15" ht="15.5">
      <c r="A70" s="221"/>
      <c r="B70" s="217"/>
      <c r="C70" s="217"/>
      <c r="D70" s="217"/>
      <c r="E70" s="217"/>
      <c r="F70" s="217"/>
      <c r="G70" s="236"/>
      <c r="I70" s="221"/>
      <c r="J70" s="217"/>
      <c r="K70" s="217"/>
      <c r="L70" s="217"/>
      <c r="M70" s="217"/>
      <c r="N70" s="217"/>
      <c r="O70" s="236"/>
    </row>
    <row r="71" spans="1:15" ht="15.5">
      <c r="A71" s="237" t="s">
        <v>130</v>
      </c>
      <c r="B71" s="215"/>
      <c r="C71" s="217"/>
      <c r="D71" s="217"/>
      <c r="E71" s="217"/>
      <c r="F71" s="238">
        <f>F57</f>
        <v>153774.15208976623</v>
      </c>
      <c r="G71" s="236"/>
      <c r="I71" s="237" t="s">
        <v>120</v>
      </c>
      <c r="J71" s="215"/>
      <c r="K71" s="217"/>
      <c r="L71" s="217"/>
      <c r="M71" s="217"/>
      <c r="N71" s="238">
        <v>91522</v>
      </c>
      <c r="O71" s="236"/>
    </row>
    <row r="72" spans="1:15" ht="18.5">
      <c r="A72" s="214" t="s">
        <v>150</v>
      </c>
      <c r="B72" s="281"/>
      <c r="C72" s="281"/>
      <c r="D72" s="281"/>
      <c r="E72" s="281"/>
      <c r="F72" s="279">
        <f>F71*50%</f>
        <v>76887.076044883113</v>
      </c>
      <c r="G72" s="236"/>
      <c r="I72" s="221" t="s">
        <v>118</v>
      </c>
      <c r="J72" s="217"/>
      <c r="K72" s="217"/>
      <c r="L72" s="217"/>
      <c r="M72" s="217"/>
      <c r="N72" s="239">
        <v>126406</v>
      </c>
      <c r="O72" s="236"/>
    </row>
    <row r="73" spans="1:15" ht="18.5">
      <c r="A73" s="281" t="s">
        <v>152</v>
      </c>
      <c r="B73" s="281"/>
      <c r="C73" s="281"/>
      <c r="D73" s="281"/>
      <c r="E73" s="281"/>
      <c r="F73" s="277">
        <f>F71-F72</f>
        <v>76887.076044883113</v>
      </c>
      <c r="G73" s="236"/>
      <c r="I73" s="221" t="s">
        <v>121</v>
      </c>
      <c r="J73" s="217"/>
      <c r="K73" s="217"/>
      <c r="L73" s="217"/>
      <c r="M73" s="217"/>
      <c r="N73" s="217"/>
      <c r="O73" s="240">
        <f>ROUND(+N71/N72,2)</f>
        <v>0.72</v>
      </c>
    </row>
    <row r="74" spans="1:15" ht="18.5">
      <c r="A74" s="221" t="s">
        <v>118</v>
      </c>
      <c r="B74" s="217"/>
      <c r="C74" s="217"/>
      <c r="D74" s="217"/>
      <c r="E74" s="217"/>
      <c r="F74" s="239">
        <f>+F66</f>
        <v>253855</v>
      </c>
      <c r="G74" s="236"/>
      <c r="I74" s="214" t="s">
        <v>122</v>
      </c>
      <c r="J74" s="215"/>
      <c r="K74" s="217"/>
      <c r="L74" s="217"/>
      <c r="M74" s="217"/>
      <c r="N74" s="217"/>
      <c r="O74" s="241">
        <f>SUM(O68:O73)</f>
        <v>-0.72</v>
      </c>
    </row>
    <row r="75" spans="1:15" ht="18.5">
      <c r="A75" s="221" t="s">
        <v>121</v>
      </c>
      <c r="B75" s="217"/>
      <c r="C75" s="217"/>
      <c r="D75" s="217"/>
      <c r="E75" s="217"/>
      <c r="F75" s="217"/>
      <c r="G75" s="240">
        <f>ROUND(+F71/F74,2)</f>
        <v>0.61</v>
      </c>
      <c r="I75" s="214"/>
      <c r="J75" s="215"/>
      <c r="K75" s="217"/>
      <c r="L75" s="217"/>
      <c r="M75" s="217"/>
      <c r="N75" s="217"/>
      <c r="O75" s="241"/>
    </row>
    <row r="76" spans="1:15" ht="15.5">
      <c r="A76" s="214" t="s">
        <v>122</v>
      </c>
      <c r="B76" s="215"/>
      <c r="C76" s="217"/>
      <c r="D76" s="217"/>
      <c r="E76" s="217"/>
      <c r="F76" s="217"/>
      <c r="G76" s="241">
        <f>SUM(G68:G75)</f>
        <v>-0.35367140293920218</v>
      </c>
      <c r="I76" s="229" t="s">
        <v>123</v>
      </c>
      <c r="J76" s="215"/>
      <c r="K76" s="217"/>
      <c r="L76" s="217"/>
      <c r="M76" s="243">
        <f>+K55/12*0.5</f>
        <v>10473.833333333334</v>
      </c>
      <c r="N76" s="217"/>
      <c r="O76" s="244">
        <f>ROUND(-M76/K55*2,2)</f>
        <v>-0.08</v>
      </c>
    </row>
    <row r="77" spans="1:15" ht="15.5">
      <c r="A77" s="214"/>
      <c r="B77" s="215"/>
      <c r="C77" s="217"/>
      <c r="D77" s="217"/>
      <c r="E77" s="217"/>
      <c r="F77" s="217"/>
      <c r="G77" s="241"/>
      <c r="I77" s="214"/>
      <c r="J77" s="215"/>
      <c r="K77" s="217"/>
      <c r="L77" s="217"/>
      <c r="M77" s="217"/>
      <c r="N77" s="217"/>
      <c r="O77" s="241"/>
    </row>
    <row r="78" spans="1:15" ht="20">
      <c r="A78" s="229"/>
      <c r="B78" s="217"/>
      <c r="C78" s="217"/>
      <c r="D78" s="217"/>
      <c r="E78" s="245"/>
      <c r="F78" s="217"/>
      <c r="G78" s="246"/>
      <c r="I78" s="229" t="s">
        <v>124</v>
      </c>
      <c r="J78" s="217"/>
      <c r="K78" s="217"/>
      <c r="L78" s="217"/>
      <c r="M78" s="245">
        <v>0.5</v>
      </c>
      <c r="N78" s="217"/>
      <c r="O78" s="246">
        <f>-M78*O73</f>
        <v>-0.36</v>
      </c>
    </row>
    <row r="79" spans="1:15" ht="20">
      <c r="A79" s="229"/>
      <c r="B79" s="217"/>
      <c r="C79" s="217"/>
      <c r="D79" s="217"/>
      <c r="E79" s="248"/>
      <c r="F79" s="217"/>
      <c r="G79" s="246"/>
      <c r="I79" s="229"/>
      <c r="J79" s="217"/>
      <c r="K79" s="217"/>
      <c r="L79" s="217"/>
      <c r="M79" s="248"/>
      <c r="N79" s="217"/>
      <c r="O79" s="246"/>
    </row>
    <row r="80" spans="1:15" ht="17">
      <c r="A80" s="214"/>
      <c r="B80" s="217"/>
      <c r="C80" s="217"/>
      <c r="D80" s="217"/>
      <c r="E80" s="248"/>
      <c r="F80" s="217"/>
      <c r="G80" s="249"/>
      <c r="I80" s="214" t="s">
        <v>146</v>
      </c>
      <c r="J80" s="217"/>
      <c r="K80" s="217"/>
      <c r="L80" s="217"/>
      <c r="M80" s="248"/>
      <c r="N80" s="217"/>
      <c r="O80" s="249">
        <f>+O74+O78+O76</f>
        <v>-1.1600000000000001</v>
      </c>
    </row>
    <row r="81" spans="1:15" ht="13" thickBot="1">
      <c r="A81" s="250"/>
      <c r="B81" s="251"/>
      <c r="C81" s="251"/>
      <c r="D81" s="251"/>
      <c r="E81" s="251"/>
      <c r="F81" s="251"/>
      <c r="G81" s="252"/>
      <c r="I81" s="250"/>
      <c r="J81" s="251"/>
      <c r="K81" s="251"/>
      <c r="L81" s="251"/>
      <c r="M81" s="251"/>
      <c r="N81" s="251"/>
      <c r="O81" s="252"/>
    </row>
    <row r="83" spans="1:15" ht="13" thickBot="1"/>
    <row r="84" spans="1:15" ht="23">
      <c r="A84" s="210" t="s">
        <v>126</v>
      </c>
      <c r="B84" s="211"/>
      <c r="C84" s="212"/>
      <c r="D84" s="212"/>
      <c r="E84" s="212"/>
      <c r="F84" s="212"/>
      <c r="G84" s="213"/>
      <c r="I84" s="210" t="s">
        <v>126</v>
      </c>
      <c r="J84" s="211"/>
      <c r="K84" s="212"/>
      <c r="L84" s="212"/>
      <c r="M84" s="212"/>
      <c r="N84" s="212"/>
      <c r="O84" s="213"/>
    </row>
    <row r="85" spans="1:15" ht="15.5">
      <c r="A85" s="214" t="s">
        <v>109</v>
      </c>
      <c r="B85" s="215"/>
      <c r="C85" s="216"/>
      <c r="D85" s="216"/>
      <c r="E85" s="217"/>
      <c r="F85" s="217"/>
      <c r="G85" s="218"/>
      <c r="I85" s="214" t="s">
        <v>109</v>
      </c>
      <c r="J85" s="215"/>
      <c r="K85" s="216"/>
      <c r="L85" s="216"/>
      <c r="M85" s="217"/>
      <c r="N85" s="217"/>
      <c r="O85" s="218"/>
    </row>
    <row r="86" spans="1:15" ht="15.5">
      <c r="A86" s="219"/>
      <c r="B86" s="220"/>
      <c r="C86" s="217"/>
      <c r="D86" s="217"/>
      <c r="E86" s="217"/>
      <c r="F86" s="217"/>
      <c r="G86" s="218"/>
      <c r="I86" s="219"/>
      <c r="J86" s="220"/>
      <c r="K86" s="217"/>
      <c r="L86" s="217"/>
      <c r="M86" s="217"/>
      <c r="N86" s="217"/>
      <c r="O86" s="218"/>
    </row>
    <row r="87" spans="1:15" ht="15.5">
      <c r="A87" s="512" t="s">
        <v>19</v>
      </c>
      <c r="B87" s="513"/>
      <c r="C87" s="513"/>
      <c r="D87" s="513"/>
      <c r="E87" s="513"/>
      <c r="F87" s="513"/>
      <c r="G87" s="514"/>
      <c r="I87" s="512" t="s">
        <v>19</v>
      </c>
      <c r="J87" s="513"/>
      <c r="K87" s="513"/>
      <c r="L87" s="513"/>
      <c r="M87" s="513"/>
      <c r="N87" s="513"/>
      <c r="O87" s="514"/>
    </row>
    <row r="88" spans="1:15" ht="15.5">
      <c r="A88" s="221"/>
      <c r="B88" s="217"/>
      <c r="C88" s="217"/>
      <c r="D88" s="217"/>
      <c r="E88" s="217"/>
      <c r="F88" s="217"/>
      <c r="G88" s="218"/>
      <c r="I88" s="221"/>
      <c r="J88" s="217"/>
      <c r="K88" s="217"/>
      <c r="L88" s="217"/>
      <c r="M88" s="217"/>
      <c r="N88" s="217"/>
      <c r="O88" s="218"/>
    </row>
    <row r="89" spans="1:15" ht="15.5">
      <c r="A89" s="221"/>
      <c r="B89" s="217"/>
      <c r="C89" s="222"/>
      <c r="D89" s="222"/>
      <c r="E89" s="222" t="s">
        <v>110</v>
      </c>
      <c r="F89" s="222" t="s">
        <v>71</v>
      </c>
      <c r="G89" s="218"/>
      <c r="I89" s="221"/>
      <c r="J89" s="217"/>
      <c r="K89" s="222"/>
      <c r="L89" s="222"/>
      <c r="M89" s="222" t="s">
        <v>110</v>
      </c>
      <c r="N89" s="222" t="s">
        <v>71</v>
      </c>
      <c r="O89" s="218"/>
    </row>
    <row r="90" spans="1:15" ht="15.5">
      <c r="A90" s="221"/>
      <c r="B90" s="217"/>
      <c r="C90" s="223" t="s">
        <v>87</v>
      </c>
      <c r="D90" s="223"/>
      <c r="E90" s="223" t="s">
        <v>111</v>
      </c>
      <c r="F90" s="223" t="s">
        <v>112</v>
      </c>
      <c r="G90" s="218"/>
      <c r="I90" s="221"/>
      <c r="J90" s="217"/>
      <c r="K90" s="223" t="s">
        <v>87</v>
      </c>
      <c r="L90" s="223"/>
      <c r="M90" s="223" t="s">
        <v>111</v>
      </c>
      <c r="N90" s="223" t="s">
        <v>112</v>
      </c>
      <c r="O90" s="218"/>
    </row>
    <row r="91" spans="1:15" ht="15.5">
      <c r="A91" s="224" t="s">
        <v>127</v>
      </c>
      <c r="B91" s="215"/>
      <c r="C91" s="225"/>
      <c r="D91" s="225"/>
      <c r="E91" s="225"/>
      <c r="F91" s="225"/>
      <c r="G91" s="218"/>
      <c r="I91" s="224" t="s">
        <v>113</v>
      </c>
      <c r="J91" s="215"/>
      <c r="K91" s="225"/>
      <c r="L91" s="225"/>
      <c r="M91" s="225"/>
      <c r="N91" s="225"/>
      <c r="O91" s="218"/>
    </row>
    <row r="92" spans="1:15" ht="15.5">
      <c r="A92" s="221" t="s">
        <v>114</v>
      </c>
      <c r="B92" s="217"/>
      <c r="C92" s="226">
        <v>52930</v>
      </c>
      <c r="D92" s="226"/>
      <c r="E92" s="227">
        <f>+M93</f>
        <v>2.33</v>
      </c>
      <c r="F92" s="228">
        <f>C92*E92</f>
        <v>123326.90000000001</v>
      </c>
      <c r="G92" s="218"/>
      <c r="I92" s="221" t="s">
        <v>114</v>
      </c>
      <c r="J92" s="217"/>
      <c r="K92" s="226">
        <v>51847</v>
      </c>
      <c r="L92" s="226"/>
      <c r="M92" s="227">
        <v>1.67</v>
      </c>
      <c r="N92" s="228">
        <f>K92*M92</f>
        <v>86584.489999999991</v>
      </c>
      <c r="O92" s="218"/>
    </row>
    <row r="93" spans="1:15" ht="18.5">
      <c r="A93" s="229" t="s">
        <v>115</v>
      </c>
      <c r="B93" s="230"/>
      <c r="C93" s="231">
        <v>124468</v>
      </c>
      <c r="D93" s="231"/>
      <c r="E93" s="227">
        <f>+O112</f>
        <v>0.81</v>
      </c>
      <c r="F93" s="232">
        <f>C93*E93</f>
        <v>100819.08</v>
      </c>
      <c r="G93" s="218"/>
      <c r="I93" s="229" t="s">
        <v>115</v>
      </c>
      <c r="J93" s="230"/>
      <c r="K93" s="231">
        <v>157300</v>
      </c>
      <c r="L93" s="231"/>
      <c r="M93" s="227">
        <v>2.33</v>
      </c>
      <c r="N93" s="232">
        <f>K93*M93</f>
        <v>366509</v>
      </c>
      <c r="O93" s="218"/>
    </row>
    <row r="94" spans="1:15" ht="18.5">
      <c r="A94" s="221" t="s">
        <v>71</v>
      </c>
      <c r="B94" s="217"/>
      <c r="C94" s="226">
        <f>SUM(C92:C93)</f>
        <v>177398</v>
      </c>
      <c r="D94" s="231"/>
      <c r="E94" s="217"/>
      <c r="F94" s="228">
        <f>SUM(F92:F93)</f>
        <v>224145.98</v>
      </c>
      <c r="G94" s="218"/>
      <c r="I94" s="221" t="s">
        <v>71</v>
      </c>
      <c r="J94" s="217"/>
      <c r="K94" s="226">
        <f>SUM(K92:K93)</f>
        <v>209147</v>
      </c>
      <c r="L94" s="231"/>
      <c r="M94" s="217"/>
      <c r="N94" s="228">
        <f>SUM(N92:N93)</f>
        <v>453093.49</v>
      </c>
      <c r="O94" s="218"/>
    </row>
    <row r="95" spans="1:15" ht="15.5">
      <c r="A95" s="221"/>
      <c r="B95" s="217"/>
      <c r="C95" s="217"/>
      <c r="D95" s="217"/>
      <c r="E95" s="217"/>
      <c r="F95" s="217"/>
      <c r="G95" s="218"/>
      <c r="I95" s="221"/>
      <c r="J95" s="217"/>
      <c r="K95" s="217"/>
      <c r="L95" s="217"/>
      <c r="M95" s="217"/>
      <c r="N95" s="217"/>
      <c r="O95" s="218"/>
    </row>
    <row r="96" spans="1:15" ht="15.5">
      <c r="A96" s="214" t="s">
        <v>129</v>
      </c>
      <c r="B96" s="217"/>
      <c r="C96" s="217"/>
      <c r="D96" s="217"/>
      <c r="E96" s="217"/>
      <c r="F96" s="228">
        <v>145945.7483506508</v>
      </c>
      <c r="G96" s="218"/>
      <c r="I96" s="221"/>
      <c r="J96" s="217"/>
      <c r="K96" s="217"/>
      <c r="L96" s="217"/>
      <c r="M96" s="217"/>
      <c r="N96" s="217"/>
      <c r="O96" s="218"/>
    </row>
    <row r="97" spans="1:17" ht="15.5">
      <c r="A97" s="214" t="s">
        <v>150</v>
      </c>
      <c r="B97" s="217"/>
      <c r="C97" s="217"/>
      <c r="D97" s="217"/>
      <c r="E97" s="217"/>
      <c r="F97" s="276">
        <f>-F96*50%</f>
        <v>-72972.8741753254</v>
      </c>
      <c r="G97" s="218"/>
      <c r="I97" s="221"/>
      <c r="J97" s="217"/>
      <c r="K97" s="217"/>
      <c r="L97" s="217"/>
      <c r="M97" s="217"/>
      <c r="N97" s="217"/>
      <c r="O97" s="218"/>
    </row>
    <row r="98" spans="1:17" ht="15.5">
      <c r="A98" s="280" t="s">
        <v>153</v>
      </c>
      <c r="B98" s="281"/>
      <c r="C98" s="281"/>
      <c r="D98" s="281"/>
      <c r="E98" s="281"/>
      <c r="F98" s="277">
        <f>SUM(F96:F97)</f>
        <v>72972.8741753254</v>
      </c>
      <c r="G98" s="218"/>
      <c r="I98" s="221"/>
      <c r="J98" s="217"/>
      <c r="K98" s="217"/>
      <c r="L98" s="217"/>
      <c r="M98" s="217"/>
      <c r="N98" s="217"/>
      <c r="O98" s="218"/>
    </row>
    <row r="99" spans="1:17" ht="15.5">
      <c r="A99" s="281"/>
      <c r="B99" s="281"/>
      <c r="C99" s="281"/>
      <c r="D99" s="281"/>
      <c r="E99" s="281"/>
      <c r="F99" s="281"/>
      <c r="G99" s="218"/>
      <c r="I99" s="221"/>
      <c r="J99" s="217"/>
      <c r="K99" s="217"/>
      <c r="L99" s="217"/>
      <c r="M99" s="217"/>
      <c r="N99" s="217"/>
      <c r="O99" s="218"/>
    </row>
    <row r="100" spans="1:17" ht="15.5">
      <c r="A100" s="221" t="s">
        <v>117</v>
      </c>
      <c r="B100" s="217"/>
      <c r="C100" s="217"/>
      <c r="D100" s="217"/>
      <c r="E100" s="217"/>
      <c r="F100" s="256">
        <f>F98-F94</f>
        <v>-151173.1058246746</v>
      </c>
      <c r="G100" s="218"/>
      <c r="I100" s="221"/>
      <c r="J100" s="217"/>
      <c r="K100" s="217"/>
      <c r="L100" s="217"/>
      <c r="M100" s="217"/>
      <c r="N100" s="217"/>
      <c r="O100" s="218"/>
    </row>
    <row r="101" spans="1:17" ht="15.5">
      <c r="A101" s="214" t="s">
        <v>151</v>
      </c>
      <c r="B101" s="217"/>
      <c r="C101" s="253">
        <v>35317</v>
      </c>
      <c r="D101" s="217"/>
      <c r="E101" s="254">
        <f>+O119</f>
        <v>-0.77500000000000002</v>
      </c>
      <c r="F101" s="228">
        <f>E101*C101</f>
        <v>-27370.674999999999</v>
      </c>
      <c r="G101" s="218"/>
      <c r="I101" s="214" t="s">
        <v>116</v>
      </c>
      <c r="J101" s="217"/>
      <c r="K101" s="217"/>
      <c r="L101" s="217"/>
      <c r="M101" s="217"/>
      <c r="N101" s="228">
        <v>223798</v>
      </c>
      <c r="O101" s="218"/>
      <c r="Q101" s="257"/>
    </row>
    <row r="102" spans="1:17" ht="15.5">
      <c r="A102" s="214" t="s">
        <v>148</v>
      </c>
      <c r="B102" s="217"/>
      <c r="C102" s="217"/>
      <c r="D102" s="217"/>
      <c r="E102" s="217"/>
      <c r="F102" s="278">
        <v>4826.2600380142394</v>
      </c>
      <c r="G102" s="218"/>
      <c r="I102" s="221"/>
      <c r="J102" s="217"/>
      <c r="K102" s="217"/>
      <c r="L102" s="217"/>
      <c r="M102" s="217"/>
      <c r="N102" s="228"/>
      <c r="O102" s="218"/>
    </row>
    <row r="103" spans="1:17" ht="15.5">
      <c r="A103" s="281" t="s">
        <v>154</v>
      </c>
      <c r="B103" s="281"/>
      <c r="C103" s="281"/>
      <c r="D103" s="281"/>
      <c r="E103" s="281"/>
      <c r="F103" s="277">
        <f>SUM(F100:F102)</f>
        <v>-173717.52078666035</v>
      </c>
      <c r="G103" s="218"/>
      <c r="I103" s="221" t="s">
        <v>117</v>
      </c>
      <c r="J103" s="217"/>
      <c r="K103" s="217"/>
      <c r="L103" s="217"/>
      <c r="M103" s="217"/>
      <c r="N103" s="226">
        <f>N101-N94</f>
        <v>-229295.49</v>
      </c>
      <c r="O103" s="218"/>
    </row>
    <row r="104" spans="1:17" ht="18.5">
      <c r="A104" s="281"/>
      <c r="B104" s="281"/>
      <c r="C104" s="281"/>
      <c r="D104" s="281"/>
      <c r="E104" s="281"/>
      <c r="F104" s="281"/>
      <c r="G104" s="218"/>
      <c r="I104" s="221"/>
      <c r="J104" s="217"/>
      <c r="K104" s="233"/>
      <c r="L104" s="217"/>
      <c r="M104" s="217"/>
      <c r="N104" s="234"/>
      <c r="O104" s="218"/>
    </row>
    <row r="105" spans="1:17" ht="15.5">
      <c r="A105" s="221" t="s">
        <v>118</v>
      </c>
      <c r="B105" s="217"/>
      <c r="C105" s="217"/>
      <c r="D105" s="217"/>
      <c r="E105" s="217"/>
      <c r="F105" s="226">
        <v>212715</v>
      </c>
      <c r="G105" s="218"/>
      <c r="I105" s="221" t="s">
        <v>118</v>
      </c>
      <c r="J105" s="217"/>
      <c r="K105" s="217"/>
      <c r="L105" s="217"/>
      <c r="M105" s="217"/>
      <c r="N105" s="226">
        <f>+K94</f>
        <v>209147</v>
      </c>
      <c r="O105" s="218"/>
    </row>
    <row r="106" spans="1:17" ht="15.5">
      <c r="A106" s="221"/>
      <c r="B106" s="217"/>
      <c r="C106" s="217"/>
      <c r="D106" s="217"/>
      <c r="E106" s="217"/>
      <c r="F106" s="217"/>
      <c r="G106" s="218"/>
      <c r="I106" s="221"/>
      <c r="J106" s="217"/>
      <c r="K106" s="217"/>
      <c r="L106" s="217"/>
      <c r="M106" s="217"/>
      <c r="N106" s="217"/>
      <c r="O106" s="218"/>
    </row>
    <row r="107" spans="1:17" ht="15.5">
      <c r="A107" s="221" t="s">
        <v>119</v>
      </c>
      <c r="B107" s="217"/>
      <c r="C107" s="217"/>
      <c r="D107" s="217"/>
      <c r="E107" s="217"/>
      <c r="F107" s="235"/>
      <c r="G107" s="236">
        <f>F103/F105</f>
        <v>-0.81666793966885431</v>
      </c>
      <c r="I107" s="221" t="s">
        <v>119</v>
      </c>
      <c r="J107" s="217"/>
      <c r="K107" s="217"/>
      <c r="L107" s="217"/>
      <c r="M107" s="217"/>
      <c r="N107" s="235"/>
      <c r="O107" s="236">
        <f>ROUND(N103/N105,2)</f>
        <v>-1.1000000000000001</v>
      </c>
    </row>
    <row r="108" spans="1:17" ht="15.5">
      <c r="A108" s="221"/>
      <c r="B108" s="217"/>
      <c r="C108" s="217"/>
      <c r="D108" s="217"/>
      <c r="E108" s="217"/>
      <c r="F108" s="217"/>
      <c r="G108" s="236"/>
      <c r="I108" s="221"/>
      <c r="J108" s="217"/>
      <c r="K108" s="217"/>
      <c r="L108" s="217"/>
      <c r="M108" s="217"/>
      <c r="N108" s="217"/>
      <c r="O108" s="236"/>
    </row>
    <row r="109" spans="1:17" ht="15.5">
      <c r="A109" s="221"/>
      <c r="B109" s="217"/>
      <c r="C109" s="217"/>
      <c r="D109" s="217"/>
      <c r="E109" s="217"/>
      <c r="F109" s="217"/>
      <c r="G109" s="236"/>
      <c r="I109" s="221"/>
      <c r="J109" s="217"/>
      <c r="K109" s="217"/>
      <c r="L109" s="217"/>
      <c r="M109" s="217"/>
      <c r="N109" s="217"/>
      <c r="O109" s="236"/>
    </row>
    <row r="110" spans="1:17" ht="15.5">
      <c r="A110" s="237" t="s">
        <v>130</v>
      </c>
      <c r="B110" s="215"/>
      <c r="C110" s="217"/>
      <c r="D110" s="217"/>
      <c r="E110" s="217"/>
      <c r="F110" s="238">
        <f>F96</f>
        <v>145945.7483506508</v>
      </c>
      <c r="G110" s="236"/>
      <c r="I110" s="237" t="s">
        <v>120</v>
      </c>
      <c r="J110" s="215"/>
      <c r="K110" s="217"/>
      <c r="L110" s="217"/>
      <c r="M110" s="217"/>
      <c r="N110" s="238">
        <v>85285</v>
      </c>
      <c r="O110" s="236"/>
    </row>
    <row r="111" spans="1:17" ht="18.5">
      <c r="A111" s="214" t="s">
        <v>150</v>
      </c>
      <c r="B111" s="281"/>
      <c r="C111" s="281"/>
      <c r="D111" s="281"/>
      <c r="E111" s="281"/>
      <c r="F111" s="279">
        <f>F110*50%</f>
        <v>72972.8741753254</v>
      </c>
      <c r="G111" s="236"/>
      <c r="I111" s="221" t="s">
        <v>118</v>
      </c>
      <c r="J111" s="217"/>
      <c r="K111" s="217"/>
      <c r="L111" s="217"/>
      <c r="M111" s="217"/>
      <c r="N111" s="239">
        <v>105335</v>
      </c>
      <c r="O111" s="236"/>
    </row>
    <row r="112" spans="1:17" ht="18.5">
      <c r="A112" s="281" t="s">
        <v>152</v>
      </c>
      <c r="B112" s="281"/>
      <c r="C112" s="281"/>
      <c r="D112" s="281"/>
      <c r="E112" s="281"/>
      <c r="F112" s="277">
        <f>F110-F111</f>
        <v>72972.8741753254</v>
      </c>
      <c r="G112" s="236"/>
      <c r="I112" s="221" t="s">
        <v>121</v>
      </c>
      <c r="J112" s="217"/>
      <c r="K112" s="217"/>
      <c r="L112" s="217"/>
      <c r="M112" s="217"/>
      <c r="N112" s="217"/>
      <c r="O112" s="240">
        <f>ROUND(+N110/N111,2)</f>
        <v>0.81</v>
      </c>
    </row>
    <row r="113" spans="1:15" ht="18.5">
      <c r="A113" s="221" t="s">
        <v>118</v>
      </c>
      <c r="B113" s="217"/>
      <c r="C113" s="217"/>
      <c r="D113" s="217"/>
      <c r="E113" s="217"/>
      <c r="F113" s="239">
        <f>+F105</f>
        <v>212715</v>
      </c>
      <c r="G113" s="236"/>
      <c r="I113" s="214" t="s">
        <v>122</v>
      </c>
      <c r="J113" s="215"/>
      <c r="K113" s="217"/>
      <c r="L113" s="217"/>
      <c r="M113" s="217"/>
      <c r="N113" s="217"/>
      <c r="O113" s="241">
        <f>SUM(O107:O112)</f>
        <v>-0.29000000000000004</v>
      </c>
    </row>
    <row r="114" spans="1:15" ht="18.5">
      <c r="A114" s="221" t="s">
        <v>121</v>
      </c>
      <c r="B114" s="217"/>
      <c r="C114" s="217"/>
      <c r="D114" s="217"/>
      <c r="E114" s="217"/>
      <c r="F114" s="217"/>
      <c r="G114" s="240">
        <f>ROUND(+F110/F113,2)</f>
        <v>0.69</v>
      </c>
      <c r="I114" s="214"/>
      <c r="J114" s="215"/>
      <c r="K114" s="217"/>
      <c r="L114" s="217"/>
      <c r="M114" s="217"/>
      <c r="N114" s="217"/>
      <c r="O114" s="241"/>
    </row>
    <row r="115" spans="1:15" ht="15.5">
      <c r="A115" s="214" t="s">
        <v>122</v>
      </c>
      <c r="B115" s="215"/>
      <c r="C115" s="217"/>
      <c r="D115" s="217"/>
      <c r="E115" s="217"/>
      <c r="F115" s="217"/>
      <c r="G115" s="241">
        <f>SUM(G107:G114)</f>
        <v>-0.12666793966885437</v>
      </c>
      <c r="I115" s="229" t="s">
        <v>123</v>
      </c>
      <c r="J115" s="215"/>
      <c r="K115" s="217"/>
      <c r="L115" s="217"/>
      <c r="M115" s="243">
        <f>+K94/12*0.5</f>
        <v>8714.4583333333339</v>
      </c>
      <c r="N115" s="217"/>
      <c r="O115" s="244">
        <f>ROUND(-M115/K94*2,2)</f>
        <v>-0.08</v>
      </c>
    </row>
    <row r="116" spans="1:15" ht="15.5">
      <c r="A116" s="214"/>
      <c r="B116" s="215"/>
      <c r="C116" s="217"/>
      <c r="D116" s="217"/>
      <c r="E116" s="217"/>
      <c r="F116" s="217"/>
      <c r="G116" s="241"/>
      <c r="I116" s="214"/>
      <c r="J116" s="215"/>
      <c r="K116" s="217"/>
      <c r="L116" s="217"/>
      <c r="M116" s="217"/>
      <c r="N116" s="217"/>
      <c r="O116" s="241"/>
    </row>
    <row r="117" spans="1:15" ht="20">
      <c r="A117" s="229"/>
      <c r="B117" s="217"/>
      <c r="C117" s="217"/>
      <c r="D117" s="217"/>
      <c r="E117" s="245"/>
      <c r="F117" s="217"/>
      <c r="G117" s="246"/>
      <c r="I117" s="229" t="s">
        <v>124</v>
      </c>
      <c r="J117" s="217"/>
      <c r="K117" s="217"/>
      <c r="L117" s="217"/>
      <c r="M117" s="245">
        <v>0.5</v>
      </c>
      <c r="N117" s="217"/>
      <c r="O117" s="246">
        <f>-M117*O112</f>
        <v>-0.40500000000000003</v>
      </c>
    </row>
    <row r="118" spans="1:15" ht="20">
      <c r="A118" s="229"/>
      <c r="B118" s="217"/>
      <c r="C118" s="217"/>
      <c r="D118" s="217"/>
      <c r="E118" s="248"/>
      <c r="F118" s="217"/>
      <c r="G118" s="246"/>
      <c r="I118" s="229"/>
      <c r="J118" s="217"/>
      <c r="K118" s="217"/>
      <c r="L118" s="217"/>
      <c r="M118" s="248"/>
      <c r="N118" s="217"/>
      <c r="O118" s="246"/>
    </row>
    <row r="119" spans="1:15" ht="17">
      <c r="A119" s="214"/>
      <c r="B119" s="217"/>
      <c r="C119" s="217"/>
      <c r="D119" s="217"/>
      <c r="E119" s="248"/>
      <c r="F119" s="217"/>
      <c r="G119" s="249"/>
      <c r="I119" s="214" t="s">
        <v>146</v>
      </c>
      <c r="J119" s="217"/>
      <c r="K119" s="217"/>
      <c r="L119" s="217"/>
      <c r="M119" s="248"/>
      <c r="N119" s="217"/>
      <c r="O119" s="249">
        <f>+O113+O117+O115</f>
        <v>-0.77500000000000002</v>
      </c>
    </row>
    <row r="120" spans="1:15" ht="13" thickBot="1">
      <c r="A120" s="250"/>
      <c r="B120" s="251"/>
      <c r="C120" s="251"/>
      <c r="D120" s="251"/>
      <c r="E120" s="251"/>
      <c r="F120" s="251"/>
      <c r="G120" s="252"/>
      <c r="I120" s="250"/>
      <c r="J120" s="251"/>
      <c r="K120" s="251"/>
      <c r="L120" s="251"/>
      <c r="M120" s="251"/>
      <c r="N120" s="251"/>
      <c r="O120" s="252"/>
    </row>
  </sheetData>
  <mergeCells count="7">
    <mergeCell ref="A87:G87"/>
    <mergeCell ref="I87:O87"/>
    <mergeCell ref="A4:C4"/>
    <mergeCell ref="A6:G6"/>
    <mergeCell ref="I6:O6"/>
    <mergeCell ref="A48:G48"/>
    <mergeCell ref="I48:O48"/>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8C6B-3DC7-4123-BE89-81456714B472}">
  <sheetPr>
    <tabColor rgb="FF00B0F0"/>
  </sheetPr>
  <dimension ref="A1:M39"/>
  <sheetViews>
    <sheetView workbookViewId="0">
      <selection activeCell="D15" sqref="D15"/>
    </sheetView>
  </sheetViews>
  <sheetFormatPr defaultRowHeight="12.5"/>
  <cols>
    <col min="1" max="1" width="72.54296875" bestFit="1" customWidth="1"/>
    <col min="3" max="3" width="11.26953125" bestFit="1" customWidth="1"/>
    <col min="4" max="4" width="12.81640625" bestFit="1" customWidth="1"/>
    <col min="5" max="5" width="3.81640625" customWidth="1"/>
  </cols>
  <sheetData>
    <row r="1" spans="1:5" ht="23.5">
      <c r="A1" s="21" t="s">
        <v>30</v>
      </c>
      <c r="B1" s="21"/>
      <c r="C1" s="12"/>
      <c r="D1" s="12"/>
    </row>
    <row r="2" spans="1:5" ht="15.5">
      <c r="A2" s="23" t="s">
        <v>309</v>
      </c>
      <c r="B2" s="23"/>
      <c r="C2" s="24"/>
      <c r="D2" s="101"/>
    </row>
    <row r="3" spans="1:5" ht="14.5">
      <c r="A3" s="26"/>
      <c r="B3" s="26"/>
      <c r="C3" s="24"/>
      <c r="D3" s="104" t="s">
        <v>31</v>
      </c>
      <c r="E3" s="103"/>
    </row>
    <row r="4" spans="1:5" ht="14.5">
      <c r="A4" s="26"/>
      <c r="B4" s="26"/>
      <c r="C4" s="24"/>
      <c r="D4" s="104" t="s">
        <v>15</v>
      </c>
      <c r="E4" s="103"/>
    </row>
    <row r="5" spans="1:5" ht="16">
      <c r="A5" s="12"/>
      <c r="B5" s="12"/>
      <c r="C5" s="24"/>
      <c r="D5" s="105" t="s">
        <v>102</v>
      </c>
      <c r="E5" s="103"/>
    </row>
    <row r="6" spans="1:5" ht="14.5">
      <c r="A6" s="27" t="s">
        <v>18</v>
      </c>
      <c r="B6" s="27"/>
      <c r="C6" s="24"/>
      <c r="D6" s="106"/>
      <c r="E6" s="103"/>
    </row>
    <row r="7" spans="1:5" ht="16">
      <c r="A7" s="12" t="s">
        <v>19</v>
      </c>
      <c r="B7" s="12"/>
      <c r="C7" s="24"/>
      <c r="D7" s="107">
        <f>+'Customer Counts - Enspire'!I38</f>
        <v>94538.23076923078</v>
      </c>
      <c r="E7" s="103"/>
    </row>
    <row r="8" spans="1:5" ht="14.5">
      <c r="A8" s="12"/>
      <c r="B8" s="12"/>
      <c r="C8" s="24"/>
      <c r="D8" s="108"/>
      <c r="E8" s="103"/>
    </row>
    <row r="9" spans="1:5" ht="14.5">
      <c r="A9" s="12"/>
      <c r="B9" s="12"/>
      <c r="C9" s="24"/>
      <c r="D9" s="108"/>
      <c r="E9" s="103"/>
    </row>
    <row r="10" spans="1:5" ht="14.5">
      <c r="A10" s="27" t="s">
        <v>20</v>
      </c>
      <c r="B10" s="27"/>
      <c r="C10" s="24"/>
      <c r="D10" s="108"/>
      <c r="E10" s="103"/>
    </row>
    <row r="11" spans="1:5" ht="16">
      <c r="A11" s="192" t="s">
        <v>131</v>
      </c>
      <c r="B11" s="28"/>
      <c r="C11" s="24"/>
      <c r="D11" s="109">
        <f>SUM('2023-2024 Recy. Tons &amp; Revenue'!D35:D46)*2</f>
        <v>53811.23423656587</v>
      </c>
      <c r="E11" s="103"/>
    </row>
    <row r="12" spans="1:5" ht="14.5">
      <c r="A12" s="29"/>
      <c r="B12" s="29"/>
      <c r="C12" s="24"/>
      <c r="D12" s="108"/>
      <c r="E12" s="103"/>
    </row>
    <row r="13" spans="1:5" ht="14.5">
      <c r="A13" s="29"/>
      <c r="B13" s="29"/>
      <c r="C13" s="24"/>
      <c r="D13" s="108"/>
      <c r="E13" s="103"/>
    </row>
    <row r="14" spans="1:5" ht="21">
      <c r="A14" s="30" t="s">
        <v>21</v>
      </c>
      <c r="B14" s="30"/>
      <c r="C14" s="24"/>
      <c r="D14" s="106"/>
      <c r="E14" s="103"/>
    </row>
    <row r="15" spans="1:5" ht="30.5">
      <c r="A15" s="31" t="s">
        <v>22</v>
      </c>
      <c r="B15" s="31"/>
      <c r="C15" s="32"/>
      <c r="D15" s="110">
        <f>ROUND(SUM('2023-2024 Recy. Tons &amp; Revenue'!H35:H46)*2,-3)</f>
        <v>4338000</v>
      </c>
      <c r="E15" s="103"/>
    </row>
    <row r="16" spans="1:5" ht="14.5">
      <c r="A16" s="31"/>
      <c r="B16" s="31"/>
      <c r="C16" s="32"/>
      <c r="D16" s="111"/>
      <c r="E16" s="103"/>
    </row>
    <row r="17" spans="1:13" ht="21">
      <c r="A17" s="30" t="s">
        <v>23</v>
      </c>
      <c r="B17" s="31"/>
      <c r="C17" s="32"/>
      <c r="D17" s="111"/>
      <c r="E17" s="103"/>
    </row>
    <row r="18" spans="1:13" ht="14.5">
      <c r="A18" s="31" t="s">
        <v>24</v>
      </c>
      <c r="B18" s="31"/>
      <c r="C18" s="44">
        <v>0.5</v>
      </c>
      <c r="D18" s="112">
        <f>ROUND(+D15*$C18,-2)</f>
        <v>2169000</v>
      </c>
      <c r="E18" s="103"/>
    </row>
    <row r="19" spans="1:13" ht="22.5" customHeight="1">
      <c r="A19" s="34" t="s">
        <v>252</v>
      </c>
      <c r="B19" s="31"/>
      <c r="C19" s="44"/>
      <c r="D19" s="112"/>
      <c r="E19" s="103"/>
    </row>
    <row r="20" spans="1:13" ht="16">
      <c r="A20" s="31" t="s">
        <v>94</v>
      </c>
      <c r="B20" s="31"/>
      <c r="C20" s="44"/>
      <c r="D20" s="114">
        <f>ROUND(-D32*0.05,-2)</f>
        <v>0</v>
      </c>
      <c r="E20" s="103"/>
      <c r="F20" s="288"/>
      <c r="G20" s="288"/>
      <c r="H20" s="288"/>
      <c r="I20" s="288"/>
      <c r="J20" s="288"/>
      <c r="K20" s="288"/>
      <c r="L20" s="288"/>
      <c r="M20" s="288"/>
    </row>
    <row r="21" spans="1:13" ht="16">
      <c r="A21" s="262" t="s">
        <v>132</v>
      </c>
      <c r="B21" s="31"/>
      <c r="C21" s="44"/>
      <c r="D21" s="115">
        <f>SUM(D18:D20)</f>
        <v>2169000</v>
      </c>
      <c r="E21" s="103"/>
    </row>
    <row r="22" spans="1:13" ht="14.5">
      <c r="A22" s="12"/>
      <c r="B22" s="12"/>
      <c r="C22" s="24"/>
      <c r="D22" s="124"/>
      <c r="E22" s="103"/>
    </row>
    <row r="23" spans="1:13" ht="18.5">
      <c r="A23" s="33" t="s">
        <v>25</v>
      </c>
      <c r="B23" s="33"/>
      <c r="C23" s="24"/>
      <c r="D23" s="106"/>
      <c r="E23" s="103"/>
    </row>
    <row r="24" spans="1:13" ht="16">
      <c r="A24" s="34"/>
      <c r="B24" s="34"/>
      <c r="C24" s="35"/>
      <c r="D24" s="125"/>
      <c r="E24" s="103"/>
    </row>
    <row r="25" spans="1:13" ht="16">
      <c r="A25" s="36" t="s">
        <v>26</v>
      </c>
      <c r="B25" s="36"/>
      <c r="C25" s="37"/>
      <c r="D25" s="125"/>
      <c r="E25" s="103"/>
    </row>
    <row r="26" spans="1:13" ht="43.5">
      <c r="A26" s="41" t="s">
        <v>315</v>
      </c>
      <c r="B26" s="394"/>
      <c r="C26" s="395"/>
      <c r="D26" s="263"/>
      <c r="E26" s="103"/>
      <c r="F26" s="11"/>
      <c r="G26" s="209"/>
    </row>
    <row r="27" spans="1:13" ht="14.5">
      <c r="A27" s="41"/>
      <c r="B27" s="394"/>
      <c r="C27" s="396"/>
      <c r="D27" s="263"/>
      <c r="E27" s="103"/>
    </row>
    <row r="28" spans="1:13" ht="14.5">
      <c r="A28" s="41"/>
      <c r="B28" s="394"/>
      <c r="C28" s="397"/>
      <c r="D28" s="263"/>
      <c r="E28" s="103"/>
    </row>
    <row r="29" spans="1:13" ht="14.5">
      <c r="A29" s="41"/>
      <c r="B29" s="394"/>
      <c r="C29" s="398"/>
      <c r="D29" s="263"/>
      <c r="E29" s="103"/>
    </row>
    <row r="30" spans="1:13" ht="14.5">
      <c r="A30" s="41"/>
      <c r="B30" s="394"/>
      <c r="C30" s="399"/>
      <c r="D30" s="263"/>
      <c r="E30" s="103"/>
    </row>
    <row r="31" spans="1:13" ht="16">
      <c r="A31" s="41"/>
      <c r="B31" s="394"/>
      <c r="C31" s="399"/>
      <c r="D31" s="264"/>
      <c r="E31" s="103"/>
    </row>
    <row r="32" spans="1:13" ht="16">
      <c r="A32" s="34" t="s">
        <v>27</v>
      </c>
      <c r="B32" s="34"/>
      <c r="C32" s="32"/>
      <c r="D32" s="120">
        <f>SUM(D26:D31)</f>
        <v>0</v>
      </c>
      <c r="E32" s="103"/>
    </row>
    <row r="33" spans="1:5" ht="14.5">
      <c r="A33" s="34"/>
      <c r="B33" s="34"/>
      <c r="C33" s="42"/>
      <c r="D33" s="126"/>
      <c r="E33" s="103"/>
    </row>
    <row r="34" spans="1:5" ht="18" hidden="1" customHeight="1">
      <c r="A34" s="190" t="s">
        <v>107</v>
      </c>
      <c r="B34" s="26"/>
      <c r="C34" s="43"/>
      <c r="D34" s="207" t="e">
        <f>+#REF!-D21</f>
        <v>#REF!</v>
      </c>
      <c r="E34" s="207"/>
    </row>
    <row r="35" spans="1:5" ht="14.5">
      <c r="A35" s="26"/>
      <c r="B35" s="26"/>
      <c r="C35" s="43"/>
      <c r="D35" s="127"/>
      <c r="E35" s="117"/>
    </row>
    <row r="36" spans="1:5" ht="14.5">
      <c r="A36" s="34" t="s">
        <v>28</v>
      </c>
      <c r="B36" s="34"/>
      <c r="C36" s="43"/>
      <c r="D36" s="122">
        <f>+D11*2000/D7/24</f>
        <v>47.433397930409662</v>
      </c>
      <c r="E36" s="103"/>
    </row>
    <row r="37" spans="1:5" ht="14.5">
      <c r="C37" s="43"/>
      <c r="D37" s="122"/>
      <c r="E37" s="103"/>
    </row>
    <row r="38" spans="1:5" ht="14.5">
      <c r="A38" s="34" t="s">
        <v>29</v>
      </c>
      <c r="B38" s="34"/>
      <c r="C38" s="43"/>
      <c r="D38" s="123">
        <f>+D15/D11</f>
        <v>80.615136626103208</v>
      </c>
      <c r="E38" s="103"/>
    </row>
    <row r="39" spans="1:5">
      <c r="A39" s="38"/>
      <c r="B39" s="38"/>
      <c r="C39" s="39"/>
      <c r="D39" s="3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A773-3BAA-4216-B72C-A2653648E258}">
  <sheetPr>
    <tabColor rgb="FF00B0F0"/>
  </sheetPr>
  <dimension ref="A1:J44"/>
  <sheetViews>
    <sheetView workbookViewId="0">
      <selection activeCell="D17" sqref="D17"/>
    </sheetView>
  </sheetViews>
  <sheetFormatPr defaultRowHeight="12.5"/>
  <cols>
    <col min="1" max="1" width="71.453125" customWidth="1"/>
    <col min="2" max="2" width="9.26953125" bestFit="1" customWidth="1"/>
    <col min="3" max="3" width="11.453125" bestFit="1" customWidth="1"/>
    <col min="4" max="4" width="12.7265625" bestFit="1" customWidth="1"/>
    <col min="5" max="5" width="2.7265625" customWidth="1"/>
    <col min="7" max="7" width="12.54296875" bestFit="1" customWidth="1"/>
    <col min="8" max="8" width="11.26953125" bestFit="1" customWidth="1"/>
    <col min="10" max="10" width="10.1796875" bestFit="1" customWidth="1"/>
  </cols>
  <sheetData>
    <row r="1" spans="1:10" ht="23.5">
      <c r="A1" s="21" t="s">
        <v>12</v>
      </c>
      <c r="B1" s="21"/>
      <c r="C1" s="12"/>
      <c r="D1" s="12"/>
      <c r="E1" s="22"/>
    </row>
    <row r="2" spans="1:10" ht="15.5">
      <c r="A2" s="23" t="s">
        <v>244</v>
      </c>
      <c r="B2" s="23"/>
      <c r="C2" s="24"/>
      <c r="D2" s="25"/>
      <c r="E2" s="22"/>
    </row>
    <row r="3" spans="1:10" ht="15.5">
      <c r="A3" s="23"/>
      <c r="B3" s="23"/>
      <c r="C3" s="24"/>
      <c r="D3" s="101"/>
      <c r="E3" s="102"/>
    </row>
    <row r="4" spans="1:10" ht="14.5">
      <c r="A4" s="188"/>
      <c r="B4" s="188"/>
      <c r="C4" s="189"/>
      <c r="D4" s="545" t="s">
        <v>102</v>
      </c>
      <c r="E4" s="545"/>
    </row>
    <row r="5" spans="1:10" ht="14.5">
      <c r="A5" s="190"/>
      <c r="B5" s="190"/>
      <c r="C5" s="189"/>
      <c r="D5" s="104" t="s">
        <v>13</v>
      </c>
      <c r="E5" s="102"/>
      <c r="G5" s="500" t="s">
        <v>16</v>
      </c>
      <c r="H5" s="500" t="s">
        <v>17</v>
      </c>
      <c r="J5" s="496"/>
    </row>
    <row r="6" spans="1:10" ht="16">
      <c r="A6" s="204"/>
      <c r="B6" s="204"/>
      <c r="C6" s="189"/>
      <c r="D6" s="105" t="s">
        <v>15</v>
      </c>
      <c r="E6" s="102"/>
      <c r="J6" s="496"/>
    </row>
    <row r="7" spans="1:10" ht="14.5">
      <c r="A7" s="191" t="s">
        <v>18</v>
      </c>
      <c r="B7" s="191"/>
      <c r="C7" s="189"/>
      <c r="D7" s="106"/>
      <c r="E7" s="102"/>
      <c r="J7" s="496"/>
    </row>
    <row r="8" spans="1:10" ht="16">
      <c r="A8" s="204" t="s">
        <v>101</v>
      </c>
      <c r="B8" s="204"/>
      <c r="C8" s="189"/>
      <c r="D8" s="107">
        <f>+'Customer Counts - Enspire'!I36+'Customer Counts - Enspire'!I37</f>
        <v>40521.076923076922</v>
      </c>
      <c r="E8" s="102"/>
      <c r="G8" s="257">
        <f>'Customer Counts - Enspire'!I37</f>
        <v>21757</v>
      </c>
      <c r="H8" s="257">
        <f>'Customer Counts - Enspire'!I36</f>
        <v>18764.076923076922</v>
      </c>
      <c r="J8" s="496"/>
    </row>
    <row r="9" spans="1:10" ht="14.5">
      <c r="A9" s="204"/>
      <c r="B9" s="204"/>
      <c r="C9" s="189"/>
      <c r="D9" s="108"/>
      <c r="E9" s="102"/>
      <c r="J9" s="496"/>
    </row>
    <row r="10" spans="1:10" ht="14.5">
      <c r="A10" s="204"/>
      <c r="B10" s="204"/>
      <c r="C10" s="189"/>
      <c r="D10" s="108"/>
      <c r="E10" s="102"/>
      <c r="J10" s="496"/>
    </row>
    <row r="11" spans="1:10" ht="14.5">
      <c r="A11" s="191" t="s">
        <v>20</v>
      </c>
      <c r="B11" s="191"/>
      <c r="C11" s="189"/>
      <c r="D11" s="108"/>
      <c r="E11" s="102"/>
      <c r="J11" s="496"/>
    </row>
    <row r="12" spans="1:10" ht="16">
      <c r="A12" s="192" t="s">
        <v>131</v>
      </c>
      <c r="B12" s="192"/>
      <c r="C12" s="189"/>
      <c r="D12" s="109">
        <f>SUM('2023-2024 Recy. Tons &amp; Revenue'!C35:C46)*2</f>
        <v>24952.580416140725</v>
      </c>
      <c r="E12" s="102"/>
      <c r="G12" s="257">
        <f>SUM('2023-2024 Recy. Tons &amp; Revenue'!C86:C97,'2023-2024 Recy. Tons &amp; Revenue'!C117:C128)*2</f>
        <v>1133.28</v>
      </c>
      <c r="H12" s="257">
        <f>SUM('2023-2024 Recy. Tons &amp; Revenue'!D86:D97,'2023-2024 Recy. Tons &amp; Revenue'!D117:D128)*2</f>
        <v>937.03999999999985</v>
      </c>
      <c r="J12" s="496"/>
    </row>
    <row r="13" spans="1:10" ht="14.5">
      <c r="A13" s="205"/>
      <c r="B13" s="205"/>
      <c r="C13" s="189"/>
      <c r="D13" s="108"/>
      <c r="E13" s="102"/>
      <c r="J13" s="496"/>
    </row>
    <row r="14" spans="1:10" ht="14.5">
      <c r="A14" s="205"/>
      <c r="B14" s="205"/>
      <c r="C14" s="189"/>
      <c r="D14" s="108"/>
      <c r="E14" s="102"/>
      <c r="J14" s="496"/>
    </row>
    <row r="15" spans="1:10" ht="14.5">
      <c r="A15" s="191" t="s">
        <v>21</v>
      </c>
      <c r="B15" s="191"/>
      <c r="C15" s="189"/>
      <c r="D15" s="106"/>
      <c r="E15" s="102"/>
    </row>
    <row r="16" spans="1:10" ht="30.5">
      <c r="A16" s="193" t="s">
        <v>22</v>
      </c>
      <c r="B16" s="193"/>
      <c r="C16" s="194"/>
      <c r="D16" s="110">
        <f>ROUND(SUM('2023-2024 Recy. Tons &amp; Revenue'!G35:G46)*2,-3)</f>
        <v>2040000</v>
      </c>
      <c r="E16" s="102"/>
      <c r="G16" s="257" t="e">
        <f>SUM('2023-2024 Recy. Tons &amp; Revenue'!J86:J97,'2023-2024 Recy. Tons &amp; Revenue'!J117:J128)*2</f>
        <v>#DIV/0!</v>
      </c>
      <c r="H16" s="257" t="e">
        <f>SUM('2023-2024 Recy. Tons &amp; Revenue'!L86:L97,'2023-2024 Recy. Tons &amp; Revenue'!L117:L128)*2</f>
        <v>#DIV/0!</v>
      </c>
    </row>
    <row r="17" spans="1:8" ht="14.5">
      <c r="A17" s="193"/>
      <c r="B17" s="193"/>
      <c r="C17" s="194"/>
      <c r="D17" s="111"/>
      <c r="E17" s="102"/>
    </row>
    <row r="18" spans="1:8" ht="14.5">
      <c r="A18" s="191" t="s">
        <v>23</v>
      </c>
      <c r="B18" s="193"/>
      <c r="C18" s="194"/>
      <c r="D18" s="111"/>
      <c r="E18" s="102"/>
    </row>
    <row r="19" spans="1:8" ht="14.5">
      <c r="A19" s="193" t="s">
        <v>24</v>
      </c>
      <c r="B19" s="193"/>
      <c r="C19" s="195">
        <v>0.5</v>
      </c>
      <c r="D19" s="112">
        <f>ROUND(+D16*$C19,-2)</f>
        <v>1020000</v>
      </c>
      <c r="E19" s="113"/>
      <c r="F19" s="112"/>
      <c r="G19" s="112" t="e">
        <f>ROUND(+G16*$C19,-2)</f>
        <v>#DIV/0!</v>
      </c>
      <c r="H19" s="112" t="e">
        <f>ROUND(+H16*$C19,-2)</f>
        <v>#DIV/0!</v>
      </c>
    </row>
    <row r="20" spans="1:8" ht="14.5">
      <c r="A20" s="34" t="s">
        <v>251</v>
      </c>
      <c r="B20" s="193"/>
      <c r="C20" s="195"/>
      <c r="D20" s="112">
        <f>'KC 2022-2023 Budget vs. Actual'!F22-'KC 2022-2023 Budget vs. Actual'!F30</f>
        <v>-9299</v>
      </c>
      <c r="E20" s="113"/>
      <c r="G20" s="499" t="e">
        <f>G19/SUM($G$19:$H$19)*$D$20</f>
        <v>#DIV/0!</v>
      </c>
      <c r="H20" s="499" t="e">
        <f>H19/SUM($G$19:$H$19)*$D$20</f>
        <v>#DIV/0!</v>
      </c>
    </row>
    <row r="21" spans="1:8" ht="16">
      <c r="A21" s="193" t="s">
        <v>94</v>
      </c>
      <c r="B21" s="193"/>
      <c r="C21" s="195"/>
      <c r="D21" s="114">
        <f>ROUND(-D32*0.05,-2)</f>
        <v>-23500</v>
      </c>
      <c r="E21" s="113"/>
      <c r="G21" s="257" t="e">
        <f>G19/SUM($G$19:$H$19)*$D$21</f>
        <v>#DIV/0!</v>
      </c>
      <c r="H21" s="257" t="e">
        <f>H19/SUM($G$19:$H$19)*$D$21</f>
        <v>#DIV/0!</v>
      </c>
    </row>
    <row r="22" spans="1:8" ht="16">
      <c r="A22" s="262" t="s">
        <v>132</v>
      </c>
      <c r="B22" s="193"/>
      <c r="C22" s="195"/>
      <c r="D22" s="115">
        <f>SUM(D19:D21)</f>
        <v>987201</v>
      </c>
      <c r="E22" s="115"/>
      <c r="G22" s="115" t="e">
        <f>SUM(G19:G21)</f>
        <v>#DIV/0!</v>
      </c>
      <c r="H22" s="115" t="e">
        <f>SUM(H19:H21)</f>
        <v>#DIV/0!</v>
      </c>
    </row>
    <row r="23" spans="1:8" ht="16">
      <c r="A23" s="196"/>
      <c r="B23" s="196"/>
      <c r="C23" s="189"/>
      <c r="D23" s="116"/>
      <c r="E23" s="102"/>
    </row>
    <row r="24" spans="1:8" ht="14.5">
      <c r="A24" s="191" t="s">
        <v>25</v>
      </c>
      <c r="B24" s="191"/>
      <c r="C24" s="189"/>
      <c r="D24" s="106"/>
      <c r="E24" s="102"/>
    </row>
    <row r="25" spans="1:8" ht="14.5">
      <c r="A25" s="197"/>
      <c r="B25" s="197"/>
      <c r="C25" s="198"/>
      <c r="D25" s="104"/>
      <c r="E25" s="102"/>
    </row>
    <row r="26" spans="1:8" ht="14.5">
      <c r="A26" s="199" t="s">
        <v>26</v>
      </c>
      <c r="B26" s="199"/>
      <c r="C26" s="206"/>
      <c r="D26" s="118"/>
      <c r="E26" s="102"/>
    </row>
    <row r="27" spans="1:8" ht="43.5">
      <c r="A27" s="41" t="s">
        <v>315</v>
      </c>
      <c r="B27" s="41"/>
      <c r="C27" s="40"/>
      <c r="D27" s="371"/>
      <c r="E27" s="119"/>
      <c r="F27" s="11"/>
      <c r="G27" s="209"/>
    </row>
    <row r="28" spans="1:8" ht="14.5">
      <c r="A28" s="394" t="s">
        <v>316</v>
      </c>
      <c r="B28" s="394"/>
      <c r="C28" s="395"/>
      <c r="D28" s="263">
        <v>355000</v>
      </c>
      <c r="E28" s="119"/>
      <c r="F28" s="11"/>
      <c r="G28" s="376" t="e">
        <f t="shared" ref="G28:H30" si="0">G$22/SUM($G$22:$H$22)*$D28</f>
        <v>#DIV/0!</v>
      </c>
      <c r="H28" s="376" t="e">
        <f t="shared" si="0"/>
        <v>#DIV/0!</v>
      </c>
    </row>
    <row r="29" spans="1:8" ht="14.5">
      <c r="A29" s="394" t="s">
        <v>254</v>
      </c>
      <c r="B29" s="394"/>
      <c r="C29" s="399"/>
      <c r="D29" s="263">
        <v>112101</v>
      </c>
      <c r="E29" s="102"/>
      <c r="G29" s="376" t="e">
        <f t="shared" si="0"/>
        <v>#DIV/0!</v>
      </c>
      <c r="H29" s="376" t="e">
        <f t="shared" si="0"/>
        <v>#DIV/0!</v>
      </c>
    </row>
    <row r="30" spans="1:8" ht="16">
      <c r="A30" s="394" t="s">
        <v>255</v>
      </c>
      <c r="B30" s="394"/>
      <c r="C30" s="399"/>
      <c r="D30" s="264">
        <v>2500</v>
      </c>
      <c r="E30" s="102"/>
      <c r="G30" s="376" t="e">
        <f t="shared" si="0"/>
        <v>#DIV/0!</v>
      </c>
      <c r="H30" s="376" t="e">
        <f t="shared" si="0"/>
        <v>#DIV/0!</v>
      </c>
    </row>
    <row r="31" spans="1:8" ht="16">
      <c r="A31" s="394"/>
      <c r="B31" s="394"/>
      <c r="C31" s="399"/>
      <c r="D31" s="264"/>
      <c r="E31" s="102"/>
    </row>
    <row r="32" spans="1:8" ht="14.5">
      <c r="A32" s="197" t="s">
        <v>27</v>
      </c>
      <c r="B32" s="197"/>
      <c r="C32" s="201"/>
      <c r="D32" s="118">
        <f>SUM(D27:D30)</f>
        <v>469601</v>
      </c>
      <c r="E32" s="118"/>
      <c r="G32" s="118" t="e">
        <f>SUM(G27:G30)</f>
        <v>#DIV/0!</v>
      </c>
      <c r="H32" s="118" t="e">
        <f>SUM(H27:H30)</f>
        <v>#DIV/0!</v>
      </c>
    </row>
    <row r="33" spans="1:5" ht="14.5">
      <c r="A33" s="197"/>
      <c r="B33" s="197"/>
      <c r="C33" s="201"/>
      <c r="D33" s="103"/>
      <c r="E33" s="103"/>
    </row>
    <row r="34" spans="1:5" ht="17.25" hidden="1" customHeight="1">
      <c r="A34" s="190" t="s">
        <v>107</v>
      </c>
      <c r="B34" s="190"/>
      <c r="C34" s="202"/>
      <c r="D34" s="207" t="e">
        <f>+#REF!-D22</f>
        <v>#REF!</v>
      </c>
      <c r="E34" s="207"/>
    </row>
    <row r="35" spans="1:5" ht="14.5">
      <c r="A35" s="190"/>
      <c r="B35" s="190"/>
      <c r="C35" s="202"/>
      <c r="D35" s="121"/>
      <c r="E35" s="119"/>
    </row>
    <row r="36" spans="1:5" ht="14.5">
      <c r="A36" s="197" t="s">
        <v>28</v>
      </c>
      <c r="B36" s="197"/>
      <c r="C36" s="202"/>
      <c r="D36" s="122">
        <f>+D12*2000/D8/24</f>
        <v>51.316052268118369</v>
      </c>
      <c r="E36" s="102"/>
    </row>
    <row r="37" spans="1:5" ht="14.5">
      <c r="A37" s="103"/>
      <c r="B37" s="103"/>
      <c r="C37" s="202"/>
      <c r="D37" s="122"/>
      <c r="E37" s="102"/>
    </row>
    <row r="38" spans="1:5" ht="14.5">
      <c r="A38" s="197" t="s">
        <v>29</v>
      </c>
      <c r="B38" s="197"/>
      <c r="C38" s="202"/>
      <c r="D38" s="123">
        <f>+D16/D12</f>
        <v>81.755071659058316</v>
      </c>
      <c r="E38" s="102"/>
    </row>
    <row r="39" spans="1:5" ht="14.5">
      <c r="A39" s="190"/>
      <c r="B39" s="190"/>
      <c r="C39" s="202"/>
      <c r="D39" s="203"/>
      <c r="E39" s="102"/>
    </row>
    <row r="40" spans="1:5" ht="14.5">
      <c r="A40" s="200"/>
      <c r="B40" s="200"/>
      <c r="C40" s="194"/>
      <c r="D40" s="194"/>
      <c r="E40" s="102"/>
    </row>
    <row r="41" spans="1:5" ht="14.5">
      <c r="A41" s="103"/>
      <c r="B41" s="103"/>
      <c r="C41" s="103"/>
      <c r="D41" s="103"/>
      <c r="E41" s="103"/>
    </row>
    <row r="42" spans="1:5" ht="14.5">
      <c r="A42" s="103"/>
      <c r="B42" s="103"/>
      <c r="C42" s="103"/>
      <c r="D42" s="103"/>
      <c r="E42" s="103"/>
    </row>
    <row r="43" spans="1:5" ht="14.5">
      <c r="A43" s="103"/>
      <c r="B43" s="103"/>
      <c r="C43" s="103"/>
      <c r="D43" s="103"/>
      <c r="E43" s="103"/>
    </row>
    <row r="44" spans="1:5" ht="14.5">
      <c r="A44" s="103"/>
      <c r="B44" s="103"/>
      <c r="C44" s="103"/>
      <c r="D44" s="103"/>
      <c r="E44" s="103"/>
    </row>
  </sheetData>
  <mergeCells count="1">
    <mergeCell ref="D4:E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9"/>
  <sheetViews>
    <sheetView workbookViewId="0">
      <selection activeCell="F33" sqref="F33"/>
    </sheetView>
  </sheetViews>
  <sheetFormatPr defaultRowHeight="12.5"/>
  <cols>
    <col min="1" max="1" width="72.54296875" bestFit="1" customWidth="1"/>
    <col min="3" max="3" width="11.26953125" bestFit="1" customWidth="1"/>
    <col min="4" max="4" width="12.81640625" bestFit="1" customWidth="1"/>
    <col min="5" max="5" width="3.81640625" customWidth="1"/>
    <col min="6" max="6" width="12.81640625" bestFit="1" customWidth="1"/>
  </cols>
  <sheetData>
    <row r="1" spans="1:6" ht="23.5">
      <c r="A1" s="21" t="s">
        <v>30</v>
      </c>
      <c r="B1" s="21"/>
      <c r="C1" s="12"/>
      <c r="D1" s="12"/>
      <c r="F1" s="12"/>
    </row>
    <row r="2" spans="1:6" ht="15.5">
      <c r="A2" s="23" t="s">
        <v>244</v>
      </c>
      <c r="B2" s="23"/>
      <c r="C2" s="24"/>
      <c r="D2" s="101"/>
      <c r="F2" s="101"/>
    </row>
    <row r="3" spans="1:6" ht="14.5">
      <c r="A3" s="26"/>
      <c r="B3" s="26"/>
      <c r="C3" s="24"/>
      <c r="D3" s="104" t="s">
        <v>31</v>
      </c>
      <c r="E3" s="103"/>
      <c r="F3" s="104" t="s">
        <v>31</v>
      </c>
    </row>
    <row r="4" spans="1:6" ht="14.5">
      <c r="A4" s="26"/>
      <c r="B4" s="26"/>
      <c r="C4" s="24"/>
      <c r="D4" s="104" t="s">
        <v>15</v>
      </c>
      <c r="E4" s="103"/>
      <c r="F4" s="104" t="s">
        <v>15</v>
      </c>
    </row>
    <row r="5" spans="1:6" ht="16">
      <c r="A5" s="12"/>
      <c r="B5" s="12"/>
      <c r="C5" s="24"/>
      <c r="D5" s="105" t="s">
        <v>102</v>
      </c>
      <c r="E5" s="103"/>
      <c r="F5" s="105" t="s">
        <v>269</v>
      </c>
    </row>
    <row r="6" spans="1:6" ht="14.5">
      <c r="A6" s="27" t="s">
        <v>18</v>
      </c>
      <c r="B6" s="27"/>
      <c r="C6" s="24"/>
      <c r="D6" s="106"/>
      <c r="E6" s="103"/>
      <c r="F6" s="106"/>
    </row>
    <row r="7" spans="1:6" ht="16">
      <c r="A7" s="12" t="s">
        <v>19</v>
      </c>
      <c r="B7" s="12"/>
      <c r="C7" s="24"/>
      <c r="D7" s="107">
        <v>102549</v>
      </c>
      <c r="E7" s="103"/>
      <c r="F7" s="107">
        <f>'Customer Counts - Enspire'!I38</f>
        <v>94538.23076923078</v>
      </c>
    </row>
    <row r="8" spans="1:6" ht="14.5">
      <c r="A8" s="12"/>
      <c r="B8" s="12"/>
      <c r="C8" s="24"/>
      <c r="D8" s="108"/>
      <c r="E8" s="103"/>
      <c r="F8" s="108"/>
    </row>
    <row r="9" spans="1:6" ht="14.5">
      <c r="A9" s="12"/>
      <c r="B9" s="12"/>
      <c r="C9" s="24"/>
      <c r="D9" s="108"/>
      <c r="E9" s="103"/>
      <c r="F9" s="108"/>
    </row>
    <row r="10" spans="1:6" ht="14.5">
      <c r="A10" s="27" t="s">
        <v>20</v>
      </c>
      <c r="B10" s="27"/>
      <c r="C10" s="24"/>
      <c r="D10" s="108"/>
      <c r="E10" s="103"/>
      <c r="F10" s="108"/>
    </row>
    <row r="11" spans="1:6" ht="16">
      <c r="A11" s="192" t="s">
        <v>131</v>
      </c>
      <c r="B11" s="28"/>
      <c r="C11" s="24"/>
      <c r="D11" s="109">
        <v>59436</v>
      </c>
      <c r="E11" s="103"/>
      <c r="F11" s="109">
        <f>'2023-2024 Recy. Tons &amp; Revenue'!D59</f>
        <v>29173.987118282934</v>
      </c>
    </row>
    <row r="12" spans="1:6" ht="14.5">
      <c r="A12" s="29"/>
      <c r="B12" s="29"/>
      <c r="C12" s="24"/>
      <c r="D12" s="108"/>
      <c r="E12" s="103"/>
      <c r="F12" s="108"/>
    </row>
    <row r="13" spans="1:6" ht="14.5">
      <c r="A13" s="29"/>
      <c r="B13" s="29"/>
      <c r="C13" s="24"/>
      <c r="D13" s="108"/>
      <c r="E13" s="103"/>
      <c r="F13" s="108"/>
    </row>
    <row r="14" spans="1:6" ht="21">
      <c r="A14" s="30" t="s">
        <v>21</v>
      </c>
      <c r="B14" s="30"/>
      <c r="C14" s="24"/>
      <c r="D14" s="106"/>
      <c r="E14" s="103"/>
      <c r="F14" s="106"/>
    </row>
    <row r="15" spans="1:6" ht="30.5">
      <c r="A15" s="31" t="s">
        <v>22</v>
      </c>
      <c r="B15" s="31"/>
      <c r="C15" s="32"/>
      <c r="D15" s="110">
        <v>4004000</v>
      </c>
      <c r="E15" s="103"/>
      <c r="F15" s="110">
        <f>'2023-2024 Recy. Tons &amp; Revenue'!H59</f>
        <v>2348710.4309067652</v>
      </c>
    </row>
    <row r="16" spans="1:6" ht="14.5">
      <c r="A16" s="31"/>
      <c r="B16" s="31"/>
      <c r="C16" s="32"/>
      <c r="D16" s="111"/>
      <c r="E16" s="103"/>
      <c r="F16" s="111"/>
    </row>
    <row r="17" spans="1:13" ht="21">
      <c r="A17" s="30" t="s">
        <v>23</v>
      </c>
      <c r="B17" s="31"/>
      <c r="C17" s="32"/>
      <c r="D17" s="111"/>
      <c r="E17" s="103"/>
      <c r="F17" s="111"/>
    </row>
    <row r="18" spans="1:13" ht="14.5">
      <c r="A18" s="31" t="s">
        <v>24</v>
      </c>
      <c r="B18" s="31"/>
      <c r="C18" s="44">
        <v>0.5</v>
      </c>
      <c r="D18" s="112">
        <f>ROUND(+D15*$C18,-2)</f>
        <v>2002000</v>
      </c>
      <c r="E18" s="103"/>
      <c r="F18" s="112">
        <f>ROUND(+F15*$C18,-2)</f>
        <v>1174400</v>
      </c>
    </row>
    <row r="19" spans="1:13" ht="22.5" customHeight="1">
      <c r="A19" s="34" t="s">
        <v>314</v>
      </c>
      <c r="B19" s="31"/>
      <c r="C19" s="44"/>
      <c r="D19" s="112">
        <v>-65800</v>
      </c>
      <c r="E19" s="103"/>
      <c r="F19" s="112">
        <v>-65800</v>
      </c>
      <c r="H19" s="283"/>
    </row>
    <row r="20" spans="1:13" ht="16">
      <c r="A20" s="31" t="s">
        <v>94</v>
      </c>
      <c r="B20" s="31"/>
      <c r="C20" s="44"/>
      <c r="D20" s="114">
        <f>ROUND(-D32*0.05,-2)</f>
        <v>-92200</v>
      </c>
      <c r="E20" s="103"/>
      <c r="F20" s="114">
        <f>ROUND(-F32*0.05,-2)</f>
        <v>-68100</v>
      </c>
      <c r="G20" s="288"/>
      <c r="H20" s="288"/>
      <c r="I20" s="288"/>
      <c r="J20" s="288"/>
      <c r="K20" s="288"/>
      <c r="L20" s="288"/>
      <c r="M20" s="288"/>
    </row>
    <row r="21" spans="1:13" ht="16">
      <c r="A21" s="262" t="s">
        <v>132</v>
      </c>
      <c r="B21" s="31"/>
      <c r="C21" s="44"/>
      <c r="D21" s="115">
        <f>SUM(D18:D20)</f>
        <v>1844000</v>
      </c>
      <c r="E21" s="103"/>
      <c r="F21" s="115">
        <f>SUM(F18:F20)</f>
        <v>1040500</v>
      </c>
    </row>
    <row r="22" spans="1:13" ht="14.5">
      <c r="A22" s="12"/>
      <c r="B22" s="12"/>
      <c r="C22" s="24"/>
      <c r="D22" s="124"/>
      <c r="E22" s="103"/>
      <c r="F22" s="124"/>
    </row>
    <row r="23" spans="1:13" ht="18.5">
      <c r="A23" s="33" t="s">
        <v>25</v>
      </c>
      <c r="B23" s="33"/>
      <c r="C23" s="24"/>
      <c r="D23" s="106"/>
      <c r="E23" s="103"/>
      <c r="F23" s="106"/>
    </row>
    <row r="24" spans="1:13" ht="16">
      <c r="A24" s="34"/>
      <c r="B24" s="34"/>
      <c r="C24" s="35"/>
      <c r="D24" s="125"/>
      <c r="E24" s="103"/>
      <c r="F24" s="125"/>
    </row>
    <row r="25" spans="1:13" ht="16">
      <c r="A25" s="36" t="s">
        <v>26</v>
      </c>
      <c r="B25" s="36"/>
      <c r="C25" s="37"/>
      <c r="D25" s="125"/>
      <c r="E25" s="103"/>
      <c r="F25" s="125"/>
    </row>
    <row r="26" spans="1:13" ht="14.5">
      <c r="A26" s="41" t="s">
        <v>256</v>
      </c>
      <c r="B26" s="394"/>
      <c r="C26" s="395"/>
      <c r="D26" s="263">
        <v>197000</v>
      </c>
      <c r="E26" s="103"/>
      <c r="F26" s="263">
        <v>170150</v>
      </c>
      <c r="G26" s="209"/>
    </row>
    <row r="27" spans="1:13" ht="14.5">
      <c r="A27" s="41" t="s">
        <v>257</v>
      </c>
      <c r="B27" s="394"/>
      <c r="C27" s="396"/>
      <c r="D27" s="263">
        <v>420000</v>
      </c>
      <c r="E27" s="103"/>
      <c r="F27" s="263">
        <v>80000</v>
      </c>
    </row>
    <row r="28" spans="1:13" ht="14.5">
      <c r="A28" s="41" t="s">
        <v>133</v>
      </c>
      <c r="B28" s="394"/>
      <c r="C28" s="397"/>
      <c r="D28" s="263">
        <v>315000</v>
      </c>
      <c r="E28" s="103"/>
      <c r="F28" s="263">
        <v>247100</v>
      </c>
    </row>
    <row r="29" spans="1:13" ht="29">
      <c r="A29" s="41" t="s">
        <v>134</v>
      </c>
      <c r="B29" s="394"/>
      <c r="C29" s="398"/>
      <c r="D29" s="263">
        <v>105000</v>
      </c>
      <c r="E29" s="103"/>
      <c r="F29" s="263">
        <v>24500</v>
      </c>
    </row>
    <row r="30" spans="1:13" ht="14.5">
      <c r="A30" s="41" t="s">
        <v>258</v>
      </c>
      <c r="B30" s="394"/>
      <c r="C30" s="399"/>
      <c r="D30" s="263">
        <v>360000</v>
      </c>
      <c r="E30" s="103"/>
      <c r="F30" s="263">
        <v>379977</v>
      </c>
    </row>
    <row r="31" spans="1:13" ht="16">
      <c r="A31" s="41" t="s">
        <v>135</v>
      </c>
      <c r="B31" s="394"/>
      <c r="C31" s="399"/>
      <c r="D31" s="264">
        <v>447000</v>
      </c>
      <c r="E31" s="103"/>
      <c r="F31" s="264">
        <v>460000</v>
      </c>
    </row>
    <row r="32" spans="1:13" ht="16">
      <c r="A32" s="34" t="s">
        <v>27</v>
      </c>
      <c r="B32" s="34"/>
      <c r="C32" s="32"/>
      <c r="D32" s="120">
        <f>SUM(D26:D31)</f>
        <v>1844000</v>
      </c>
      <c r="E32" s="103"/>
      <c r="F32" s="120">
        <f>SUM(F26:F31)</f>
        <v>1361727</v>
      </c>
    </row>
    <row r="33" spans="1:6" ht="14.5">
      <c r="A33" s="34"/>
      <c r="B33" s="34"/>
      <c r="C33" s="42"/>
      <c r="D33" s="126"/>
      <c r="E33" s="103"/>
      <c r="F33" s="497">
        <f>F32-F21</f>
        <v>321227</v>
      </c>
    </row>
    <row r="34" spans="1:6" ht="18" hidden="1" customHeight="1">
      <c r="A34" s="190" t="s">
        <v>107</v>
      </c>
      <c r="B34" s="26"/>
      <c r="C34" s="43"/>
      <c r="D34" s="207" t="e">
        <f>+#REF!-D21</f>
        <v>#REF!</v>
      </c>
      <c r="E34" s="207"/>
      <c r="F34" s="207" t="e">
        <f>+#REF!-F21</f>
        <v>#REF!</v>
      </c>
    </row>
    <row r="35" spans="1:6" ht="14.5">
      <c r="A35" s="26"/>
      <c r="B35" s="26"/>
      <c r="C35" s="43"/>
      <c r="D35" s="127"/>
      <c r="E35" s="117"/>
      <c r="F35" s="127"/>
    </row>
    <row r="36" spans="1:6" ht="14.5">
      <c r="A36" s="34" t="s">
        <v>28</v>
      </c>
      <c r="B36" s="34"/>
      <c r="C36" s="43"/>
      <c r="D36" s="122">
        <f>+D11*2000/D7/24</f>
        <v>48.298862007430593</v>
      </c>
      <c r="E36" s="103"/>
      <c r="F36" s="122">
        <f>+F11*2000/F7/24</f>
        <v>25.716216322312562</v>
      </c>
    </row>
    <row r="37" spans="1:6" ht="14.5">
      <c r="C37" s="43"/>
      <c r="D37" s="122"/>
      <c r="E37" s="103"/>
      <c r="F37" s="122"/>
    </row>
    <row r="38" spans="1:6" ht="14.5">
      <c r="A38" s="34" t="s">
        <v>29</v>
      </c>
      <c r="B38" s="34"/>
      <c r="C38" s="43"/>
      <c r="D38" s="123">
        <f>+D15/D11</f>
        <v>67.366579177602802</v>
      </c>
      <c r="E38" s="103"/>
      <c r="F38" s="123">
        <f>+F15/F11</f>
        <v>80.507008568426386</v>
      </c>
    </row>
    <row r="39" spans="1:6">
      <c r="A39" s="38"/>
      <c r="B39" s="38"/>
      <c r="C39" s="39"/>
      <c r="D39" s="39"/>
      <c r="F39" s="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2"/>
  <sheetViews>
    <sheetView topLeftCell="A8" workbookViewId="0">
      <selection activeCell="G30" sqref="G30"/>
    </sheetView>
  </sheetViews>
  <sheetFormatPr defaultRowHeight="12.5"/>
  <cols>
    <col min="1" max="1" width="71.453125" customWidth="1"/>
    <col min="2" max="2" width="9.26953125" bestFit="1" customWidth="1"/>
    <col min="3" max="3" width="11.453125" bestFit="1" customWidth="1"/>
    <col min="4" max="4" width="12.7265625" bestFit="1" customWidth="1"/>
    <col min="5" max="5" width="2.7265625" customWidth="1"/>
    <col min="6" max="6" width="12.7265625" bestFit="1" customWidth="1"/>
    <col min="7" max="7" width="12.26953125" bestFit="1" customWidth="1"/>
  </cols>
  <sheetData>
    <row r="1" spans="1:7" ht="23.5">
      <c r="A1" s="21" t="s">
        <v>12</v>
      </c>
      <c r="B1" s="21"/>
      <c r="C1" s="12"/>
      <c r="D1" s="12"/>
      <c r="E1" s="22"/>
      <c r="F1" s="12"/>
    </row>
    <row r="2" spans="1:7" ht="15.5">
      <c r="A2" s="23" t="s">
        <v>244</v>
      </c>
      <c r="B2" s="23"/>
      <c r="C2" s="24"/>
      <c r="D2" s="25"/>
      <c r="E2" s="22"/>
      <c r="F2" s="25"/>
    </row>
    <row r="3" spans="1:7" ht="15.5">
      <c r="A3" s="23"/>
      <c r="B3" s="23"/>
      <c r="C3" s="24"/>
      <c r="D3" s="101"/>
      <c r="E3" s="102"/>
      <c r="F3" s="101"/>
    </row>
    <row r="4" spans="1:7" ht="14.5">
      <c r="A4" s="188"/>
      <c r="B4" s="188"/>
      <c r="C4" s="189"/>
      <c r="D4" s="433" t="s">
        <v>102</v>
      </c>
      <c r="E4" s="433"/>
      <c r="F4" s="433" t="s">
        <v>269</v>
      </c>
      <c r="G4" s="434"/>
    </row>
    <row r="5" spans="1:7" ht="14.5">
      <c r="A5" s="190"/>
      <c r="B5" s="190"/>
      <c r="C5" s="189"/>
      <c r="D5" s="104" t="s">
        <v>13</v>
      </c>
      <c r="E5" s="102"/>
      <c r="F5" s="104" t="s">
        <v>13</v>
      </c>
    </row>
    <row r="6" spans="1:7" ht="16">
      <c r="A6" s="204"/>
      <c r="B6" s="204"/>
      <c r="C6" s="189"/>
      <c r="D6" s="105" t="s">
        <v>15</v>
      </c>
      <c r="E6" s="102"/>
      <c r="F6" s="105" t="s">
        <v>15</v>
      </c>
    </row>
    <row r="7" spans="1:7" ht="14.5">
      <c r="A7" s="191" t="s">
        <v>18</v>
      </c>
      <c r="B7" s="191"/>
      <c r="C7" s="189"/>
      <c r="D7" s="106"/>
      <c r="E7" s="102"/>
      <c r="F7" s="106"/>
    </row>
    <row r="8" spans="1:7" ht="16">
      <c r="A8" s="204" t="s">
        <v>101</v>
      </c>
      <c r="B8" s="204"/>
      <c r="C8" s="189"/>
      <c r="D8" s="107">
        <v>40184</v>
      </c>
      <c r="E8" s="102"/>
      <c r="F8" s="107">
        <f>'Customer Counts - Enspire'!I36+'Customer Counts - Enspire'!I37</f>
        <v>40521.076923076922</v>
      </c>
    </row>
    <row r="9" spans="1:7" ht="14.5">
      <c r="A9" s="204"/>
      <c r="B9" s="204"/>
      <c r="C9" s="189"/>
      <c r="D9" s="108"/>
      <c r="E9" s="102"/>
      <c r="F9" s="108"/>
    </row>
    <row r="10" spans="1:7" ht="14.5">
      <c r="A10" s="204"/>
      <c r="B10" s="204"/>
      <c r="C10" s="189"/>
      <c r="D10" s="108"/>
      <c r="E10" s="102"/>
      <c r="F10" s="108"/>
    </row>
    <row r="11" spans="1:7" ht="14.5">
      <c r="A11" s="191" t="s">
        <v>20</v>
      </c>
      <c r="B11" s="191"/>
      <c r="C11" s="189"/>
      <c r="D11" s="108"/>
      <c r="E11" s="102"/>
      <c r="F11" s="108"/>
    </row>
    <row r="12" spans="1:7" ht="16">
      <c r="A12" s="192" t="s">
        <v>131</v>
      </c>
      <c r="B12" s="192"/>
      <c r="C12" s="189"/>
      <c r="D12" s="109">
        <v>24584</v>
      </c>
      <c r="E12" s="102"/>
      <c r="F12" s="109">
        <f>'2023-2024 Recy. Tons &amp; Revenue'!C59</f>
        <v>13511.450208070362</v>
      </c>
    </row>
    <row r="13" spans="1:7" ht="14.5">
      <c r="A13" s="205"/>
      <c r="B13" s="205"/>
      <c r="C13" s="189"/>
      <c r="D13" s="108"/>
      <c r="E13" s="102"/>
      <c r="F13" s="108"/>
    </row>
    <row r="14" spans="1:7" ht="14.5">
      <c r="A14" s="205"/>
      <c r="B14" s="205"/>
      <c r="C14" s="189"/>
      <c r="D14" s="108"/>
      <c r="E14" s="102"/>
      <c r="F14" s="108"/>
    </row>
    <row r="15" spans="1:7" ht="14.5">
      <c r="A15" s="191" t="s">
        <v>21</v>
      </c>
      <c r="B15" s="191"/>
      <c r="C15" s="189"/>
      <c r="D15" s="106"/>
      <c r="E15" s="102"/>
      <c r="F15" s="106"/>
    </row>
    <row r="16" spans="1:7" ht="30.5">
      <c r="A16" s="193" t="s">
        <v>22</v>
      </c>
      <c r="B16" s="193"/>
      <c r="C16" s="194"/>
      <c r="D16" s="110">
        <v>1664000</v>
      </c>
      <c r="E16" s="102"/>
      <c r="F16" s="110">
        <f>'2023-2024 Recy. Tons &amp; Revenue'!G59</f>
        <v>1102677.6183791098</v>
      </c>
      <c r="G16" s="258"/>
    </row>
    <row r="17" spans="1:7" ht="14.5">
      <c r="A17" s="193"/>
      <c r="B17" s="193"/>
      <c r="C17" s="194"/>
      <c r="D17" s="111"/>
      <c r="E17" s="102"/>
      <c r="F17" s="111"/>
    </row>
    <row r="18" spans="1:7" ht="14.5">
      <c r="A18" s="191" t="s">
        <v>23</v>
      </c>
      <c r="B18" s="193"/>
      <c r="C18" s="194"/>
      <c r="D18" s="111"/>
      <c r="E18" s="102"/>
      <c r="F18" s="111"/>
    </row>
    <row r="19" spans="1:7" ht="14.5">
      <c r="A19" s="193" t="s">
        <v>24</v>
      </c>
      <c r="B19" s="193"/>
      <c r="C19" s="195">
        <v>0.5</v>
      </c>
      <c r="D19" s="112">
        <f>ROUND(+D16*$C19,-2)</f>
        <v>832000</v>
      </c>
      <c r="E19" s="113"/>
      <c r="F19" s="112">
        <f>ROUND(+F16*$C19,-2)</f>
        <v>551300</v>
      </c>
    </row>
    <row r="20" spans="1:7" ht="14.5">
      <c r="A20" s="34" t="s">
        <v>251</v>
      </c>
      <c r="B20" s="193"/>
      <c r="C20" s="195"/>
      <c r="D20" s="112">
        <v>62900</v>
      </c>
      <c r="E20" s="113"/>
      <c r="F20" s="112">
        <v>62900</v>
      </c>
    </row>
    <row r="21" spans="1:7" ht="16">
      <c r="A21" s="193" t="s">
        <v>94</v>
      </c>
      <c r="B21" s="193"/>
      <c r="C21" s="195"/>
      <c r="D21" s="114">
        <f>ROUND(-D30*0.05,-2)</f>
        <v>-42600</v>
      </c>
      <c r="E21" s="113"/>
      <c r="F21" s="114">
        <f>ROUND(-F30*0.05,-2)</f>
        <v>-29700</v>
      </c>
    </row>
    <row r="22" spans="1:7" ht="16">
      <c r="A22" s="262" t="s">
        <v>132</v>
      </c>
      <c r="B22" s="193"/>
      <c r="C22" s="195"/>
      <c r="D22" s="115">
        <f>SUM(D19:D21)</f>
        <v>852300</v>
      </c>
      <c r="E22" s="115"/>
      <c r="F22" s="115">
        <f>SUM(F19:F21)</f>
        <v>584500</v>
      </c>
    </row>
    <row r="23" spans="1:7" ht="16">
      <c r="A23" s="196"/>
      <c r="B23" s="196"/>
      <c r="C23" s="189"/>
      <c r="D23" s="116"/>
      <c r="E23" s="102"/>
      <c r="F23" s="116"/>
    </row>
    <row r="24" spans="1:7" ht="14.5">
      <c r="A24" s="191" t="s">
        <v>25</v>
      </c>
      <c r="B24" s="191"/>
      <c r="C24" s="189"/>
      <c r="D24" s="106"/>
      <c r="E24" s="102"/>
      <c r="F24" s="106"/>
    </row>
    <row r="25" spans="1:7" ht="14.5">
      <c r="A25" s="197"/>
      <c r="B25" s="197"/>
      <c r="C25" s="198"/>
      <c r="D25" s="104"/>
      <c r="E25" s="102"/>
      <c r="F25" s="104"/>
    </row>
    <row r="26" spans="1:7" ht="14.5">
      <c r="A26" s="199" t="s">
        <v>26</v>
      </c>
      <c r="B26" s="199"/>
      <c r="C26" s="206"/>
      <c r="D26" s="118"/>
      <c r="E26" s="102"/>
      <c r="F26" s="118"/>
    </row>
    <row r="27" spans="1:7" ht="14.5">
      <c r="A27" s="41" t="s">
        <v>253</v>
      </c>
      <c r="B27" s="41"/>
      <c r="C27" s="40"/>
      <c r="D27" s="371">
        <v>647000</v>
      </c>
      <c r="E27" s="119"/>
      <c r="F27" s="371">
        <v>423399</v>
      </c>
      <c r="G27" s="209"/>
    </row>
    <row r="28" spans="1:7" ht="14.5">
      <c r="A28" s="41" t="s">
        <v>254</v>
      </c>
      <c r="B28" s="41"/>
      <c r="C28" s="24"/>
      <c r="D28" s="371">
        <v>200000</v>
      </c>
      <c r="E28" s="102"/>
      <c r="F28" s="371">
        <v>168900</v>
      </c>
    </row>
    <row r="29" spans="1:7" ht="16">
      <c r="A29" s="41" t="s">
        <v>255</v>
      </c>
      <c r="B29" s="41"/>
      <c r="C29" s="24"/>
      <c r="D29" s="372">
        <v>5300</v>
      </c>
      <c r="E29" s="102"/>
      <c r="F29" s="372">
        <v>1500</v>
      </c>
    </row>
    <row r="30" spans="1:7" ht="14.5">
      <c r="A30" s="197" t="s">
        <v>27</v>
      </c>
      <c r="B30" s="197"/>
      <c r="C30" s="201"/>
      <c r="D30" s="118">
        <f>SUM(D27:D29)</f>
        <v>852300</v>
      </c>
      <c r="E30" s="118"/>
      <c r="F30" s="118">
        <f>SUM(F27:F29)</f>
        <v>593799</v>
      </c>
    </row>
    <row r="31" spans="1:7" ht="14.5">
      <c r="A31" s="197"/>
      <c r="B31" s="197"/>
      <c r="C31" s="201"/>
      <c r="D31" s="103"/>
      <c r="E31" s="103"/>
      <c r="F31" s="103"/>
    </row>
    <row r="32" spans="1:7" ht="17.25" hidden="1" customHeight="1">
      <c r="A32" s="190" t="s">
        <v>107</v>
      </c>
      <c r="B32" s="190"/>
      <c r="C32" s="202"/>
      <c r="D32" s="207" t="e">
        <f>+#REF!-D22</f>
        <v>#REF!</v>
      </c>
      <c r="E32" s="207"/>
      <c r="F32" s="207" t="e">
        <f>+#REF!-F22</f>
        <v>#REF!</v>
      </c>
    </row>
    <row r="33" spans="1:6" ht="14.5">
      <c r="A33" s="190"/>
      <c r="B33" s="190"/>
      <c r="C33" s="202"/>
      <c r="D33" s="121"/>
      <c r="E33" s="119"/>
      <c r="F33" s="121"/>
    </row>
    <row r="34" spans="1:6" ht="14.5">
      <c r="A34" s="197" t="s">
        <v>28</v>
      </c>
      <c r="B34" s="197"/>
      <c r="C34" s="202"/>
      <c r="D34" s="122">
        <f>+D12*2000/D8/24</f>
        <v>50.982148782268233</v>
      </c>
      <c r="E34" s="102"/>
      <c r="F34" s="122">
        <f>+F12*2000/F8/24</f>
        <v>27.78687708975049</v>
      </c>
    </row>
    <row r="35" spans="1:6" ht="14.5">
      <c r="A35" s="103"/>
      <c r="B35" s="103"/>
      <c r="C35" s="202"/>
      <c r="D35" s="122"/>
      <c r="E35" s="102"/>
      <c r="F35" s="122"/>
    </row>
    <row r="36" spans="1:6" ht="14.5">
      <c r="A36" s="197" t="s">
        <v>29</v>
      </c>
      <c r="B36" s="197"/>
      <c r="C36" s="202"/>
      <c r="D36" s="123">
        <f>+D16/D12</f>
        <v>67.686300032541496</v>
      </c>
      <c r="E36" s="102"/>
      <c r="F36" s="123">
        <f>+F16/F12</f>
        <v>81.610604442777174</v>
      </c>
    </row>
    <row r="37" spans="1:6" ht="14.5">
      <c r="A37" s="190"/>
      <c r="B37" s="190"/>
      <c r="C37" s="202"/>
      <c r="D37" s="203"/>
      <c r="E37" s="102"/>
      <c r="F37" s="203"/>
    </row>
    <row r="38" spans="1:6" ht="14.5">
      <c r="A38" s="200"/>
      <c r="B38" s="200"/>
      <c r="C38" s="194"/>
      <c r="D38" s="194"/>
      <c r="E38" s="102"/>
      <c r="F38" s="194"/>
    </row>
    <row r="39" spans="1:6" ht="14.5">
      <c r="A39" s="103"/>
      <c r="B39" s="103"/>
      <c r="C39" s="103"/>
      <c r="D39" s="103"/>
      <c r="E39" s="103"/>
      <c r="F39" s="103"/>
    </row>
    <row r="40" spans="1:6" ht="14.5">
      <c r="A40" s="103"/>
      <c r="B40" s="103"/>
      <c r="C40" s="103"/>
      <c r="D40" s="103"/>
      <c r="E40" s="103"/>
      <c r="F40" s="103"/>
    </row>
    <row r="41" spans="1:6" ht="14.5">
      <c r="A41" s="103"/>
      <c r="B41" s="103"/>
      <c r="C41" s="103"/>
      <c r="D41" s="103"/>
      <c r="E41" s="103"/>
      <c r="F41" s="103"/>
    </row>
    <row r="42" spans="1:6" ht="14.5">
      <c r="A42" s="103"/>
      <c r="B42" s="103"/>
      <c r="C42" s="103"/>
      <c r="D42" s="103"/>
      <c r="E42" s="103"/>
      <c r="F42" s="103"/>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B633-293A-4516-BDDE-68A29C8829A7}">
  <sheetPr>
    <tabColor rgb="FFFFFF00"/>
  </sheetPr>
  <dimension ref="A1:U46"/>
  <sheetViews>
    <sheetView workbookViewId="0">
      <selection activeCell="D4" sqref="D4"/>
    </sheetView>
  </sheetViews>
  <sheetFormatPr defaultRowHeight="12.5"/>
  <cols>
    <col min="1" max="1" width="9.1796875" style="436"/>
    <col min="2" max="2" width="10.54296875" style="436" customWidth="1"/>
    <col min="3" max="3" width="17.7265625" style="436" customWidth="1"/>
    <col min="4" max="4" width="11" style="436" bestFit="1" customWidth="1"/>
    <col min="5" max="5" width="10.453125" style="436" bestFit="1" customWidth="1"/>
    <col min="6" max="6" width="11.1796875" style="436" bestFit="1" customWidth="1"/>
    <col min="7" max="7" width="12.7265625" style="436" bestFit="1" customWidth="1"/>
    <col min="8" max="8" width="7.7265625" style="436" bestFit="1" customWidth="1"/>
    <col min="9" max="10" width="12.7265625" style="436" bestFit="1" customWidth="1"/>
    <col min="11" max="12" width="12.26953125" style="436" bestFit="1" customWidth="1"/>
    <col min="13" max="13" width="8.453125" style="436" bestFit="1" customWidth="1"/>
    <col min="14" max="14" width="3.26953125" style="436" customWidth="1"/>
    <col min="15" max="15" width="11" style="436" bestFit="1" customWidth="1"/>
    <col min="16" max="16" width="11.26953125" style="436" bestFit="1" customWidth="1"/>
    <col min="17" max="17" width="12.453125" style="436" bestFit="1" customWidth="1"/>
    <col min="18" max="18" width="10.26953125" style="436" customWidth="1"/>
    <col min="19" max="19" width="8.453125" style="436" bestFit="1" customWidth="1"/>
    <col min="20" max="257" width="9.1796875" style="436"/>
    <col min="258" max="258" width="10.54296875" style="436" customWidth="1"/>
    <col min="259" max="259" width="17.7265625" style="436" customWidth="1"/>
    <col min="260" max="260" width="11" style="436" bestFit="1" customWidth="1"/>
    <col min="261" max="261" width="10.453125" style="436" bestFit="1" customWidth="1"/>
    <col min="262" max="262" width="11.1796875" style="436" bestFit="1" customWidth="1"/>
    <col min="263" max="263" width="10.81640625" style="436" bestFit="1" customWidth="1"/>
    <col min="264" max="264" width="3.7265625" style="436" customWidth="1"/>
    <col min="265" max="265" width="11" style="436" bestFit="1" customWidth="1"/>
    <col min="266" max="266" width="11.1796875" style="436" bestFit="1" customWidth="1"/>
    <col min="267" max="268" width="10.81640625" style="436" bestFit="1" customWidth="1"/>
    <col min="269" max="269" width="8.453125" style="436" bestFit="1" customWidth="1"/>
    <col min="270" max="270" width="3.26953125" style="436" customWidth="1"/>
    <col min="271" max="271" width="11" style="436" bestFit="1" customWidth="1"/>
    <col min="272" max="272" width="11.26953125" style="436" bestFit="1" customWidth="1"/>
    <col min="273" max="273" width="12.453125" style="436" bestFit="1" customWidth="1"/>
    <col min="274" max="274" width="10.26953125" style="436" customWidth="1"/>
    <col min="275" max="275" width="8.453125" style="436" bestFit="1" customWidth="1"/>
    <col min="276" max="513" width="9.1796875" style="436"/>
    <col min="514" max="514" width="10.54296875" style="436" customWidth="1"/>
    <col min="515" max="515" width="17.7265625" style="436" customWidth="1"/>
    <col min="516" max="516" width="11" style="436" bestFit="1" customWidth="1"/>
    <col min="517" max="517" width="10.453125" style="436" bestFit="1" customWidth="1"/>
    <col min="518" max="518" width="11.1796875" style="436" bestFit="1" customWidth="1"/>
    <col min="519" max="519" width="10.81640625" style="436" bestFit="1" customWidth="1"/>
    <col min="520" max="520" width="3.7265625" style="436" customWidth="1"/>
    <col min="521" max="521" width="11" style="436" bestFit="1" customWidth="1"/>
    <col min="522" max="522" width="11.1796875" style="436" bestFit="1" customWidth="1"/>
    <col min="523" max="524" width="10.81640625" style="436" bestFit="1" customWidth="1"/>
    <col min="525" max="525" width="8.453125" style="436" bestFit="1" customWidth="1"/>
    <col min="526" max="526" width="3.26953125" style="436" customWidth="1"/>
    <col min="527" max="527" width="11" style="436" bestFit="1" customWidth="1"/>
    <col min="528" max="528" width="11.26953125" style="436" bestFit="1" customWidth="1"/>
    <col min="529" max="529" width="12.453125" style="436" bestFit="1" customWidth="1"/>
    <col min="530" max="530" width="10.26953125" style="436" customWidth="1"/>
    <col min="531" max="531" width="8.453125" style="436" bestFit="1" customWidth="1"/>
    <col min="532" max="769" width="9.1796875" style="436"/>
    <col min="770" max="770" width="10.54296875" style="436" customWidth="1"/>
    <col min="771" max="771" width="17.7265625" style="436" customWidth="1"/>
    <col min="772" max="772" width="11" style="436" bestFit="1" customWidth="1"/>
    <col min="773" max="773" width="10.453125" style="436" bestFit="1" customWidth="1"/>
    <col min="774" max="774" width="11.1796875" style="436" bestFit="1" customWidth="1"/>
    <col min="775" max="775" width="10.81640625" style="436" bestFit="1" customWidth="1"/>
    <col min="776" max="776" width="3.7265625" style="436" customWidth="1"/>
    <col min="777" max="777" width="11" style="436" bestFit="1" customWidth="1"/>
    <col min="778" max="778" width="11.1796875" style="436" bestFit="1" customWidth="1"/>
    <col min="779" max="780" width="10.81640625" style="436" bestFit="1" customWidth="1"/>
    <col min="781" max="781" width="8.453125" style="436" bestFit="1" customWidth="1"/>
    <col min="782" max="782" width="3.26953125" style="436" customWidth="1"/>
    <col min="783" max="783" width="11" style="436" bestFit="1" customWidth="1"/>
    <col min="784" max="784" width="11.26953125" style="436" bestFit="1" customWidth="1"/>
    <col min="785" max="785" width="12.453125" style="436" bestFit="1" customWidth="1"/>
    <col min="786" max="786" width="10.26953125" style="436" customWidth="1"/>
    <col min="787" max="787" width="8.453125" style="436" bestFit="1" customWidth="1"/>
    <col min="788" max="1025" width="9.1796875" style="436"/>
    <col min="1026" max="1026" width="10.54296875" style="436" customWidth="1"/>
    <col min="1027" max="1027" width="17.7265625" style="436" customWidth="1"/>
    <col min="1028" max="1028" width="11" style="436" bestFit="1" customWidth="1"/>
    <col min="1029" max="1029" width="10.453125" style="436" bestFit="1" customWidth="1"/>
    <col min="1030" max="1030" width="11.1796875" style="436" bestFit="1" customWidth="1"/>
    <col min="1031" max="1031" width="10.81640625" style="436" bestFit="1" customWidth="1"/>
    <col min="1032" max="1032" width="3.7265625" style="436" customWidth="1"/>
    <col min="1033" max="1033" width="11" style="436" bestFit="1" customWidth="1"/>
    <col min="1034" max="1034" width="11.1796875" style="436" bestFit="1" customWidth="1"/>
    <col min="1035" max="1036" width="10.81640625" style="436" bestFit="1" customWidth="1"/>
    <col min="1037" max="1037" width="8.453125" style="436" bestFit="1" customWidth="1"/>
    <col min="1038" max="1038" width="3.26953125" style="436" customWidth="1"/>
    <col min="1039" max="1039" width="11" style="436" bestFit="1" customWidth="1"/>
    <col min="1040" max="1040" width="11.26953125" style="436" bestFit="1" customWidth="1"/>
    <col min="1041" max="1041" width="12.453125" style="436" bestFit="1" customWidth="1"/>
    <col min="1042" max="1042" width="10.26953125" style="436" customWidth="1"/>
    <col min="1043" max="1043" width="8.453125" style="436" bestFit="1" customWidth="1"/>
    <col min="1044" max="1281" width="9.1796875" style="436"/>
    <col min="1282" max="1282" width="10.54296875" style="436" customWidth="1"/>
    <col min="1283" max="1283" width="17.7265625" style="436" customWidth="1"/>
    <col min="1284" max="1284" width="11" style="436" bestFit="1" customWidth="1"/>
    <col min="1285" max="1285" width="10.453125" style="436" bestFit="1" customWidth="1"/>
    <col min="1286" max="1286" width="11.1796875" style="436" bestFit="1" customWidth="1"/>
    <col min="1287" max="1287" width="10.81640625" style="436" bestFit="1" customWidth="1"/>
    <col min="1288" max="1288" width="3.7265625" style="436" customWidth="1"/>
    <col min="1289" max="1289" width="11" style="436" bestFit="1" customWidth="1"/>
    <col min="1290" max="1290" width="11.1796875" style="436" bestFit="1" customWidth="1"/>
    <col min="1291" max="1292" width="10.81640625" style="436" bestFit="1" customWidth="1"/>
    <col min="1293" max="1293" width="8.453125" style="436" bestFit="1" customWidth="1"/>
    <col min="1294" max="1294" width="3.26953125" style="436" customWidth="1"/>
    <col min="1295" max="1295" width="11" style="436" bestFit="1" customWidth="1"/>
    <col min="1296" max="1296" width="11.26953125" style="436" bestFit="1" customWidth="1"/>
    <col min="1297" max="1297" width="12.453125" style="436" bestFit="1" customWidth="1"/>
    <col min="1298" max="1298" width="10.26953125" style="436" customWidth="1"/>
    <col min="1299" max="1299" width="8.453125" style="436" bestFit="1" customWidth="1"/>
    <col min="1300" max="1537" width="9.1796875" style="436"/>
    <col min="1538" max="1538" width="10.54296875" style="436" customWidth="1"/>
    <col min="1539" max="1539" width="17.7265625" style="436" customWidth="1"/>
    <col min="1540" max="1540" width="11" style="436" bestFit="1" customWidth="1"/>
    <col min="1541" max="1541" width="10.453125" style="436" bestFit="1" customWidth="1"/>
    <col min="1542" max="1542" width="11.1796875" style="436" bestFit="1" customWidth="1"/>
    <col min="1543" max="1543" width="10.81640625" style="436" bestFit="1" customWidth="1"/>
    <col min="1544" max="1544" width="3.7265625" style="436" customWidth="1"/>
    <col min="1545" max="1545" width="11" style="436" bestFit="1" customWidth="1"/>
    <col min="1546" max="1546" width="11.1796875" style="436" bestFit="1" customWidth="1"/>
    <col min="1547" max="1548" width="10.81640625" style="436" bestFit="1" customWidth="1"/>
    <col min="1549" max="1549" width="8.453125" style="436" bestFit="1" customWidth="1"/>
    <col min="1550" max="1550" width="3.26953125" style="436" customWidth="1"/>
    <col min="1551" max="1551" width="11" style="436" bestFit="1" customWidth="1"/>
    <col min="1552" max="1552" width="11.26953125" style="436" bestFit="1" customWidth="1"/>
    <col min="1553" max="1553" width="12.453125" style="436" bestFit="1" customWidth="1"/>
    <col min="1554" max="1554" width="10.26953125" style="436" customWidth="1"/>
    <col min="1555" max="1555" width="8.453125" style="436" bestFit="1" customWidth="1"/>
    <col min="1556" max="1793" width="9.1796875" style="436"/>
    <col min="1794" max="1794" width="10.54296875" style="436" customWidth="1"/>
    <col min="1795" max="1795" width="17.7265625" style="436" customWidth="1"/>
    <col min="1796" max="1796" width="11" style="436" bestFit="1" customWidth="1"/>
    <col min="1797" max="1797" width="10.453125" style="436" bestFit="1" customWidth="1"/>
    <col min="1798" max="1798" width="11.1796875" style="436" bestFit="1" customWidth="1"/>
    <col min="1799" max="1799" width="10.81640625" style="436" bestFit="1" customWidth="1"/>
    <col min="1800" max="1800" width="3.7265625" style="436" customWidth="1"/>
    <col min="1801" max="1801" width="11" style="436" bestFit="1" customWidth="1"/>
    <col min="1802" max="1802" width="11.1796875" style="436" bestFit="1" customWidth="1"/>
    <col min="1803" max="1804" width="10.81640625" style="436" bestFit="1" customWidth="1"/>
    <col min="1805" max="1805" width="8.453125" style="436" bestFit="1" customWidth="1"/>
    <col min="1806" max="1806" width="3.26953125" style="436" customWidth="1"/>
    <col min="1807" max="1807" width="11" style="436" bestFit="1" customWidth="1"/>
    <col min="1808" max="1808" width="11.26953125" style="436" bestFit="1" customWidth="1"/>
    <col min="1809" max="1809" width="12.453125" style="436" bestFit="1" customWidth="1"/>
    <col min="1810" max="1810" width="10.26953125" style="436" customWidth="1"/>
    <col min="1811" max="1811" width="8.453125" style="436" bestFit="1" customWidth="1"/>
    <col min="1812" max="2049" width="9.1796875" style="436"/>
    <col min="2050" max="2050" width="10.54296875" style="436" customWidth="1"/>
    <col min="2051" max="2051" width="17.7265625" style="436" customWidth="1"/>
    <col min="2052" max="2052" width="11" style="436" bestFit="1" customWidth="1"/>
    <col min="2053" max="2053" width="10.453125" style="436" bestFit="1" customWidth="1"/>
    <col min="2054" max="2054" width="11.1796875" style="436" bestFit="1" customWidth="1"/>
    <col min="2055" max="2055" width="10.81640625" style="436" bestFit="1" customWidth="1"/>
    <col min="2056" max="2056" width="3.7265625" style="436" customWidth="1"/>
    <col min="2057" max="2057" width="11" style="436" bestFit="1" customWidth="1"/>
    <col min="2058" max="2058" width="11.1796875" style="436" bestFit="1" customWidth="1"/>
    <col min="2059" max="2060" width="10.81640625" style="436" bestFit="1" customWidth="1"/>
    <col min="2061" max="2061" width="8.453125" style="436" bestFit="1" customWidth="1"/>
    <col min="2062" max="2062" width="3.26953125" style="436" customWidth="1"/>
    <col min="2063" max="2063" width="11" style="436" bestFit="1" customWidth="1"/>
    <col min="2064" max="2064" width="11.26953125" style="436" bestFit="1" customWidth="1"/>
    <col min="2065" max="2065" width="12.453125" style="436" bestFit="1" customWidth="1"/>
    <col min="2066" max="2066" width="10.26953125" style="436" customWidth="1"/>
    <col min="2067" max="2067" width="8.453125" style="436" bestFit="1" customWidth="1"/>
    <col min="2068" max="2305" width="9.1796875" style="436"/>
    <col min="2306" max="2306" width="10.54296875" style="436" customWidth="1"/>
    <col min="2307" max="2307" width="17.7265625" style="436" customWidth="1"/>
    <col min="2308" max="2308" width="11" style="436" bestFit="1" customWidth="1"/>
    <col min="2309" max="2309" width="10.453125" style="436" bestFit="1" customWidth="1"/>
    <col min="2310" max="2310" width="11.1796875" style="436" bestFit="1" customWidth="1"/>
    <col min="2311" max="2311" width="10.81640625" style="436" bestFit="1" customWidth="1"/>
    <col min="2312" max="2312" width="3.7265625" style="436" customWidth="1"/>
    <col min="2313" max="2313" width="11" style="436" bestFit="1" customWidth="1"/>
    <col min="2314" max="2314" width="11.1796875" style="436" bestFit="1" customWidth="1"/>
    <col min="2315" max="2316" width="10.81640625" style="436" bestFit="1" customWidth="1"/>
    <col min="2317" max="2317" width="8.453125" style="436" bestFit="1" customWidth="1"/>
    <col min="2318" max="2318" width="3.26953125" style="436" customWidth="1"/>
    <col min="2319" max="2319" width="11" style="436" bestFit="1" customWidth="1"/>
    <col min="2320" max="2320" width="11.26953125" style="436" bestFit="1" customWidth="1"/>
    <col min="2321" max="2321" width="12.453125" style="436" bestFit="1" customWidth="1"/>
    <col min="2322" max="2322" width="10.26953125" style="436" customWidth="1"/>
    <col min="2323" max="2323" width="8.453125" style="436" bestFit="1" customWidth="1"/>
    <col min="2324" max="2561" width="9.1796875" style="436"/>
    <col min="2562" max="2562" width="10.54296875" style="436" customWidth="1"/>
    <col min="2563" max="2563" width="17.7265625" style="436" customWidth="1"/>
    <col min="2564" max="2564" width="11" style="436" bestFit="1" customWidth="1"/>
    <col min="2565" max="2565" width="10.453125" style="436" bestFit="1" customWidth="1"/>
    <col min="2566" max="2566" width="11.1796875" style="436" bestFit="1" customWidth="1"/>
    <col min="2567" max="2567" width="10.81640625" style="436" bestFit="1" customWidth="1"/>
    <col min="2568" max="2568" width="3.7265625" style="436" customWidth="1"/>
    <col min="2569" max="2569" width="11" style="436" bestFit="1" customWidth="1"/>
    <col min="2570" max="2570" width="11.1796875" style="436" bestFit="1" customWidth="1"/>
    <col min="2571" max="2572" width="10.81640625" style="436" bestFit="1" customWidth="1"/>
    <col min="2573" max="2573" width="8.453125" style="436" bestFit="1" customWidth="1"/>
    <col min="2574" max="2574" width="3.26953125" style="436" customWidth="1"/>
    <col min="2575" max="2575" width="11" style="436" bestFit="1" customWidth="1"/>
    <col min="2576" max="2576" width="11.26953125" style="436" bestFit="1" customWidth="1"/>
    <col min="2577" max="2577" width="12.453125" style="436" bestFit="1" customWidth="1"/>
    <col min="2578" max="2578" width="10.26953125" style="436" customWidth="1"/>
    <col min="2579" max="2579" width="8.453125" style="436" bestFit="1" customWidth="1"/>
    <col min="2580" max="2817" width="9.1796875" style="436"/>
    <col min="2818" max="2818" width="10.54296875" style="436" customWidth="1"/>
    <col min="2819" max="2819" width="17.7265625" style="436" customWidth="1"/>
    <col min="2820" max="2820" width="11" style="436" bestFit="1" customWidth="1"/>
    <col min="2821" max="2821" width="10.453125" style="436" bestFit="1" customWidth="1"/>
    <col min="2822" max="2822" width="11.1796875" style="436" bestFit="1" customWidth="1"/>
    <col min="2823" max="2823" width="10.81640625" style="436" bestFit="1" customWidth="1"/>
    <col min="2824" max="2824" width="3.7265625" style="436" customWidth="1"/>
    <col min="2825" max="2825" width="11" style="436" bestFit="1" customWidth="1"/>
    <col min="2826" max="2826" width="11.1796875" style="436" bestFit="1" customWidth="1"/>
    <col min="2827" max="2828" width="10.81640625" style="436" bestFit="1" customWidth="1"/>
    <col min="2829" max="2829" width="8.453125" style="436" bestFit="1" customWidth="1"/>
    <col min="2830" max="2830" width="3.26953125" style="436" customWidth="1"/>
    <col min="2831" max="2831" width="11" style="436" bestFit="1" customWidth="1"/>
    <col min="2832" max="2832" width="11.26953125" style="436" bestFit="1" customWidth="1"/>
    <col min="2833" max="2833" width="12.453125" style="436" bestFit="1" customWidth="1"/>
    <col min="2834" max="2834" width="10.26953125" style="436" customWidth="1"/>
    <col min="2835" max="2835" width="8.453125" style="436" bestFit="1" customWidth="1"/>
    <col min="2836" max="3073" width="9.1796875" style="436"/>
    <col min="3074" max="3074" width="10.54296875" style="436" customWidth="1"/>
    <col min="3075" max="3075" width="17.7265625" style="436" customWidth="1"/>
    <col min="3076" max="3076" width="11" style="436" bestFit="1" customWidth="1"/>
    <col min="3077" max="3077" width="10.453125" style="436" bestFit="1" customWidth="1"/>
    <col min="3078" max="3078" width="11.1796875" style="436" bestFit="1" customWidth="1"/>
    <col min="3079" max="3079" width="10.81640625" style="436" bestFit="1" customWidth="1"/>
    <col min="3080" max="3080" width="3.7265625" style="436" customWidth="1"/>
    <col min="3081" max="3081" width="11" style="436" bestFit="1" customWidth="1"/>
    <col min="3082" max="3082" width="11.1796875" style="436" bestFit="1" customWidth="1"/>
    <col min="3083" max="3084" width="10.81640625" style="436" bestFit="1" customWidth="1"/>
    <col min="3085" max="3085" width="8.453125" style="436" bestFit="1" customWidth="1"/>
    <col min="3086" max="3086" width="3.26953125" style="436" customWidth="1"/>
    <col min="3087" max="3087" width="11" style="436" bestFit="1" customWidth="1"/>
    <col min="3088" max="3088" width="11.26953125" style="436" bestFit="1" customWidth="1"/>
    <col min="3089" max="3089" width="12.453125" style="436" bestFit="1" customWidth="1"/>
    <col min="3090" max="3090" width="10.26953125" style="436" customWidth="1"/>
    <col min="3091" max="3091" width="8.453125" style="436" bestFit="1" customWidth="1"/>
    <col min="3092" max="3329" width="9.1796875" style="436"/>
    <col min="3330" max="3330" width="10.54296875" style="436" customWidth="1"/>
    <col min="3331" max="3331" width="17.7265625" style="436" customWidth="1"/>
    <col min="3332" max="3332" width="11" style="436" bestFit="1" customWidth="1"/>
    <col min="3333" max="3333" width="10.453125" style="436" bestFit="1" customWidth="1"/>
    <col min="3334" max="3334" width="11.1796875" style="436" bestFit="1" customWidth="1"/>
    <col min="3335" max="3335" width="10.81640625" style="436" bestFit="1" customWidth="1"/>
    <col min="3336" max="3336" width="3.7265625" style="436" customWidth="1"/>
    <col min="3337" max="3337" width="11" style="436" bestFit="1" customWidth="1"/>
    <col min="3338" max="3338" width="11.1796875" style="436" bestFit="1" customWidth="1"/>
    <col min="3339" max="3340" width="10.81640625" style="436" bestFit="1" customWidth="1"/>
    <col min="3341" max="3341" width="8.453125" style="436" bestFit="1" customWidth="1"/>
    <col min="3342" max="3342" width="3.26953125" style="436" customWidth="1"/>
    <col min="3343" max="3343" width="11" style="436" bestFit="1" customWidth="1"/>
    <col min="3344" max="3344" width="11.26953125" style="436" bestFit="1" customWidth="1"/>
    <col min="3345" max="3345" width="12.453125" style="436" bestFit="1" customWidth="1"/>
    <col min="3346" max="3346" width="10.26953125" style="436" customWidth="1"/>
    <col min="3347" max="3347" width="8.453125" style="436" bestFit="1" customWidth="1"/>
    <col min="3348" max="3585" width="9.1796875" style="436"/>
    <col min="3586" max="3586" width="10.54296875" style="436" customWidth="1"/>
    <col min="3587" max="3587" width="17.7265625" style="436" customWidth="1"/>
    <col min="3588" max="3588" width="11" style="436" bestFit="1" customWidth="1"/>
    <col min="3589" max="3589" width="10.453125" style="436" bestFit="1" customWidth="1"/>
    <col min="3590" max="3590" width="11.1796875" style="436" bestFit="1" customWidth="1"/>
    <col min="3591" max="3591" width="10.81640625" style="436" bestFit="1" customWidth="1"/>
    <col min="3592" max="3592" width="3.7265625" style="436" customWidth="1"/>
    <col min="3593" max="3593" width="11" style="436" bestFit="1" customWidth="1"/>
    <col min="3594" max="3594" width="11.1796875" style="436" bestFit="1" customWidth="1"/>
    <col min="3595" max="3596" width="10.81640625" style="436" bestFit="1" customWidth="1"/>
    <col min="3597" max="3597" width="8.453125" style="436" bestFit="1" customWidth="1"/>
    <col min="3598" max="3598" width="3.26953125" style="436" customWidth="1"/>
    <col min="3599" max="3599" width="11" style="436" bestFit="1" customWidth="1"/>
    <col min="3600" max="3600" width="11.26953125" style="436" bestFit="1" customWidth="1"/>
    <col min="3601" max="3601" width="12.453125" style="436" bestFit="1" customWidth="1"/>
    <col min="3602" max="3602" width="10.26953125" style="436" customWidth="1"/>
    <col min="3603" max="3603" width="8.453125" style="436" bestFit="1" customWidth="1"/>
    <col min="3604" max="3841" width="9.1796875" style="436"/>
    <col min="3842" max="3842" width="10.54296875" style="436" customWidth="1"/>
    <col min="3843" max="3843" width="17.7265625" style="436" customWidth="1"/>
    <col min="3844" max="3844" width="11" style="436" bestFit="1" customWidth="1"/>
    <col min="3845" max="3845" width="10.453125" style="436" bestFit="1" customWidth="1"/>
    <col min="3846" max="3846" width="11.1796875" style="436" bestFit="1" customWidth="1"/>
    <col min="3847" max="3847" width="10.81640625" style="436" bestFit="1" customWidth="1"/>
    <col min="3848" max="3848" width="3.7265625" style="436" customWidth="1"/>
    <col min="3849" max="3849" width="11" style="436" bestFit="1" customWidth="1"/>
    <col min="3850" max="3850" width="11.1796875" style="436" bestFit="1" customWidth="1"/>
    <col min="3851" max="3852" width="10.81640625" style="436" bestFit="1" customWidth="1"/>
    <col min="3853" max="3853" width="8.453125" style="436" bestFit="1" customWidth="1"/>
    <col min="3854" max="3854" width="3.26953125" style="436" customWidth="1"/>
    <col min="3855" max="3855" width="11" style="436" bestFit="1" customWidth="1"/>
    <col min="3856" max="3856" width="11.26953125" style="436" bestFit="1" customWidth="1"/>
    <col min="3857" max="3857" width="12.453125" style="436" bestFit="1" customWidth="1"/>
    <col min="3858" max="3858" width="10.26953125" style="436" customWidth="1"/>
    <col min="3859" max="3859" width="8.453125" style="436" bestFit="1" customWidth="1"/>
    <col min="3860" max="4097" width="9.1796875" style="436"/>
    <col min="4098" max="4098" width="10.54296875" style="436" customWidth="1"/>
    <col min="4099" max="4099" width="17.7265625" style="436" customWidth="1"/>
    <col min="4100" max="4100" width="11" style="436" bestFit="1" customWidth="1"/>
    <col min="4101" max="4101" width="10.453125" style="436" bestFit="1" customWidth="1"/>
    <col min="4102" max="4102" width="11.1796875" style="436" bestFit="1" customWidth="1"/>
    <col min="4103" max="4103" width="10.81640625" style="436" bestFit="1" customWidth="1"/>
    <col min="4104" max="4104" width="3.7265625" style="436" customWidth="1"/>
    <col min="4105" max="4105" width="11" style="436" bestFit="1" customWidth="1"/>
    <col min="4106" max="4106" width="11.1796875" style="436" bestFit="1" customWidth="1"/>
    <col min="4107" max="4108" width="10.81640625" style="436" bestFit="1" customWidth="1"/>
    <col min="4109" max="4109" width="8.453125" style="436" bestFit="1" customWidth="1"/>
    <col min="4110" max="4110" width="3.26953125" style="436" customWidth="1"/>
    <col min="4111" max="4111" width="11" style="436" bestFit="1" customWidth="1"/>
    <col min="4112" max="4112" width="11.26953125" style="436" bestFit="1" customWidth="1"/>
    <col min="4113" max="4113" width="12.453125" style="436" bestFit="1" customWidth="1"/>
    <col min="4114" max="4114" width="10.26953125" style="436" customWidth="1"/>
    <col min="4115" max="4115" width="8.453125" style="436" bestFit="1" customWidth="1"/>
    <col min="4116" max="4353" width="9.1796875" style="436"/>
    <col min="4354" max="4354" width="10.54296875" style="436" customWidth="1"/>
    <col min="4355" max="4355" width="17.7265625" style="436" customWidth="1"/>
    <col min="4356" max="4356" width="11" style="436" bestFit="1" customWidth="1"/>
    <col min="4357" max="4357" width="10.453125" style="436" bestFit="1" customWidth="1"/>
    <col min="4358" max="4358" width="11.1796875" style="436" bestFit="1" customWidth="1"/>
    <col min="4359" max="4359" width="10.81640625" style="436" bestFit="1" customWidth="1"/>
    <col min="4360" max="4360" width="3.7265625" style="436" customWidth="1"/>
    <col min="4361" max="4361" width="11" style="436" bestFit="1" customWidth="1"/>
    <col min="4362" max="4362" width="11.1796875" style="436" bestFit="1" customWidth="1"/>
    <col min="4363" max="4364" width="10.81640625" style="436" bestFit="1" customWidth="1"/>
    <col min="4365" max="4365" width="8.453125" style="436" bestFit="1" customWidth="1"/>
    <col min="4366" max="4366" width="3.26953125" style="436" customWidth="1"/>
    <col min="4367" max="4367" width="11" style="436" bestFit="1" customWidth="1"/>
    <col min="4368" max="4368" width="11.26953125" style="436" bestFit="1" customWidth="1"/>
    <col min="4369" max="4369" width="12.453125" style="436" bestFit="1" customWidth="1"/>
    <col min="4370" max="4370" width="10.26953125" style="436" customWidth="1"/>
    <col min="4371" max="4371" width="8.453125" style="436" bestFit="1" customWidth="1"/>
    <col min="4372" max="4609" width="9.1796875" style="436"/>
    <col min="4610" max="4610" width="10.54296875" style="436" customWidth="1"/>
    <col min="4611" max="4611" width="17.7265625" style="436" customWidth="1"/>
    <col min="4612" max="4612" width="11" style="436" bestFit="1" customWidth="1"/>
    <col min="4613" max="4613" width="10.453125" style="436" bestFit="1" customWidth="1"/>
    <col min="4614" max="4614" width="11.1796875" style="436" bestFit="1" customWidth="1"/>
    <col min="4615" max="4615" width="10.81640625" style="436" bestFit="1" customWidth="1"/>
    <col min="4616" max="4616" width="3.7265625" style="436" customWidth="1"/>
    <col min="4617" max="4617" width="11" style="436" bestFit="1" customWidth="1"/>
    <col min="4618" max="4618" width="11.1796875" style="436" bestFit="1" customWidth="1"/>
    <col min="4619" max="4620" width="10.81640625" style="436" bestFit="1" customWidth="1"/>
    <col min="4621" max="4621" width="8.453125" style="436" bestFit="1" customWidth="1"/>
    <col min="4622" max="4622" width="3.26953125" style="436" customWidth="1"/>
    <col min="4623" max="4623" width="11" style="436" bestFit="1" customWidth="1"/>
    <col min="4624" max="4624" width="11.26953125" style="436" bestFit="1" customWidth="1"/>
    <col min="4625" max="4625" width="12.453125" style="436" bestFit="1" customWidth="1"/>
    <col min="4626" max="4626" width="10.26953125" style="436" customWidth="1"/>
    <col min="4627" max="4627" width="8.453125" style="436" bestFit="1" customWidth="1"/>
    <col min="4628" max="4865" width="9.1796875" style="436"/>
    <col min="4866" max="4866" width="10.54296875" style="436" customWidth="1"/>
    <col min="4867" max="4867" width="17.7265625" style="436" customWidth="1"/>
    <col min="4868" max="4868" width="11" style="436" bestFit="1" customWidth="1"/>
    <col min="4869" max="4869" width="10.453125" style="436" bestFit="1" customWidth="1"/>
    <col min="4870" max="4870" width="11.1796875" style="436" bestFit="1" customWidth="1"/>
    <col min="4871" max="4871" width="10.81640625" style="436" bestFit="1" customWidth="1"/>
    <col min="4872" max="4872" width="3.7265625" style="436" customWidth="1"/>
    <col min="4873" max="4873" width="11" style="436" bestFit="1" customWidth="1"/>
    <col min="4874" max="4874" width="11.1796875" style="436" bestFit="1" customWidth="1"/>
    <col min="4875" max="4876" width="10.81640625" style="436" bestFit="1" customWidth="1"/>
    <col min="4877" max="4877" width="8.453125" style="436" bestFit="1" customWidth="1"/>
    <col min="4878" max="4878" width="3.26953125" style="436" customWidth="1"/>
    <col min="4879" max="4879" width="11" style="436" bestFit="1" customWidth="1"/>
    <col min="4880" max="4880" width="11.26953125" style="436" bestFit="1" customWidth="1"/>
    <col min="4881" max="4881" width="12.453125" style="436" bestFit="1" customWidth="1"/>
    <col min="4882" max="4882" width="10.26953125" style="436" customWidth="1"/>
    <col min="4883" max="4883" width="8.453125" style="436" bestFit="1" customWidth="1"/>
    <col min="4884" max="5121" width="9.1796875" style="436"/>
    <col min="5122" max="5122" width="10.54296875" style="436" customWidth="1"/>
    <col min="5123" max="5123" width="17.7265625" style="436" customWidth="1"/>
    <col min="5124" max="5124" width="11" style="436" bestFit="1" customWidth="1"/>
    <col min="5125" max="5125" width="10.453125" style="436" bestFit="1" customWidth="1"/>
    <col min="5126" max="5126" width="11.1796875" style="436" bestFit="1" customWidth="1"/>
    <col min="5127" max="5127" width="10.81640625" style="436" bestFit="1" customWidth="1"/>
    <col min="5128" max="5128" width="3.7265625" style="436" customWidth="1"/>
    <col min="5129" max="5129" width="11" style="436" bestFit="1" customWidth="1"/>
    <col min="5130" max="5130" width="11.1796875" style="436" bestFit="1" customWidth="1"/>
    <col min="5131" max="5132" width="10.81640625" style="436" bestFit="1" customWidth="1"/>
    <col min="5133" max="5133" width="8.453125" style="436" bestFit="1" customWidth="1"/>
    <col min="5134" max="5134" width="3.26953125" style="436" customWidth="1"/>
    <col min="5135" max="5135" width="11" style="436" bestFit="1" customWidth="1"/>
    <col min="5136" max="5136" width="11.26953125" style="436" bestFit="1" customWidth="1"/>
    <col min="5137" max="5137" width="12.453125" style="436" bestFit="1" customWidth="1"/>
    <col min="5138" max="5138" width="10.26953125" style="436" customWidth="1"/>
    <col min="5139" max="5139" width="8.453125" style="436" bestFit="1" customWidth="1"/>
    <col min="5140" max="5377" width="9.1796875" style="436"/>
    <col min="5378" max="5378" width="10.54296875" style="436" customWidth="1"/>
    <col min="5379" max="5379" width="17.7265625" style="436" customWidth="1"/>
    <col min="5380" max="5380" width="11" style="436" bestFit="1" customWidth="1"/>
    <col min="5381" max="5381" width="10.453125" style="436" bestFit="1" customWidth="1"/>
    <col min="5382" max="5382" width="11.1796875" style="436" bestFit="1" customWidth="1"/>
    <col min="5383" max="5383" width="10.81640625" style="436" bestFit="1" customWidth="1"/>
    <col min="5384" max="5384" width="3.7265625" style="436" customWidth="1"/>
    <col min="5385" max="5385" width="11" style="436" bestFit="1" customWidth="1"/>
    <col min="5386" max="5386" width="11.1796875" style="436" bestFit="1" customWidth="1"/>
    <col min="5387" max="5388" width="10.81640625" style="436" bestFit="1" customWidth="1"/>
    <col min="5389" max="5389" width="8.453125" style="436" bestFit="1" customWidth="1"/>
    <col min="5390" max="5390" width="3.26953125" style="436" customWidth="1"/>
    <col min="5391" max="5391" width="11" style="436" bestFit="1" customWidth="1"/>
    <col min="5392" max="5392" width="11.26953125" style="436" bestFit="1" customWidth="1"/>
    <col min="5393" max="5393" width="12.453125" style="436" bestFit="1" customWidth="1"/>
    <col min="5394" max="5394" width="10.26953125" style="436" customWidth="1"/>
    <col min="5395" max="5395" width="8.453125" style="436" bestFit="1" customWidth="1"/>
    <col min="5396" max="5633" width="9.1796875" style="436"/>
    <col min="5634" max="5634" width="10.54296875" style="436" customWidth="1"/>
    <col min="5635" max="5635" width="17.7265625" style="436" customWidth="1"/>
    <col min="5636" max="5636" width="11" style="436" bestFit="1" customWidth="1"/>
    <col min="5637" max="5637" width="10.453125" style="436" bestFit="1" customWidth="1"/>
    <col min="5638" max="5638" width="11.1796875" style="436" bestFit="1" customWidth="1"/>
    <col min="5639" max="5639" width="10.81640625" style="436" bestFit="1" customWidth="1"/>
    <col min="5640" max="5640" width="3.7265625" style="436" customWidth="1"/>
    <col min="5641" max="5641" width="11" style="436" bestFit="1" customWidth="1"/>
    <col min="5642" max="5642" width="11.1796875" style="436" bestFit="1" customWidth="1"/>
    <col min="5643" max="5644" width="10.81640625" style="436" bestFit="1" customWidth="1"/>
    <col min="5645" max="5645" width="8.453125" style="436" bestFit="1" customWidth="1"/>
    <col min="5646" max="5646" width="3.26953125" style="436" customWidth="1"/>
    <col min="5647" max="5647" width="11" style="436" bestFit="1" customWidth="1"/>
    <col min="5648" max="5648" width="11.26953125" style="436" bestFit="1" customWidth="1"/>
    <col min="5649" max="5649" width="12.453125" style="436" bestFit="1" customWidth="1"/>
    <col min="5650" max="5650" width="10.26953125" style="436" customWidth="1"/>
    <col min="5651" max="5651" width="8.453125" style="436" bestFit="1" customWidth="1"/>
    <col min="5652" max="5889" width="9.1796875" style="436"/>
    <col min="5890" max="5890" width="10.54296875" style="436" customWidth="1"/>
    <col min="5891" max="5891" width="17.7265625" style="436" customWidth="1"/>
    <col min="5892" max="5892" width="11" style="436" bestFit="1" customWidth="1"/>
    <col min="5893" max="5893" width="10.453125" style="436" bestFit="1" customWidth="1"/>
    <col min="5894" max="5894" width="11.1796875" style="436" bestFit="1" customWidth="1"/>
    <col min="5895" max="5895" width="10.81640625" style="436" bestFit="1" customWidth="1"/>
    <col min="5896" max="5896" width="3.7265625" style="436" customWidth="1"/>
    <col min="5897" max="5897" width="11" style="436" bestFit="1" customWidth="1"/>
    <col min="5898" max="5898" width="11.1796875" style="436" bestFit="1" customWidth="1"/>
    <col min="5899" max="5900" width="10.81640625" style="436" bestFit="1" customWidth="1"/>
    <col min="5901" max="5901" width="8.453125" style="436" bestFit="1" customWidth="1"/>
    <col min="5902" max="5902" width="3.26953125" style="436" customWidth="1"/>
    <col min="5903" max="5903" width="11" style="436" bestFit="1" customWidth="1"/>
    <col min="5904" max="5904" width="11.26953125" style="436" bestFit="1" customWidth="1"/>
    <col min="5905" max="5905" width="12.453125" style="436" bestFit="1" customWidth="1"/>
    <col min="5906" max="5906" width="10.26953125" style="436" customWidth="1"/>
    <col min="5907" max="5907" width="8.453125" style="436" bestFit="1" customWidth="1"/>
    <col min="5908" max="6145" width="9.1796875" style="436"/>
    <col min="6146" max="6146" width="10.54296875" style="436" customWidth="1"/>
    <col min="6147" max="6147" width="17.7265625" style="436" customWidth="1"/>
    <col min="6148" max="6148" width="11" style="436" bestFit="1" customWidth="1"/>
    <col min="6149" max="6149" width="10.453125" style="436" bestFit="1" customWidth="1"/>
    <col min="6150" max="6150" width="11.1796875" style="436" bestFit="1" customWidth="1"/>
    <col min="6151" max="6151" width="10.81640625" style="436" bestFit="1" customWidth="1"/>
    <col min="6152" max="6152" width="3.7265625" style="436" customWidth="1"/>
    <col min="6153" max="6153" width="11" style="436" bestFit="1" customWidth="1"/>
    <col min="6154" max="6154" width="11.1796875" style="436" bestFit="1" customWidth="1"/>
    <col min="6155" max="6156" width="10.81640625" style="436" bestFit="1" customWidth="1"/>
    <col min="6157" max="6157" width="8.453125" style="436" bestFit="1" customWidth="1"/>
    <col min="6158" max="6158" width="3.26953125" style="436" customWidth="1"/>
    <col min="6159" max="6159" width="11" style="436" bestFit="1" customWidth="1"/>
    <col min="6160" max="6160" width="11.26953125" style="436" bestFit="1" customWidth="1"/>
    <col min="6161" max="6161" width="12.453125" style="436" bestFit="1" customWidth="1"/>
    <col min="6162" max="6162" width="10.26953125" style="436" customWidth="1"/>
    <col min="6163" max="6163" width="8.453125" style="436" bestFit="1" customWidth="1"/>
    <col min="6164" max="6401" width="9.1796875" style="436"/>
    <col min="6402" max="6402" width="10.54296875" style="436" customWidth="1"/>
    <col min="6403" max="6403" width="17.7265625" style="436" customWidth="1"/>
    <col min="6404" max="6404" width="11" style="436" bestFit="1" customWidth="1"/>
    <col min="6405" max="6405" width="10.453125" style="436" bestFit="1" customWidth="1"/>
    <col min="6406" max="6406" width="11.1796875" style="436" bestFit="1" customWidth="1"/>
    <col min="6407" max="6407" width="10.81640625" style="436" bestFit="1" customWidth="1"/>
    <col min="6408" max="6408" width="3.7265625" style="436" customWidth="1"/>
    <col min="6409" max="6409" width="11" style="436" bestFit="1" customWidth="1"/>
    <col min="6410" max="6410" width="11.1796875" style="436" bestFit="1" customWidth="1"/>
    <col min="6411" max="6412" width="10.81640625" style="436" bestFit="1" customWidth="1"/>
    <col min="6413" max="6413" width="8.453125" style="436" bestFit="1" customWidth="1"/>
    <col min="6414" max="6414" width="3.26953125" style="436" customWidth="1"/>
    <col min="6415" max="6415" width="11" style="436" bestFit="1" customWidth="1"/>
    <col min="6416" max="6416" width="11.26953125" style="436" bestFit="1" customWidth="1"/>
    <col min="6417" max="6417" width="12.453125" style="436" bestFit="1" customWidth="1"/>
    <col min="6418" max="6418" width="10.26953125" style="436" customWidth="1"/>
    <col min="6419" max="6419" width="8.453125" style="436" bestFit="1" customWidth="1"/>
    <col min="6420" max="6657" width="9.1796875" style="436"/>
    <col min="6658" max="6658" width="10.54296875" style="436" customWidth="1"/>
    <col min="6659" max="6659" width="17.7265625" style="436" customWidth="1"/>
    <col min="6660" max="6660" width="11" style="436" bestFit="1" customWidth="1"/>
    <col min="6661" max="6661" width="10.453125" style="436" bestFit="1" customWidth="1"/>
    <col min="6662" max="6662" width="11.1796875" style="436" bestFit="1" customWidth="1"/>
    <col min="6663" max="6663" width="10.81640625" style="436" bestFit="1" customWidth="1"/>
    <col min="6664" max="6664" width="3.7265625" style="436" customWidth="1"/>
    <col min="6665" max="6665" width="11" style="436" bestFit="1" customWidth="1"/>
    <col min="6666" max="6666" width="11.1796875" style="436" bestFit="1" customWidth="1"/>
    <col min="6667" max="6668" width="10.81640625" style="436" bestFit="1" customWidth="1"/>
    <col min="6669" max="6669" width="8.453125" style="436" bestFit="1" customWidth="1"/>
    <col min="6670" max="6670" width="3.26953125" style="436" customWidth="1"/>
    <col min="6671" max="6671" width="11" style="436" bestFit="1" customWidth="1"/>
    <col min="6672" max="6672" width="11.26953125" style="436" bestFit="1" customWidth="1"/>
    <col min="6673" max="6673" width="12.453125" style="436" bestFit="1" customWidth="1"/>
    <col min="6674" max="6674" width="10.26953125" style="436" customWidth="1"/>
    <col min="6675" max="6675" width="8.453125" style="436" bestFit="1" customWidth="1"/>
    <col min="6676" max="6913" width="9.1796875" style="436"/>
    <col min="6914" max="6914" width="10.54296875" style="436" customWidth="1"/>
    <col min="6915" max="6915" width="17.7265625" style="436" customWidth="1"/>
    <col min="6916" max="6916" width="11" style="436" bestFit="1" customWidth="1"/>
    <col min="6917" max="6917" width="10.453125" style="436" bestFit="1" customWidth="1"/>
    <col min="6918" max="6918" width="11.1796875" style="436" bestFit="1" customWidth="1"/>
    <col min="6919" max="6919" width="10.81640625" style="436" bestFit="1" customWidth="1"/>
    <col min="6920" max="6920" width="3.7265625" style="436" customWidth="1"/>
    <col min="6921" max="6921" width="11" style="436" bestFit="1" customWidth="1"/>
    <col min="6922" max="6922" width="11.1796875" style="436" bestFit="1" customWidth="1"/>
    <col min="6923" max="6924" width="10.81640625" style="436" bestFit="1" customWidth="1"/>
    <col min="6925" max="6925" width="8.453125" style="436" bestFit="1" customWidth="1"/>
    <col min="6926" max="6926" width="3.26953125" style="436" customWidth="1"/>
    <col min="6927" max="6927" width="11" style="436" bestFit="1" customWidth="1"/>
    <col min="6928" max="6928" width="11.26953125" style="436" bestFit="1" customWidth="1"/>
    <col min="6929" max="6929" width="12.453125" style="436" bestFit="1" customWidth="1"/>
    <col min="6930" max="6930" width="10.26953125" style="436" customWidth="1"/>
    <col min="6931" max="6931" width="8.453125" style="436" bestFit="1" customWidth="1"/>
    <col min="6932" max="7169" width="9.1796875" style="436"/>
    <col min="7170" max="7170" width="10.54296875" style="436" customWidth="1"/>
    <col min="7171" max="7171" width="17.7265625" style="436" customWidth="1"/>
    <col min="7172" max="7172" width="11" style="436" bestFit="1" customWidth="1"/>
    <col min="7173" max="7173" width="10.453125" style="436" bestFit="1" customWidth="1"/>
    <col min="7174" max="7174" width="11.1796875" style="436" bestFit="1" customWidth="1"/>
    <col min="7175" max="7175" width="10.81640625" style="436" bestFit="1" customWidth="1"/>
    <col min="7176" max="7176" width="3.7265625" style="436" customWidth="1"/>
    <col min="7177" max="7177" width="11" style="436" bestFit="1" customWidth="1"/>
    <col min="7178" max="7178" width="11.1796875" style="436" bestFit="1" customWidth="1"/>
    <col min="7179" max="7180" width="10.81640625" style="436" bestFit="1" customWidth="1"/>
    <col min="7181" max="7181" width="8.453125" style="436" bestFit="1" customWidth="1"/>
    <col min="7182" max="7182" width="3.26953125" style="436" customWidth="1"/>
    <col min="7183" max="7183" width="11" style="436" bestFit="1" customWidth="1"/>
    <col min="7184" max="7184" width="11.26953125" style="436" bestFit="1" customWidth="1"/>
    <col min="7185" max="7185" width="12.453125" style="436" bestFit="1" customWidth="1"/>
    <col min="7186" max="7186" width="10.26953125" style="436" customWidth="1"/>
    <col min="7187" max="7187" width="8.453125" style="436" bestFit="1" customWidth="1"/>
    <col min="7188" max="7425" width="9.1796875" style="436"/>
    <col min="7426" max="7426" width="10.54296875" style="436" customWidth="1"/>
    <col min="7427" max="7427" width="17.7265625" style="436" customWidth="1"/>
    <col min="7428" max="7428" width="11" style="436" bestFit="1" customWidth="1"/>
    <col min="7429" max="7429" width="10.453125" style="436" bestFit="1" customWidth="1"/>
    <col min="7430" max="7430" width="11.1796875" style="436" bestFit="1" customWidth="1"/>
    <col min="7431" max="7431" width="10.81640625" style="436" bestFit="1" customWidth="1"/>
    <col min="7432" max="7432" width="3.7265625" style="436" customWidth="1"/>
    <col min="7433" max="7433" width="11" style="436" bestFit="1" customWidth="1"/>
    <col min="7434" max="7434" width="11.1796875" style="436" bestFit="1" customWidth="1"/>
    <col min="7435" max="7436" width="10.81640625" style="436" bestFit="1" customWidth="1"/>
    <col min="7437" max="7437" width="8.453125" style="436" bestFit="1" customWidth="1"/>
    <col min="7438" max="7438" width="3.26953125" style="436" customWidth="1"/>
    <col min="7439" max="7439" width="11" style="436" bestFit="1" customWidth="1"/>
    <col min="7440" max="7440" width="11.26953125" style="436" bestFit="1" customWidth="1"/>
    <col min="7441" max="7441" width="12.453125" style="436" bestFit="1" customWidth="1"/>
    <col min="7442" max="7442" width="10.26953125" style="436" customWidth="1"/>
    <col min="7443" max="7443" width="8.453125" style="436" bestFit="1" customWidth="1"/>
    <col min="7444" max="7681" width="9.1796875" style="436"/>
    <col min="7682" max="7682" width="10.54296875" style="436" customWidth="1"/>
    <col min="7683" max="7683" width="17.7265625" style="436" customWidth="1"/>
    <col min="7684" max="7684" width="11" style="436" bestFit="1" customWidth="1"/>
    <col min="7685" max="7685" width="10.453125" style="436" bestFit="1" customWidth="1"/>
    <col min="7686" max="7686" width="11.1796875" style="436" bestFit="1" customWidth="1"/>
    <col min="7687" max="7687" width="10.81640625" style="436" bestFit="1" customWidth="1"/>
    <col min="7688" max="7688" width="3.7265625" style="436" customWidth="1"/>
    <col min="7689" max="7689" width="11" style="436" bestFit="1" customWidth="1"/>
    <col min="7690" max="7690" width="11.1796875" style="436" bestFit="1" customWidth="1"/>
    <col min="7691" max="7692" width="10.81640625" style="436" bestFit="1" customWidth="1"/>
    <col min="7693" max="7693" width="8.453125" style="436" bestFit="1" customWidth="1"/>
    <col min="7694" max="7694" width="3.26953125" style="436" customWidth="1"/>
    <col min="7695" max="7695" width="11" style="436" bestFit="1" customWidth="1"/>
    <col min="7696" max="7696" width="11.26953125" style="436" bestFit="1" customWidth="1"/>
    <col min="7697" max="7697" width="12.453125" style="436" bestFit="1" customWidth="1"/>
    <col min="7698" max="7698" width="10.26953125" style="436" customWidth="1"/>
    <col min="7699" max="7699" width="8.453125" style="436" bestFit="1" customWidth="1"/>
    <col min="7700" max="7937" width="9.1796875" style="436"/>
    <col min="7938" max="7938" width="10.54296875" style="436" customWidth="1"/>
    <col min="7939" max="7939" width="17.7265625" style="436" customWidth="1"/>
    <col min="7940" max="7940" width="11" style="436" bestFit="1" customWidth="1"/>
    <col min="7941" max="7941" width="10.453125" style="436" bestFit="1" customWidth="1"/>
    <col min="7942" max="7942" width="11.1796875" style="436" bestFit="1" customWidth="1"/>
    <col min="7943" max="7943" width="10.81640625" style="436" bestFit="1" customWidth="1"/>
    <col min="7944" max="7944" width="3.7265625" style="436" customWidth="1"/>
    <col min="7945" max="7945" width="11" style="436" bestFit="1" customWidth="1"/>
    <col min="7946" max="7946" width="11.1796875" style="436" bestFit="1" customWidth="1"/>
    <col min="7947" max="7948" width="10.81640625" style="436" bestFit="1" customWidth="1"/>
    <col min="7949" max="7949" width="8.453125" style="436" bestFit="1" customWidth="1"/>
    <col min="7950" max="7950" width="3.26953125" style="436" customWidth="1"/>
    <col min="7951" max="7951" width="11" style="436" bestFit="1" customWidth="1"/>
    <col min="7952" max="7952" width="11.26953125" style="436" bestFit="1" customWidth="1"/>
    <col min="7953" max="7953" width="12.453125" style="436" bestFit="1" customWidth="1"/>
    <col min="7954" max="7954" width="10.26953125" style="436" customWidth="1"/>
    <col min="7955" max="7955" width="8.453125" style="436" bestFit="1" customWidth="1"/>
    <col min="7956" max="8193" width="9.1796875" style="436"/>
    <col min="8194" max="8194" width="10.54296875" style="436" customWidth="1"/>
    <col min="8195" max="8195" width="17.7265625" style="436" customWidth="1"/>
    <col min="8196" max="8196" width="11" style="436" bestFit="1" customWidth="1"/>
    <col min="8197" max="8197" width="10.453125" style="436" bestFit="1" customWidth="1"/>
    <col min="8198" max="8198" width="11.1796875" style="436" bestFit="1" customWidth="1"/>
    <col min="8199" max="8199" width="10.81640625" style="436" bestFit="1" customWidth="1"/>
    <col min="8200" max="8200" width="3.7265625" style="436" customWidth="1"/>
    <col min="8201" max="8201" width="11" style="436" bestFit="1" customWidth="1"/>
    <col min="8202" max="8202" width="11.1796875" style="436" bestFit="1" customWidth="1"/>
    <col min="8203" max="8204" width="10.81640625" style="436" bestFit="1" customWidth="1"/>
    <col min="8205" max="8205" width="8.453125" style="436" bestFit="1" customWidth="1"/>
    <col min="8206" max="8206" width="3.26953125" style="436" customWidth="1"/>
    <col min="8207" max="8207" width="11" style="436" bestFit="1" customWidth="1"/>
    <col min="8208" max="8208" width="11.26953125" style="436" bestFit="1" customWidth="1"/>
    <col min="8209" max="8209" width="12.453125" style="436" bestFit="1" customWidth="1"/>
    <col min="8210" max="8210" width="10.26953125" style="436" customWidth="1"/>
    <col min="8211" max="8211" width="8.453125" style="436" bestFit="1" customWidth="1"/>
    <col min="8212" max="8449" width="9.1796875" style="436"/>
    <col min="8450" max="8450" width="10.54296875" style="436" customWidth="1"/>
    <col min="8451" max="8451" width="17.7265625" style="436" customWidth="1"/>
    <col min="8452" max="8452" width="11" style="436" bestFit="1" customWidth="1"/>
    <col min="8453" max="8453" width="10.453125" style="436" bestFit="1" customWidth="1"/>
    <col min="8454" max="8454" width="11.1796875" style="436" bestFit="1" customWidth="1"/>
    <col min="8455" max="8455" width="10.81640625" style="436" bestFit="1" customWidth="1"/>
    <col min="8456" max="8456" width="3.7265625" style="436" customWidth="1"/>
    <col min="8457" max="8457" width="11" style="436" bestFit="1" customWidth="1"/>
    <col min="8458" max="8458" width="11.1796875" style="436" bestFit="1" customWidth="1"/>
    <col min="8459" max="8460" width="10.81640625" style="436" bestFit="1" customWidth="1"/>
    <col min="8461" max="8461" width="8.453125" style="436" bestFit="1" customWidth="1"/>
    <col min="8462" max="8462" width="3.26953125" style="436" customWidth="1"/>
    <col min="8463" max="8463" width="11" style="436" bestFit="1" customWidth="1"/>
    <col min="8464" max="8464" width="11.26953125" style="436" bestFit="1" customWidth="1"/>
    <col min="8465" max="8465" width="12.453125" style="436" bestFit="1" customWidth="1"/>
    <col min="8466" max="8466" width="10.26953125" style="436" customWidth="1"/>
    <col min="8467" max="8467" width="8.453125" style="436" bestFit="1" customWidth="1"/>
    <col min="8468" max="8705" width="9.1796875" style="436"/>
    <col min="8706" max="8706" width="10.54296875" style="436" customWidth="1"/>
    <col min="8707" max="8707" width="17.7265625" style="436" customWidth="1"/>
    <col min="8708" max="8708" width="11" style="436" bestFit="1" customWidth="1"/>
    <col min="8709" max="8709" width="10.453125" style="436" bestFit="1" customWidth="1"/>
    <col min="8710" max="8710" width="11.1796875" style="436" bestFit="1" customWidth="1"/>
    <col min="8711" max="8711" width="10.81640625" style="436" bestFit="1" customWidth="1"/>
    <col min="8712" max="8712" width="3.7265625" style="436" customWidth="1"/>
    <col min="8713" max="8713" width="11" style="436" bestFit="1" customWidth="1"/>
    <col min="8714" max="8714" width="11.1796875" style="436" bestFit="1" customWidth="1"/>
    <col min="8715" max="8716" width="10.81640625" style="436" bestFit="1" customWidth="1"/>
    <col min="8717" max="8717" width="8.453125" style="436" bestFit="1" customWidth="1"/>
    <col min="8718" max="8718" width="3.26953125" style="436" customWidth="1"/>
    <col min="8719" max="8719" width="11" style="436" bestFit="1" customWidth="1"/>
    <col min="8720" max="8720" width="11.26953125" style="436" bestFit="1" customWidth="1"/>
    <col min="8721" max="8721" width="12.453125" style="436" bestFit="1" customWidth="1"/>
    <col min="8722" max="8722" width="10.26953125" style="436" customWidth="1"/>
    <col min="8723" max="8723" width="8.453125" style="436" bestFit="1" customWidth="1"/>
    <col min="8724" max="8961" width="9.1796875" style="436"/>
    <col min="8962" max="8962" width="10.54296875" style="436" customWidth="1"/>
    <col min="8963" max="8963" width="17.7265625" style="436" customWidth="1"/>
    <col min="8964" max="8964" width="11" style="436" bestFit="1" customWidth="1"/>
    <col min="8965" max="8965" width="10.453125" style="436" bestFit="1" customWidth="1"/>
    <col min="8966" max="8966" width="11.1796875" style="436" bestFit="1" customWidth="1"/>
    <col min="8967" max="8967" width="10.81640625" style="436" bestFit="1" customWidth="1"/>
    <col min="8968" max="8968" width="3.7265625" style="436" customWidth="1"/>
    <col min="8969" max="8969" width="11" style="436" bestFit="1" customWidth="1"/>
    <col min="8970" max="8970" width="11.1796875" style="436" bestFit="1" customWidth="1"/>
    <col min="8971" max="8972" width="10.81640625" style="436" bestFit="1" customWidth="1"/>
    <col min="8973" max="8973" width="8.453125" style="436" bestFit="1" customWidth="1"/>
    <col min="8974" max="8974" width="3.26953125" style="436" customWidth="1"/>
    <col min="8975" max="8975" width="11" style="436" bestFit="1" customWidth="1"/>
    <col min="8976" max="8976" width="11.26953125" style="436" bestFit="1" customWidth="1"/>
    <col min="8977" max="8977" width="12.453125" style="436" bestFit="1" customWidth="1"/>
    <col min="8978" max="8978" width="10.26953125" style="436" customWidth="1"/>
    <col min="8979" max="8979" width="8.453125" style="436" bestFit="1" customWidth="1"/>
    <col min="8980" max="9217" width="9.1796875" style="436"/>
    <col min="9218" max="9218" width="10.54296875" style="436" customWidth="1"/>
    <col min="9219" max="9219" width="17.7265625" style="436" customWidth="1"/>
    <col min="9220" max="9220" width="11" style="436" bestFit="1" customWidth="1"/>
    <col min="9221" max="9221" width="10.453125" style="436" bestFit="1" customWidth="1"/>
    <col min="9222" max="9222" width="11.1796875" style="436" bestFit="1" customWidth="1"/>
    <col min="9223" max="9223" width="10.81640625" style="436" bestFit="1" customWidth="1"/>
    <col min="9224" max="9224" width="3.7265625" style="436" customWidth="1"/>
    <col min="9225" max="9225" width="11" style="436" bestFit="1" customWidth="1"/>
    <col min="9226" max="9226" width="11.1796875" style="436" bestFit="1" customWidth="1"/>
    <col min="9227" max="9228" width="10.81640625" style="436" bestFit="1" customWidth="1"/>
    <col min="9229" max="9229" width="8.453125" style="436" bestFit="1" customWidth="1"/>
    <col min="9230" max="9230" width="3.26953125" style="436" customWidth="1"/>
    <col min="9231" max="9231" width="11" style="436" bestFit="1" customWidth="1"/>
    <col min="9232" max="9232" width="11.26953125" style="436" bestFit="1" customWidth="1"/>
    <col min="9233" max="9233" width="12.453125" style="436" bestFit="1" customWidth="1"/>
    <col min="9234" max="9234" width="10.26953125" style="436" customWidth="1"/>
    <col min="9235" max="9235" width="8.453125" style="436" bestFit="1" customWidth="1"/>
    <col min="9236" max="9473" width="9.1796875" style="436"/>
    <col min="9474" max="9474" width="10.54296875" style="436" customWidth="1"/>
    <col min="9475" max="9475" width="17.7265625" style="436" customWidth="1"/>
    <col min="9476" max="9476" width="11" style="436" bestFit="1" customWidth="1"/>
    <col min="9477" max="9477" width="10.453125" style="436" bestFit="1" customWidth="1"/>
    <col min="9478" max="9478" width="11.1796875" style="436" bestFit="1" customWidth="1"/>
    <col min="9479" max="9479" width="10.81640625" style="436" bestFit="1" customWidth="1"/>
    <col min="9480" max="9480" width="3.7265625" style="436" customWidth="1"/>
    <col min="9481" max="9481" width="11" style="436" bestFit="1" customWidth="1"/>
    <col min="9482" max="9482" width="11.1796875" style="436" bestFit="1" customWidth="1"/>
    <col min="9483" max="9484" width="10.81640625" style="436" bestFit="1" customWidth="1"/>
    <col min="9485" max="9485" width="8.453125" style="436" bestFit="1" customWidth="1"/>
    <col min="9486" max="9486" width="3.26953125" style="436" customWidth="1"/>
    <col min="9487" max="9487" width="11" style="436" bestFit="1" customWidth="1"/>
    <col min="9488" max="9488" width="11.26953125" style="436" bestFit="1" customWidth="1"/>
    <col min="9489" max="9489" width="12.453125" style="436" bestFit="1" customWidth="1"/>
    <col min="9490" max="9490" width="10.26953125" style="436" customWidth="1"/>
    <col min="9491" max="9491" width="8.453125" style="436" bestFit="1" customWidth="1"/>
    <col min="9492" max="9729" width="9.1796875" style="436"/>
    <col min="9730" max="9730" width="10.54296875" style="436" customWidth="1"/>
    <col min="9731" max="9731" width="17.7265625" style="436" customWidth="1"/>
    <col min="9732" max="9732" width="11" style="436" bestFit="1" customWidth="1"/>
    <col min="9733" max="9733" width="10.453125" style="436" bestFit="1" customWidth="1"/>
    <col min="9734" max="9734" width="11.1796875" style="436" bestFit="1" customWidth="1"/>
    <col min="9735" max="9735" width="10.81640625" style="436" bestFit="1" customWidth="1"/>
    <col min="9736" max="9736" width="3.7265625" style="436" customWidth="1"/>
    <col min="9737" max="9737" width="11" style="436" bestFit="1" customWidth="1"/>
    <col min="9738" max="9738" width="11.1796875" style="436" bestFit="1" customWidth="1"/>
    <col min="9739" max="9740" width="10.81640625" style="436" bestFit="1" customWidth="1"/>
    <col min="9741" max="9741" width="8.453125" style="436" bestFit="1" customWidth="1"/>
    <col min="9742" max="9742" width="3.26953125" style="436" customWidth="1"/>
    <col min="9743" max="9743" width="11" style="436" bestFit="1" customWidth="1"/>
    <col min="9744" max="9744" width="11.26953125" style="436" bestFit="1" customWidth="1"/>
    <col min="9745" max="9745" width="12.453125" style="436" bestFit="1" customWidth="1"/>
    <col min="9746" max="9746" width="10.26953125" style="436" customWidth="1"/>
    <col min="9747" max="9747" width="8.453125" style="436" bestFit="1" customWidth="1"/>
    <col min="9748" max="9985" width="9.1796875" style="436"/>
    <col min="9986" max="9986" width="10.54296875" style="436" customWidth="1"/>
    <col min="9987" max="9987" width="17.7265625" style="436" customWidth="1"/>
    <col min="9988" max="9988" width="11" style="436" bestFit="1" customWidth="1"/>
    <col min="9989" max="9989" width="10.453125" style="436" bestFit="1" customWidth="1"/>
    <col min="9990" max="9990" width="11.1796875" style="436" bestFit="1" customWidth="1"/>
    <col min="9991" max="9991" width="10.81640625" style="436" bestFit="1" customWidth="1"/>
    <col min="9992" max="9992" width="3.7265625" style="436" customWidth="1"/>
    <col min="9993" max="9993" width="11" style="436" bestFit="1" customWidth="1"/>
    <col min="9994" max="9994" width="11.1796875" style="436" bestFit="1" customWidth="1"/>
    <col min="9995" max="9996" width="10.81640625" style="436" bestFit="1" customWidth="1"/>
    <col min="9997" max="9997" width="8.453125" style="436" bestFit="1" customWidth="1"/>
    <col min="9998" max="9998" width="3.26953125" style="436" customWidth="1"/>
    <col min="9999" max="9999" width="11" style="436" bestFit="1" customWidth="1"/>
    <col min="10000" max="10000" width="11.26953125" style="436" bestFit="1" customWidth="1"/>
    <col min="10001" max="10001" width="12.453125" style="436" bestFit="1" customWidth="1"/>
    <col min="10002" max="10002" width="10.26953125" style="436" customWidth="1"/>
    <col min="10003" max="10003" width="8.453125" style="436" bestFit="1" customWidth="1"/>
    <col min="10004" max="10241" width="9.1796875" style="436"/>
    <col min="10242" max="10242" width="10.54296875" style="436" customWidth="1"/>
    <col min="10243" max="10243" width="17.7265625" style="436" customWidth="1"/>
    <col min="10244" max="10244" width="11" style="436" bestFit="1" customWidth="1"/>
    <col min="10245" max="10245" width="10.453125" style="436" bestFit="1" customWidth="1"/>
    <col min="10246" max="10246" width="11.1796875" style="436" bestFit="1" customWidth="1"/>
    <col min="10247" max="10247" width="10.81640625" style="436" bestFit="1" customWidth="1"/>
    <col min="10248" max="10248" width="3.7265625" style="436" customWidth="1"/>
    <col min="10249" max="10249" width="11" style="436" bestFit="1" customWidth="1"/>
    <col min="10250" max="10250" width="11.1796875" style="436" bestFit="1" customWidth="1"/>
    <col min="10251" max="10252" width="10.81640625" style="436" bestFit="1" customWidth="1"/>
    <col min="10253" max="10253" width="8.453125" style="436" bestFit="1" customWidth="1"/>
    <col min="10254" max="10254" width="3.26953125" style="436" customWidth="1"/>
    <col min="10255" max="10255" width="11" style="436" bestFit="1" customWidth="1"/>
    <col min="10256" max="10256" width="11.26953125" style="436" bestFit="1" customWidth="1"/>
    <col min="10257" max="10257" width="12.453125" style="436" bestFit="1" customWidth="1"/>
    <col min="10258" max="10258" width="10.26953125" style="436" customWidth="1"/>
    <col min="10259" max="10259" width="8.453125" style="436" bestFit="1" customWidth="1"/>
    <col min="10260" max="10497" width="9.1796875" style="436"/>
    <col min="10498" max="10498" width="10.54296875" style="436" customWidth="1"/>
    <col min="10499" max="10499" width="17.7265625" style="436" customWidth="1"/>
    <col min="10500" max="10500" width="11" style="436" bestFit="1" customWidth="1"/>
    <col min="10501" max="10501" width="10.453125" style="436" bestFit="1" customWidth="1"/>
    <col min="10502" max="10502" width="11.1796875" style="436" bestFit="1" customWidth="1"/>
    <col min="10503" max="10503" width="10.81640625" style="436" bestFit="1" customWidth="1"/>
    <col min="10504" max="10504" width="3.7265625" style="436" customWidth="1"/>
    <col min="10505" max="10505" width="11" style="436" bestFit="1" customWidth="1"/>
    <col min="10506" max="10506" width="11.1796875" style="436" bestFit="1" customWidth="1"/>
    <col min="10507" max="10508" width="10.81640625" style="436" bestFit="1" customWidth="1"/>
    <col min="10509" max="10509" width="8.453125" style="436" bestFit="1" customWidth="1"/>
    <col min="10510" max="10510" width="3.26953125" style="436" customWidth="1"/>
    <col min="10511" max="10511" width="11" style="436" bestFit="1" customWidth="1"/>
    <col min="10512" max="10512" width="11.26953125" style="436" bestFit="1" customWidth="1"/>
    <col min="10513" max="10513" width="12.453125" style="436" bestFit="1" customWidth="1"/>
    <col min="10514" max="10514" width="10.26953125" style="436" customWidth="1"/>
    <col min="10515" max="10515" width="8.453125" style="436" bestFit="1" customWidth="1"/>
    <col min="10516" max="10753" width="9.1796875" style="436"/>
    <col min="10754" max="10754" width="10.54296875" style="436" customWidth="1"/>
    <col min="10755" max="10755" width="17.7265625" style="436" customWidth="1"/>
    <col min="10756" max="10756" width="11" style="436" bestFit="1" customWidth="1"/>
    <col min="10757" max="10757" width="10.453125" style="436" bestFit="1" customWidth="1"/>
    <col min="10758" max="10758" width="11.1796875" style="436" bestFit="1" customWidth="1"/>
    <col min="10759" max="10759" width="10.81640625" style="436" bestFit="1" customWidth="1"/>
    <col min="10760" max="10760" width="3.7265625" style="436" customWidth="1"/>
    <col min="10761" max="10761" width="11" style="436" bestFit="1" customWidth="1"/>
    <col min="10762" max="10762" width="11.1796875" style="436" bestFit="1" customWidth="1"/>
    <col min="10763" max="10764" width="10.81640625" style="436" bestFit="1" customWidth="1"/>
    <col min="10765" max="10765" width="8.453125" style="436" bestFit="1" customWidth="1"/>
    <col min="10766" max="10766" width="3.26953125" style="436" customWidth="1"/>
    <col min="10767" max="10767" width="11" style="436" bestFit="1" customWidth="1"/>
    <col min="10768" max="10768" width="11.26953125" style="436" bestFit="1" customWidth="1"/>
    <col min="10769" max="10769" width="12.453125" style="436" bestFit="1" customWidth="1"/>
    <col min="10770" max="10770" width="10.26953125" style="436" customWidth="1"/>
    <col min="10771" max="10771" width="8.453125" style="436" bestFit="1" customWidth="1"/>
    <col min="10772" max="11009" width="9.1796875" style="436"/>
    <col min="11010" max="11010" width="10.54296875" style="436" customWidth="1"/>
    <col min="11011" max="11011" width="17.7265625" style="436" customWidth="1"/>
    <col min="11012" max="11012" width="11" style="436" bestFit="1" customWidth="1"/>
    <col min="11013" max="11013" width="10.453125" style="436" bestFit="1" customWidth="1"/>
    <col min="11014" max="11014" width="11.1796875" style="436" bestFit="1" customWidth="1"/>
    <col min="11015" max="11015" width="10.81640625" style="436" bestFit="1" customWidth="1"/>
    <col min="11016" max="11016" width="3.7265625" style="436" customWidth="1"/>
    <col min="11017" max="11017" width="11" style="436" bestFit="1" customWidth="1"/>
    <col min="11018" max="11018" width="11.1796875" style="436" bestFit="1" customWidth="1"/>
    <col min="11019" max="11020" width="10.81640625" style="436" bestFit="1" customWidth="1"/>
    <col min="11021" max="11021" width="8.453125" style="436" bestFit="1" customWidth="1"/>
    <col min="11022" max="11022" width="3.26953125" style="436" customWidth="1"/>
    <col min="11023" max="11023" width="11" style="436" bestFit="1" customWidth="1"/>
    <col min="11024" max="11024" width="11.26953125" style="436" bestFit="1" customWidth="1"/>
    <col min="11025" max="11025" width="12.453125" style="436" bestFit="1" customWidth="1"/>
    <col min="11026" max="11026" width="10.26953125" style="436" customWidth="1"/>
    <col min="11027" max="11027" width="8.453125" style="436" bestFit="1" customWidth="1"/>
    <col min="11028" max="11265" width="9.1796875" style="436"/>
    <col min="11266" max="11266" width="10.54296875" style="436" customWidth="1"/>
    <col min="11267" max="11267" width="17.7265625" style="436" customWidth="1"/>
    <col min="11268" max="11268" width="11" style="436" bestFit="1" customWidth="1"/>
    <col min="11269" max="11269" width="10.453125" style="436" bestFit="1" customWidth="1"/>
    <col min="11270" max="11270" width="11.1796875" style="436" bestFit="1" customWidth="1"/>
    <col min="11271" max="11271" width="10.81640625" style="436" bestFit="1" customWidth="1"/>
    <col min="11272" max="11272" width="3.7265625" style="436" customWidth="1"/>
    <col min="11273" max="11273" width="11" style="436" bestFit="1" customWidth="1"/>
    <col min="11274" max="11274" width="11.1796875" style="436" bestFit="1" customWidth="1"/>
    <col min="11275" max="11276" width="10.81640625" style="436" bestFit="1" customWidth="1"/>
    <col min="11277" max="11277" width="8.453125" style="436" bestFit="1" customWidth="1"/>
    <col min="11278" max="11278" width="3.26953125" style="436" customWidth="1"/>
    <col min="11279" max="11279" width="11" style="436" bestFit="1" customWidth="1"/>
    <col min="11280" max="11280" width="11.26953125" style="436" bestFit="1" customWidth="1"/>
    <col min="11281" max="11281" width="12.453125" style="436" bestFit="1" customWidth="1"/>
    <col min="11282" max="11282" width="10.26953125" style="436" customWidth="1"/>
    <col min="11283" max="11283" width="8.453125" style="436" bestFit="1" customWidth="1"/>
    <col min="11284" max="11521" width="9.1796875" style="436"/>
    <col min="11522" max="11522" width="10.54296875" style="436" customWidth="1"/>
    <col min="11523" max="11523" width="17.7265625" style="436" customWidth="1"/>
    <col min="11524" max="11524" width="11" style="436" bestFit="1" customWidth="1"/>
    <col min="11525" max="11525" width="10.453125" style="436" bestFit="1" customWidth="1"/>
    <col min="11526" max="11526" width="11.1796875" style="436" bestFit="1" customWidth="1"/>
    <col min="11527" max="11527" width="10.81640625" style="436" bestFit="1" customWidth="1"/>
    <col min="11528" max="11528" width="3.7265625" style="436" customWidth="1"/>
    <col min="11529" max="11529" width="11" style="436" bestFit="1" customWidth="1"/>
    <col min="11530" max="11530" width="11.1796875" style="436" bestFit="1" customWidth="1"/>
    <col min="11531" max="11532" width="10.81640625" style="436" bestFit="1" customWidth="1"/>
    <col min="11533" max="11533" width="8.453125" style="436" bestFit="1" customWidth="1"/>
    <col min="11534" max="11534" width="3.26953125" style="436" customWidth="1"/>
    <col min="11535" max="11535" width="11" style="436" bestFit="1" customWidth="1"/>
    <col min="11536" max="11536" width="11.26953125" style="436" bestFit="1" customWidth="1"/>
    <col min="11537" max="11537" width="12.453125" style="436" bestFit="1" customWidth="1"/>
    <col min="11538" max="11538" width="10.26953125" style="436" customWidth="1"/>
    <col min="11539" max="11539" width="8.453125" style="436" bestFit="1" customWidth="1"/>
    <col min="11540" max="11777" width="9.1796875" style="436"/>
    <col min="11778" max="11778" width="10.54296875" style="436" customWidth="1"/>
    <col min="11779" max="11779" width="17.7265625" style="436" customWidth="1"/>
    <col min="11780" max="11780" width="11" style="436" bestFit="1" customWidth="1"/>
    <col min="11781" max="11781" width="10.453125" style="436" bestFit="1" customWidth="1"/>
    <col min="11782" max="11782" width="11.1796875" style="436" bestFit="1" customWidth="1"/>
    <col min="11783" max="11783" width="10.81640625" style="436" bestFit="1" customWidth="1"/>
    <col min="11784" max="11784" width="3.7265625" style="436" customWidth="1"/>
    <col min="11785" max="11785" width="11" style="436" bestFit="1" customWidth="1"/>
    <col min="11786" max="11786" width="11.1796875" style="436" bestFit="1" customWidth="1"/>
    <col min="11787" max="11788" width="10.81640625" style="436" bestFit="1" customWidth="1"/>
    <col min="11789" max="11789" width="8.453125" style="436" bestFit="1" customWidth="1"/>
    <col min="11790" max="11790" width="3.26953125" style="436" customWidth="1"/>
    <col min="11791" max="11791" width="11" style="436" bestFit="1" customWidth="1"/>
    <col min="11792" max="11792" width="11.26953125" style="436" bestFit="1" customWidth="1"/>
    <col min="11793" max="11793" width="12.453125" style="436" bestFit="1" customWidth="1"/>
    <col min="11794" max="11794" width="10.26953125" style="436" customWidth="1"/>
    <col min="11795" max="11795" width="8.453125" style="436" bestFit="1" customWidth="1"/>
    <col min="11796" max="12033" width="9.1796875" style="436"/>
    <col min="12034" max="12034" width="10.54296875" style="436" customWidth="1"/>
    <col min="12035" max="12035" width="17.7265625" style="436" customWidth="1"/>
    <col min="12036" max="12036" width="11" style="436" bestFit="1" customWidth="1"/>
    <col min="12037" max="12037" width="10.453125" style="436" bestFit="1" customWidth="1"/>
    <col min="12038" max="12038" width="11.1796875" style="436" bestFit="1" customWidth="1"/>
    <col min="12039" max="12039" width="10.81640625" style="436" bestFit="1" customWidth="1"/>
    <col min="12040" max="12040" width="3.7265625" style="436" customWidth="1"/>
    <col min="12041" max="12041" width="11" style="436" bestFit="1" customWidth="1"/>
    <col min="12042" max="12042" width="11.1796875" style="436" bestFit="1" customWidth="1"/>
    <col min="12043" max="12044" width="10.81640625" style="436" bestFit="1" customWidth="1"/>
    <col min="12045" max="12045" width="8.453125" style="436" bestFit="1" customWidth="1"/>
    <col min="12046" max="12046" width="3.26953125" style="436" customWidth="1"/>
    <col min="12047" max="12047" width="11" style="436" bestFit="1" customWidth="1"/>
    <col min="12048" max="12048" width="11.26953125" style="436" bestFit="1" customWidth="1"/>
    <col min="12049" max="12049" width="12.453125" style="436" bestFit="1" customWidth="1"/>
    <col min="12050" max="12050" width="10.26953125" style="436" customWidth="1"/>
    <col min="12051" max="12051" width="8.453125" style="436" bestFit="1" customWidth="1"/>
    <col min="12052" max="12289" width="9.1796875" style="436"/>
    <col min="12290" max="12290" width="10.54296875" style="436" customWidth="1"/>
    <col min="12291" max="12291" width="17.7265625" style="436" customWidth="1"/>
    <col min="12292" max="12292" width="11" style="436" bestFit="1" customWidth="1"/>
    <col min="12293" max="12293" width="10.453125" style="436" bestFit="1" customWidth="1"/>
    <col min="12294" max="12294" width="11.1796875" style="436" bestFit="1" customWidth="1"/>
    <col min="12295" max="12295" width="10.81640625" style="436" bestFit="1" customWidth="1"/>
    <col min="12296" max="12296" width="3.7265625" style="436" customWidth="1"/>
    <col min="12297" max="12297" width="11" style="436" bestFit="1" customWidth="1"/>
    <col min="12298" max="12298" width="11.1796875" style="436" bestFit="1" customWidth="1"/>
    <col min="12299" max="12300" width="10.81640625" style="436" bestFit="1" customWidth="1"/>
    <col min="12301" max="12301" width="8.453125" style="436" bestFit="1" customWidth="1"/>
    <col min="12302" max="12302" width="3.26953125" style="436" customWidth="1"/>
    <col min="12303" max="12303" width="11" style="436" bestFit="1" customWidth="1"/>
    <col min="12304" max="12304" width="11.26953125" style="436" bestFit="1" customWidth="1"/>
    <col min="12305" max="12305" width="12.453125" style="436" bestFit="1" customWidth="1"/>
    <col min="12306" max="12306" width="10.26953125" style="436" customWidth="1"/>
    <col min="12307" max="12307" width="8.453125" style="436" bestFit="1" customWidth="1"/>
    <col min="12308" max="12545" width="9.1796875" style="436"/>
    <col min="12546" max="12546" width="10.54296875" style="436" customWidth="1"/>
    <col min="12547" max="12547" width="17.7265625" style="436" customWidth="1"/>
    <col min="12548" max="12548" width="11" style="436" bestFit="1" customWidth="1"/>
    <col min="12549" max="12549" width="10.453125" style="436" bestFit="1" customWidth="1"/>
    <col min="12550" max="12550" width="11.1796875" style="436" bestFit="1" customWidth="1"/>
    <col min="12551" max="12551" width="10.81640625" style="436" bestFit="1" customWidth="1"/>
    <col min="12552" max="12552" width="3.7265625" style="436" customWidth="1"/>
    <col min="12553" max="12553" width="11" style="436" bestFit="1" customWidth="1"/>
    <col min="12554" max="12554" width="11.1796875" style="436" bestFit="1" customWidth="1"/>
    <col min="12555" max="12556" width="10.81640625" style="436" bestFit="1" customWidth="1"/>
    <col min="12557" max="12557" width="8.453125" style="436" bestFit="1" customWidth="1"/>
    <col min="12558" max="12558" width="3.26953125" style="436" customWidth="1"/>
    <col min="12559" max="12559" width="11" style="436" bestFit="1" customWidth="1"/>
    <col min="12560" max="12560" width="11.26953125" style="436" bestFit="1" customWidth="1"/>
    <col min="12561" max="12561" width="12.453125" style="436" bestFit="1" customWidth="1"/>
    <col min="12562" max="12562" width="10.26953125" style="436" customWidth="1"/>
    <col min="12563" max="12563" width="8.453125" style="436" bestFit="1" customWidth="1"/>
    <col min="12564" max="12801" width="9.1796875" style="436"/>
    <col min="12802" max="12802" width="10.54296875" style="436" customWidth="1"/>
    <col min="12803" max="12803" width="17.7265625" style="436" customWidth="1"/>
    <col min="12804" max="12804" width="11" style="436" bestFit="1" customWidth="1"/>
    <col min="12805" max="12805" width="10.453125" style="436" bestFit="1" customWidth="1"/>
    <col min="12806" max="12806" width="11.1796875" style="436" bestFit="1" customWidth="1"/>
    <col min="12807" max="12807" width="10.81640625" style="436" bestFit="1" customWidth="1"/>
    <col min="12808" max="12808" width="3.7265625" style="436" customWidth="1"/>
    <col min="12809" max="12809" width="11" style="436" bestFit="1" customWidth="1"/>
    <col min="12810" max="12810" width="11.1796875" style="436" bestFit="1" customWidth="1"/>
    <col min="12811" max="12812" width="10.81640625" style="436" bestFit="1" customWidth="1"/>
    <col min="12813" max="12813" width="8.453125" style="436" bestFit="1" customWidth="1"/>
    <col min="12814" max="12814" width="3.26953125" style="436" customWidth="1"/>
    <col min="12815" max="12815" width="11" style="436" bestFit="1" customWidth="1"/>
    <col min="12816" max="12816" width="11.26953125" style="436" bestFit="1" customWidth="1"/>
    <col min="12817" max="12817" width="12.453125" style="436" bestFit="1" customWidth="1"/>
    <col min="12818" max="12818" width="10.26953125" style="436" customWidth="1"/>
    <col min="12819" max="12819" width="8.453125" style="436" bestFit="1" customWidth="1"/>
    <col min="12820" max="13057" width="9.1796875" style="436"/>
    <col min="13058" max="13058" width="10.54296875" style="436" customWidth="1"/>
    <col min="13059" max="13059" width="17.7265625" style="436" customWidth="1"/>
    <col min="13060" max="13060" width="11" style="436" bestFit="1" customWidth="1"/>
    <col min="13061" max="13061" width="10.453125" style="436" bestFit="1" customWidth="1"/>
    <col min="13062" max="13062" width="11.1796875" style="436" bestFit="1" customWidth="1"/>
    <col min="13063" max="13063" width="10.81640625" style="436" bestFit="1" customWidth="1"/>
    <col min="13064" max="13064" width="3.7265625" style="436" customWidth="1"/>
    <col min="13065" max="13065" width="11" style="436" bestFit="1" customWidth="1"/>
    <col min="13066" max="13066" width="11.1796875" style="436" bestFit="1" customWidth="1"/>
    <col min="13067" max="13068" width="10.81640625" style="436" bestFit="1" customWidth="1"/>
    <col min="13069" max="13069" width="8.453125" style="436" bestFit="1" customWidth="1"/>
    <col min="13070" max="13070" width="3.26953125" style="436" customWidth="1"/>
    <col min="13071" max="13071" width="11" style="436" bestFit="1" customWidth="1"/>
    <col min="13072" max="13072" width="11.26953125" style="436" bestFit="1" customWidth="1"/>
    <col min="13073" max="13073" width="12.453125" style="436" bestFit="1" customWidth="1"/>
    <col min="13074" max="13074" width="10.26953125" style="436" customWidth="1"/>
    <col min="13075" max="13075" width="8.453125" style="436" bestFit="1" customWidth="1"/>
    <col min="13076" max="13313" width="9.1796875" style="436"/>
    <col min="13314" max="13314" width="10.54296875" style="436" customWidth="1"/>
    <col min="13315" max="13315" width="17.7265625" style="436" customWidth="1"/>
    <col min="13316" max="13316" width="11" style="436" bestFit="1" customWidth="1"/>
    <col min="13317" max="13317" width="10.453125" style="436" bestFit="1" customWidth="1"/>
    <col min="13318" max="13318" width="11.1796875" style="436" bestFit="1" customWidth="1"/>
    <col min="13319" max="13319" width="10.81640625" style="436" bestFit="1" customWidth="1"/>
    <col min="13320" max="13320" width="3.7265625" style="436" customWidth="1"/>
    <col min="13321" max="13321" width="11" style="436" bestFit="1" customWidth="1"/>
    <col min="13322" max="13322" width="11.1796875" style="436" bestFit="1" customWidth="1"/>
    <col min="13323" max="13324" width="10.81640625" style="436" bestFit="1" customWidth="1"/>
    <col min="13325" max="13325" width="8.453125" style="436" bestFit="1" customWidth="1"/>
    <col min="13326" max="13326" width="3.26953125" style="436" customWidth="1"/>
    <col min="13327" max="13327" width="11" style="436" bestFit="1" customWidth="1"/>
    <col min="13328" max="13328" width="11.26953125" style="436" bestFit="1" customWidth="1"/>
    <col min="13329" max="13329" width="12.453125" style="436" bestFit="1" customWidth="1"/>
    <col min="13330" max="13330" width="10.26953125" style="436" customWidth="1"/>
    <col min="13331" max="13331" width="8.453125" style="436" bestFit="1" customWidth="1"/>
    <col min="13332" max="13569" width="9.1796875" style="436"/>
    <col min="13570" max="13570" width="10.54296875" style="436" customWidth="1"/>
    <col min="13571" max="13571" width="17.7265625" style="436" customWidth="1"/>
    <col min="13572" max="13572" width="11" style="436" bestFit="1" customWidth="1"/>
    <col min="13573" max="13573" width="10.453125" style="436" bestFit="1" customWidth="1"/>
    <col min="13574" max="13574" width="11.1796875" style="436" bestFit="1" customWidth="1"/>
    <col min="13575" max="13575" width="10.81640625" style="436" bestFit="1" customWidth="1"/>
    <col min="13576" max="13576" width="3.7265625" style="436" customWidth="1"/>
    <col min="13577" max="13577" width="11" style="436" bestFit="1" customWidth="1"/>
    <col min="13578" max="13578" width="11.1796875" style="436" bestFit="1" customWidth="1"/>
    <col min="13579" max="13580" width="10.81640625" style="436" bestFit="1" customWidth="1"/>
    <col min="13581" max="13581" width="8.453125" style="436" bestFit="1" customWidth="1"/>
    <col min="13582" max="13582" width="3.26953125" style="436" customWidth="1"/>
    <col min="13583" max="13583" width="11" style="436" bestFit="1" customWidth="1"/>
    <col min="13584" max="13584" width="11.26953125" style="436" bestFit="1" customWidth="1"/>
    <col min="13585" max="13585" width="12.453125" style="436" bestFit="1" customWidth="1"/>
    <col min="13586" max="13586" width="10.26953125" style="436" customWidth="1"/>
    <col min="13587" max="13587" width="8.453125" style="436" bestFit="1" customWidth="1"/>
    <col min="13588" max="13825" width="9.1796875" style="436"/>
    <col min="13826" max="13826" width="10.54296875" style="436" customWidth="1"/>
    <col min="13827" max="13827" width="17.7265625" style="436" customWidth="1"/>
    <col min="13828" max="13828" width="11" style="436" bestFit="1" customWidth="1"/>
    <col min="13829" max="13829" width="10.453125" style="436" bestFit="1" customWidth="1"/>
    <col min="13830" max="13830" width="11.1796875" style="436" bestFit="1" customWidth="1"/>
    <col min="13831" max="13831" width="10.81640625" style="436" bestFit="1" customWidth="1"/>
    <col min="13832" max="13832" width="3.7265625" style="436" customWidth="1"/>
    <col min="13833" max="13833" width="11" style="436" bestFit="1" customWidth="1"/>
    <col min="13834" max="13834" width="11.1796875" style="436" bestFit="1" customWidth="1"/>
    <col min="13835" max="13836" width="10.81640625" style="436" bestFit="1" customWidth="1"/>
    <col min="13837" max="13837" width="8.453125" style="436" bestFit="1" customWidth="1"/>
    <col min="13838" max="13838" width="3.26953125" style="436" customWidth="1"/>
    <col min="13839" max="13839" width="11" style="436" bestFit="1" customWidth="1"/>
    <col min="13840" max="13840" width="11.26953125" style="436" bestFit="1" customWidth="1"/>
    <col min="13841" max="13841" width="12.453125" style="436" bestFit="1" customWidth="1"/>
    <col min="13842" max="13842" width="10.26953125" style="436" customWidth="1"/>
    <col min="13843" max="13843" width="8.453125" style="436" bestFit="1" customWidth="1"/>
    <col min="13844" max="14081" width="9.1796875" style="436"/>
    <col min="14082" max="14082" width="10.54296875" style="436" customWidth="1"/>
    <col min="14083" max="14083" width="17.7265625" style="436" customWidth="1"/>
    <col min="14084" max="14084" width="11" style="436" bestFit="1" customWidth="1"/>
    <col min="14085" max="14085" width="10.453125" style="436" bestFit="1" customWidth="1"/>
    <col min="14086" max="14086" width="11.1796875" style="436" bestFit="1" customWidth="1"/>
    <col min="14087" max="14087" width="10.81640625" style="436" bestFit="1" customWidth="1"/>
    <col min="14088" max="14088" width="3.7265625" style="436" customWidth="1"/>
    <col min="14089" max="14089" width="11" style="436" bestFit="1" customWidth="1"/>
    <col min="14090" max="14090" width="11.1796875" style="436" bestFit="1" customWidth="1"/>
    <col min="14091" max="14092" width="10.81640625" style="436" bestFit="1" customWidth="1"/>
    <col min="14093" max="14093" width="8.453125" style="436" bestFit="1" customWidth="1"/>
    <col min="14094" max="14094" width="3.26953125" style="436" customWidth="1"/>
    <col min="14095" max="14095" width="11" style="436" bestFit="1" customWidth="1"/>
    <col min="14096" max="14096" width="11.26953125" style="436" bestFit="1" customWidth="1"/>
    <col min="14097" max="14097" width="12.453125" style="436" bestFit="1" customWidth="1"/>
    <col min="14098" max="14098" width="10.26953125" style="436" customWidth="1"/>
    <col min="14099" max="14099" width="8.453125" style="436" bestFit="1" customWidth="1"/>
    <col min="14100" max="14337" width="9.1796875" style="436"/>
    <col min="14338" max="14338" width="10.54296875" style="436" customWidth="1"/>
    <col min="14339" max="14339" width="17.7265625" style="436" customWidth="1"/>
    <col min="14340" max="14340" width="11" style="436" bestFit="1" customWidth="1"/>
    <col min="14341" max="14341" width="10.453125" style="436" bestFit="1" customWidth="1"/>
    <col min="14342" max="14342" width="11.1796875" style="436" bestFit="1" customWidth="1"/>
    <col min="14343" max="14343" width="10.81640625" style="436" bestFit="1" customWidth="1"/>
    <col min="14344" max="14344" width="3.7265625" style="436" customWidth="1"/>
    <col min="14345" max="14345" width="11" style="436" bestFit="1" customWidth="1"/>
    <col min="14346" max="14346" width="11.1796875" style="436" bestFit="1" customWidth="1"/>
    <col min="14347" max="14348" width="10.81640625" style="436" bestFit="1" customWidth="1"/>
    <col min="14349" max="14349" width="8.453125" style="436" bestFit="1" customWidth="1"/>
    <col min="14350" max="14350" width="3.26953125" style="436" customWidth="1"/>
    <col min="14351" max="14351" width="11" style="436" bestFit="1" customWidth="1"/>
    <col min="14352" max="14352" width="11.26953125" style="436" bestFit="1" customWidth="1"/>
    <col min="14353" max="14353" width="12.453125" style="436" bestFit="1" customWidth="1"/>
    <col min="14354" max="14354" width="10.26953125" style="436" customWidth="1"/>
    <col min="14355" max="14355" width="8.453125" style="436" bestFit="1" customWidth="1"/>
    <col min="14356" max="14593" width="9.1796875" style="436"/>
    <col min="14594" max="14594" width="10.54296875" style="436" customWidth="1"/>
    <col min="14595" max="14595" width="17.7265625" style="436" customWidth="1"/>
    <col min="14596" max="14596" width="11" style="436" bestFit="1" customWidth="1"/>
    <col min="14597" max="14597" width="10.453125" style="436" bestFit="1" customWidth="1"/>
    <col min="14598" max="14598" width="11.1796875" style="436" bestFit="1" customWidth="1"/>
    <col min="14599" max="14599" width="10.81640625" style="436" bestFit="1" customWidth="1"/>
    <col min="14600" max="14600" width="3.7265625" style="436" customWidth="1"/>
    <col min="14601" max="14601" width="11" style="436" bestFit="1" customWidth="1"/>
    <col min="14602" max="14602" width="11.1796875" style="436" bestFit="1" customWidth="1"/>
    <col min="14603" max="14604" width="10.81640625" style="436" bestFit="1" customWidth="1"/>
    <col min="14605" max="14605" width="8.453125" style="436" bestFit="1" customWidth="1"/>
    <col min="14606" max="14606" width="3.26953125" style="436" customWidth="1"/>
    <col min="14607" max="14607" width="11" style="436" bestFit="1" customWidth="1"/>
    <col min="14608" max="14608" width="11.26953125" style="436" bestFit="1" customWidth="1"/>
    <col min="14609" max="14609" width="12.453125" style="436" bestFit="1" customWidth="1"/>
    <col min="14610" max="14610" width="10.26953125" style="436" customWidth="1"/>
    <col min="14611" max="14611" width="8.453125" style="436" bestFit="1" customWidth="1"/>
    <col min="14612" max="14849" width="9.1796875" style="436"/>
    <col min="14850" max="14850" width="10.54296875" style="436" customWidth="1"/>
    <col min="14851" max="14851" width="17.7265625" style="436" customWidth="1"/>
    <col min="14852" max="14852" width="11" style="436" bestFit="1" customWidth="1"/>
    <col min="14853" max="14853" width="10.453125" style="436" bestFit="1" customWidth="1"/>
    <col min="14854" max="14854" width="11.1796875" style="436" bestFit="1" customWidth="1"/>
    <col min="14855" max="14855" width="10.81640625" style="436" bestFit="1" customWidth="1"/>
    <col min="14856" max="14856" width="3.7265625" style="436" customWidth="1"/>
    <col min="14857" max="14857" width="11" style="436" bestFit="1" customWidth="1"/>
    <col min="14858" max="14858" width="11.1796875" style="436" bestFit="1" customWidth="1"/>
    <col min="14859" max="14860" width="10.81640625" style="436" bestFit="1" customWidth="1"/>
    <col min="14861" max="14861" width="8.453125" style="436" bestFit="1" customWidth="1"/>
    <col min="14862" max="14862" width="3.26953125" style="436" customWidth="1"/>
    <col min="14863" max="14863" width="11" style="436" bestFit="1" customWidth="1"/>
    <col min="14864" max="14864" width="11.26953125" style="436" bestFit="1" customWidth="1"/>
    <col min="14865" max="14865" width="12.453125" style="436" bestFit="1" customWidth="1"/>
    <col min="14866" max="14866" width="10.26953125" style="436" customWidth="1"/>
    <col min="14867" max="14867" width="8.453125" style="436" bestFit="1" customWidth="1"/>
    <col min="14868" max="15105" width="9.1796875" style="436"/>
    <col min="15106" max="15106" width="10.54296875" style="436" customWidth="1"/>
    <col min="15107" max="15107" width="17.7265625" style="436" customWidth="1"/>
    <col min="15108" max="15108" width="11" style="436" bestFit="1" customWidth="1"/>
    <col min="15109" max="15109" width="10.453125" style="436" bestFit="1" customWidth="1"/>
    <col min="15110" max="15110" width="11.1796875" style="436" bestFit="1" customWidth="1"/>
    <col min="15111" max="15111" width="10.81640625" style="436" bestFit="1" customWidth="1"/>
    <col min="15112" max="15112" width="3.7265625" style="436" customWidth="1"/>
    <col min="15113" max="15113" width="11" style="436" bestFit="1" customWidth="1"/>
    <col min="15114" max="15114" width="11.1796875" style="436" bestFit="1" customWidth="1"/>
    <col min="15115" max="15116" width="10.81640625" style="436" bestFit="1" customWidth="1"/>
    <col min="15117" max="15117" width="8.453125" style="436" bestFit="1" customWidth="1"/>
    <col min="15118" max="15118" width="3.26953125" style="436" customWidth="1"/>
    <col min="15119" max="15119" width="11" style="436" bestFit="1" customWidth="1"/>
    <col min="15120" max="15120" width="11.26953125" style="436" bestFit="1" customWidth="1"/>
    <col min="15121" max="15121" width="12.453125" style="436" bestFit="1" customWidth="1"/>
    <col min="15122" max="15122" width="10.26953125" style="436" customWidth="1"/>
    <col min="15123" max="15123" width="8.453125" style="436" bestFit="1" customWidth="1"/>
    <col min="15124" max="15361" width="9.1796875" style="436"/>
    <col min="15362" max="15362" width="10.54296875" style="436" customWidth="1"/>
    <col min="15363" max="15363" width="17.7265625" style="436" customWidth="1"/>
    <col min="15364" max="15364" width="11" style="436" bestFit="1" customWidth="1"/>
    <col min="15365" max="15365" width="10.453125" style="436" bestFit="1" customWidth="1"/>
    <col min="15366" max="15366" width="11.1796875" style="436" bestFit="1" customWidth="1"/>
    <col min="15367" max="15367" width="10.81640625" style="436" bestFit="1" customWidth="1"/>
    <col min="15368" max="15368" width="3.7265625" style="436" customWidth="1"/>
    <col min="15369" max="15369" width="11" style="436" bestFit="1" customWidth="1"/>
    <col min="15370" max="15370" width="11.1796875" style="436" bestFit="1" customWidth="1"/>
    <col min="15371" max="15372" width="10.81640625" style="436" bestFit="1" customWidth="1"/>
    <col min="15373" max="15373" width="8.453125" style="436" bestFit="1" customWidth="1"/>
    <col min="15374" max="15374" width="3.26953125" style="436" customWidth="1"/>
    <col min="15375" max="15375" width="11" style="436" bestFit="1" customWidth="1"/>
    <col min="15376" max="15376" width="11.26953125" style="436" bestFit="1" customWidth="1"/>
    <col min="15377" max="15377" width="12.453125" style="436" bestFit="1" customWidth="1"/>
    <col min="15378" max="15378" width="10.26953125" style="436" customWidth="1"/>
    <col min="15379" max="15379" width="8.453125" style="436" bestFit="1" customWidth="1"/>
    <col min="15380" max="15617" width="9.1796875" style="436"/>
    <col min="15618" max="15618" width="10.54296875" style="436" customWidth="1"/>
    <col min="15619" max="15619" width="17.7265625" style="436" customWidth="1"/>
    <col min="15620" max="15620" width="11" style="436" bestFit="1" customWidth="1"/>
    <col min="15621" max="15621" width="10.453125" style="436" bestFit="1" customWidth="1"/>
    <col min="15622" max="15622" width="11.1796875" style="436" bestFit="1" customWidth="1"/>
    <col min="15623" max="15623" width="10.81640625" style="436" bestFit="1" customWidth="1"/>
    <col min="15624" max="15624" width="3.7265625" style="436" customWidth="1"/>
    <col min="15625" max="15625" width="11" style="436" bestFit="1" customWidth="1"/>
    <col min="15626" max="15626" width="11.1796875" style="436" bestFit="1" customWidth="1"/>
    <col min="15627" max="15628" width="10.81640625" style="436" bestFit="1" customWidth="1"/>
    <col min="15629" max="15629" width="8.453125" style="436" bestFit="1" customWidth="1"/>
    <col min="15630" max="15630" width="3.26953125" style="436" customWidth="1"/>
    <col min="15631" max="15631" width="11" style="436" bestFit="1" customWidth="1"/>
    <col min="15632" max="15632" width="11.26953125" style="436" bestFit="1" customWidth="1"/>
    <col min="15633" max="15633" width="12.453125" style="436" bestFit="1" customWidth="1"/>
    <col min="15634" max="15634" width="10.26953125" style="436" customWidth="1"/>
    <col min="15635" max="15635" width="8.453125" style="436" bestFit="1" customWidth="1"/>
    <col min="15636" max="15873" width="9.1796875" style="436"/>
    <col min="15874" max="15874" width="10.54296875" style="436" customWidth="1"/>
    <col min="15875" max="15875" width="17.7265625" style="436" customWidth="1"/>
    <col min="15876" max="15876" width="11" style="436" bestFit="1" customWidth="1"/>
    <col min="15877" max="15877" width="10.453125" style="436" bestFit="1" customWidth="1"/>
    <col min="15878" max="15878" width="11.1796875" style="436" bestFit="1" customWidth="1"/>
    <col min="15879" max="15879" width="10.81640625" style="436" bestFit="1" customWidth="1"/>
    <col min="15880" max="15880" width="3.7265625" style="436" customWidth="1"/>
    <col min="15881" max="15881" width="11" style="436" bestFit="1" customWidth="1"/>
    <col min="15882" max="15882" width="11.1796875" style="436" bestFit="1" customWidth="1"/>
    <col min="15883" max="15884" width="10.81640625" style="436" bestFit="1" customWidth="1"/>
    <col min="15885" max="15885" width="8.453125" style="436" bestFit="1" customWidth="1"/>
    <col min="15886" max="15886" width="3.26953125" style="436" customWidth="1"/>
    <col min="15887" max="15887" width="11" style="436" bestFit="1" customWidth="1"/>
    <col min="15888" max="15888" width="11.26953125" style="436" bestFit="1" customWidth="1"/>
    <col min="15889" max="15889" width="12.453125" style="436" bestFit="1" customWidth="1"/>
    <col min="15890" max="15890" width="10.26953125" style="436" customWidth="1"/>
    <col min="15891" max="15891" width="8.453125" style="436" bestFit="1" customWidth="1"/>
    <col min="15892" max="16129" width="9.1796875" style="436"/>
    <col min="16130" max="16130" width="10.54296875" style="436" customWidth="1"/>
    <col min="16131" max="16131" width="17.7265625" style="436" customWidth="1"/>
    <col min="16132" max="16132" width="11" style="436" bestFit="1" customWidth="1"/>
    <col min="16133" max="16133" width="10.453125" style="436" bestFit="1" customWidth="1"/>
    <col min="16134" max="16134" width="11.1796875" style="436" bestFit="1" customWidth="1"/>
    <col min="16135" max="16135" width="10.81640625" style="436" bestFit="1" customWidth="1"/>
    <col min="16136" max="16136" width="3.7265625" style="436" customWidth="1"/>
    <col min="16137" max="16137" width="11" style="436" bestFit="1" customWidth="1"/>
    <col min="16138" max="16138" width="11.1796875" style="436" bestFit="1" customWidth="1"/>
    <col min="16139" max="16140" width="10.81640625" style="436" bestFit="1" customWidth="1"/>
    <col min="16141" max="16141" width="8.453125" style="436" bestFit="1" customWidth="1"/>
    <col min="16142" max="16142" width="3.26953125" style="436" customWidth="1"/>
    <col min="16143" max="16143" width="11" style="436" bestFit="1" customWidth="1"/>
    <col min="16144" max="16144" width="11.26953125" style="436" bestFit="1" customWidth="1"/>
    <col min="16145" max="16145" width="12.453125" style="436" bestFit="1" customWidth="1"/>
    <col min="16146" max="16146" width="10.26953125" style="436" customWidth="1"/>
    <col min="16147" max="16147" width="8.453125" style="436" bestFit="1" customWidth="1"/>
    <col min="16148" max="16384" width="9.1796875" style="436"/>
  </cols>
  <sheetData>
    <row r="1" spans="1:21" ht="23.5">
      <c r="A1" s="435" t="s">
        <v>270</v>
      </c>
      <c r="H1" s="437"/>
    </row>
    <row r="2" spans="1:21">
      <c r="H2" s="437"/>
    </row>
    <row r="3" spans="1:21" ht="13">
      <c r="E3" s="438"/>
      <c r="F3" s="438"/>
      <c r="H3" s="439"/>
    </row>
    <row r="4" spans="1:21" ht="14">
      <c r="C4" s="440"/>
      <c r="D4" s="441" t="s">
        <v>271</v>
      </c>
      <c r="E4" s="438"/>
      <c r="F4" s="441" t="s">
        <v>307</v>
      </c>
      <c r="H4" s="439"/>
    </row>
    <row r="5" spans="1:21" ht="14">
      <c r="C5" s="442"/>
      <c r="D5" s="443" t="s">
        <v>272</v>
      </c>
      <c r="E5" s="438"/>
      <c r="F5" s="443" t="s">
        <v>272</v>
      </c>
      <c r="H5" s="438" t="s">
        <v>70</v>
      </c>
      <c r="I5" s="444" t="s">
        <v>17</v>
      </c>
      <c r="J5" s="439" t="s">
        <v>16</v>
      </c>
    </row>
    <row r="6" spans="1:21" ht="15.5">
      <c r="A6" s="445" t="s">
        <v>273</v>
      </c>
      <c r="C6" s="442"/>
      <c r="D6" s="443"/>
      <c r="E6" s="438"/>
      <c r="F6" s="438"/>
      <c r="H6" s="439"/>
    </row>
    <row r="7" spans="1:21" ht="14">
      <c r="A7" s="446" t="s">
        <v>274</v>
      </c>
      <c r="B7" s="447"/>
      <c r="E7" s="438"/>
      <c r="F7" s="438"/>
      <c r="H7" s="448"/>
      <c r="I7" s="376"/>
      <c r="J7" s="376"/>
      <c r="K7" s="376"/>
    </row>
    <row r="8" spans="1:21" ht="14">
      <c r="A8" s="449"/>
      <c r="B8" s="436" t="s">
        <v>275</v>
      </c>
      <c r="C8" s="450"/>
      <c r="D8" s="450">
        <v>21539.26</v>
      </c>
      <c r="E8" s="438"/>
      <c r="F8" s="451">
        <f>'2023-2024 Recy. Tons &amp; Revenue'!E98</f>
        <v>12117.512488340042</v>
      </c>
      <c r="H8" s="448"/>
      <c r="I8" s="376"/>
      <c r="J8" s="376"/>
      <c r="K8" s="376"/>
      <c r="U8" s="450"/>
    </row>
    <row r="9" spans="1:21" ht="14">
      <c r="A9" s="449"/>
      <c r="B9" s="436" t="s">
        <v>276</v>
      </c>
      <c r="C9" s="450"/>
      <c r="D9" s="450">
        <v>25053</v>
      </c>
      <c r="E9" s="438"/>
      <c r="F9" s="452">
        <f>+H9+I9+J9</f>
        <v>25825.31</v>
      </c>
      <c r="H9" s="63">
        <v>8690.57</v>
      </c>
      <c r="I9" s="63">
        <v>2604.5700000000002</v>
      </c>
      <c r="J9" s="63">
        <f>12242.87+2287.3</f>
        <v>14530.170000000002</v>
      </c>
      <c r="K9" s="376"/>
      <c r="U9" s="450"/>
    </row>
    <row r="10" spans="1:21" ht="17">
      <c r="A10" s="449"/>
      <c r="B10" s="436" t="s">
        <v>277</v>
      </c>
      <c r="C10" s="453"/>
      <c r="D10" s="454">
        <v>39680</v>
      </c>
      <c r="E10" s="438"/>
      <c r="F10" s="455">
        <f>+H10+I10+J10</f>
        <v>44580.65</v>
      </c>
      <c r="H10" s="63">
        <v>11727.96</v>
      </c>
      <c r="I10" s="63">
        <v>9599.5400000000009</v>
      </c>
      <c r="J10" s="63">
        <f>20093.56+3159.59</f>
        <v>23253.15</v>
      </c>
      <c r="K10" s="376"/>
      <c r="U10" s="456"/>
    </row>
    <row r="11" spans="1:21" ht="14">
      <c r="A11" s="457"/>
      <c r="B11" s="458" t="s">
        <v>278</v>
      </c>
      <c r="C11" s="459"/>
      <c r="D11" s="460">
        <f>SUM(D8:D10)</f>
        <v>86272.26</v>
      </c>
      <c r="E11" s="438"/>
      <c r="F11" s="460">
        <f>SUM(F8:F10)</f>
        <v>82523.472488340049</v>
      </c>
      <c r="H11" s="448"/>
      <c r="I11" s="376"/>
      <c r="J11" s="376"/>
      <c r="K11" s="376"/>
      <c r="U11" s="461"/>
    </row>
    <row r="12" spans="1:21" ht="14">
      <c r="A12" s="446" t="s">
        <v>279</v>
      </c>
      <c r="B12" s="447"/>
      <c r="E12" s="438"/>
      <c r="F12" s="438"/>
      <c r="H12" s="448"/>
      <c r="I12" s="376"/>
      <c r="J12" s="376"/>
      <c r="K12" s="376"/>
      <c r="U12" s="462"/>
    </row>
    <row r="13" spans="1:21" ht="14">
      <c r="A13" s="449"/>
      <c r="B13" s="436" t="s">
        <v>280</v>
      </c>
      <c r="D13" s="450">
        <v>2261.62</v>
      </c>
      <c r="E13" s="438"/>
      <c r="F13" s="452">
        <f>'2023-2024 Recy. Tons &amp; Revenue'!E129</f>
        <v>1393.9377197303188</v>
      </c>
      <c r="H13" s="448"/>
      <c r="I13" s="376"/>
      <c r="J13" s="376"/>
      <c r="K13" s="376"/>
      <c r="U13" s="450"/>
    </row>
    <row r="14" spans="1:21" ht="14">
      <c r="A14" s="449"/>
      <c r="B14" s="436" t="s">
        <v>281</v>
      </c>
      <c r="D14" s="450">
        <v>38</v>
      </c>
      <c r="E14" s="438"/>
      <c r="F14" s="452">
        <f>+H14+I14+J14</f>
        <v>83.55</v>
      </c>
      <c r="H14" s="63">
        <v>36.29</v>
      </c>
      <c r="I14" s="63">
        <v>36.979999999999997</v>
      </c>
      <c r="J14" s="63">
        <f>3.36+6.92</f>
        <v>10.28</v>
      </c>
      <c r="K14" s="376"/>
      <c r="U14" s="450"/>
    </row>
    <row r="15" spans="1:21" ht="15">
      <c r="A15" s="449"/>
      <c r="B15" s="436" t="s">
        <v>282</v>
      </c>
      <c r="C15" s="463"/>
      <c r="D15" s="454">
        <v>8346</v>
      </c>
      <c r="E15" s="438"/>
      <c r="F15" s="455">
        <f>+H15+I15+J15</f>
        <v>9141.39</v>
      </c>
      <c r="H15" s="63">
        <v>6419.32</v>
      </c>
      <c r="I15" s="63">
        <v>343.34</v>
      </c>
      <c r="J15" s="63">
        <f>314.9+2063.83</f>
        <v>2378.73</v>
      </c>
      <c r="K15" s="376"/>
      <c r="U15" s="456"/>
    </row>
    <row r="16" spans="1:21" ht="17">
      <c r="A16" s="457"/>
      <c r="B16" s="447" t="s">
        <v>283</v>
      </c>
      <c r="C16" s="464"/>
      <c r="D16" s="460">
        <f>SUM(D13:D15)</f>
        <v>10645.619999999999</v>
      </c>
      <c r="E16" s="460"/>
      <c r="F16" s="460">
        <f t="shared" ref="F16" si="0">SUM(F13:F15)</f>
        <v>10618.877719730319</v>
      </c>
      <c r="H16" s="57"/>
      <c r="I16" s="376"/>
      <c r="J16" s="376"/>
      <c r="K16" s="376"/>
      <c r="U16" s="465"/>
    </row>
    <row r="17" spans="1:21" ht="14">
      <c r="A17" s="466" t="s">
        <v>284</v>
      </c>
      <c r="B17" s="467"/>
      <c r="C17" s="468"/>
      <c r="D17" s="469">
        <f>+D16+D11</f>
        <v>96917.87999999999</v>
      </c>
      <c r="E17" s="469"/>
      <c r="F17" s="469">
        <f t="shared" ref="F17" si="1">+F16+F11</f>
        <v>93142.350208070362</v>
      </c>
      <c r="H17" s="448"/>
      <c r="I17" s="376"/>
      <c r="J17" s="376"/>
      <c r="K17" s="376"/>
      <c r="U17" s="469"/>
    </row>
    <row r="18" spans="1:21" ht="14">
      <c r="A18" s="466"/>
      <c r="B18" s="467"/>
      <c r="C18" s="459"/>
      <c r="D18" s="470"/>
      <c r="E18" s="438"/>
      <c r="F18" s="438"/>
      <c r="H18" s="448"/>
      <c r="I18" s="376"/>
      <c r="J18" s="376"/>
      <c r="K18" s="376"/>
    </row>
    <row r="19" spans="1:21" ht="14">
      <c r="A19" s="471"/>
      <c r="B19" s="472" t="s">
        <v>285</v>
      </c>
      <c r="C19" s="468"/>
      <c r="D19" s="469">
        <f>+D8+D9+D13+D14</f>
        <v>48891.88</v>
      </c>
      <c r="E19" s="438"/>
      <c r="F19" s="469">
        <f>+F8+F9+F13+F14</f>
        <v>39420.310208070361</v>
      </c>
      <c r="H19" s="448"/>
      <c r="I19" s="376"/>
      <c r="J19" s="376"/>
      <c r="K19" s="376"/>
    </row>
    <row r="20" spans="1:21" ht="14">
      <c r="A20" s="471"/>
      <c r="B20" s="472" t="s">
        <v>286</v>
      </c>
      <c r="C20" s="473"/>
      <c r="D20" s="474">
        <f>+D19/D17</f>
        <v>0.50446708079045888</v>
      </c>
      <c r="E20" s="438"/>
      <c r="F20" s="474">
        <f>+F19/F17</f>
        <v>0.423226492782386</v>
      </c>
      <c r="H20" s="448"/>
      <c r="I20" s="376"/>
      <c r="J20" s="376"/>
      <c r="K20" s="376"/>
    </row>
    <row r="21" spans="1:21" ht="14">
      <c r="A21" s="471"/>
      <c r="B21" s="472"/>
      <c r="C21" s="473"/>
      <c r="D21" s="474"/>
      <c r="E21" s="474"/>
      <c r="F21" s="474"/>
      <c r="G21" s="474"/>
      <c r="H21" s="448"/>
      <c r="I21" s="376"/>
      <c r="J21" s="376"/>
      <c r="K21" s="376"/>
    </row>
    <row r="22" spans="1:21" ht="15.5">
      <c r="A22" s="445" t="s">
        <v>287</v>
      </c>
      <c r="E22" s="475"/>
      <c r="F22" s="475"/>
      <c r="H22" s="57"/>
      <c r="I22" s="376"/>
      <c r="J22" s="376"/>
      <c r="K22" s="376"/>
    </row>
    <row r="23" spans="1:21" ht="13">
      <c r="E23" s="548"/>
      <c r="F23" s="548"/>
      <c r="G23" s="548"/>
      <c r="H23" s="376"/>
      <c r="I23" s="549"/>
      <c r="J23" s="549"/>
      <c r="K23" s="549"/>
      <c r="O23" s="548"/>
      <c r="P23" s="548"/>
      <c r="Q23" s="548"/>
    </row>
    <row r="24" spans="1:21" ht="13">
      <c r="E24" s="476" t="s">
        <v>288</v>
      </c>
      <c r="F24" s="476" t="s">
        <v>289</v>
      </c>
      <c r="G24" s="437"/>
      <c r="H24" s="376"/>
      <c r="I24" s="477"/>
      <c r="J24" s="477"/>
      <c r="K24" s="57"/>
      <c r="L24" s="476"/>
      <c r="O24" s="476"/>
      <c r="P24" s="476"/>
      <c r="Q24" s="437"/>
      <c r="R24" s="476"/>
    </row>
    <row r="25" spans="1:21" ht="13">
      <c r="E25" s="438" t="s">
        <v>87</v>
      </c>
      <c r="F25" s="438" t="s">
        <v>87</v>
      </c>
      <c r="G25" s="478" t="s">
        <v>71</v>
      </c>
      <c r="H25" s="376"/>
      <c r="I25" s="479" t="s">
        <v>70</v>
      </c>
      <c r="J25" s="479" t="s">
        <v>17</v>
      </c>
      <c r="K25" s="479" t="s">
        <v>16</v>
      </c>
      <c r="O25" s="438"/>
      <c r="P25" s="438"/>
      <c r="Q25" s="438"/>
      <c r="R25" s="438"/>
    </row>
    <row r="26" spans="1:21">
      <c r="B26" s="436" t="s">
        <v>290</v>
      </c>
      <c r="E26" s="480">
        <v>40184</v>
      </c>
      <c r="F26" s="480">
        <f>+I26+J26+K26</f>
        <v>22690</v>
      </c>
      <c r="G26" s="450">
        <f>+F26+E26</f>
        <v>62874</v>
      </c>
      <c r="H26" s="376"/>
      <c r="I26" s="63">
        <v>7952</v>
      </c>
      <c r="J26" s="63">
        <v>2889</v>
      </c>
      <c r="K26" s="63">
        <v>11849</v>
      </c>
      <c r="O26" s="480"/>
      <c r="P26" s="480"/>
      <c r="Q26" s="481"/>
    </row>
    <row r="27" spans="1:21">
      <c r="E27" s="480"/>
      <c r="F27" s="480"/>
      <c r="G27" s="450"/>
      <c r="H27" s="376"/>
      <c r="I27" s="63"/>
      <c r="J27" s="63"/>
      <c r="K27" s="63"/>
      <c r="O27" s="480"/>
      <c r="P27" s="480"/>
      <c r="Q27" s="481"/>
    </row>
    <row r="28" spans="1:21">
      <c r="B28" s="436" t="s">
        <v>310</v>
      </c>
      <c r="E28" s="480">
        <f>'Customer Counts - Enspire'!D29+'Customer Counts - Enspire'!F29</f>
        <v>0</v>
      </c>
      <c r="F28" s="480">
        <f>+I28+J28+K28</f>
        <v>23489</v>
      </c>
      <c r="G28" s="450">
        <f t="shared" ref="G28" si="2">+F28+E28</f>
        <v>23489</v>
      </c>
      <c r="H28" s="376"/>
      <c r="I28" s="63">
        <v>8162</v>
      </c>
      <c r="J28" s="63">
        <v>2959</v>
      </c>
      <c r="K28" s="63">
        <f>10348+2020</f>
        <v>12368</v>
      </c>
      <c r="O28" s="480"/>
      <c r="P28" s="480"/>
      <c r="Q28" s="481"/>
    </row>
    <row r="29" spans="1:21">
      <c r="H29" s="376"/>
      <c r="I29" s="376"/>
      <c r="J29" s="376"/>
      <c r="K29" s="376"/>
    </row>
    <row r="30" spans="1:21" ht="13">
      <c r="B30" s="482" t="s">
        <v>291</v>
      </c>
      <c r="C30" s="482"/>
      <c r="D30" s="482"/>
      <c r="E30" s="483">
        <f>+E28/E26-1</f>
        <v>-1</v>
      </c>
      <c r="F30" s="483">
        <f>+F28/F26-1</f>
        <v>3.5213750550903589E-2</v>
      </c>
      <c r="G30" s="483">
        <f>+G28/G26-1</f>
        <v>-0.62641155326526066</v>
      </c>
      <c r="H30" s="376"/>
      <c r="I30" s="376"/>
      <c r="J30" s="376"/>
      <c r="K30" s="376"/>
    </row>
    <row r="31" spans="1:21">
      <c r="H31" s="376"/>
      <c r="I31" s="376"/>
      <c r="J31" s="376"/>
      <c r="K31" s="376"/>
    </row>
    <row r="32" spans="1:21" ht="15">
      <c r="A32" s="484" t="s">
        <v>292</v>
      </c>
    </row>
    <row r="33" spans="1:13" ht="15">
      <c r="A33" s="484"/>
    </row>
    <row r="34" spans="1:13" ht="15.5">
      <c r="A34" s="485"/>
    </row>
    <row r="35" spans="1:13" ht="15.5">
      <c r="A35" s="485" t="s">
        <v>293</v>
      </c>
    </row>
    <row r="36" spans="1:13" ht="15.5">
      <c r="A36" s="485"/>
    </row>
    <row r="37" spans="1:13" ht="96" customHeight="1">
      <c r="A37" s="546" t="s">
        <v>312</v>
      </c>
      <c r="B37" s="547"/>
      <c r="C37" s="547"/>
      <c r="D37" s="547"/>
      <c r="E37" s="547"/>
      <c r="F37" s="547"/>
      <c r="G37" s="547"/>
      <c r="H37" s="547"/>
      <c r="I37" s="547"/>
      <c r="J37" s="547"/>
      <c r="K37" s="547"/>
      <c r="L37" s="547"/>
      <c r="M37" s="547"/>
    </row>
    <row r="38" spans="1:13" ht="12.75" customHeight="1">
      <c r="A38" s="486"/>
    </row>
    <row r="39" spans="1:13" ht="15.5">
      <c r="A39" s="486"/>
    </row>
    <row r="40" spans="1:13" ht="66" customHeight="1">
      <c r="A40" s="546" t="s">
        <v>294</v>
      </c>
      <c r="B40" s="547"/>
      <c r="C40" s="547"/>
      <c r="D40" s="547"/>
      <c r="E40" s="547"/>
      <c r="F40" s="547"/>
      <c r="G40" s="547"/>
      <c r="H40" s="547"/>
      <c r="I40" s="547"/>
      <c r="J40" s="547"/>
      <c r="K40" s="547"/>
      <c r="L40" s="547"/>
      <c r="M40" s="547"/>
    </row>
    <row r="41" spans="1:13" ht="15.5">
      <c r="A41" s="487"/>
      <c r="B41" s="488"/>
      <c r="C41" s="488"/>
      <c r="D41" s="488"/>
      <c r="E41" s="488"/>
      <c r="F41" s="488"/>
      <c r="G41" s="488"/>
      <c r="H41" s="488"/>
      <c r="I41" s="488"/>
      <c r="J41" s="488"/>
      <c r="K41" s="488"/>
      <c r="L41" s="488"/>
      <c r="M41" s="488"/>
    </row>
    <row r="43" spans="1:13" ht="53.25" customHeight="1">
      <c r="A43" s="546" t="s">
        <v>295</v>
      </c>
      <c r="B43" s="547"/>
      <c r="C43" s="547"/>
      <c r="D43" s="547"/>
      <c r="E43" s="547"/>
      <c r="F43" s="547"/>
      <c r="G43" s="547"/>
      <c r="H43" s="547"/>
      <c r="I43" s="547"/>
      <c r="J43" s="547"/>
      <c r="K43" s="547"/>
      <c r="L43" s="547"/>
      <c r="M43" s="547"/>
    </row>
    <row r="44" spans="1:13" ht="12.75" customHeight="1">
      <c r="A44" s="485"/>
    </row>
    <row r="45" spans="1:13" ht="12.75" customHeight="1"/>
    <row r="46" spans="1:13" ht="12.75" customHeight="1"/>
  </sheetData>
  <mergeCells count="6">
    <mergeCell ref="A43:M43"/>
    <mergeCell ref="E23:G23"/>
    <mergeCell ref="I23:K23"/>
    <mergeCell ref="O23:Q23"/>
    <mergeCell ref="A37:M37"/>
    <mergeCell ref="A40:M4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D629A-1F54-42BC-A849-1841485C1AC1}">
  <sheetPr>
    <tabColor rgb="FFFFFF00"/>
  </sheetPr>
  <dimension ref="A1:U49"/>
  <sheetViews>
    <sheetView workbookViewId="0">
      <selection activeCell="F34" sqref="F34"/>
    </sheetView>
  </sheetViews>
  <sheetFormatPr defaultRowHeight="12.5"/>
  <cols>
    <col min="1" max="1" width="9.1796875" style="436"/>
    <col min="2" max="2" width="15.453125" style="436" customWidth="1"/>
    <col min="3" max="3" width="19.453125" style="436" customWidth="1"/>
    <col min="4" max="6" width="13" style="436" customWidth="1"/>
    <col min="7" max="7" width="10.26953125" style="436" bestFit="1" customWidth="1"/>
    <col min="8" max="8" width="11.1796875" style="436" bestFit="1" customWidth="1"/>
    <col min="9" max="9" width="10.26953125" style="436" bestFit="1" customWidth="1"/>
    <col min="10" max="10" width="11.453125" style="436" bestFit="1" customWidth="1"/>
    <col min="11" max="11" width="12.7265625" style="436" bestFit="1" customWidth="1"/>
    <col min="12" max="12" width="9.1796875" style="436"/>
    <col min="13" max="13" width="11" style="436" bestFit="1" customWidth="1"/>
    <col min="14" max="14" width="9.1796875" style="436"/>
    <col min="15" max="15" width="5" style="436" customWidth="1"/>
    <col min="16" max="16" width="11.1796875" style="436" bestFit="1" customWidth="1"/>
    <col min="17" max="17" width="11" style="480" bestFit="1" customWidth="1"/>
    <col min="18" max="18" width="11" style="480" customWidth="1"/>
    <col min="19" max="19" width="12" style="480" bestFit="1" customWidth="1"/>
    <col min="20" max="20" width="2.54296875" style="480" customWidth="1"/>
    <col min="21" max="21" width="10.26953125" style="436" bestFit="1" customWidth="1"/>
    <col min="22" max="22" width="12.453125" style="436" bestFit="1" customWidth="1"/>
    <col min="23" max="23" width="12.453125" style="436" customWidth="1"/>
    <col min="24" max="24" width="12.26953125" style="436" bestFit="1" customWidth="1"/>
    <col min="25" max="262" width="9.1796875" style="436"/>
    <col min="263" max="265" width="10.26953125" style="436" bestFit="1" customWidth="1"/>
    <col min="266" max="266" width="11.453125" style="436" bestFit="1" customWidth="1"/>
    <col min="267" max="267" width="3" style="436" customWidth="1"/>
    <col min="268" max="268" width="9.1796875" style="436"/>
    <col min="269" max="269" width="11" style="436" bestFit="1" customWidth="1"/>
    <col min="270" max="270" width="9.1796875" style="436"/>
    <col min="271" max="271" width="5" style="436" customWidth="1"/>
    <col min="272" max="272" width="9.1796875" style="436"/>
    <col min="273" max="273" width="11" style="436" bestFit="1" customWidth="1"/>
    <col min="274" max="274" width="11" style="436" customWidth="1"/>
    <col min="275" max="275" width="12" style="436" bestFit="1" customWidth="1"/>
    <col min="276" max="276" width="2.54296875" style="436" customWidth="1"/>
    <col min="277" max="277" width="10.26953125" style="436" bestFit="1" customWidth="1"/>
    <col min="278" max="278" width="12.453125" style="436" bestFit="1" customWidth="1"/>
    <col min="279" max="279" width="12.453125" style="436" customWidth="1"/>
    <col min="280" max="280" width="12.26953125" style="436" bestFit="1" customWidth="1"/>
    <col min="281" max="518" width="9.1796875" style="436"/>
    <col min="519" max="521" width="10.26953125" style="436" bestFit="1" customWidth="1"/>
    <col min="522" max="522" width="11.453125" style="436" bestFit="1" customWidth="1"/>
    <col min="523" max="523" width="3" style="436" customWidth="1"/>
    <col min="524" max="524" width="9.1796875" style="436"/>
    <col min="525" max="525" width="11" style="436" bestFit="1" customWidth="1"/>
    <col min="526" max="526" width="9.1796875" style="436"/>
    <col min="527" max="527" width="5" style="436" customWidth="1"/>
    <col min="528" max="528" width="9.1796875" style="436"/>
    <col min="529" max="529" width="11" style="436" bestFit="1" customWidth="1"/>
    <col min="530" max="530" width="11" style="436" customWidth="1"/>
    <col min="531" max="531" width="12" style="436" bestFit="1" customWidth="1"/>
    <col min="532" max="532" width="2.54296875" style="436" customWidth="1"/>
    <col min="533" max="533" width="10.26953125" style="436" bestFit="1" customWidth="1"/>
    <col min="534" max="534" width="12.453125" style="436" bestFit="1" customWidth="1"/>
    <col min="535" max="535" width="12.453125" style="436" customWidth="1"/>
    <col min="536" max="536" width="12.26953125" style="436" bestFit="1" customWidth="1"/>
    <col min="537" max="774" width="9.1796875" style="436"/>
    <col min="775" max="777" width="10.26953125" style="436" bestFit="1" customWidth="1"/>
    <col min="778" max="778" width="11.453125" style="436" bestFit="1" customWidth="1"/>
    <col min="779" max="779" width="3" style="436" customWidth="1"/>
    <col min="780" max="780" width="9.1796875" style="436"/>
    <col min="781" max="781" width="11" style="436" bestFit="1" customWidth="1"/>
    <col min="782" max="782" width="9.1796875" style="436"/>
    <col min="783" max="783" width="5" style="436" customWidth="1"/>
    <col min="784" max="784" width="9.1796875" style="436"/>
    <col min="785" max="785" width="11" style="436" bestFit="1" customWidth="1"/>
    <col min="786" max="786" width="11" style="436" customWidth="1"/>
    <col min="787" max="787" width="12" style="436" bestFit="1" customWidth="1"/>
    <col min="788" max="788" width="2.54296875" style="436" customWidth="1"/>
    <col min="789" max="789" width="10.26953125" style="436" bestFit="1" customWidth="1"/>
    <col min="790" max="790" width="12.453125" style="436" bestFit="1" customWidth="1"/>
    <col min="791" max="791" width="12.453125" style="436" customWidth="1"/>
    <col min="792" max="792" width="12.26953125" style="436" bestFit="1" customWidth="1"/>
    <col min="793" max="1030" width="9.1796875" style="436"/>
    <col min="1031" max="1033" width="10.26953125" style="436" bestFit="1" customWidth="1"/>
    <col min="1034" max="1034" width="11.453125" style="436" bestFit="1" customWidth="1"/>
    <col min="1035" max="1035" width="3" style="436" customWidth="1"/>
    <col min="1036" max="1036" width="9.1796875" style="436"/>
    <col min="1037" max="1037" width="11" style="436" bestFit="1" customWidth="1"/>
    <col min="1038" max="1038" width="9.1796875" style="436"/>
    <col min="1039" max="1039" width="5" style="436" customWidth="1"/>
    <col min="1040" max="1040" width="9.1796875" style="436"/>
    <col min="1041" max="1041" width="11" style="436" bestFit="1" customWidth="1"/>
    <col min="1042" max="1042" width="11" style="436" customWidth="1"/>
    <col min="1043" max="1043" width="12" style="436" bestFit="1" customWidth="1"/>
    <col min="1044" max="1044" width="2.54296875" style="436" customWidth="1"/>
    <col min="1045" max="1045" width="10.26953125" style="436" bestFit="1" customWidth="1"/>
    <col min="1046" max="1046" width="12.453125" style="436" bestFit="1" customWidth="1"/>
    <col min="1047" max="1047" width="12.453125" style="436" customWidth="1"/>
    <col min="1048" max="1048" width="12.26953125" style="436" bestFit="1" customWidth="1"/>
    <col min="1049" max="1286" width="9.1796875" style="436"/>
    <col min="1287" max="1289" width="10.26953125" style="436" bestFit="1" customWidth="1"/>
    <col min="1290" max="1290" width="11.453125" style="436" bestFit="1" customWidth="1"/>
    <col min="1291" max="1291" width="3" style="436" customWidth="1"/>
    <col min="1292" max="1292" width="9.1796875" style="436"/>
    <col min="1293" max="1293" width="11" style="436" bestFit="1" customWidth="1"/>
    <col min="1294" max="1294" width="9.1796875" style="436"/>
    <col min="1295" max="1295" width="5" style="436" customWidth="1"/>
    <col min="1296" max="1296" width="9.1796875" style="436"/>
    <col min="1297" max="1297" width="11" style="436" bestFit="1" customWidth="1"/>
    <col min="1298" max="1298" width="11" style="436" customWidth="1"/>
    <col min="1299" max="1299" width="12" style="436" bestFit="1" customWidth="1"/>
    <col min="1300" max="1300" width="2.54296875" style="436" customWidth="1"/>
    <col min="1301" max="1301" width="10.26953125" style="436" bestFit="1" customWidth="1"/>
    <col min="1302" max="1302" width="12.453125" style="436" bestFit="1" customWidth="1"/>
    <col min="1303" max="1303" width="12.453125" style="436" customWidth="1"/>
    <col min="1304" max="1304" width="12.26953125" style="436" bestFit="1" customWidth="1"/>
    <col min="1305" max="1542" width="9.1796875" style="436"/>
    <col min="1543" max="1545" width="10.26953125" style="436" bestFit="1" customWidth="1"/>
    <col min="1546" max="1546" width="11.453125" style="436" bestFit="1" customWidth="1"/>
    <col min="1547" max="1547" width="3" style="436" customWidth="1"/>
    <col min="1548" max="1548" width="9.1796875" style="436"/>
    <col min="1549" max="1549" width="11" style="436" bestFit="1" customWidth="1"/>
    <col min="1550" max="1550" width="9.1796875" style="436"/>
    <col min="1551" max="1551" width="5" style="436" customWidth="1"/>
    <col min="1552" max="1552" width="9.1796875" style="436"/>
    <col min="1553" max="1553" width="11" style="436" bestFit="1" customWidth="1"/>
    <col min="1554" max="1554" width="11" style="436" customWidth="1"/>
    <col min="1555" max="1555" width="12" style="436" bestFit="1" customWidth="1"/>
    <col min="1556" max="1556" width="2.54296875" style="436" customWidth="1"/>
    <col min="1557" max="1557" width="10.26953125" style="436" bestFit="1" customWidth="1"/>
    <col min="1558" max="1558" width="12.453125" style="436" bestFit="1" customWidth="1"/>
    <col min="1559" max="1559" width="12.453125" style="436" customWidth="1"/>
    <col min="1560" max="1560" width="12.26953125" style="436" bestFit="1" customWidth="1"/>
    <col min="1561" max="1798" width="9.1796875" style="436"/>
    <col min="1799" max="1801" width="10.26953125" style="436" bestFit="1" customWidth="1"/>
    <col min="1802" max="1802" width="11.453125" style="436" bestFit="1" customWidth="1"/>
    <col min="1803" max="1803" width="3" style="436" customWidth="1"/>
    <col min="1804" max="1804" width="9.1796875" style="436"/>
    <col min="1805" max="1805" width="11" style="436" bestFit="1" customWidth="1"/>
    <col min="1806" max="1806" width="9.1796875" style="436"/>
    <col min="1807" max="1807" width="5" style="436" customWidth="1"/>
    <col min="1808" max="1808" width="9.1796875" style="436"/>
    <col min="1809" max="1809" width="11" style="436" bestFit="1" customWidth="1"/>
    <col min="1810" max="1810" width="11" style="436" customWidth="1"/>
    <col min="1811" max="1811" width="12" style="436" bestFit="1" customWidth="1"/>
    <col min="1812" max="1812" width="2.54296875" style="436" customWidth="1"/>
    <col min="1813" max="1813" width="10.26953125" style="436" bestFit="1" customWidth="1"/>
    <col min="1814" max="1814" width="12.453125" style="436" bestFit="1" customWidth="1"/>
    <col min="1815" max="1815" width="12.453125" style="436" customWidth="1"/>
    <col min="1816" max="1816" width="12.26953125" style="436" bestFit="1" customWidth="1"/>
    <col min="1817" max="2054" width="9.1796875" style="436"/>
    <col min="2055" max="2057" width="10.26953125" style="436" bestFit="1" customWidth="1"/>
    <col min="2058" max="2058" width="11.453125" style="436" bestFit="1" customWidth="1"/>
    <col min="2059" max="2059" width="3" style="436" customWidth="1"/>
    <col min="2060" max="2060" width="9.1796875" style="436"/>
    <col min="2061" max="2061" width="11" style="436" bestFit="1" customWidth="1"/>
    <col min="2062" max="2062" width="9.1796875" style="436"/>
    <col min="2063" max="2063" width="5" style="436" customWidth="1"/>
    <col min="2064" max="2064" width="9.1796875" style="436"/>
    <col min="2065" max="2065" width="11" style="436" bestFit="1" customWidth="1"/>
    <col min="2066" max="2066" width="11" style="436" customWidth="1"/>
    <col min="2067" max="2067" width="12" style="436" bestFit="1" customWidth="1"/>
    <col min="2068" max="2068" width="2.54296875" style="436" customWidth="1"/>
    <col min="2069" max="2069" width="10.26953125" style="436" bestFit="1" customWidth="1"/>
    <col min="2070" max="2070" width="12.453125" style="436" bestFit="1" customWidth="1"/>
    <col min="2071" max="2071" width="12.453125" style="436" customWidth="1"/>
    <col min="2072" max="2072" width="12.26953125" style="436" bestFit="1" customWidth="1"/>
    <col min="2073" max="2310" width="9.1796875" style="436"/>
    <col min="2311" max="2313" width="10.26953125" style="436" bestFit="1" customWidth="1"/>
    <col min="2314" max="2314" width="11.453125" style="436" bestFit="1" customWidth="1"/>
    <col min="2315" max="2315" width="3" style="436" customWidth="1"/>
    <col min="2316" max="2316" width="9.1796875" style="436"/>
    <col min="2317" max="2317" width="11" style="436" bestFit="1" customWidth="1"/>
    <col min="2318" max="2318" width="9.1796875" style="436"/>
    <col min="2319" max="2319" width="5" style="436" customWidth="1"/>
    <col min="2320" max="2320" width="9.1796875" style="436"/>
    <col min="2321" max="2321" width="11" style="436" bestFit="1" customWidth="1"/>
    <col min="2322" max="2322" width="11" style="436" customWidth="1"/>
    <col min="2323" max="2323" width="12" style="436" bestFit="1" customWidth="1"/>
    <col min="2324" max="2324" width="2.54296875" style="436" customWidth="1"/>
    <col min="2325" max="2325" width="10.26953125" style="436" bestFit="1" customWidth="1"/>
    <col min="2326" max="2326" width="12.453125" style="436" bestFit="1" customWidth="1"/>
    <col min="2327" max="2327" width="12.453125" style="436" customWidth="1"/>
    <col min="2328" max="2328" width="12.26953125" style="436" bestFit="1" customWidth="1"/>
    <col min="2329" max="2566" width="9.1796875" style="436"/>
    <col min="2567" max="2569" width="10.26953125" style="436" bestFit="1" customWidth="1"/>
    <col min="2570" max="2570" width="11.453125" style="436" bestFit="1" customWidth="1"/>
    <col min="2571" max="2571" width="3" style="436" customWidth="1"/>
    <col min="2572" max="2572" width="9.1796875" style="436"/>
    <col min="2573" max="2573" width="11" style="436" bestFit="1" customWidth="1"/>
    <col min="2574" max="2574" width="9.1796875" style="436"/>
    <col min="2575" max="2575" width="5" style="436" customWidth="1"/>
    <col min="2576" max="2576" width="9.1796875" style="436"/>
    <col min="2577" max="2577" width="11" style="436" bestFit="1" customWidth="1"/>
    <col min="2578" max="2578" width="11" style="436" customWidth="1"/>
    <col min="2579" max="2579" width="12" style="436" bestFit="1" customWidth="1"/>
    <col min="2580" max="2580" width="2.54296875" style="436" customWidth="1"/>
    <col min="2581" max="2581" width="10.26953125" style="436" bestFit="1" customWidth="1"/>
    <col min="2582" max="2582" width="12.453125" style="436" bestFit="1" customWidth="1"/>
    <col min="2583" max="2583" width="12.453125" style="436" customWidth="1"/>
    <col min="2584" max="2584" width="12.26953125" style="436" bestFit="1" customWidth="1"/>
    <col min="2585" max="2822" width="9.1796875" style="436"/>
    <col min="2823" max="2825" width="10.26953125" style="436" bestFit="1" customWidth="1"/>
    <col min="2826" max="2826" width="11.453125" style="436" bestFit="1" customWidth="1"/>
    <col min="2827" max="2827" width="3" style="436" customWidth="1"/>
    <col min="2828" max="2828" width="9.1796875" style="436"/>
    <col min="2829" max="2829" width="11" style="436" bestFit="1" customWidth="1"/>
    <col min="2830" max="2830" width="9.1796875" style="436"/>
    <col min="2831" max="2831" width="5" style="436" customWidth="1"/>
    <col min="2832" max="2832" width="9.1796875" style="436"/>
    <col min="2833" max="2833" width="11" style="436" bestFit="1" customWidth="1"/>
    <col min="2834" max="2834" width="11" style="436" customWidth="1"/>
    <col min="2835" max="2835" width="12" style="436" bestFit="1" customWidth="1"/>
    <col min="2836" max="2836" width="2.54296875" style="436" customWidth="1"/>
    <col min="2837" max="2837" width="10.26953125" style="436" bestFit="1" customWidth="1"/>
    <col min="2838" max="2838" width="12.453125" style="436" bestFit="1" customWidth="1"/>
    <col min="2839" max="2839" width="12.453125" style="436" customWidth="1"/>
    <col min="2840" max="2840" width="12.26953125" style="436" bestFit="1" customWidth="1"/>
    <col min="2841" max="3078" width="9.1796875" style="436"/>
    <col min="3079" max="3081" width="10.26953125" style="436" bestFit="1" customWidth="1"/>
    <col min="3082" max="3082" width="11.453125" style="436" bestFit="1" customWidth="1"/>
    <col min="3083" max="3083" width="3" style="436" customWidth="1"/>
    <col min="3084" max="3084" width="9.1796875" style="436"/>
    <col min="3085" max="3085" width="11" style="436" bestFit="1" customWidth="1"/>
    <col min="3086" max="3086" width="9.1796875" style="436"/>
    <col min="3087" max="3087" width="5" style="436" customWidth="1"/>
    <col min="3088" max="3088" width="9.1796875" style="436"/>
    <col min="3089" max="3089" width="11" style="436" bestFit="1" customWidth="1"/>
    <col min="3090" max="3090" width="11" style="436" customWidth="1"/>
    <col min="3091" max="3091" width="12" style="436" bestFit="1" customWidth="1"/>
    <col min="3092" max="3092" width="2.54296875" style="436" customWidth="1"/>
    <col min="3093" max="3093" width="10.26953125" style="436" bestFit="1" customWidth="1"/>
    <col min="3094" max="3094" width="12.453125" style="436" bestFit="1" customWidth="1"/>
    <col min="3095" max="3095" width="12.453125" style="436" customWidth="1"/>
    <col min="3096" max="3096" width="12.26953125" style="436" bestFit="1" customWidth="1"/>
    <col min="3097" max="3334" width="9.1796875" style="436"/>
    <col min="3335" max="3337" width="10.26953125" style="436" bestFit="1" customWidth="1"/>
    <col min="3338" max="3338" width="11.453125" style="436" bestFit="1" customWidth="1"/>
    <col min="3339" max="3339" width="3" style="436" customWidth="1"/>
    <col min="3340" max="3340" width="9.1796875" style="436"/>
    <col min="3341" max="3341" width="11" style="436" bestFit="1" customWidth="1"/>
    <col min="3342" max="3342" width="9.1796875" style="436"/>
    <col min="3343" max="3343" width="5" style="436" customWidth="1"/>
    <col min="3344" max="3344" width="9.1796875" style="436"/>
    <col min="3345" max="3345" width="11" style="436" bestFit="1" customWidth="1"/>
    <col min="3346" max="3346" width="11" style="436" customWidth="1"/>
    <col min="3347" max="3347" width="12" style="436" bestFit="1" customWidth="1"/>
    <col min="3348" max="3348" width="2.54296875" style="436" customWidth="1"/>
    <col min="3349" max="3349" width="10.26953125" style="436" bestFit="1" customWidth="1"/>
    <col min="3350" max="3350" width="12.453125" style="436" bestFit="1" customWidth="1"/>
    <col min="3351" max="3351" width="12.453125" style="436" customWidth="1"/>
    <col min="3352" max="3352" width="12.26953125" style="436" bestFit="1" customWidth="1"/>
    <col min="3353" max="3590" width="9.1796875" style="436"/>
    <col min="3591" max="3593" width="10.26953125" style="436" bestFit="1" customWidth="1"/>
    <col min="3594" max="3594" width="11.453125" style="436" bestFit="1" customWidth="1"/>
    <col min="3595" max="3595" width="3" style="436" customWidth="1"/>
    <col min="3596" max="3596" width="9.1796875" style="436"/>
    <col min="3597" max="3597" width="11" style="436" bestFit="1" customWidth="1"/>
    <col min="3598" max="3598" width="9.1796875" style="436"/>
    <col min="3599" max="3599" width="5" style="436" customWidth="1"/>
    <col min="3600" max="3600" width="9.1796875" style="436"/>
    <col min="3601" max="3601" width="11" style="436" bestFit="1" customWidth="1"/>
    <col min="3602" max="3602" width="11" style="436" customWidth="1"/>
    <col min="3603" max="3603" width="12" style="436" bestFit="1" customWidth="1"/>
    <col min="3604" max="3604" width="2.54296875" style="436" customWidth="1"/>
    <col min="3605" max="3605" width="10.26953125" style="436" bestFit="1" customWidth="1"/>
    <col min="3606" max="3606" width="12.453125" style="436" bestFit="1" customWidth="1"/>
    <col min="3607" max="3607" width="12.453125" style="436" customWidth="1"/>
    <col min="3608" max="3608" width="12.26953125" style="436" bestFit="1" customWidth="1"/>
    <col min="3609" max="3846" width="9.1796875" style="436"/>
    <col min="3847" max="3849" width="10.26953125" style="436" bestFit="1" customWidth="1"/>
    <col min="3850" max="3850" width="11.453125" style="436" bestFit="1" customWidth="1"/>
    <col min="3851" max="3851" width="3" style="436" customWidth="1"/>
    <col min="3852" max="3852" width="9.1796875" style="436"/>
    <col min="3853" max="3853" width="11" style="436" bestFit="1" customWidth="1"/>
    <col min="3854" max="3854" width="9.1796875" style="436"/>
    <col min="3855" max="3855" width="5" style="436" customWidth="1"/>
    <col min="3856" max="3856" width="9.1796875" style="436"/>
    <col min="3857" max="3857" width="11" style="436" bestFit="1" customWidth="1"/>
    <col min="3858" max="3858" width="11" style="436" customWidth="1"/>
    <col min="3859" max="3859" width="12" style="436" bestFit="1" customWidth="1"/>
    <col min="3860" max="3860" width="2.54296875" style="436" customWidth="1"/>
    <col min="3861" max="3861" width="10.26953125" style="436" bestFit="1" customWidth="1"/>
    <col min="3862" max="3862" width="12.453125" style="436" bestFit="1" customWidth="1"/>
    <col min="3863" max="3863" width="12.453125" style="436" customWidth="1"/>
    <col min="3864" max="3864" width="12.26953125" style="436" bestFit="1" customWidth="1"/>
    <col min="3865" max="4102" width="9.1796875" style="436"/>
    <col min="4103" max="4105" width="10.26953125" style="436" bestFit="1" customWidth="1"/>
    <col min="4106" max="4106" width="11.453125" style="436" bestFit="1" customWidth="1"/>
    <col min="4107" max="4107" width="3" style="436" customWidth="1"/>
    <col min="4108" max="4108" width="9.1796875" style="436"/>
    <col min="4109" max="4109" width="11" style="436" bestFit="1" customWidth="1"/>
    <col min="4110" max="4110" width="9.1796875" style="436"/>
    <col min="4111" max="4111" width="5" style="436" customWidth="1"/>
    <col min="4112" max="4112" width="9.1796875" style="436"/>
    <col min="4113" max="4113" width="11" style="436" bestFit="1" customWidth="1"/>
    <col min="4114" max="4114" width="11" style="436" customWidth="1"/>
    <col min="4115" max="4115" width="12" style="436" bestFit="1" customWidth="1"/>
    <col min="4116" max="4116" width="2.54296875" style="436" customWidth="1"/>
    <col min="4117" max="4117" width="10.26953125" style="436" bestFit="1" customWidth="1"/>
    <col min="4118" max="4118" width="12.453125" style="436" bestFit="1" customWidth="1"/>
    <col min="4119" max="4119" width="12.453125" style="436" customWidth="1"/>
    <col min="4120" max="4120" width="12.26953125" style="436" bestFit="1" customWidth="1"/>
    <col min="4121" max="4358" width="9.1796875" style="436"/>
    <col min="4359" max="4361" width="10.26953125" style="436" bestFit="1" customWidth="1"/>
    <col min="4362" max="4362" width="11.453125" style="436" bestFit="1" customWidth="1"/>
    <col min="4363" max="4363" width="3" style="436" customWidth="1"/>
    <col min="4364" max="4364" width="9.1796875" style="436"/>
    <col min="4365" max="4365" width="11" style="436" bestFit="1" customWidth="1"/>
    <col min="4366" max="4366" width="9.1796875" style="436"/>
    <col min="4367" max="4367" width="5" style="436" customWidth="1"/>
    <col min="4368" max="4368" width="9.1796875" style="436"/>
    <col min="4369" max="4369" width="11" style="436" bestFit="1" customWidth="1"/>
    <col min="4370" max="4370" width="11" style="436" customWidth="1"/>
    <col min="4371" max="4371" width="12" style="436" bestFit="1" customWidth="1"/>
    <col min="4372" max="4372" width="2.54296875" style="436" customWidth="1"/>
    <col min="4373" max="4373" width="10.26953125" style="436" bestFit="1" customWidth="1"/>
    <col min="4374" max="4374" width="12.453125" style="436" bestFit="1" customWidth="1"/>
    <col min="4375" max="4375" width="12.453125" style="436" customWidth="1"/>
    <col min="4376" max="4376" width="12.26953125" style="436" bestFit="1" customWidth="1"/>
    <col min="4377" max="4614" width="9.1796875" style="436"/>
    <col min="4615" max="4617" width="10.26953125" style="436" bestFit="1" customWidth="1"/>
    <col min="4618" max="4618" width="11.453125" style="436" bestFit="1" customWidth="1"/>
    <col min="4619" max="4619" width="3" style="436" customWidth="1"/>
    <col min="4620" max="4620" width="9.1796875" style="436"/>
    <col min="4621" max="4621" width="11" style="436" bestFit="1" customWidth="1"/>
    <col min="4622" max="4622" width="9.1796875" style="436"/>
    <col min="4623" max="4623" width="5" style="436" customWidth="1"/>
    <col min="4624" max="4624" width="9.1796875" style="436"/>
    <col min="4625" max="4625" width="11" style="436" bestFit="1" customWidth="1"/>
    <col min="4626" max="4626" width="11" style="436" customWidth="1"/>
    <col min="4627" max="4627" width="12" style="436" bestFit="1" customWidth="1"/>
    <col min="4628" max="4628" width="2.54296875" style="436" customWidth="1"/>
    <col min="4629" max="4629" width="10.26953125" style="436" bestFit="1" customWidth="1"/>
    <col min="4630" max="4630" width="12.453125" style="436" bestFit="1" customWidth="1"/>
    <col min="4631" max="4631" width="12.453125" style="436" customWidth="1"/>
    <col min="4632" max="4632" width="12.26953125" style="436" bestFit="1" customWidth="1"/>
    <col min="4633" max="4870" width="9.1796875" style="436"/>
    <col min="4871" max="4873" width="10.26953125" style="436" bestFit="1" customWidth="1"/>
    <col min="4874" max="4874" width="11.453125" style="436" bestFit="1" customWidth="1"/>
    <col min="4875" max="4875" width="3" style="436" customWidth="1"/>
    <col min="4876" max="4876" width="9.1796875" style="436"/>
    <col min="4877" max="4877" width="11" style="436" bestFit="1" customWidth="1"/>
    <col min="4878" max="4878" width="9.1796875" style="436"/>
    <col min="4879" max="4879" width="5" style="436" customWidth="1"/>
    <col min="4880" max="4880" width="9.1796875" style="436"/>
    <col min="4881" max="4881" width="11" style="436" bestFit="1" customWidth="1"/>
    <col min="4882" max="4882" width="11" style="436" customWidth="1"/>
    <col min="4883" max="4883" width="12" style="436" bestFit="1" customWidth="1"/>
    <col min="4884" max="4884" width="2.54296875" style="436" customWidth="1"/>
    <col min="4885" max="4885" width="10.26953125" style="436" bestFit="1" customWidth="1"/>
    <col min="4886" max="4886" width="12.453125" style="436" bestFit="1" customWidth="1"/>
    <col min="4887" max="4887" width="12.453125" style="436" customWidth="1"/>
    <col min="4888" max="4888" width="12.26953125" style="436" bestFit="1" customWidth="1"/>
    <col min="4889" max="5126" width="9.1796875" style="436"/>
    <col min="5127" max="5129" width="10.26953125" style="436" bestFit="1" customWidth="1"/>
    <col min="5130" max="5130" width="11.453125" style="436" bestFit="1" customWidth="1"/>
    <col min="5131" max="5131" width="3" style="436" customWidth="1"/>
    <col min="5132" max="5132" width="9.1796875" style="436"/>
    <col min="5133" max="5133" width="11" style="436" bestFit="1" customWidth="1"/>
    <col min="5134" max="5134" width="9.1796875" style="436"/>
    <col min="5135" max="5135" width="5" style="436" customWidth="1"/>
    <col min="5136" max="5136" width="9.1796875" style="436"/>
    <col min="5137" max="5137" width="11" style="436" bestFit="1" customWidth="1"/>
    <col min="5138" max="5138" width="11" style="436" customWidth="1"/>
    <col min="5139" max="5139" width="12" style="436" bestFit="1" customWidth="1"/>
    <col min="5140" max="5140" width="2.54296875" style="436" customWidth="1"/>
    <col min="5141" max="5141" width="10.26953125" style="436" bestFit="1" customWidth="1"/>
    <col min="5142" max="5142" width="12.453125" style="436" bestFit="1" customWidth="1"/>
    <col min="5143" max="5143" width="12.453125" style="436" customWidth="1"/>
    <col min="5144" max="5144" width="12.26953125" style="436" bestFit="1" customWidth="1"/>
    <col min="5145" max="5382" width="9.1796875" style="436"/>
    <col min="5383" max="5385" width="10.26953125" style="436" bestFit="1" customWidth="1"/>
    <col min="5386" max="5386" width="11.453125" style="436" bestFit="1" customWidth="1"/>
    <col min="5387" max="5387" width="3" style="436" customWidth="1"/>
    <col min="5388" max="5388" width="9.1796875" style="436"/>
    <col min="5389" max="5389" width="11" style="436" bestFit="1" customWidth="1"/>
    <col min="5390" max="5390" width="9.1796875" style="436"/>
    <col min="5391" max="5391" width="5" style="436" customWidth="1"/>
    <col min="5392" max="5392" width="9.1796875" style="436"/>
    <col min="5393" max="5393" width="11" style="436" bestFit="1" customWidth="1"/>
    <col min="5394" max="5394" width="11" style="436" customWidth="1"/>
    <col min="5395" max="5395" width="12" style="436" bestFit="1" customWidth="1"/>
    <col min="5396" max="5396" width="2.54296875" style="436" customWidth="1"/>
    <col min="5397" max="5397" width="10.26953125" style="436" bestFit="1" customWidth="1"/>
    <col min="5398" max="5398" width="12.453125" style="436" bestFit="1" customWidth="1"/>
    <col min="5399" max="5399" width="12.453125" style="436" customWidth="1"/>
    <col min="5400" max="5400" width="12.26953125" style="436" bestFit="1" customWidth="1"/>
    <col min="5401" max="5638" width="9.1796875" style="436"/>
    <col min="5639" max="5641" width="10.26953125" style="436" bestFit="1" customWidth="1"/>
    <col min="5642" max="5642" width="11.453125" style="436" bestFit="1" customWidth="1"/>
    <col min="5643" max="5643" width="3" style="436" customWidth="1"/>
    <col min="5644" max="5644" width="9.1796875" style="436"/>
    <col min="5645" max="5645" width="11" style="436" bestFit="1" customWidth="1"/>
    <col min="5646" max="5646" width="9.1796875" style="436"/>
    <col min="5647" max="5647" width="5" style="436" customWidth="1"/>
    <col min="5648" max="5648" width="9.1796875" style="436"/>
    <col min="5649" max="5649" width="11" style="436" bestFit="1" customWidth="1"/>
    <col min="5650" max="5650" width="11" style="436" customWidth="1"/>
    <col min="5651" max="5651" width="12" style="436" bestFit="1" customWidth="1"/>
    <col min="5652" max="5652" width="2.54296875" style="436" customWidth="1"/>
    <col min="5653" max="5653" width="10.26953125" style="436" bestFit="1" customWidth="1"/>
    <col min="5654" max="5654" width="12.453125" style="436" bestFit="1" customWidth="1"/>
    <col min="5655" max="5655" width="12.453125" style="436" customWidth="1"/>
    <col min="5656" max="5656" width="12.26953125" style="436" bestFit="1" customWidth="1"/>
    <col min="5657" max="5894" width="9.1796875" style="436"/>
    <col min="5895" max="5897" width="10.26953125" style="436" bestFit="1" customWidth="1"/>
    <col min="5898" max="5898" width="11.453125" style="436" bestFit="1" customWidth="1"/>
    <col min="5899" max="5899" width="3" style="436" customWidth="1"/>
    <col min="5900" max="5900" width="9.1796875" style="436"/>
    <col min="5901" max="5901" width="11" style="436" bestFit="1" customWidth="1"/>
    <col min="5902" max="5902" width="9.1796875" style="436"/>
    <col min="5903" max="5903" width="5" style="436" customWidth="1"/>
    <col min="5904" max="5904" width="9.1796875" style="436"/>
    <col min="5905" max="5905" width="11" style="436" bestFit="1" customWidth="1"/>
    <col min="5906" max="5906" width="11" style="436" customWidth="1"/>
    <col min="5907" max="5907" width="12" style="436" bestFit="1" customWidth="1"/>
    <col min="5908" max="5908" width="2.54296875" style="436" customWidth="1"/>
    <col min="5909" max="5909" width="10.26953125" style="436" bestFit="1" customWidth="1"/>
    <col min="5910" max="5910" width="12.453125" style="436" bestFit="1" customWidth="1"/>
    <col min="5911" max="5911" width="12.453125" style="436" customWidth="1"/>
    <col min="5912" max="5912" width="12.26953125" style="436" bestFit="1" customWidth="1"/>
    <col min="5913" max="6150" width="9.1796875" style="436"/>
    <col min="6151" max="6153" width="10.26953125" style="436" bestFit="1" customWidth="1"/>
    <col min="6154" max="6154" width="11.453125" style="436" bestFit="1" customWidth="1"/>
    <col min="6155" max="6155" width="3" style="436" customWidth="1"/>
    <col min="6156" max="6156" width="9.1796875" style="436"/>
    <col min="6157" max="6157" width="11" style="436" bestFit="1" customWidth="1"/>
    <col min="6158" max="6158" width="9.1796875" style="436"/>
    <col min="6159" max="6159" width="5" style="436" customWidth="1"/>
    <col min="6160" max="6160" width="9.1796875" style="436"/>
    <col min="6161" max="6161" width="11" style="436" bestFit="1" customWidth="1"/>
    <col min="6162" max="6162" width="11" style="436" customWidth="1"/>
    <col min="6163" max="6163" width="12" style="436" bestFit="1" customWidth="1"/>
    <col min="6164" max="6164" width="2.54296875" style="436" customWidth="1"/>
    <col min="6165" max="6165" width="10.26953125" style="436" bestFit="1" customWidth="1"/>
    <col min="6166" max="6166" width="12.453125" style="436" bestFit="1" customWidth="1"/>
    <col min="6167" max="6167" width="12.453125" style="436" customWidth="1"/>
    <col min="6168" max="6168" width="12.26953125" style="436" bestFit="1" customWidth="1"/>
    <col min="6169" max="6406" width="9.1796875" style="436"/>
    <col min="6407" max="6409" width="10.26953125" style="436" bestFit="1" customWidth="1"/>
    <col min="6410" max="6410" width="11.453125" style="436" bestFit="1" customWidth="1"/>
    <col min="6411" max="6411" width="3" style="436" customWidth="1"/>
    <col min="6412" max="6412" width="9.1796875" style="436"/>
    <col min="6413" max="6413" width="11" style="436" bestFit="1" customWidth="1"/>
    <col min="6414" max="6414" width="9.1796875" style="436"/>
    <col min="6415" max="6415" width="5" style="436" customWidth="1"/>
    <col min="6416" max="6416" width="9.1796875" style="436"/>
    <col min="6417" max="6417" width="11" style="436" bestFit="1" customWidth="1"/>
    <col min="6418" max="6418" width="11" style="436" customWidth="1"/>
    <col min="6419" max="6419" width="12" style="436" bestFit="1" customWidth="1"/>
    <col min="6420" max="6420" width="2.54296875" style="436" customWidth="1"/>
    <col min="6421" max="6421" width="10.26953125" style="436" bestFit="1" customWidth="1"/>
    <col min="6422" max="6422" width="12.453125" style="436" bestFit="1" customWidth="1"/>
    <col min="6423" max="6423" width="12.453125" style="436" customWidth="1"/>
    <col min="6424" max="6424" width="12.26953125" style="436" bestFit="1" customWidth="1"/>
    <col min="6425" max="6662" width="9.1796875" style="436"/>
    <col min="6663" max="6665" width="10.26953125" style="436" bestFit="1" customWidth="1"/>
    <col min="6666" max="6666" width="11.453125" style="436" bestFit="1" customWidth="1"/>
    <col min="6667" max="6667" width="3" style="436" customWidth="1"/>
    <col min="6668" max="6668" width="9.1796875" style="436"/>
    <col min="6669" max="6669" width="11" style="436" bestFit="1" customWidth="1"/>
    <col min="6670" max="6670" width="9.1796875" style="436"/>
    <col min="6671" max="6671" width="5" style="436" customWidth="1"/>
    <col min="6672" max="6672" width="9.1796875" style="436"/>
    <col min="6673" max="6673" width="11" style="436" bestFit="1" customWidth="1"/>
    <col min="6674" max="6674" width="11" style="436" customWidth="1"/>
    <col min="6675" max="6675" width="12" style="436" bestFit="1" customWidth="1"/>
    <col min="6676" max="6676" width="2.54296875" style="436" customWidth="1"/>
    <col min="6677" max="6677" width="10.26953125" style="436" bestFit="1" customWidth="1"/>
    <col min="6678" max="6678" width="12.453125" style="436" bestFit="1" customWidth="1"/>
    <col min="6679" max="6679" width="12.453125" style="436" customWidth="1"/>
    <col min="6680" max="6680" width="12.26953125" style="436" bestFit="1" customWidth="1"/>
    <col min="6681" max="6918" width="9.1796875" style="436"/>
    <col min="6919" max="6921" width="10.26953125" style="436" bestFit="1" customWidth="1"/>
    <col min="6922" max="6922" width="11.453125" style="436" bestFit="1" customWidth="1"/>
    <col min="6923" max="6923" width="3" style="436" customWidth="1"/>
    <col min="6924" max="6924" width="9.1796875" style="436"/>
    <col min="6925" max="6925" width="11" style="436" bestFit="1" customWidth="1"/>
    <col min="6926" max="6926" width="9.1796875" style="436"/>
    <col min="6927" max="6927" width="5" style="436" customWidth="1"/>
    <col min="6928" max="6928" width="9.1796875" style="436"/>
    <col min="6929" max="6929" width="11" style="436" bestFit="1" customWidth="1"/>
    <col min="6930" max="6930" width="11" style="436" customWidth="1"/>
    <col min="6931" max="6931" width="12" style="436" bestFit="1" customWidth="1"/>
    <col min="6932" max="6932" width="2.54296875" style="436" customWidth="1"/>
    <col min="6933" max="6933" width="10.26953125" style="436" bestFit="1" customWidth="1"/>
    <col min="6934" max="6934" width="12.453125" style="436" bestFit="1" customWidth="1"/>
    <col min="6935" max="6935" width="12.453125" style="436" customWidth="1"/>
    <col min="6936" max="6936" width="12.26953125" style="436" bestFit="1" customWidth="1"/>
    <col min="6937" max="7174" width="9.1796875" style="436"/>
    <col min="7175" max="7177" width="10.26953125" style="436" bestFit="1" customWidth="1"/>
    <col min="7178" max="7178" width="11.453125" style="436" bestFit="1" customWidth="1"/>
    <col min="7179" max="7179" width="3" style="436" customWidth="1"/>
    <col min="7180" max="7180" width="9.1796875" style="436"/>
    <col min="7181" max="7181" width="11" style="436" bestFit="1" customWidth="1"/>
    <col min="7182" max="7182" width="9.1796875" style="436"/>
    <col min="7183" max="7183" width="5" style="436" customWidth="1"/>
    <col min="7184" max="7184" width="9.1796875" style="436"/>
    <col min="7185" max="7185" width="11" style="436" bestFit="1" customWidth="1"/>
    <col min="7186" max="7186" width="11" style="436" customWidth="1"/>
    <col min="7187" max="7187" width="12" style="436" bestFit="1" customWidth="1"/>
    <col min="7188" max="7188" width="2.54296875" style="436" customWidth="1"/>
    <col min="7189" max="7189" width="10.26953125" style="436" bestFit="1" customWidth="1"/>
    <col min="7190" max="7190" width="12.453125" style="436" bestFit="1" customWidth="1"/>
    <col min="7191" max="7191" width="12.453125" style="436" customWidth="1"/>
    <col min="7192" max="7192" width="12.26953125" style="436" bestFit="1" customWidth="1"/>
    <col min="7193" max="7430" width="9.1796875" style="436"/>
    <col min="7431" max="7433" width="10.26953125" style="436" bestFit="1" customWidth="1"/>
    <col min="7434" max="7434" width="11.453125" style="436" bestFit="1" customWidth="1"/>
    <col min="7435" max="7435" width="3" style="436" customWidth="1"/>
    <col min="7436" max="7436" width="9.1796875" style="436"/>
    <col min="7437" max="7437" width="11" style="436" bestFit="1" customWidth="1"/>
    <col min="7438" max="7438" width="9.1796875" style="436"/>
    <col min="7439" max="7439" width="5" style="436" customWidth="1"/>
    <col min="7440" max="7440" width="9.1796875" style="436"/>
    <col min="7441" max="7441" width="11" style="436" bestFit="1" customWidth="1"/>
    <col min="7442" max="7442" width="11" style="436" customWidth="1"/>
    <col min="7443" max="7443" width="12" style="436" bestFit="1" customWidth="1"/>
    <col min="7444" max="7444" width="2.54296875" style="436" customWidth="1"/>
    <col min="7445" max="7445" width="10.26953125" style="436" bestFit="1" customWidth="1"/>
    <col min="7446" max="7446" width="12.453125" style="436" bestFit="1" customWidth="1"/>
    <col min="7447" max="7447" width="12.453125" style="436" customWidth="1"/>
    <col min="7448" max="7448" width="12.26953125" style="436" bestFit="1" customWidth="1"/>
    <col min="7449" max="7686" width="9.1796875" style="436"/>
    <col min="7687" max="7689" width="10.26953125" style="436" bestFit="1" customWidth="1"/>
    <col min="7690" max="7690" width="11.453125" style="436" bestFit="1" customWidth="1"/>
    <col min="7691" max="7691" width="3" style="436" customWidth="1"/>
    <col min="7692" max="7692" width="9.1796875" style="436"/>
    <col min="7693" max="7693" width="11" style="436" bestFit="1" customWidth="1"/>
    <col min="7694" max="7694" width="9.1796875" style="436"/>
    <col min="7695" max="7695" width="5" style="436" customWidth="1"/>
    <col min="7696" max="7696" width="9.1796875" style="436"/>
    <col min="7697" max="7697" width="11" style="436" bestFit="1" customWidth="1"/>
    <col min="7698" max="7698" width="11" style="436" customWidth="1"/>
    <col min="7699" max="7699" width="12" style="436" bestFit="1" customWidth="1"/>
    <col min="7700" max="7700" width="2.54296875" style="436" customWidth="1"/>
    <col min="7701" max="7701" width="10.26953125" style="436" bestFit="1" customWidth="1"/>
    <col min="7702" max="7702" width="12.453125" style="436" bestFit="1" customWidth="1"/>
    <col min="7703" max="7703" width="12.453125" style="436" customWidth="1"/>
    <col min="7704" max="7704" width="12.26953125" style="436" bestFit="1" customWidth="1"/>
    <col min="7705" max="7942" width="9.1796875" style="436"/>
    <col min="7943" max="7945" width="10.26953125" style="436" bestFit="1" customWidth="1"/>
    <col min="7946" max="7946" width="11.453125" style="436" bestFit="1" customWidth="1"/>
    <col min="7947" max="7947" width="3" style="436" customWidth="1"/>
    <col min="7948" max="7948" width="9.1796875" style="436"/>
    <col min="7949" max="7949" width="11" style="436" bestFit="1" customWidth="1"/>
    <col min="7950" max="7950" width="9.1796875" style="436"/>
    <col min="7951" max="7951" width="5" style="436" customWidth="1"/>
    <col min="7952" max="7952" width="9.1796875" style="436"/>
    <col min="7953" max="7953" width="11" style="436" bestFit="1" customWidth="1"/>
    <col min="7954" max="7954" width="11" style="436" customWidth="1"/>
    <col min="7955" max="7955" width="12" style="436" bestFit="1" customWidth="1"/>
    <col min="7956" max="7956" width="2.54296875" style="436" customWidth="1"/>
    <col min="7957" max="7957" width="10.26953125" style="436" bestFit="1" customWidth="1"/>
    <col min="7958" max="7958" width="12.453125" style="436" bestFit="1" customWidth="1"/>
    <col min="7959" max="7959" width="12.453125" style="436" customWidth="1"/>
    <col min="7960" max="7960" width="12.26953125" style="436" bestFit="1" customWidth="1"/>
    <col min="7961" max="8198" width="9.1796875" style="436"/>
    <col min="8199" max="8201" width="10.26953125" style="436" bestFit="1" customWidth="1"/>
    <col min="8202" max="8202" width="11.453125" style="436" bestFit="1" customWidth="1"/>
    <col min="8203" max="8203" width="3" style="436" customWidth="1"/>
    <col min="8204" max="8204" width="9.1796875" style="436"/>
    <col min="8205" max="8205" width="11" style="436" bestFit="1" customWidth="1"/>
    <col min="8206" max="8206" width="9.1796875" style="436"/>
    <col min="8207" max="8207" width="5" style="436" customWidth="1"/>
    <col min="8208" max="8208" width="9.1796875" style="436"/>
    <col min="8209" max="8209" width="11" style="436" bestFit="1" customWidth="1"/>
    <col min="8210" max="8210" width="11" style="436" customWidth="1"/>
    <col min="8211" max="8211" width="12" style="436" bestFit="1" customWidth="1"/>
    <col min="8212" max="8212" width="2.54296875" style="436" customWidth="1"/>
    <col min="8213" max="8213" width="10.26953125" style="436" bestFit="1" customWidth="1"/>
    <col min="8214" max="8214" width="12.453125" style="436" bestFit="1" customWidth="1"/>
    <col min="8215" max="8215" width="12.453125" style="436" customWidth="1"/>
    <col min="8216" max="8216" width="12.26953125" style="436" bestFit="1" customWidth="1"/>
    <col min="8217" max="8454" width="9.1796875" style="436"/>
    <col min="8455" max="8457" width="10.26953125" style="436" bestFit="1" customWidth="1"/>
    <col min="8458" max="8458" width="11.453125" style="436" bestFit="1" customWidth="1"/>
    <col min="8459" max="8459" width="3" style="436" customWidth="1"/>
    <col min="8460" max="8460" width="9.1796875" style="436"/>
    <col min="8461" max="8461" width="11" style="436" bestFit="1" customWidth="1"/>
    <col min="8462" max="8462" width="9.1796875" style="436"/>
    <col min="8463" max="8463" width="5" style="436" customWidth="1"/>
    <col min="8464" max="8464" width="9.1796875" style="436"/>
    <col min="8465" max="8465" width="11" style="436" bestFit="1" customWidth="1"/>
    <col min="8466" max="8466" width="11" style="436" customWidth="1"/>
    <col min="8467" max="8467" width="12" style="436" bestFit="1" customWidth="1"/>
    <col min="8468" max="8468" width="2.54296875" style="436" customWidth="1"/>
    <col min="8469" max="8469" width="10.26953125" style="436" bestFit="1" customWidth="1"/>
    <col min="8470" max="8470" width="12.453125" style="436" bestFit="1" customWidth="1"/>
    <col min="8471" max="8471" width="12.453125" style="436" customWidth="1"/>
    <col min="8472" max="8472" width="12.26953125" style="436" bestFit="1" customWidth="1"/>
    <col min="8473" max="8710" width="9.1796875" style="436"/>
    <col min="8711" max="8713" width="10.26953125" style="436" bestFit="1" customWidth="1"/>
    <col min="8714" max="8714" width="11.453125" style="436" bestFit="1" customWidth="1"/>
    <col min="8715" max="8715" width="3" style="436" customWidth="1"/>
    <col min="8716" max="8716" width="9.1796875" style="436"/>
    <col min="8717" max="8717" width="11" style="436" bestFit="1" customWidth="1"/>
    <col min="8718" max="8718" width="9.1796875" style="436"/>
    <col min="8719" max="8719" width="5" style="436" customWidth="1"/>
    <col min="8720" max="8720" width="9.1796875" style="436"/>
    <col min="8721" max="8721" width="11" style="436" bestFit="1" customWidth="1"/>
    <col min="8722" max="8722" width="11" style="436" customWidth="1"/>
    <col min="8723" max="8723" width="12" style="436" bestFit="1" customWidth="1"/>
    <col min="8724" max="8724" width="2.54296875" style="436" customWidth="1"/>
    <col min="8725" max="8725" width="10.26953125" style="436" bestFit="1" customWidth="1"/>
    <col min="8726" max="8726" width="12.453125" style="436" bestFit="1" customWidth="1"/>
    <col min="8727" max="8727" width="12.453125" style="436" customWidth="1"/>
    <col min="8728" max="8728" width="12.26953125" style="436" bestFit="1" customWidth="1"/>
    <col min="8729" max="8966" width="9.1796875" style="436"/>
    <col min="8967" max="8969" width="10.26953125" style="436" bestFit="1" customWidth="1"/>
    <col min="8970" max="8970" width="11.453125" style="436" bestFit="1" customWidth="1"/>
    <col min="8971" max="8971" width="3" style="436" customWidth="1"/>
    <col min="8972" max="8972" width="9.1796875" style="436"/>
    <col min="8973" max="8973" width="11" style="436" bestFit="1" customWidth="1"/>
    <col min="8974" max="8974" width="9.1796875" style="436"/>
    <col min="8975" max="8975" width="5" style="436" customWidth="1"/>
    <col min="8976" max="8976" width="9.1796875" style="436"/>
    <col min="8977" max="8977" width="11" style="436" bestFit="1" customWidth="1"/>
    <col min="8978" max="8978" width="11" style="436" customWidth="1"/>
    <col min="8979" max="8979" width="12" style="436" bestFit="1" customWidth="1"/>
    <col min="8980" max="8980" width="2.54296875" style="436" customWidth="1"/>
    <col min="8981" max="8981" width="10.26953125" style="436" bestFit="1" customWidth="1"/>
    <col min="8982" max="8982" width="12.453125" style="436" bestFit="1" customWidth="1"/>
    <col min="8983" max="8983" width="12.453125" style="436" customWidth="1"/>
    <col min="8984" max="8984" width="12.26953125" style="436" bestFit="1" customWidth="1"/>
    <col min="8985" max="9222" width="9.1796875" style="436"/>
    <col min="9223" max="9225" width="10.26953125" style="436" bestFit="1" customWidth="1"/>
    <col min="9226" max="9226" width="11.453125" style="436" bestFit="1" customWidth="1"/>
    <col min="9227" max="9227" width="3" style="436" customWidth="1"/>
    <col min="9228" max="9228" width="9.1796875" style="436"/>
    <col min="9229" max="9229" width="11" style="436" bestFit="1" customWidth="1"/>
    <col min="9230" max="9230" width="9.1796875" style="436"/>
    <col min="9231" max="9231" width="5" style="436" customWidth="1"/>
    <col min="9232" max="9232" width="9.1796875" style="436"/>
    <col min="9233" max="9233" width="11" style="436" bestFit="1" customWidth="1"/>
    <col min="9234" max="9234" width="11" style="436" customWidth="1"/>
    <col min="9235" max="9235" width="12" style="436" bestFit="1" customWidth="1"/>
    <col min="9236" max="9236" width="2.54296875" style="436" customWidth="1"/>
    <col min="9237" max="9237" width="10.26953125" style="436" bestFit="1" customWidth="1"/>
    <col min="9238" max="9238" width="12.453125" style="436" bestFit="1" customWidth="1"/>
    <col min="9239" max="9239" width="12.453125" style="436" customWidth="1"/>
    <col min="9240" max="9240" width="12.26953125" style="436" bestFit="1" customWidth="1"/>
    <col min="9241" max="9478" width="9.1796875" style="436"/>
    <col min="9479" max="9481" width="10.26953125" style="436" bestFit="1" customWidth="1"/>
    <col min="9482" max="9482" width="11.453125" style="436" bestFit="1" customWidth="1"/>
    <col min="9483" max="9483" width="3" style="436" customWidth="1"/>
    <col min="9484" max="9484" width="9.1796875" style="436"/>
    <col min="9485" max="9485" width="11" style="436" bestFit="1" customWidth="1"/>
    <col min="9486" max="9486" width="9.1796875" style="436"/>
    <col min="9487" max="9487" width="5" style="436" customWidth="1"/>
    <col min="9488" max="9488" width="9.1796875" style="436"/>
    <col min="9489" max="9489" width="11" style="436" bestFit="1" customWidth="1"/>
    <col min="9490" max="9490" width="11" style="436" customWidth="1"/>
    <col min="9491" max="9491" width="12" style="436" bestFit="1" customWidth="1"/>
    <col min="9492" max="9492" width="2.54296875" style="436" customWidth="1"/>
    <col min="9493" max="9493" width="10.26953125" style="436" bestFit="1" customWidth="1"/>
    <col min="9494" max="9494" width="12.453125" style="436" bestFit="1" customWidth="1"/>
    <col min="9495" max="9495" width="12.453125" style="436" customWidth="1"/>
    <col min="9496" max="9496" width="12.26953125" style="436" bestFit="1" customWidth="1"/>
    <col min="9497" max="9734" width="9.1796875" style="436"/>
    <col min="9735" max="9737" width="10.26953125" style="436" bestFit="1" customWidth="1"/>
    <col min="9738" max="9738" width="11.453125" style="436" bestFit="1" customWidth="1"/>
    <col min="9739" max="9739" width="3" style="436" customWidth="1"/>
    <col min="9740" max="9740" width="9.1796875" style="436"/>
    <col min="9741" max="9741" width="11" style="436" bestFit="1" customWidth="1"/>
    <col min="9742" max="9742" width="9.1796875" style="436"/>
    <col min="9743" max="9743" width="5" style="436" customWidth="1"/>
    <col min="9744" max="9744" width="9.1796875" style="436"/>
    <col min="9745" max="9745" width="11" style="436" bestFit="1" customWidth="1"/>
    <col min="9746" max="9746" width="11" style="436" customWidth="1"/>
    <col min="9747" max="9747" width="12" style="436" bestFit="1" customWidth="1"/>
    <col min="9748" max="9748" width="2.54296875" style="436" customWidth="1"/>
    <col min="9749" max="9749" width="10.26953125" style="436" bestFit="1" customWidth="1"/>
    <col min="9750" max="9750" width="12.453125" style="436" bestFit="1" customWidth="1"/>
    <col min="9751" max="9751" width="12.453125" style="436" customWidth="1"/>
    <col min="9752" max="9752" width="12.26953125" style="436" bestFit="1" customWidth="1"/>
    <col min="9753" max="9990" width="9.1796875" style="436"/>
    <col min="9991" max="9993" width="10.26953125" style="436" bestFit="1" customWidth="1"/>
    <col min="9994" max="9994" width="11.453125" style="436" bestFit="1" customWidth="1"/>
    <col min="9995" max="9995" width="3" style="436" customWidth="1"/>
    <col min="9996" max="9996" width="9.1796875" style="436"/>
    <col min="9997" max="9997" width="11" style="436" bestFit="1" customWidth="1"/>
    <col min="9998" max="9998" width="9.1796875" style="436"/>
    <col min="9999" max="9999" width="5" style="436" customWidth="1"/>
    <col min="10000" max="10000" width="9.1796875" style="436"/>
    <col min="10001" max="10001" width="11" style="436" bestFit="1" customWidth="1"/>
    <col min="10002" max="10002" width="11" style="436" customWidth="1"/>
    <col min="10003" max="10003" width="12" style="436" bestFit="1" customWidth="1"/>
    <col min="10004" max="10004" width="2.54296875" style="436" customWidth="1"/>
    <col min="10005" max="10005" width="10.26953125" style="436" bestFit="1" customWidth="1"/>
    <col min="10006" max="10006" width="12.453125" style="436" bestFit="1" customWidth="1"/>
    <col min="10007" max="10007" width="12.453125" style="436" customWidth="1"/>
    <col min="10008" max="10008" width="12.26953125" style="436" bestFit="1" customWidth="1"/>
    <col min="10009" max="10246" width="9.1796875" style="436"/>
    <col min="10247" max="10249" width="10.26953125" style="436" bestFit="1" customWidth="1"/>
    <col min="10250" max="10250" width="11.453125" style="436" bestFit="1" customWidth="1"/>
    <col min="10251" max="10251" width="3" style="436" customWidth="1"/>
    <col min="10252" max="10252" width="9.1796875" style="436"/>
    <col min="10253" max="10253" width="11" style="436" bestFit="1" customWidth="1"/>
    <col min="10254" max="10254" width="9.1796875" style="436"/>
    <col min="10255" max="10255" width="5" style="436" customWidth="1"/>
    <col min="10256" max="10256" width="9.1796875" style="436"/>
    <col min="10257" max="10257" width="11" style="436" bestFit="1" customWidth="1"/>
    <col min="10258" max="10258" width="11" style="436" customWidth="1"/>
    <col min="10259" max="10259" width="12" style="436" bestFit="1" customWidth="1"/>
    <col min="10260" max="10260" width="2.54296875" style="436" customWidth="1"/>
    <col min="10261" max="10261" width="10.26953125" style="436" bestFit="1" customWidth="1"/>
    <col min="10262" max="10262" width="12.453125" style="436" bestFit="1" customWidth="1"/>
    <col min="10263" max="10263" width="12.453125" style="436" customWidth="1"/>
    <col min="10264" max="10264" width="12.26953125" style="436" bestFit="1" customWidth="1"/>
    <col min="10265" max="10502" width="9.1796875" style="436"/>
    <col min="10503" max="10505" width="10.26953125" style="436" bestFit="1" customWidth="1"/>
    <col min="10506" max="10506" width="11.453125" style="436" bestFit="1" customWidth="1"/>
    <col min="10507" max="10507" width="3" style="436" customWidth="1"/>
    <col min="10508" max="10508" width="9.1796875" style="436"/>
    <col min="10509" max="10509" width="11" style="436" bestFit="1" customWidth="1"/>
    <col min="10510" max="10510" width="9.1796875" style="436"/>
    <col min="10511" max="10511" width="5" style="436" customWidth="1"/>
    <col min="10512" max="10512" width="9.1796875" style="436"/>
    <col min="10513" max="10513" width="11" style="436" bestFit="1" customWidth="1"/>
    <col min="10514" max="10514" width="11" style="436" customWidth="1"/>
    <col min="10515" max="10515" width="12" style="436" bestFit="1" customWidth="1"/>
    <col min="10516" max="10516" width="2.54296875" style="436" customWidth="1"/>
    <col min="10517" max="10517" width="10.26953125" style="436" bestFit="1" customWidth="1"/>
    <col min="10518" max="10518" width="12.453125" style="436" bestFit="1" customWidth="1"/>
    <col min="10519" max="10519" width="12.453125" style="436" customWidth="1"/>
    <col min="10520" max="10520" width="12.26953125" style="436" bestFit="1" customWidth="1"/>
    <col min="10521" max="10758" width="9.1796875" style="436"/>
    <col min="10759" max="10761" width="10.26953125" style="436" bestFit="1" customWidth="1"/>
    <col min="10762" max="10762" width="11.453125" style="436" bestFit="1" customWidth="1"/>
    <col min="10763" max="10763" width="3" style="436" customWidth="1"/>
    <col min="10764" max="10764" width="9.1796875" style="436"/>
    <col min="10765" max="10765" width="11" style="436" bestFit="1" customWidth="1"/>
    <col min="10766" max="10766" width="9.1796875" style="436"/>
    <col min="10767" max="10767" width="5" style="436" customWidth="1"/>
    <col min="10768" max="10768" width="9.1796875" style="436"/>
    <col min="10769" max="10769" width="11" style="436" bestFit="1" customWidth="1"/>
    <col min="10770" max="10770" width="11" style="436" customWidth="1"/>
    <col min="10771" max="10771" width="12" style="436" bestFit="1" customWidth="1"/>
    <col min="10772" max="10772" width="2.54296875" style="436" customWidth="1"/>
    <col min="10773" max="10773" width="10.26953125" style="436" bestFit="1" customWidth="1"/>
    <col min="10774" max="10774" width="12.453125" style="436" bestFit="1" customWidth="1"/>
    <col min="10775" max="10775" width="12.453125" style="436" customWidth="1"/>
    <col min="10776" max="10776" width="12.26953125" style="436" bestFit="1" customWidth="1"/>
    <col min="10777" max="11014" width="9.1796875" style="436"/>
    <col min="11015" max="11017" width="10.26953125" style="436" bestFit="1" customWidth="1"/>
    <col min="11018" max="11018" width="11.453125" style="436" bestFit="1" customWidth="1"/>
    <col min="11019" max="11019" width="3" style="436" customWidth="1"/>
    <col min="11020" max="11020" width="9.1796875" style="436"/>
    <col min="11021" max="11021" width="11" style="436" bestFit="1" customWidth="1"/>
    <col min="11022" max="11022" width="9.1796875" style="436"/>
    <col min="11023" max="11023" width="5" style="436" customWidth="1"/>
    <col min="11024" max="11024" width="9.1796875" style="436"/>
    <col min="11025" max="11025" width="11" style="436" bestFit="1" customWidth="1"/>
    <col min="11026" max="11026" width="11" style="436" customWidth="1"/>
    <col min="11027" max="11027" width="12" style="436" bestFit="1" customWidth="1"/>
    <col min="11028" max="11028" width="2.54296875" style="436" customWidth="1"/>
    <col min="11029" max="11029" width="10.26953125" style="436" bestFit="1" customWidth="1"/>
    <col min="11030" max="11030" width="12.453125" style="436" bestFit="1" customWidth="1"/>
    <col min="11031" max="11031" width="12.453125" style="436" customWidth="1"/>
    <col min="11032" max="11032" width="12.26953125" style="436" bestFit="1" customWidth="1"/>
    <col min="11033" max="11270" width="9.1796875" style="436"/>
    <col min="11271" max="11273" width="10.26953125" style="436" bestFit="1" customWidth="1"/>
    <col min="11274" max="11274" width="11.453125" style="436" bestFit="1" customWidth="1"/>
    <col min="11275" max="11275" width="3" style="436" customWidth="1"/>
    <col min="11276" max="11276" width="9.1796875" style="436"/>
    <col min="11277" max="11277" width="11" style="436" bestFit="1" customWidth="1"/>
    <col min="11278" max="11278" width="9.1796875" style="436"/>
    <col min="11279" max="11279" width="5" style="436" customWidth="1"/>
    <col min="11280" max="11280" width="9.1796875" style="436"/>
    <col min="11281" max="11281" width="11" style="436" bestFit="1" customWidth="1"/>
    <col min="11282" max="11282" width="11" style="436" customWidth="1"/>
    <col min="11283" max="11283" width="12" style="436" bestFit="1" customWidth="1"/>
    <col min="11284" max="11284" width="2.54296875" style="436" customWidth="1"/>
    <col min="11285" max="11285" width="10.26953125" style="436" bestFit="1" customWidth="1"/>
    <col min="11286" max="11286" width="12.453125" style="436" bestFit="1" customWidth="1"/>
    <col min="11287" max="11287" width="12.453125" style="436" customWidth="1"/>
    <col min="11288" max="11288" width="12.26953125" style="436" bestFit="1" customWidth="1"/>
    <col min="11289" max="11526" width="9.1796875" style="436"/>
    <col min="11527" max="11529" width="10.26953125" style="436" bestFit="1" customWidth="1"/>
    <col min="11530" max="11530" width="11.453125" style="436" bestFit="1" customWidth="1"/>
    <col min="11531" max="11531" width="3" style="436" customWidth="1"/>
    <col min="11532" max="11532" width="9.1796875" style="436"/>
    <col min="11533" max="11533" width="11" style="436" bestFit="1" customWidth="1"/>
    <col min="11534" max="11534" width="9.1796875" style="436"/>
    <col min="11535" max="11535" width="5" style="436" customWidth="1"/>
    <col min="11536" max="11536" width="9.1796875" style="436"/>
    <col min="11537" max="11537" width="11" style="436" bestFit="1" customWidth="1"/>
    <col min="11538" max="11538" width="11" style="436" customWidth="1"/>
    <col min="11539" max="11539" width="12" style="436" bestFit="1" customWidth="1"/>
    <col min="11540" max="11540" width="2.54296875" style="436" customWidth="1"/>
    <col min="11541" max="11541" width="10.26953125" style="436" bestFit="1" customWidth="1"/>
    <col min="11542" max="11542" width="12.453125" style="436" bestFit="1" customWidth="1"/>
    <col min="11543" max="11543" width="12.453125" style="436" customWidth="1"/>
    <col min="11544" max="11544" width="12.26953125" style="436" bestFit="1" customWidth="1"/>
    <col min="11545" max="11782" width="9.1796875" style="436"/>
    <col min="11783" max="11785" width="10.26953125" style="436" bestFit="1" customWidth="1"/>
    <col min="11786" max="11786" width="11.453125" style="436" bestFit="1" customWidth="1"/>
    <col min="11787" max="11787" width="3" style="436" customWidth="1"/>
    <col min="11788" max="11788" width="9.1796875" style="436"/>
    <col min="11789" max="11789" width="11" style="436" bestFit="1" customWidth="1"/>
    <col min="11790" max="11790" width="9.1796875" style="436"/>
    <col min="11791" max="11791" width="5" style="436" customWidth="1"/>
    <col min="11792" max="11792" width="9.1796875" style="436"/>
    <col min="11793" max="11793" width="11" style="436" bestFit="1" customWidth="1"/>
    <col min="11794" max="11794" width="11" style="436" customWidth="1"/>
    <col min="11795" max="11795" width="12" style="436" bestFit="1" customWidth="1"/>
    <col min="11796" max="11796" width="2.54296875" style="436" customWidth="1"/>
    <col min="11797" max="11797" width="10.26953125" style="436" bestFit="1" customWidth="1"/>
    <col min="11798" max="11798" width="12.453125" style="436" bestFit="1" customWidth="1"/>
    <col min="11799" max="11799" width="12.453125" style="436" customWidth="1"/>
    <col min="11800" max="11800" width="12.26953125" style="436" bestFit="1" customWidth="1"/>
    <col min="11801" max="12038" width="9.1796875" style="436"/>
    <col min="12039" max="12041" width="10.26953125" style="436" bestFit="1" customWidth="1"/>
    <col min="12042" max="12042" width="11.453125" style="436" bestFit="1" customWidth="1"/>
    <col min="12043" max="12043" width="3" style="436" customWidth="1"/>
    <col min="12044" max="12044" width="9.1796875" style="436"/>
    <col min="12045" max="12045" width="11" style="436" bestFit="1" customWidth="1"/>
    <col min="12046" max="12046" width="9.1796875" style="436"/>
    <col min="12047" max="12047" width="5" style="436" customWidth="1"/>
    <col min="12048" max="12048" width="9.1796875" style="436"/>
    <col min="12049" max="12049" width="11" style="436" bestFit="1" customWidth="1"/>
    <col min="12050" max="12050" width="11" style="436" customWidth="1"/>
    <col min="12051" max="12051" width="12" style="436" bestFit="1" customWidth="1"/>
    <col min="12052" max="12052" width="2.54296875" style="436" customWidth="1"/>
    <col min="12053" max="12053" width="10.26953125" style="436" bestFit="1" customWidth="1"/>
    <col min="12054" max="12054" width="12.453125" style="436" bestFit="1" customWidth="1"/>
    <col min="12055" max="12055" width="12.453125" style="436" customWidth="1"/>
    <col min="12056" max="12056" width="12.26953125" style="436" bestFit="1" customWidth="1"/>
    <col min="12057" max="12294" width="9.1796875" style="436"/>
    <col min="12295" max="12297" width="10.26953125" style="436" bestFit="1" customWidth="1"/>
    <col min="12298" max="12298" width="11.453125" style="436" bestFit="1" customWidth="1"/>
    <col min="12299" max="12299" width="3" style="436" customWidth="1"/>
    <col min="12300" max="12300" width="9.1796875" style="436"/>
    <col min="12301" max="12301" width="11" style="436" bestFit="1" customWidth="1"/>
    <col min="12302" max="12302" width="9.1796875" style="436"/>
    <col min="12303" max="12303" width="5" style="436" customWidth="1"/>
    <col min="12304" max="12304" width="9.1796875" style="436"/>
    <col min="12305" max="12305" width="11" style="436" bestFit="1" customWidth="1"/>
    <col min="12306" max="12306" width="11" style="436" customWidth="1"/>
    <col min="12307" max="12307" width="12" style="436" bestFit="1" customWidth="1"/>
    <col min="12308" max="12308" width="2.54296875" style="436" customWidth="1"/>
    <col min="12309" max="12309" width="10.26953125" style="436" bestFit="1" customWidth="1"/>
    <col min="12310" max="12310" width="12.453125" style="436" bestFit="1" customWidth="1"/>
    <col min="12311" max="12311" width="12.453125" style="436" customWidth="1"/>
    <col min="12312" max="12312" width="12.26953125" style="436" bestFit="1" customWidth="1"/>
    <col min="12313" max="12550" width="9.1796875" style="436"/>
    <col min="12551" max="12553" width="10.26953125" style="436" bestFit="1" customWidth="1"/>
    <col min="12554" max="12554" width="11.453125" style="436" bestFit="1" customWidth="1"/>
    <col min="12555" max="12555" width="3" style="436" customWidth="1"/>
    <col min="12556" max="12556" width="9.1796875" style="436"/>
    <col min="12557" max="12557" width="11" style="436" bestFit="1" customWidth="1"/>
    <col min="12558" max="12558" width="9.1796875" style="436"/>
    <col min="12559" max="12559" width="5" style="436" customWidth="1"/>
    <col min="12560" max="12560" width="9.1796875" style="436"/>
    <col min="12561" max="12561" width="11" style="436" bestFit="1" customWidth="1"/>
    <col min="12562" max="12562" width="11" style="436" customWidth="1"/>
    <col min="12563" max="12563" width="12" style="436" bestFit="1" customWidth="1"/>
    <col min="12564" max="12564" width="2.54296875" style="436" customWidth="1"/>
    <col min="12565" max="12565" width="10.26953125" style="436" bestFit="1" customWidth="1"/>
    <col min="12566" max="12566" width="12.453125" style="436" bestFit="1" customWidth="1"/>
    <col min="12567" max="12567" width="12.453125" style="436" customWidth="1"/>
    <col min="12568" max="12568" width="12.26953125" style="436" bestFit="1" customWidth="1"/>
    <col min="12569" max="12806" width="9.1796875" style="436"/>
    <col min="12807" max="12809" width="10.26953125" style="436" bestFit="1" customWidth="1"/>
    <col min="12810" max="12810" width="11.453125" style="436" bestFit="1" customWidth="1"/>
    <col min="12811" max="12811" width="3" style="436" customWidth="1"/>
    <col min="12812" max="12812" width="9.1796875" style="436"/>
    <col min="12813" max="12813" width="11" style="436" bestFit="1" customWidth="1"/>
    <col min="12814" max="12814" width="9.1796875" style="436"/>
    <col min="12815" max="12815" width="5" style="436" customWidth="1"/>
    <col min="12816" max="12816" width="9.1796875" style="436"/>
    <col min="12817" max="12817" width="11" style="436" bestFit="1" customWidth="1"/>
    <col min="12818" max="12818" width="11" style="436" customWidth="1"/>
    <col min="12819" max="12819" width="12" style="436" bestFit="1" customWidth="1"/>
    <col min="12820" max="12820" width="2.54296875" style="436" customWidth="1"/>
    <col min="12821" max="12821" width="10.26953125" style="436" bestFit="1" customWidth="1"/>
    <col min="12822" max="12822" width="12.453125" style="436" bestFit="1" customWidth="1"/>
    <col min="12823" max="12823" width="12.453125" style="436" customWidth="1"/>
    <col min="12824" max="12824" width="12.26953125" style="436" bestFit="1" customWidth="1"/>
    <col min="12825" max="13062" width="9.1796875" style="436"/>
    <col min="13063" max="13065" width="10.26953125" style="436" bestFit="1" customWidth="1"/>
    <col min="13066" max="13066" width="11.453125" style="436" bestFit="1" customWidth="1"/>
    <col min="13067" max="13067" width="3" style="436" customWidth="1"/>
    <col min="13068" max="13068" width="9.1796875" style="436"/>
    <col min="13069" max="13069" width="11" style="436" bestFit="1" customWidth="1"/>
    <col min="13070" max="13070" width="9.1796875" style="436"/>
    <col min="13071" max="13071" width="5" style="436" customWidth="1"/>
    <col min="13072" max="13072" width="9.1796875" style="436"/>
    <col min="13073" max="13073" width="11" style="436" bestFit="1" customWidth="1"/>
    <col min="13074" max="13074" width="11" style="436" customWidth="1"/>
    <col min="13075" max="13075" width="12" style="436" bestFit="1" customWidth="1"/>
    <col min="13076" max="13076" width="2.54296875" style="436" customWidth="1"/>
    <col min="13077" max="13077" width="10.26953125" style="436" bestFit="1" customWidth="1"/>
    <col min="13078" max="13078" width="12.453125" style="436" bestFit="1" customWidth="1"/>
    <col min="13079" max="13079" width="12.453125" style="436" customWidth="1"/>
    <col min="13080" max="13080" width="12.26953125" style="436" bestFit="1" customWidth="1"/>
    <col min="13081" max="13318" width="9.1796875" style="436"/>
    <col min="13319" max="13321" width="10.26953125" style="436" bestFit="1" customWidth="1"/>
    <col min="13322" max="13322" width="11.453125" style="436" bestFit="1" customWidth="1"/>
    <col min="13323" max="13323" width="3" style="436" customWidth="1"/>
    <col min="13324" max="13324" width="9.1796875" style="436"/>
    <col min="13325" max="13325" width="11" style="436" bestFit="1" customWidth="1"/>
    <col min="13326" max="13326" width="9.1796875" style="436"/>
    <col min="13327" max="13327" width="5" style="436" customWidth="1"/>
    <col min="13328" max="13328" width="9.1796875" style="436"/>
    <col min="13329" max="13329" width="11" style="436" bestFit="1" customWidth="1"/>
    <col min="13330" max="13330" width="11" style="436" customWidth="1"/>
    <col min="13331" max="13331" width="12" style="436" bestFit="1" customWidth="1"/>
    <col min="13332" max="13332" width="2.54296875" style="436" customWidth="1"/>
    <col min="13333" max="13333" width="10.26953125" style="436" bestFit="1" customWidth="1"/>
    <col min="13334" max="13334" width="12.453125" style="436" bestFit="1" customWidth="1"/>
    <col min="13335" max="13335" width="12.453125" style="436" customWidth="1"/>
    <col min="13336" max="13336" width="12.26953125" style="436" bestFit="1" customWidth="1"/>
    <col min="13337" max="13574" width="9.1796875" style="436"/>
    <col min="13575" max="13577" width="10.26953125" style="436" bestFit="1" customWidth="1"/>
    <col min="13578" max="13578" width="11.453125" style="436" bestFit="1" customWidth="1"/>
    <col min="13579" max="13579" width="3" style="436" customWidth="1"/>
    <col min="13580" max="13580" width="9.1796875" style="436"/>
    <col min="13581" max="13581" width="11" style="436" bestFit="1" customWidth="1"/>
    <col min="13582" max="13582" width="9.1796875" style="436"/>
    <col min="13583" max="13583" width="5" style="436" customWidth="1"/>
    <col min="13584" max="13584" width="9.1796875" style="436"/>
    <col min="13585" max="13585" width="11" style="436" bestFit="1" customWidth="1"/>
    <col min="13586" max="13586" width="11" style="436" customWidth="1"/>
    <col min="13587" max="13587" width="12" style="436" bestFit="1" customWidth="1"/>
    <col min="13588" max="13588" width="2.54296875" style="436" customWidth="1"/>
    <col min="13589" max="13589" width="10.26953125" style="436" bestFit="1" customWidth="1"/>
    <col min="13590" max="13590" width="12.453125" style="436" bestFit="1" customWidth="1"/>
    <col min="13591" max="13591" width="12.453125" style="436" customWidth="1"/>
    <col min="13592" max="13592" width="12.26953125" style="436" bestFit="1" customWidth="1"/>
    <col min="13593" max="13830" width="9.1796875" style="436"/>
    <col min="13831" max="13833" width="10.26953125" style="436" bestFit="1" customWidth="1"/>
    <col min="13834" max="13834" width="11.453125" style="436" bestFit="1" customWidth="1"/>
    <col min="13835" max="13835" width="3" style="436" customWidth="1"/>
    <col min="13836" max="13836" width="9.1796875" style="436"/>
    <col min="13837" max="13837" width="11" style="436" bestFit="1" customWidth="1"/>
    <col min="13838" max="13838" width="9.1796875" style="436"/>
    <col min="13839" max="13839" width="5" style="436" customWidth="1"/>
    <col min="13840" max="13840" width="9.1796875" style="436"/>
    <col min="13841" max="13841" width="11" style="436" bestFit="1" customWidth="1"/>
    <col min="13842" max="13842" width="11" style="436" customWidth="1"/>
    <col min="13843" max="13843" width="12" style="436" bestFit="1" customWidth="1"/>
    <col min="13844" max="13844" width="2.54296875" style="436" customWidth="1"/>
    <col min="13845" max="13845" width="10.26953125" style="436" bestFit="1" customWidth="1"/>
    <col min="13846" max="13846" width="12.453125" style="436" bestFit="1" customWidth="1"/>
    <col min="13847" max="13847" width="12.453125" style="436" customWidth="1"/>
    <col min="13848" max="13848" width="12.26953125" style="436" bestFit="1" customWidth="1"/>
    <col min="13849" max="14086" width="9.1796875" style="436"/>
    <col min="14087" max="14089" width="10.26953125" style="436" bestFit="1" customWidth="1"/>
    <col min="14090" max="14090" width="11.453125" style="436" bestFit="1" customWidth="1"/>
    <col min="14091" max="14091" width="3" style="436" customWidth="1"/>
    <col min="14092" max="14092" width="9.1796875" style="436"/>
    <col min="14093" max="14093" width="11" style="436" bestFit="1" customWidth="1"/>
    <col min="14094" max="14094" width="9.1796875" style="436"/>
    <col min="14095" max="14095" width="5" style="436" customWidth="1"/>
    <col min="14096" max="14096" width="9.1796875" style="436"/>
    <col min="14097" max="14097" width="11" style="436" bestFit="1" customWidth="1"/>
    <col min="14098" max="14098" width="11" style="436" customWidth="1"/>
    <col min="14099" max="14099" width="12" style="436" bestFit="1" customWidth="1"/>
    <col min="14100" max="14100" width="2.54296875" style="436" customWidth="1"/>
    <col min="14101" max="14101" width="10.26953125" style="436" bestFit="1" customWidth="1"/>
    <col min="14102" max="14102" width="12.453125" style="436" bestFit="1" customWidth="1"/>
    <col min="14103" max="14103" width="12.453125" style="436" customWidth="1"/>
    <col min="14104" max="14104" width="12.26953125" style="436" bestFit="1" customWidth="1"/>
    <col min="14105" max="14342" width="9.1796875" style="436"/>
    <col min="14343" max="14345" width="10.26953125" style="436" bestFit="1" customWidth="1"/>
    <col min="14346" max="14346" width="11.453125" style="436" bestFit="1" customWidth="1"/>
    <col min="14347" max="14347" width="3" style="436" customWidth="1"/>
    <col min="14348" max="14348" width="9.1796875" style="436"/>
    <col min="14349" max="14349" width="11" style="436" bestFit="1" customWidth="1"/>
    <col min="14350" max="14350" width="9.1796875" style="436"/>
    <col min="14351" max="14351" width="5" style="436" customWidth="1"/>
    <col min="14352" max="14352" width="9.1796875" style="436"/>
    <col min="14353" max="14353" width="11" style="436" bestFit="1" customWidth="1"/>
    <col min="14354" max="14354" width="11" style="436" customWidth="1"/>
    <col min="14355" max="14355" width="12" style="436" bestFit="1" customWidth="1"/>
    <col min="14356" max="14356" width="2.54296875" style="436" customWidth="1"/>
    <col min="14357" max="14357" width="10.26953125" style="436" bestFit="1" customWidth="1"/>
    <col min="14358" max="14358" width="12.453125" style="436" bestFit="1" customWidth="1"/>
    <col min="14359" max="14359" width="12.453125" style="436" customWidth="1"/>
    <col min="14360" max="14360" width="12.26953125" style="436" bestFit="1" customWidth="1"/>
    <col min="14361" max="14598" width="9.1796875" style="436"/>
    <col min="14599" max="14601" width="10.26953125" style="436" bestFit="1" customWidth="1"/>
    <col min="14602" max="14602" width="11.453125" style="436" bestFit="1" customWidth="1"/>
    <col min="14603" max="14603" width="3" style="436" customWidth="1"/>
    <col min="14604" max="14604" width="9.1796875" style="436"/>
    <col min="14605" max="14605" width="11" style="436" bestFit="1" customWidth="1"/>
    <col min="14606" max="14606" width="9.1796875" style="436"/>
    <col min="14607" max="14607" width="5" style="436" customWidth="1"/>
    <col min="14608" max="14608" width="9.1796875" style="436"/>
    <col min="14609" max="14609" width="11" style="436" bestFit="1" customWidth="1"/>
    <col min="14610" max="14610" width="11" style="436" customWidth="1"/>
    <col min="14611" max="14611" width="12" style="436" bestFit="1" customWidth="1"/>
    <col min="14612" max="14612" width="2.54296875" style="436" customWidth="1"/>
    <col min="14613" max="14613" width="10.26953125" style="436" bestFit="1" customWidth="1"/>
    <col min="14614" max="14614" width="12.453125" style="436" bestFit="1" customWidth="1"/>
    <col min="14615" max="14615" width="12.453125" style="436" customWidth="1"/>
    <col min="14616" max="14616" width="12.26953125" style="436" bestFit="1" customWidth="1"/>
    <col min="14617" max="14854" width="9.1796875" style="436"/>
    <col min="14855" max="14857" width="10.26953125" style="436" bestFit="1" customWidth="1"/>
    <col min="14858" max="14858" width="11.453125" style="436" bestFit="1" customWidth="1"/>
    <col min="14859" max="14859" width="3" style="436" customWidth="1"/>
    <col min="14860" max="14860" width="9.1796875" style="436"/>
    <col min="14861" max="14861" width="11" style="436" bestFit="1" customWidth="1"/>
    <col min="14862" max="14862" width="9.1796875" style="436"/>
    <col min="14863" max="14863" width="5" style="436" customWidth="1"/>
    <col min="14864" max="14864" width="9.1796875" style="436"/>
    <col min="14865" max="14865" width="11" style="436" bestFit="1" customWidth="1"/>
    <col min="14866" max="14866" width="11" style="436" customWidth="1"/>
    <col min="14867" max="14867" width="12" style="436" bestFit="1" customWidth="1"/>
    <col min="14868" max="14868" width="2.54296875" style="436" customWidth="1"/>
    <col min="14869" max="14869" width="10.26953125" style="436" bestFit="1" customWidth="1"/>
    <col min="14870" max="14870" width="12.453125" style="436" bestFit="1" customWidth="1"/>
    <col min="14871" max="14871" width="12.453125" style="436" customWidth="1"/>
    <col min="14872" max="14872" width="12.26953125" style="436" bestFit="1" customWidth="1"/>
    <col min="14873" max="15110" width="9.1796875" style="436"/>
    <col min="15111" max="15113" width="10.26953125" style="436" bestFit="1" customWidth="1"/>
    <col min="15114" max="15114" width="11.453125" style="436" bestFit="1" customWidth="1"/>
    <col min="15115" max="15115" width="3" style="436" customWidth="1"/>
    <col min="15116" max="15116" width="9.1796875" style="436"/>
    <col min="15117" max="15117" width="11" style="436" bestFit="1" customWidth="1"/>
    <col min="15118" max="15118" width="9.1796875" style="436"/>
    <col min="15119" max="15119" width="5" style="436" customWidth="1"/>
    <col min="15120" max="15120" width="9.1796875" style="436"/>
    <col min="15121" max="15121" width="11" style="436" bestFit="1" customWidth="1"/>
    <col min="15122" max="15122" width="11" style="436" customWidth="1"/>
    <col min="15123" max="15123" width="12" style="436" bestFit="1" customWidth="1"/>
    <col min="15124" max="15124" width="2.54296875" style="436" customWidth="1"/>
    <col min="15125" max="15125" width="10.26953125" style="436" bestFit="1" customWidth="1"/>
    <col min="15126" max="15126" width="12.453125" style="436" bestFit="1" customWidth="1"/>
    <col min="15127" max="15127" width="12.453125" style="436" customWidth="1"/>
    <col min="15128" max="15128" width="12.26953125" style="436" bestFit="1" customWidth="1"/>
    <col min="15129" max="15366" width="9.1796875" style="436"/>
    <col min="15367" max="15369" width="10.26953125" style="436" bestFit="1" customWidth="1"/>
    <col min="15370" max="15370" width="11.453125" style="436" bestFit="1" customWidth="1"/>
    <col min="15371" max="15371" width="3" style="436" customWidth="1"/>
    <col min="15372" max="15372" width="9.1796875" style="436"/>
    <col min="15373" max="15373" width="11" style="436" bestFit="1" customWidth="1"/>
    <col min="15374" max="15374" width="9.1796875" style="436"/>
    <col min="15375" max="15375" width="5" style="436" customWidth="1"/>
    <col min="15376" max="15376" width="9.1796875" style="436"/>
    <col min="15377" max="15377" width="11" style="436" bestFit="1" customWidth="1"/>
    <col min="15378" max="15378" width="11" style="436" customWidth="1"/>
    <col min="15379" max="15379" width="12" style="436" bestFit="1" customWidth="1"/>
    <col min="15380" max="15380" width="2.54296875" style="436" customWidth="1"/>
    <col min="15381" max="15381" width="10.26953125" style="436" bestFit="1" customWidth="1"/>
    <col min="15382" max="15382" width="12.453125" style="436" bestFit="1" customWidth="1"/>
    <col min="15383" max="15383" width="12.453125" style="436" customWidth="1"/>
    <col min="15384" max="15384" width="12.26953125" style="436" bestFit="1" customWidth="1"/>
    <col min="15385" max="15622" width="9.1796875" style="436"/>
    <col min="15623" max="15625" width="10.26953125" style="436" bestFit="1" customWidth="1"/>
    <col min="15626" max="15626" width="11.453125" style="436" bestFit="1" customWidth="1"/>
    <col min="15627" max="15627" width="3" style="436" customWidth="1"/>
    <col min="15628" max="15628" width="9.1796875" style="436"/>
    <col min="15629" max="15629" width="11" style="436" bestFit="1" customWidth="1"/>
    <col min="15630" max="15630" width="9.1796875" style="436"/>
    <col min="15631" max="15631" width="5" style="436" customWidth="1"/>
    <col min="15632" max="15632" width="9.1796875" style="436"/>
    <col min="15633" max="15633" width="11" style="436" bestFit="1" customWidth="1"/>
    <col min="15634" max="15634" width="11" style="436" customWidth="1"/>
    <col min="15635" max="15635" width="12" style="436" bestFit="1" customWidth="1"/>
    <col min="15636" max="15636" width="2.54296875" style="436" customWidth="1"/>
    <col min="15637" max="15637" width="10.26953125" style="436" bestFit="1" customWidth="1"/>
    <col min="15638" max="15638" width="12.453125" style="436" bestFit="1" customWidth="1"/>
    <col min="15639" max="15639" width="12.453125" style="436" customWidth="1"/>
    <col min="15640" max="15640" width="12.26953125" style="436" bestFit="1" customWidth="1"/>
    <col min="15641" max="15878" width="9.1796875" style="436"/>
    <col min="15879" max="15881" width="10.26953125" style="436" bestFit="1" customWidth="1"/>
    <col min="15882" max="15882" width="11.453125" style="436" bestFit="1" customWidth="1"/>
    <col min="15883" max="15883" width="3" style="436" customWidth="1"/>
    <col min="15884" max="15884" width="9.1796875" style="436"/>
    <col min="15885" max="15885" width="11" style="436" bestFit="1" customWidth="1"/>
    <col min="15886" max="15886" width="9.1796875" style="436"/>
    <col min="15887" max="15887" width="5" style="436" customWidth="1"/>
    <col min="15888" max="15888" width="9.1796875" style="436"/>
    <col min="15889" max="15889" width="11" style="436" bestFit="1" customWidth="1"/>
    <col min="15890" max="15890" width="11" style="436" customWidth="1"/>
    <col min="15891" max="15891" width="12" style="436" bestFit="1" customWidth="1"/>
    <col min="15892" max="15892" width="2.54296875" style="436" customWidth="1"/>
    <col min="15893" max="15893" width="10.26953125" style="436" bestFit="1" customWidth="1"/>
    <col min="15894" max="15894" width="12.453125" style="436" bestFit="1" customWidth="1"/>
    <col min="15895" max="15895" width="12.453125" style="436" customWidth="1"/>
    <col min="15896" max="15896" width="12.26953125" style="436" bestFit="1" customWidth="1"/>
    <col min="15897" max="16134" width="9.1796875" style="436"/>
    <col min="16135" max="16137" width="10.26953125" style="436" bestFit="1" customWidth="1"/>
    <col min="16138" max="16138" width="11.453125" style="436" bestFit="1" customWidth="1"/>
    <col min="16139" max="16139" width="3" style="436" customWidth="1"/>
    <col min="16140" max="16140" width="9.1796875" style="436"/>
    <col min="16141" max="16141" width="11" style="436" bestFit="1" customWidth="1"/>
    <col min="16142" max="16142" width="9.1796875" style="436"/>
    <col min="16143" max="16143" width="5" style="436" customWidth="1"/>
    <col min="16144" max="16144" width="9.1796875" style="436"/>
    <col min="16145" max="16145" width="11" style="436" bestFit="1" customWidth="1"/>
    <col min="16146" max="16146" width="11" style="436" customWidth="1"/>
    <col min="16147" max="16147" width="12" style="436" bestFit="1" customWidth="1"/>
    <col min="16148" max="16148" width="2.54296875" style="436" customWidth="1"/>
    <col min="16149" max="16149" width="10.26953125" style="436" bestFit="1" customWidth="1"/>
    <col min="16150" max="16150" width="12.453125" style="436" bestFit="1" customWidth="1"/>
    <col min="16151" max="16151" width="12.453125" style="436" customWidth="1"/>
    <col min="16152" max="16152" width="12.26953125" style="436" bestFit="1" customWidth="1"/>
    <col min="16153" max="16384" width="9.1796875" style="436"/>
  </cols>
  <sheetData>
    <row r="1" spans="1:19" ht="23.5">
      <c r="A1" s="435" t="s">
        <v>296</v>
      </c>
    </row>
    <row r="2" spans="1:19" ht="23.5">
      <c r="A2" s="435"/>
    </row>
    <row r="3" spans="1:19" ht="13">
      <c r="G3" s="489" t="s">
        <v>297</v>
      </c>
    </row>
    <row r="4" spans="1:19" ht="14">
      <c r="C4" s="440"/>
      <c r="D4" s="440" t="s">
        <v>269</v>
      </c>
      <c r="E4" s="440" t="s">
        <v>269</v>
      </c>
      <c r="F4" s="440" t="s">
        <v>269</v>
      </c>
      <c r="G4" s="476" t="s">
        <v>298</v>
      </c>
      <c r="H4" s="441" t="s">
        <v>307</v>
      </c>
      <c r="J4" s="439"/>
      <c r="N4" s="441"/>
    </row>
    <row r="5" spans="1:19" ht="14">
      <c r="C5" s="442"/>
      <c r="D5" s="490">
        <v>2020</v>
      </c>
      <c r="E5" s="490">
        <v>2021</v>
      </c>
      <c r="F5" s="490">
        <v>2022</v>
      </c>
      <c r="G5" s="438" t="s">
        <v>43</v>
      </c>
      <c r="H5" s="443" t="s">
        <v>272</v>
      </c>
      <c r="J5" s="438" t="s">
        <v>16</v>
      </c>
      <c r="K5" s="478" t="s">
        <v>72</v>
      </c>
      <c r="L5" s="439"/>
      <c r="N5" s="443"/>
    </row>
    <row r="6" spans="1:19" ht="15.5">
      <c r="A6" s="445" t="s">
        <v>273</v>
      </c>
      <c r="C6" s="442"/>
      <c r="D6" s="438"/>
      <c r="E6" s="438"/>
      <c r="G6" s="438"/>
      <c r="H6" s="438"/>
      <c r="J6" s="439"/>
      <c r="N6" s="443"/>
    </row>
    <row r="7" spans="1:19" ht="14">
      <c r="A7" s="446" t="s">
        <v>274</v>
      </c>
      <c r="B7" s="447"/>
      <c r="G7" s="438"/>
      <c r="H7" s="438"/>
      <c r="J7" s="448"/>
      <c r="K7" s="376"/>
      <c r="L7" s="376"/>
    </row>
    <row r="8" spans="1:19" ht="14">
      <c r="A8" s="449"/>
      <c r="B8" s="436" t="s">
        <v>275</v>
      </c>
      <c r="C8" s="450"/>
      <c r="D8" s="376">
        <f>'[53]PricingDashboard - MUNI_SHARE p'!$AN$5+[54]Sheet1!$F$6+[55]Sheet1!$G$5</f>
        <v>23168.284330477756</v>
      </c>
      <c r="E8" s="376">
        <f>'[56]PricingDashboard - MUNI_SHARE p'!$AR$5+[55]Sheet1!$G$5</f>
        <v>24043.737131886912</v>
      </c>
      <c r="F8" s="376">
        <f>'[57]PricingDashboard - MUNI_SHARE p'!$AP$5</f>
        <v>22754.984343056662</v>
      </c>
      <c r="G8" s="376">
        <f>AVERAGE(D8:F8)</f>
        <v>23322.335268473777</v>
      </c>
      <c r="H8" s="376">
        <f>'2023-2024 Recy. Tons &amp; Revenue'!G98</f>
        <v>25932.569371898942</v>
      </c>
      <c r="J8" s="448"/>
      <c r="K8" s="376"/>
      <c r="L8" s="376"/>
      <c r="N8" s="450"/>
    </row>
    <row r="9" spans="1:19" ht="14">
      <c r="A9" s="449"/>
      <c r="B9" s="436" t="s">
        <v>276</v>
      </c>
      <c r="C9" s="450"/>
      <c r="D9" s="376">
        <f>'[53]PricingDashboard - MUNI_SHARE p'!$AN$3+[54]Sheet1!$F$4+[55]Sheet1!$G$3</f>
        <v>29503.507684049931</v>
      </c>
      <c r="E9" s="376">
        <f>'[56]PricingDashboard - MUNI_SHARE p'!$AR$3+[55]Sheet1!$G$3</f>
        <v>28253.848038413016</v>
      </c>
      <c r="F9" s="376">
        <f>'[57]PricingDashboard - MUNI_SHARE p'!$AP$3</f>
        <v>28645.621689050986</v>
      </c>
      <c r="G9" s="376">
        <f t="shared" ref="G9:G10" si="0">AVERAGE(D9:F9)</f>
        <v>28800.992470504643</v>
      </c>
      <c r="H9" s="376">
        <f>+J9+K9</f>
        <v>52497.268783027954</v>
      </c>
      <c r="J9" s="63">
        <f>'[58]PricingDashboard - MUNI_SHARE p'!AT3</f>
        <v>42286.724431902854</v>
      </c>
      <c r="K9" s="63">
        <f>'[58]PricingDashboard - MUNI_SHARE p'!AU3</f>
        <v>10210.5443511251</v>
      </c>
      <c r="L9" s="63"/>
      <c r="N9" s="450"/>
    </row>
    <row r="10" spans="1:19" ht="17">
      <c r="A10" s="449"/>
      <c r="B10" s="436" t="s">
        <v>277</v>
      </c>
      <c r="C10" s="453"/>
      <c r="D10" s="391">
        <f>'[53]PricingDashboard - MUNI_SHARE p'!$AN$4+[54]Sheet1!$F$5+[55]Sheet1!$G$4</f>
        <v>55067.557410194931</v>
      </c>
      <c r="E10" s="391">
        <f>'[56]PricingDashboard - MUNI_SHARE p'!$AR$4+[55]Sheet1!$G$4</f>
        <v>58107.56104443589</v>
      </c>
      <c r="F10" s="391">
        <f>'[57]PricingDashboard - MUNI_SHARE p'!$AP$4</f>
        <v>56956.576603717796</v>
      </c>
      <c r="G10" s="391">
        <f t="shared" si="0"/>
        <v>56710.565019449539</v>
      </c>
      <c r="H10" s="391">
        <f>+J10+K10</f>
        <v>105764.31035326645</v>
      </c>
      <c r="J10" s="63">
        <f>'[58]PricingDashboard - MUNI_SHARE p'!AT4</f>
        <v>70978.705907315452</v>
      </c>
      <c r="K10" s="63">
        <f>'[58]PricingDashboard - MUNI_SHARE p'!AU4</f>
        <v>34785.604445951001</v>
      </c>
      <c r="L10" s="63"/>
      <c r="N10" s="456"/>
    </row>
    <row r="11" spans="1:19" ht="14">
      <c r="A11" s="457"/>
      <c r="B11" s="458" t="s">
        <v>278</v>
      </c>
      <c r="C11" s="459"/>
      <c r="D11" s="448">
        <f t="shared" ref="D11:G11" si="1">SUM(D8:D10)</f>
        <v>107739.34942472262</v>
      </c>
      <c r="E11" s="448">
        <f t="shared" si="1"/>
        <v>110405.14621473581</v>
      </c>
      <c r="F11" s="448">
        <f t="shared" si="1"/>
        <v>108357.18263582545</v>
      </c>
      <c r="G11" s="448">
        <f t="shared" si="1"/>
        <v>108833.89275842796</v>
      </c>
      <c r="H11" s="448">
        <f>SUM(H8:H10)</f>
        <v>184194.14850819335</v>
      </c>
      <c r="J11" s="448"/>
      <c r="K11" s="376"/>
      <c r="L11" s="376"/>
      <c r="N11" s="460"/>
    </row>
    <row r="12" spans="1:19" ht="14">
      <c r="A12" s="446" t="s">
        <v>279</v>
      </c>
      <c r="B12" s="447"/>
      <c r="D12" s="376"/>
      <c r="E12" s="376"/>
      <c r="F12" s="376"/>
      <c r="G12" s="376"/>
      <c r="H12" s="376"/>
      <c r="J12" s="448"/>
      <c r="K12" s="376"/>
      <c r="L12" s="376"/>
    </row>
    <row r="13" spans="1:19" ht="14">
      <c r="A13" s="449"/>
      <c r="B13" s="436" t="s">
        <v>280</v>
      </c>
      <c r="D13" s="376">
        <f>'[53]PricingDashboard - MUNI_SHARE p'!$AN$8+[54]Sheet1!$F$9+[55]Sheet1!$G$8</f>
        <v>3072.5247737547247</v>
      </c>
      <c r="E13" s="376">
        <f>'[56]PricingDashboard - MUNI_SHARE p'!$AR$8+[55]Sheet1!$G$8</f>
        <v>2857.2541207673794</v>
      </c>
      <c r="F13" s="376">
        <f>'[57]PricingDashboard - MUNI_SHARE p'!$AP$8</f>
        <v>3351.4613278582469</v>
      </c>
      <c r="G13" s="376">
        <f>AVERAGE(D13:F13)</f>
        <v>3093.7467407934505</v>
      </c>
      <c r="H13" s="376">
        <f>'2023-2024 Recy. Tons &amp; Revenue'!G129</f>
        <v>3241.4177463839942</v>
      </c>
      <c r="I13" s="450"/>
      <c r="J13" s="448"/>
      <c r="K13" s="376"/>
      <c r="L13" s="376"/>
      <c r="N13" s="450"/>
    </row>
    <row r="14" spans="1:19" ht="14">
      <c r="A14" s="449"/>
      <c r="B14" s="436" t="s">
        <v>281</v>
      </c>
      <c r="D14" s="376">
        <f>'[53]PricingDashboard - MUNI_SHARE p'!$AN$6+[54]Sheet1!$F$7+[55]Sheet1!$G$6</f>
        <v>34.550141849494473</v>
      </c>
      <c r="E14" s="376">
        <f>'[56]PricingDashboard - MUNI_SHARE p'!$AR$6+[55]Sheet1!$G$6</f>
        <v>22.322548177562577</v>
      </c>
      <c r="F14" s="376">
        <f>'[57]PricingDashboard - MUNI_SHARE p'!$AP$6</f>
        <v>30.109679487249728</v>
      </c>
      <c r="G14" s="376">
        <f t="shared" ref="G14:G15" si="2">AVERAGE(D14:F14)</f>
        <v>28.994123171435593</v>
      </c>
      <c r="H14" s="376">
        <f>+J14+K14</f>
        <v>43.803771005014845</v>
      </c>
      <c r="J14" s="63">
        <f>'[58]PricingDashboard - MUNI_SHARE p'!AT6</f>
        <v>40.668352592702114</v>
      </c>
      <c r="K14" s="63">
        <f>'[58]PricingDashboard - MUNI_SHARE p'!AU6</f>
        <v>3.1354184123127302</v>
      </c>
      <c r="L14" s="376"/>
      <c r="N14" s="450"/>
    </row>
    <row r="15" spans="1:19" ht="15">
      <c r="A15" s="449"/>
      <c r="B15" s="436" t="s">
        <v>282</v>
      </c>
      <c r="C15" s="463"/>
      <c r="D15" s="391">
        <f>'[53]PricingDashboard - MUNI_SHARE p'!$AN$7+[54]Sheet1!$F$8+[55]Sheet1!$G$7</f>
        <v>15928.47964360838</v>
      </c>
      <c r="E15" s="391">
        <f>'[56]PricingDashboard - MUNI_SHARE p'!$AR$7+[55]Sheet1!$G$7</f>
        <v>14321.956931852954</v>
      </c>
      <c r="F15" s="391">
        <f>'[57]PricingDashboard - MUNI_SHARE p'!$AP$7</f>
        <v>16251.50297132312</v>
      </c>
      <c r="G15" s="391">
        <f t="shared" si="2"/>
        <v>15500.646515594817</v>
      </c>
      <c r="H15" s="391">
        <f>+J15+K15</f>
        <v>25509.310504442565</v>
      </c>
      <c r="J15" s="63">
        <f>'[58]PricingDashboard - MUNI_SHARE p'!AT7</f>
        <v>25063.137096178536</v>
      </c>
      <c r="K15" s="63">
        <f>'[58]PricingDashboard - MUNI_SHARE p'!AU7</f>
        <v>446.17340826402801</v>
      </c>
      <c r="L15" s="376"/>
      <c r="N15" s="456"/>
    </row>
    <row r="16" spans="1:19" ht="14">
      <c r="A16" s="457"/>
      <c r="B16" s="447" t="s">
        <v>283</v>
      </c>
      <c r="C16" s="464"/>
      <c r="D16" s="448">
        <f>SUM(D13:D15)</f>
        <v>19035.5545592126</v>
      </c>
      <c r="E16" s="448">
        <f>SUM(E13:E15)</f>
        <v>17201.533600797895</v>
      </c>
      <c r="F16" s="448">
        <f>SUM(F13:F15)</f>
        <v>19633.073978668617</v>
      </c>
      <c r="G16" s="448">
        <f>SUM(G13:G15)</f>
        <v>18623.387379559703</v>
      </c>
      <c r="H16" s="448">
        <f t="shared" ref="H16" si="3">SUM(H13:H15)</f>
        <v>28794.532021831576</v>
      </c>
      <c r="L16" s="376"/>
      <c r="N16" s="460"/>
      <c r="R16" s="57"/>
      <c r="S16" s="376"/>
    </row>
    <row r="17" spans="1:21" ht="14">
      <c r="A17" s="466" t="s">
        <v>284</v>
      </c>
      <c r="B17" s="467"/>
      <c r="C17" s="468"/>
      <c r="D17" s="491">
        <f>+D16+D11</f>
        <v>126774.90398393522</v>
      </c>
      <c r="E17" s="491">
        <f>+E16+E11</f>
        <v>127606.6798155337</v>
      </c>
      <c r="F17" s="491">
        <f>+F16+F11</f>
        <v>127990.25661449406</v>
      </c>
      <c r="G17" s="491">
        <f>+G16+G11</f>
        <v>127457.28013798766</v>
      </c>
      <c r="H17" s="491">
        <f t="shared" ref="H17" si="4">+H16+H11</f>
        <v>212988.68053002493</v>
      </c>
      <c r="L17" s="376"/>
      <c r="N17" s="469"/>
      <c r="R17" s="448"/>
      <c r="S17" s="376"/>
    </row>
    <row r="18" spans="1:21" ht="14">
      <c r="A18" s="466"/>
      <c r="B18" s="467"/>
      <c r="C18" s="459"/>
      <c r="D18" s="470"/>
      <c r="E18" s="470"/>
      <c r="F18" s="470"/>
      <c r="G18" s="470"/>
      <c r="H18" s="470"/>
      <c r="L18" s="376"/>
      <c r="N18" s="470"/>
      <c r="R18" s="448"/>
      <c r="S18" s="376"/>
    </row>
    <row r="19" spans="1:21" ht="14">
      <c r="A19" s="471"/>
      <c r="B19" s="472" t="s">
        <v>285</v>
      </c>
      <c r="C19" s="468"/>
      <c r="D19" s="491">
        <f>+D8+D9+D13+D14</f>
        <v>55778.86693013191</v>
      </c>
      <c r="E19" s="491">
        <f>+E8+E9+E13+E14</f>
        <v>55177.161839244873</v>
      </c>
      <c r="F19" s="491">
        <f>+F8+F9+F13+F14</f>
        <v>54782.177039453149</v>
      </c>
      <c r="G19" s="491">
        <f>+G8+G9+G13+G14</f>
        <v>55246.068602943305</v>
      </c>
      <c r="H19" s="491">
        <f>+H8+H9+H13+H14</f>
        <v>81715.059672315896</v>
      </c>
      <c r="L19" s="376"/>
      <c r="N19" s="469"/>
      <c r="R19" s="448"/>
      <c r="S19" s="376"/>
    </row>
    <row r="20" spans="1:21" ht="14">
      <c r="A20" s="471"/>
      <c r="B20" s="472" t="s">
        <v>286</v>
      </c>
      <c r="C20" s="473"/>
      <c r="D20" s="474">
        <f>+D19/D17</f>
        <v>0.43998350759705679</v>
      </c>
      <c r="E20" s="474">
        <f>+E19/E17</f>
        <v>0.43240026242362978</v>
      </c>
      <c r="F20" s="474">
        <f>+F19/F17</f>
        <v>0.42801833896197866</v>
      </c>
      <c r="G20" s="474">
        <f>+G19/G17</f>
        <v>0.43344772886360722</v>
      </c>
      <c r="H20" s="474">
        <f>+H19/H17</f>
        <v>0.3836591666231603</v>
      </c>
      <c r="L20" s="376"/>
      <c r="N20" s="474"/>
      <c r="R20" s="448"/>
      <c r="S20" s="376"/>
    </row>
    <row r="22" spans="1:21" ht="13">
      <c r="B22" s="482" t="s">
        <v>299</v>
      </c>
      <c r="D22" s="376"/>
      <c r="E22" s="376"/>
      <c r="F22" s="376"/>
      <c r="G22" s="451" t="e">
        <f>AVERAGE(D22:F22)</f>
        <v>#DIV/0!</v>
      </c>
      <c r="H22" s="376">
        <f>+G31</f>
        <v>0</v>
      </c>
    </row>
    <row r="23" spans="1:21" ht="13">
      <c r="B23" s="482"/>
      <c r="E23" s="376"/>
      <c r="F23" s="376"/>
      <c r="H23" s="376"/>
    </row>
    <row r="24" spans="1:21" ht="13">
      <c r="B24" s="482" t="s">
        <v>300</v>
      </c>
      <c r="D24" s="462" t="e">
        <f>+D19*2000/D22</f>
        <v>#DIV/0!</v>
      </c>
      <c r="E24" s="462" t="e">
        <f>+E19*2000/E22</f>
        <v>#DIV/0!</v>
      </c>
      <c r="F24" s="462" t="e">
        <f>+F19*2000/F22</f>
        <v>#DIV/0!</v>
      </c>
      <c r="G24" s="462" t="e">
        <f>+G19*2000/G22</f>
        <v>#DIV/0!</v>
      </c>
      <c r="H24" s="462" t="e">
        <f>+H19*2000/H22/2</f>
        <v>#DIV/0!</v>
      </c>
      <c r="U24" s="480"/>
    </row>
    <row r="25" spans="1:21" ht="15.5">
      <c r="B25" s="445"/>
      <c r="H25" s="475"/>
      <c r="I25" s="475"/>
      <c r="K25" s="57"/>
      <c r="L25" s="376"/>
      <c r="M25" s="376"/>
      <c r="N25" s="376"/>
      <c r="U25" s="480"/>
    </row>
    <row r="26" spans="1:21" ht="15.5">
      <c r="A26" s="492" t="s">
        <v>301</v>
      </c>
      <c r="H26" s="548"/>
      <c r="I26" s="548"/>
      <c r="J26" s="548"/>
      <c r="K26" s="376"/>
      <c r="L26" s="549"/>
      <c r="M26" s="549"/>
      <c r="N26" s="549"/>
      <c r="U26" s="480"/>
    </row>
    <row r="27" spans="1:21" ht="13">
      <c r="G27" s="476" t="s">
        <v>288</v>
      </c>
      <c r="H27" s="476" t="s">
        <v>289</v>
      </c>
      <c r="I27" s="437"/>
      <c r="J27" s="376"/>
      <c r="K27" s="477"/>
      <c r="L27" s="477"/>
      <c r="M27" s="57"/>
      <c r="N27" s="57"/>
      <c r="U27" s="480"/>
    </row>
    <row r="28" spans="1:21" ht="13">
      <c r="G28" s="438" t="s">
        <v>87</v>
      </c>
      <c r="H28" s="438" t="s">
        <v>87</v>
      </c>
      <c r="I28" s="478" t="s">
        <v>71</v>
      </c>
      <c r="J28" s="376"/>
      <c r="K28" s="438" t="s">
        <v>16</v>
      </c>
      <c r="L28" s="478" t="s">
        <v>72</v>
      </c>
      <c r="M28" s="479"/>
      <c r="N28" s="479"/>
      <c r="U28" s="480"/>
    </row>
    <row r="29" spans="1:21">
      <c r="B29" s="436" t="s">
        <v>311</v>
      </c>
      <c r="G29" s="480">
        <f>'Customer Counts - Enspire'!G8+'Customer Counts - Enspire'!H8</f>
        <v>94236</v>
      </c>
      <c r="H29" s="480">
        <f>+K29+L29</f>
        <v>44944</v>
      </c>
      <c r="I29" s="450">
        <f>+H29+G29</f>
        <v>139180</v>
      </c>
      <c r="J29" s="376"/>
      <c r="K29" s="63">
        <f>1539+105+845+2501+32376</f>
        <v>37366</v>
      </c>
      <c r="L29" s="63">
        <v>7578</v>
      </c>
      <c r="M29" s="63"/>
      <c r="N29" s="63"/>
      <c r="U29" s="480"/>
    </row>
    <row r="30" spans="1:21">
      <c r="G30" s="480"/>
      <c r="H30" s="480"/>
      <c r="I30" s="450">
        <f t="shared" ref="I30:I31" si="5">+H30+G30</f>
        <v>0</v>
      </c>
      <c r="J30" s="376"/>
      <c r="K30" s="63"/>
      <c r="L30" s="63"/>
      <c r="M30" s="63"/>
      <c r="N30" s="63"/>
      <c r="U30" s="480"/>
    </row>
    <row r="31" spans="1:21">
      <c r="B31" s="436" t="s">
        <v>310</v>
      </c>
      <c r="G31" s="480">
        <f>'Customer Counts - Enspire'!G29+'Customer Counts - Enspire'!H29</f>
        <v>0</v>
      </c>
      <c r="H31" s="480">
        <f>+K31+L31</f>
        <v>47625</v>
      </c>
      <c r="I31" s="450">
        <f t="shared" si="5"/>
        <v>47625</v>
      </c>
      <c r="J31" s="376"/>
      <c r="K31" s="63">
        <f>1593+130+1066+2791+33754</f>
        <v>39334</v>
      </c>
      <c r="L31" s="63">
        <v>8291</v>
      </c>
      <c r="M31" s="63"/>
      <c r="N31" s="63"/>
      <c r="U31" s="480"/>
    </row>
    <row r="32" spans="1:21">
      <c r="J32" s="376"/>
      <c r="K32" s="376"/>
      <c r="L32" s="376"/>
      <c r="M32" s="376"/>
      <c r="N32" s="376"/>
      <c r="U32" s="480"/>
    </row>
    <row r="33" spans="1:21" ht="13">
      <c r="B33" s="482" t="s">
        <v>291</v>
      </c>
      <c r="C33" s="482"/>
      <c r="D33" s="482"/>
      <c r="E33" s="482"/>
      <c r="F33" s="482"/>
      <c r="G33" s="483">
        <f>+G31/G29-1</f>
        <v>-1</v>
      </c>
      <c r="H33" s="483">
        <f>+H31/H29-1</f>
        <v>5.9652011391954529E-2</v>
      </c>
      <c r="I33" s="483">
        <f>+I31/I29-1</f>
        <v>-0.65781721511711455</v>
      </c>
      <c r="J33" s="376"/>
      <c r="K33" s="376"/>
      <c r="L33" s="376"/>
      <c r="M33" s="376"/>
      <c r="N33" s="376"/>
      <c r="U33" s="480"/>
    </row>
    <row r="34" spans="1:21" ht="14.5">
      <c r="B34" s="482"/>
      <c r="G34" s="493"/>
      <c r="H34" s="493"/>
      <c r="M34" s="493"/>
    </row>
    <row r="36" spans="1:21" ht="15">
      <c r="A36" s="484" t="s">
        <v>292</v>
      </c>
    </row>
    <row r="37" spans="1:21" ht="15">
      <c r="A37" s="484"/>
    </row>
    <row r="38" spans="1:21" ht="86.25" customHeight="1">
      <c r="A38" s="550" t="s">
        <v>302</v>
      </c>
      <c r="B38" s="547"/>
      <c r="C38" s="547"/>
      <c r="D38" s="547"/>
      <c r="E38" s="547"/>
      <c r="F38" s="547"/>
      <c r="G38" s="547"/>
      <c r="H38" s="547"/>
      <c r="I38" s="547"/>
      <c r="J38" s="547"/>
      <c r="K38" s="547"/>
      <c r="L38" s="547"/>
      <c r="M38" s="547"/>
      <c r="N38" s="547"/>
    </row>
    <row r="39" spans="1:21" ht="15.5">
      <c r="A39" s="485"/>
    </row>
    <row r="40" spans="1:21" ht="52.5" customHeight="1">
      <c r="A40" s="550" t="s">
        <v>303</v>
      </c>
      <c r="B40" s="547"/>
      <c r="C40" s="547"/>
      <c r="D40" s="547"/>
      <c r="E40" s="547"/>
      <c r="F40" s="547"/>
      <c r="G40" s="547"/>
      <c r="H40" s="547"/>
      <c r="I40" s="547"/>
      <c r="J40" s="547"/>
      <c r="K40" s="547"/>
      <c r="L40" s="547"/>
      <c r="M40" s="547"/>
      <c r="N40" s="547"/>
    </row>
    <row r="41" spans="1:21" ht="15.5">
      <c r="A41" s="485"/>
    </row>
    <row r="42" spans="1:21" ht="15.5">
      <c r="A42" s="485" t="s">
        <v>293</v>
      </c>
    </row>
    <row r="43" spans="1:21" ht="15.5">
      <c r="A43" s="485"/>
    </row>
    <row r="44" spans="1:21" ht="97.5" customHeight="1">
      <c r="A44" s="551" t="s">
        <v>304</v>
      </c>
      <c r="B44" s="552"/>
      <c r="C44" s="552"/>
      <c r="D44" s="552"/>
      <c r="E44" s="552"/>
      <c r="F44" s="552"/>
      <c r="G44" s="552"/>
      <c r="H44" s="552"/>
      <c r="I44" s="552"/>
      <c r="J44" s="552"/>
      <c r="K44" s="552"/>
      <c r="L44" s="552"/>
      <c r="M44" s="552"/>
      <c r="N44" s="552"/>
    </row>
    <row r="45" spans="1:21" ht="51.75" customHeight="1">
      <c r="A45" s="546" t="s">
        <v>305</v>
      </c>
      <c r="B45" s="547"/>
      <c r="C45" s="547"/>
      <c r="D45" s="547"/>
      <c r="E45" s="547"/>
      <c r="F45" s="547"/>
      <c r="G45" s="547"/>
      <c r="H45" s="547"/>
      <c r="I45" s="547"/>
      <c r="J45" s="547"/>
      <c r="K45" s="547"/>
      <c r="L45" s="547"/>
      <c r="M45" s="547"/>
      <c r="N45" s="547"/>
    </row>
    <row r="46" spans="1:21" ht="15.5">
      <c r="A46" s="486"/>
    </row>
    <row r="47" spans="1:21" ht="87" customHeight="1">
      <c r="A47" s="546" t="s">
        <v>306</v>
      </c>
      <c r="B47" s="547"/>
      <c r="C47" s="547"/>
      <c r="D47" s="547"/>
      <c r="E47" s="547"/>
      <c r="F47" s="547"/>
      <c r="G47" s="547"/>
      <c r="H47" s="547"/>
      <c r="I47" s="547"/>
      <c r="J47" s="547"/>
      <c r="K47" s="547"/>
      <c r="L47" s="547"/>
      <c r="M47" s="547"/>
      <c r="N47" s="547"/>
    </row>
    <row r="49" spans="1:14" ht="66" customHeight="1">
      <c r="A49" s="546" t="s">
        <v>313</v>
      </c>
      <c r="B49" s="547"/>
      <c r="C49" s="547"/>
      <c r="D49" s="547"/>
      <c r="E49" s="547"/>
      <c r="F49" s="547"/>
      <c r="G49" s="547"/>
      <c r="H49" s="547"/>
      <c r="I49" s="547"/>
      <c r="J49" s="547"/>
      <c r="K49" s="547"/>
      <c r="L49" s="547"/>
      <c r="M49" s="547"/>
      <c r="N49" s="547"/>
    </row>
  </sheetData>
  <mergeCells count="8">
    <mergeCell ref="A47:N47"/>
    <mergeCell ref="A49:N49"/>
    <mergeCell ref="H26:J26"/>
    <mergeCell ref="L26:N26"/>
    <mergeCell ref="A38:N38"/>
    <mergeCell ref="A40:N40"/>
    <mergeCell ref="A44:N44"/>
    <mergeCell ref="A45:N4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D8D6-1F5E-4A1F-9DE9-60D42BA4145A}">
  <dimension ref="A1:IU83"/>
  <sheetViews>
    <sheetView tabSelected="1" workbookViewId="0">
      <selection activeCell="J10" sqref="J10"/>
    </sheetView>
  </sheetViews>
  <sheetFormatPr defaultColWidth="9.1796875" defaultRowHeight="14.5"/>
  <cols>
    <col min="1" max="1" width="4.54296875" style="289" customWidth="1"/>
    <col min="2" max="2" width="27.26953125" style="289" customWidth="1"/>
    <col min="3" max="3" width="8.26953125" style="289" bestFit="1" customWidth="1"/>
    <col min="4" max="4" width="11.7265625" style="289" bestFit="1" customWidth="1"/>
    <col min="5" max="5" width="11.1796875" style="291" bestFit="1" customWidth="1"/>
    <col min="6" max="6" width="12.7265625" style="289" bestFit="1" customWidth="1"/>
    <col min="7" max="7" width="11" style="289" bestFit="1" customWidth="1"/>
    <col min="8" max="8" width="10" style="289" bestFit="1" customWidth="1"/>
    <col min="9" max="9" width="12.7265625" style="289" bestFit="1" customWidth="1"/>
    <col min="10" max="10" width="10.7265625" style="289" bestFit="1" customWidth="1"/>
    <col min="11" max="11" width="9.54296875" style="289" bestFit="1" customWidth="1"/>
    <col min="12" max="12" width="12.7265625" style="289" bestFit="1" customWidth="1"/>
    <col min="13" max="13" width="7.7265625" style="289" customWidth="1"/>
    <col min="14" max="14" width="10.26953125" style="289" customWidth="1"/>
    <col min="15" max="15" width="9.81640625" style="289" customWidth="1"/>
    <col min="16" max="16" width="9.7265625" style="289" customWidth="1"/>
    <col min="17" max="17" width="8.81640625" style="289" customWidth="1"/>
    <col min="18" max="18" width="11" style="290" bestFit="1" customWidth="1"/>
    <col min="19" max="19" width="9.1796875" style="289"/>
    <col min="20" max="20" width="14.1796875" style="289" bestFit="1" customWidth="1"/>
    <col min="21" max="21" width="9.1796875" style="289"/>
    <col min="22" max="22" width="12.7265625" style="289" bestFit="1" customWidth="1"/>
    <col min="23" max="23" width="9.7265625" style="289" bestFit="1" customWidth="1"/>
    <col min="24" max="16384" width="9.1796875" style="289"/>
  </cols>
  <sheetData>
    <row r="1" spans="1:255" ht="22.5">
      <c r="A1" s="524" t="s">
        <v>202</v>
      </c>
      <c r="B1" s="524"/>
      <c r="C1" s="524"/>
      <c r="D1" s="524"/>
      <c r="E1" s="524"/>
      <c r="F1" s="524"/>
      <c r="G1" s="524"/>
      <c r="H1" s="524"/>
      <c r="I1" s="524"/>
      <c r="J1" s="524"/>
      <c r="K1" s="524"/>
      <c r="L1" s="524"/>
    </row>
    <row r="2" spans="1:255" ht="15" thickBot="1"/>
    <row r="3" spans="1:255" ht="16" thickBot="1">
      <c r="A3" s="292"/>
      <c r="B3" s="293"/>
      <c r="C3" s="294"/>
      <c r="D3" s="525" t="s">
        <v>203</v>
      </c>
      <c r="E3" s="526"/>
      <c r="F3" s="527"/>
      <c r="G3" s="525" t="s">
        <v>204</v>
      </c>
      <c r="H3" s="526"/>
      <c r="I3" s="527"/>
      <c r="J3" s="525" t="s">
        <v>205</v>
      </c>
      <c r="K3" s="526"/>
      <c r="L3" s="527"/>
      <c r="M3" s="295"/>
      <c r="N3" s="518"/>
      <c r="O3" s="518"/>
      <c r="P3" s="518"/>
      <c r="Q3" s="295"/>
      <c r="R3" s="296"/>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I3" s="295"/>
      <c r="DJ3" s="295"/>
      <c r="DK3" s="295"/>
      <c r="DL3" s="295"/>
      <c r="DM3" s="295"/>
      <c r="DN3" s="295"/>
      <c r="DO3" s="295"/>
      <c r="DP3" s="295"/>
      <c r="DQ3" s="295"/>
      <c r="DR3" s="295"/>
      <c r="DS3" s="295"/>
      <c r="DT3" s="295"/>
      <c r="DU3" s="295"/>
      <c r="DV3" s="295"/>
      <c r="DW3" s="295"/>
      <c r="DX3" s="295"/>
      <c r="DY3" s="295"/>
      <c r="DZ3" s="295"/>
      <c r="EA3" s="295"/>
      <c r="EB3" s="295"/>
      <c r="EC3" s="295"/>
      <c r="ED3" s="295"/>
      <c r="EE3" s="295"/>
      <c r="EF3" s="295"/>
      <c r="EG3" s="295"/>
      <c r="EH3" s="295"/>
      <c r="EI3" s="295"/>
      <c r="EJ3" s="295"/>
      <c r="EK3" s="295"/>
      <c r="EL3" s="295"/>
      <c r="EM3" s="295"/>
      <c r="EN3" s="295"/>
      <c r="EO3" s="295"/>
      <c r="EP3" s="295"/>
      <c r="EQ3" s="295"/>
      <c r="ER3" s="295"/>
      <c r="ES3" s="295"/>
      <c r="ET3" s="295"/>
      <c r="EU3" s="295"/>
      <c r="EV3" s="295"/>
      <c r="EW3" s="295"/>
      <c r="EX3" s="295"/>
      <c r="EY3" s="295"/>
      <c r="EZ3" s="295"/>
      <c r="FA3" s="295"/>
      <c r="FB3" s="295"/>
      <c r="FC3" s="295"/>
      <c r="FD3" s="295"/>
      <c r="FE3" s="295"/>
      <c r="FF3" s="295"/>
      <c r="FG3" s="295"/>
      <c r="FH3" s="295"/>
      <c r="FI3" s="295"/>
      <c r="FJ3" s="295"/>
      <c r="FK3" s="295"/>
      <c r="FL3" s="295"/>
      <c r="FM3" s="295"/>
      <c r="FN3" s="295"/>
      <c r="FO3" s="295"/>
      <c r="FP3" s="295"/>
      <c r="FQ3" s="295"/>
      <c r="FR3" s="295"/>
      <c r="FS3" s="295"/>
      <c r="FT3" s="295"/>
      <c r="FU3" s="295"/>
      <c r="FV3" s="295"/>
      <c r="FW3" s="295"/>
      <c r="FX3" s="295"/>
      <c r="FY3" s="295"/>
      <c r="FZ3" s="295"/>
      <c r="GA3" s="295"/>
      <c r="GB3" s="295"/>
      <c r="GC3" s="295"/>
      <c r="GD3" s="295"/>
      <c r="GE3" s="295"/>
      <c r="GF3" s="295"/>
      <c r="GG3" s="295"/>
      <c r="GH3" s="295"/>
      <c r="GI3" s="295"/>
      <c r="GJ3" s="295"/>
      <c r="GK3" s="295"/>
      <c r="GL3" s="295"/>
      <c r="GM3" s="295"/>
      <c r="GN3" s="295"/>
      <c r="GO3" s="295"/>
      <c r="GP3" s="295"/>
      <c r="GQ3" s="295"/>
      <c r="GR3" s="295"/>
      <c r="GS3" s="295"/>
      <c r="GT3" s="295"/>
      <c r="GU3" s="295"/>
      <c r="GV3" s="295"/>
      <c r="GW3" s="295"/>
      <c r="GX3" s="295"/>
      <c r="GY3" s="295"/>
      <c r="GZ3" s="295"/>
      <c r="HA3" s="295"/>
      <c r="HB3" s="295"/>
      <c r="HC3" s="295"/>
      <c r="HD3" s="295"/>
      <c r="HE3" s="295"/>
      <c r="HF3" s="295"/>
      <c r="HG3" s="295"/>
      <c r="HH3" s="295"/>
      <c r="HI3" s="295"/>
      <c r="HJ3" s="295"/>
      <c r="HK3" s="295"/>
      <c r="HL3" s="295"/>
      <c r="HM3" s="295"/>
      <c r="HN3" s="295"/>
      <c r="HO3" s="295"/>
      <c r="HP3" s="295"/>
      <c r="HQ3" s="295"/>
      <c r="HR3" s="295"/>
      <c r="HS3" s="295"/>
      <c r="HT3" s="295"/>
      <c r="HU3" s="295"/>
      <c r="HV3" s="295"/>
      <c r="HW3" s="295"/>
      <c r="HX3" s="295"/>
      <c r="HY3" s="295"/>
      <c r="HZ3" s="295"/>
      <c r="IA3" s="295"/>
      <c r="IB3" s="295"/>
      <c r="IC3" s="295"/>
      <c r="ID3" s="295"/>
      <c r="IE3" s="295"/>
      <c r="IF3" s="295"/>
      <c r="IG3" s="295"/>
      <c r="IH3" s="295"/>
      <c r="II3" s="295"/>
      <c r="IJ3" s="295"/>
      <c r="IK3" s="295"/>
      <c r="IL3" s="295"/>
      <c r="IM3" s="295"/>
      <c r="IN3" s="295"/>
      <c r="IO3" s="295"/>
      <c r="IP3" s="295"/>
      <c r="IQ3" s="295"/>
      <c r="IR3" s="295"/>
      <c r="IS3" s="295"/>
      <c r="IT3" s="295"/>
      <c r="IU3" s="295"/>
    </row>
    <row r="4" spans="1:255" ht="16" thickBot="1">
      <c r="A4" s="519" t="s">
        <v>206</v>
      </c>
      <c r="B4" s="520"/>
      <c r="C4" s="521"/>
      <c r="D4" s="297" t="s">
        <v>207</v>
      </c>
      <c r="E4" s="298" t="s">
        <v>208</v>
      </c>
      <c r="F4" s="297" t="s">
        <v>209</v>
      </c>
      <c r="G4" s="297" t="s">
        <v>207</v>
      </c>
      <c r="H4" s="297" t="s">
        <v>208</v>
      </c>
      <c r="I4" s="297" t="s">
        <v>209</v>
      </c>
      <c r="J4" s="297" t="s">
        <v>207</v>
      </c>
      <c r="K4" s="297" t="s">
        <v>208</v>
      </c>
      <c r="L4" s="299" t="s">
        <v>209</v>
      </c>
      <c r="M4" s="295"/>
      <c r="N4" s="300"/>
      <c r="O4" s="300"/>
      <c r="P4" s="300"/>
      <c r="Q4" s="295"/>
      <c r="R4" s="296"/>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c r="BD4" s="295"/>
      <c r="BE4" s="295"/>
      <c r="BF4" s="295"/>
      <c r="BG4" s="295"/>
      <c r="BH4" s="295"/>
      <c r="BI4" s="295"/>
      <c r="BJ4" s="295"/>
      <c r="BK4" s="295"/>
      <c r="BL4" s="295"/>
      <c r="BM4" s="295"/>
      <c r="BN4" s="295"/>
      <c r="BO4" s="295"/>
      <c r="BP4" s="295"/>
      <c r="BQ4" s="295"/>
      <c r="BR4" s="295"/>
      <c r="BS4" s="295"/>
      <c r="BT4" s="295"/>
      <c r="BU4" s="295"/>
      <c r="BV4" s="295"/>
      <c r="BW4" s="295"/>
      <c r="BX4" s="295"/>
      <c r="BY4" s="295"/>
      <c r="BZ4" s="295"/>
      <c r="CA4" s="295"/>
      <c r="CB4" s="295"/>
      <c r="CC4" s="295"/>
      <c r="CD4" s="295"/>
      <c r="CE4" s="295"/>
      <c r="CF4" s="295"/>
      <c r="CG4" s="295"/>
      <c r="CH4" s="295"/>
      <c r="CI4" s="295"/>
      <c r="CJ4" s="295"/>
      <c r="CK4" s="295"/>
      <c r="CL4" s="295"/>
      <c r="CM4" s="295"/>
      <c r="CN4" s="295"/>
      <c r="CO4" s="295"/>
      <c r="CP4" s="295"/>
      <c r="CQ4" s="295"/>
      <c r="CR4" s="295"/>
      <c r="CS4" s="295"/>
      <c r="CT4" s="295"/>
      <c r="CU4" s="295"/>
      <c r="CV4" s="295"/>
      <c r="CW4" s="295"/>
      <c r="CX4" s="295"/>
      <c r="CY4" s="295"/>
      <c r="CZ4" s="295"/>
      <c r="DA4" s="295"/>
      <c r="DB4" s="295"/>
      <c r="DC4" s="295"/>
      <c r="DD4" s="295"/>
      <c r="DE4" s="295"/>
      <c r="DF4" s="295"/>
      <c r="DG4" s="295"/>
      <c r="DH4" s="295"/>
      <c r="DI4" s="295"/>
      <c r="DJ4" s="295"/>
      <c r="DK4" s="295"/>
      <c r="DL4" s="295"/>
      <c r="DM4" s="295"/>
      <c r="DN4" s="295"/>
      <c r="DO4" s="295"/>
      <c r="DP4" s="295"/>
      <c r="DQ4" s="295"/>
      <c r="DR4" s="295"/>
      <c r="DS4" s="295"/>
      <c r="DT4" s="295"/>
      <c r="DU4" s="295"/>
      <c r="DV4" s="295"/>
      <c r="DW4" s="295"/>
      <c r="DX4" s="295"/>
      <c r="DY4" s="295"/>
      <c r="DZ4" s="295"/>
      <c r="EA4" s="295"/>
      <c r="EB4" s="295"/>
      <c r="EC4" s="295"/>
      <c r="ED4" s="295"/>
      <c r="EE4" s="295"/>
      <c r="EF4" s="295"/>
      <c r="EG4" s="295"/>
      <c r="EH4" s="295"/>
      <c r="EI4" s="295"/>
      <c r="EJ4" s="295"/>
      <c r="EK4" s="295"/>
      <c r="EL4" s="295"/>
      <c r="EM4" s="295"/>
      <c r="EN4" s="295"/>
      <c r="EO4" s="295"/>
      <c r="EP4" s="295"/>
      <c r="EQ4" s="295"/>
      <c r="ER4" s="295"/>
      <c r="ES4" s="295"/>
      <c r="ET4" s="295"/>
      <c r="EU4" s="295"/>
      <c r="EV4" s="295"/>
      <c r="EW4" s="295"/>
      <c r="EX4" s="295"/>
      <c r="EY4" s="295"/>
      <c r="EZ4" s="295"/>
      <c r="FA4" s="295"/>
      <c r="FB4" s="295"/>
      <c r="FC4" s="295"/>
      <c r="FD4" s="295"/>
      <c r="FE4" s="295"/>
      <c r="FF4" s="295"/>
      <c r="FG4" s="295"/>
      <c r="FH4" s="295"/>
      <c r="FI4" s="295"/>
      <c r="FJ4" s="295"/>
      <c r="FK4" s="295"/>
      <c r="FL4" s="295"/>
      <c r="FM4" s="295"/>
      <c r="FN4" s="295"/>
      <c r="FO4" s="295"/>
      <c r="FP4" s="295"/>
      <c r="FQ4" s="295"/>
      <c r="FR4" s="295"/>
      <c r="FS4" s="295"/>
      <c r="FT4" s="295"/>
      <c r="FU4" s="295"/>
      <c r="FV4" s="295"/>
      <c r="FW4" s="295"/>
      <c r="FX4" s="295"/>
      <c r="FY4" s="295"/>
      <c r="FZ4" s="295"/>
      <c r="GA4" s="295"/>
      <c r="GB4" s="295"/>
      <c r="GC4" s="295"/>
      <c r="GD4" s="295"/>
      <c r="GE4" s="295"/>
      <c r="GF4" s="295"/>
      <c r="GG4" s="295"/>
      <c r="GH4" s="295"/>
      <c r="GI4" s="295"/>
      <c r="GJ4" s="295"/>
      <c r="GK4" s="295"/>
      <c r="GL4" s="295"/>
      <c r="GM4" s="295"/>
      <c r="GN4" s="295"/>
      <c r="GO4" s="295"/>
      <c r="GP4" s="295"/>
      <c r="GQ4" s="295"/>
      <c r="GR4" s="295"/>
      <c r="GS4" s="295"/>
      <c r="GT4" s="295"/>
      <c r="GU4" s="295"/>
      <c r="GV4" s="295"/>
      <c r="GW4" s="295"/>
      <c r="GX4" s="295"/>
      <c r="GY4" s="295"/>
      <c r="GZ4" s="295"/>
      <c r="HA4" s="295"/>
      <c r="HB4" s="295"/>
      <c r="HC4" s="295"/>
      <c r="HD4" s="295"/>
      <c r="HE4" s="295"/>
      <c r="HF4" s="295"/>
      <c r="HG4" s="295"/>
      <c r="HH4" s="295"/>
      <c r="HI4" s="295"/>
      <c r="HJ4" s="295"/>
      <c r="HK4" s="295"/>
      <c r="HL4" s="295"/>
      <c r="HM4" s="295"/>
      <c r="HN4" s="295"/>
      <c r="HO4" s="295"/>
      <c r="HP4" s="295"/>
      <c r="HQ4" s="295"/>
      <c r="HR4" s="295"/>
      <c r="HS4" s="295"/>
      <c r="HT4" s="295"/>
      <c r="HU4" s="295"/>
      <c r="HV4" s="295"/>
      <c r="HW4" s="295"/>
      <c r="HX4" s="295"/>
      <c r="HY4" s="295"/>
      <c r="HZ4" s="295"/>
      <c r="IA4" s="295"/>
      <c r="IB4" s="295"/>
      <c r="IC4" s="295"/>
      <c r="ID4" s="295"/>
      <c r="IE4" s="295"/>
      <c r="IF4" s="295"/>
      <c r="IG4" s="295"/>
      <c r="IH4" s="295"/>
      <c r="II4" s="295"/>
      <c r="IJ4" s="295"/>
      <c r="IK4" s="295"/>
      <c r="IL4" s="295"/>
      <c r="IM4" s="295"/>
      <c r="IN4" s="295"/>
      <c r="IO4" s="295"/>
      <c r="IP4" s="295"/>
      <c r="IQ4" s="295"/>
      <c r="IR4" s="295"/>
      <c r="IS4" s="295"/>
      <c r="IT4" s="295"/>
      <c r="IU4" s="295"/>
    </row>
    <row r="5" spans="1:255" ht="15.5">
      <c r="A5" s="301"/>
      <c r="B5" s="302"/>
      <c r="C5" s="303"/>
      <c r="D5" s="304"/>
      <c r="E5" s="305"/>
      <c r="F5" s="304"/>
      <c r="G5" s="304"/>
      <c r="H5" s="304"/>
      <c r="I5" s="304"/>
      <c r="J5" s="304"/>
      <c r="K5" s="304"/>
      <c r="L5" s="306"/>
      <c r="M5" s="307"/>
      <c r="N5" s="307"/>
      <c r="O5" s="307"/>
      <c r="P5" s="307"/>
      <c r="Q5" s="307"/>
      <c r="R5" s="308"/>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7"/>
      <c r="CT5" s="307"/>
      <c r="CU5" s="307"/>
      <c r="CV5" s="307"/>
      <c r="CW5" s="307"/>
      <c r="CX5" s="307"/>
      <c r="CY5" s="307"/>
      <c r="CZ5" s="307"/>
      <c r="DA5" s="307"/>
      <c r="DB5" s="307"/>
      <c r="DC5" s="307"/>
      <c r="DD5" s="307"/>
      <c r="DE5" s="307"/>
      <c r="DF5" s="307"/>
      <c r="DG5" s="307"/>
      <c r="DH5" s="307"/>
      <c r="DI5" s="307"/>
      <c r="DJ5" s="307"/>
      <c r="DK5" s="307"/>
      <c r="DL5" s="307"/>
      <c r="DM5" s="307"/>
      <c r="DN5" s="307"/>
      <c r="DO5" s="307"/>
      <c r="DP5" s="307"/>
      <c r="DQ5" s="307"/>
      <c r="DR5" s="307"/>
      <c r="DS5" s="307"/>
      <c r="DT5" s="307"/>
      <c r="DU5" s="307"/>
      <c r="DV5" s="307"/>
      <c r="DW5" s="307"/>
      <c r="DX5" s="307"/>
      <c r="DY5" s="307"/>
      <c r="DZ5" s="307"/>
      <c r="EA5" s="307"/>
      <c r="EB5" s="307"/>
      <c r="EC5" s="307"/>
      <c r="ED5" s="307"/>
      <c r="EE5" s="307"/>
      <c r="EF5" s="307"/>
      <c r="EG5" s="307"/>
      <c r="EH5" s="307"/>
      <c r="EI5" s="307"/>
      <c r="EJ5" s="307"/>
      <c r="EK5" s="307"/>
      <c r="EL5" s="307"/>
      <c r="EM5" s="307"/>
      <c r="EN5" s="307"/>
      <c r="EO5" s="307"/>
      <c r="EP5" s="307"/>
      <c r="EQ5" s="307"/>
      <c r="ER5" s="307"/>
      <c r="ES5" s="307"/>
      <c r="ET5" s="307"/>
      <c r="EU5" s="307"/>
      <c r="EV5" s="307"/>
      <c r="EW5" s="307"/>
      <c r="EX5" s="307"/>
      <c r="EY5" s="307"/>
      <c r="EZ5" s="307"/>
      <c r="FA5" s="307"/>
      <c r="FB5" s="307"/>
      <c r="FC5" s="307"/>
      <c r="FD5" s="307"/>
      <c r="FE5" s="307"/>
      <c r="FF5" s="307"/>
      <c r="FG5" s="307"/>
      <c r="FH5" s="307"/>
      <c r="FI5" s="307"/>
      <c r="FJ5" s="307"/>
      <c r="FK5" s="307"/>
      <c r="FL5" s="307"/>
      <c r="FM5" s="307"/>
      <c r="FN5" s="307"/>
      <c r="FO5" s="307"/>
      <c r="FP5" s="307"/>
      <c r="FQ5" s="307"/>
      <c r="FR5" s="307"/>
      <c r="FS5" s="307"/>
      <c r="FT5" s="307"/>
      <c r="FU5" s="307"/>
      <c r="FV5" s="307"/>
      <c r="FW5" s="307"/>
      <c r="FX5" s="307"/>
      <c r="FY5" s="307"/>
      <c r="FZ5" s="307"/>
      <c r="GA5" s="307"/>
      <c r="GB5" s="307"/>
      <c r="GC5" s="307"/>
      <c r="GD5" s="307"/>
      <c r="GE5" s="307"/>
      <c r="GF5" s="307"/>
      <c r="GG5" s="307"/>
      <c r="GH5" s="307"/>
      <c r="GI5" s="307"/>
      <c r="GJ5" s="307"/>
      <c r="GK5" s="307"/>
      <c r="GL5" s="307"/>
      <c r="GM5" s="307"/>
      <c r="GN5" s="307"/>
      <c r="GO5" s="307"/>
      <c r="GP5" s="307"/>
      <c r="GQ5" s="307"/>
      <c r="GR5" s="307"/>
      <c r="GS5" s="307"/>
      <c r="GT5" s="307"/>
      <c r="GU5" s="307"/>
      <c r="GV5" s="307"/>
      <c r="GW5" s="307"/>
      <c r="GX5" s="307"/>
      <c r="GY5" s="307"/>
      <c r="GZ5" s="307"/>
      <c r="HA5" s="307"/>
      <c r="HB5" s="307"/>
      <c r="HC5" s="307"/>
      <c r="HD5" s="307"/>
      <c r="HE5" s="307"/>
      <c r="HF5" s="307"/>
      <c r="HG5" s="307"/>
      <c r="HH5" s="307"/>
      <c r="HI5" s="307"/>
      <c r="HJ5" s="307"/>
      <c r="HK5" s="307"/>
      <c r="HL5" s="307"/>
      <c r="HM5" s="307"/>
      <c r="HN5" s="307"/>
      <c r="HO5" s="307"/>
      <c r="HP5" s="307"/>
      <c r="HQ5" s="307"/>
      <c r="HR5" s="307"/>
      <c r="HS5" s="307"/>
      <c r="HT5" s="307"/>
      <c r="HU5" s="307"/>
      <c r="HV5" s="307"/>
      <c r="HW5" s="307"/>
      <c r="HX5" s="307"/>
      <c r="HY5" s="307"/>
      <c r="HZ5" s="307"/>
      <c r="IA5" s="307"/>
      <c r="IB5" s="307"/>
      <c r="IC5" s="307"/>
      <c r="ID5" s="307"/>
      <c r="IE5" s="307"/>
      <c r="IF5" s="307"/>
      <c r="IG5" s="307"/>
      <c r="IH5" s="307"/>
      <c r="II5" s="307"/>
      <c r="IJ5" s="307"/>
      <c r="IK5" s="307"/>
      <c r="IL5" s="307"/>
      <c r="IM5" s="307"/>
      <c r="IN5" s="307"/>
      <c r="IO5" s="307"/>
      <c r="IP5" s="307"/>
      <c r="IQ5" s="307"/>
      <c r="IR5" s="307"/>
      <c r="IS5" s="307"/>
      <c r="IT5" s="307"/>
      <c r="IU5" s="307"/>
    </row>
    <row r="6" spans="1:255" ht="15.5">
      <c r="A6" s="309" t="s">
        <v>210</v>
      </c>
      <c r="B6" s="307"/>
      <c r="C6" s="310"/>
      <c r="D6" s="311">
        <f>+'Rebate (charge) Calculation'!G34</f>
        <v>1.476333293096721</v>
      </c>
      <c r="E6" s="312">
        <v>-0.34116806874471073</v>
      </c>
      <c r="F6" s="498">
        <f>(D6-E6)/E6</f>
        <v>-5.3272903543661698</v>
      </c>
      <c r="G6" s="314">
        <f>+'Rebate (charge) Calculation'!G76</f>
        <v>1.7023211101595523</v>
      </c>
      <c r="H6" s="312">
        <v>-0.31479954992115511</v>
      </c>
      <c r="I6" s="498">
        <f>(G6-H6)/H6</f>
        <v>-6.4076351461935603</v>
      </c>
      <c r="J6" s="314">
        <f>+'Rebate (charge) Calculation'!G115</f>
        <v>1.5762575162818198</v>
      </c>
      <c r="K6" s="315">
        <v>-0.18423938944688079</v>
      </c>
      <c r="L6" s="498">
        <f>(J6-K6)/K6</f>
        <v>-9.5554859957690024</v>
      </c>
      <c r="M6" s="307"/>
      <c r="N6" s="316"/>
      <c r="O6" s="316"/>
      <c r="P6" s="316"/>
      <c r="Q6" s="307"/>
      <c r="R6" s="308"/>
      <c r="S6" s="307"/>
      <c r="T6" s="317"/>
      <c r="U6" s="307"/>
      <c r="V6" s="31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307"/>
      <c r="BM6" s="307"/>
      <c r="BN6" s="307"/>
      <c r="BO6" s="307"/>
      <c r="BP6" s="307"/>
      <c r="BQ6" s="307"/>
      <c r="BR6" s="307"/>
      <c r="BS6" s="307"/>
      <c r="BT6" s="307"/>
      <c r="BU6" s="307"/>
      <c r="BV6" s="307"/>
      <c r="BW6" s="307"/>
      <c r="BX6" s="307"/>
      <c r="BY6" s="307"/>
      <c r="BZ6" s="307"/>
      <c r="CA6" s="307"/>
      <c r="CB6" s="307"/>
      <c r="CC6" s="307"/>
      <c r="CD6" s="307"/>
      <c r="CE6" s="307"/>
      <c r="CF6" s="307"/>
      <c r="CG6" s="307"/>
      <c r="CH6" s="307"/>
      <c r="CI6" s="307"/>
      <c r="CJ6" s="307"/>
      <c r="CK6" s="307"/>
      <c r="CL6" s="307"/>
      <c r="CM6" s="307"/>
      <c r="CN6" s="307"/>
      <c r="CO6" s="307"/>
      <c r="CP6" s="307"/>
      <c r="CQ6" s="307"/>
      <c r="CR6" s="307"/>
      <c r="CS6" s="307"/>
      <c r="CT6" s="307"/>
      <c r="CU6" s="307"/>
      <c r="CV6" s="307"/>
      <c r="CW6" s="307"/>
      <c r="CX6" s="307"/>
      <c r="CY6" s="307"/>
      <c r="CZ6" s="307"/>
      <c r="DA6" s="307"/>
      <c r="DB6" s="307"/>
      <c r="DC6" s="307"/>
      <c r="DD6" s="307"/>
      <c r="DE6" s="307"/>
      <c r="DF6" s="307"/>
      <c r="DG6" s="307"/>
      <c r="DH6" s="307"/>
      <c r="DI6" s="307"/>
      <c r="DJ6" s="307"/>
      <c r="DK6" s="307"/>
      <c r="DL6" s="307"/>
      <c r="DM6" s="307"/>
      <c r="DN6" s="307"/>
      <c r="DO6" s="307"/>
      <c r="DP6" s="307"/>
      <c r="DQ6" s="307"/>
      <c r="DR6" s="307"/>
      <c r="DS6" s="307"/>
      <c r="DT6" s="307"/>
      <c r="DU6" s="307"/>
      <c r="DV6" s="307"/>
      <c r="DW6" s="307"/>
      <c r="DX6" s="307"/>
      <c r="DY6" s="307"/>
      <c r="DZ6" s="307"/>
      <c r="EA6" s="307"/>
      <c r="EB6" s="307"/>
      <c r="EC6" s="307"/>
      <c r="ED6" s="307"/>
      <c r="EE6" s="307"/>
      <c r="EF6" s="307"/>
      <c r="EG6" s="307"/>
      <c r="EH6" s="307"/>
      <c r="EI6" s="307"/>
      <c r="EJ6" s="307"/>
      <c r="EK6" s="307"/>
      <c r="EL6" s="307"/>
      <c r="EM6" s="307"/>
      <c r="EN6" s="307"/>
      <c r="EO6" s="307"/>
      <c r="EP6" s="307"/>
      <c r="EQ6" s="307"/>
      <c r="ER6" s="307"/>
      <c r="ES6" s="307"/>
      <c r="ET6" s="307"/>
      <c r="EU6" s="307"/>
      <c r="EV6" s="307"/>
      <c r="EW6" s="307"/>
      <c r="EX6" s="307"/>
      <c r="EY6" s="307"/>
      <c r="EZ6" s="307"/>
      <c r="FA6" s="307"/>
      <c r="FB6" s="307"/>
      <c r="FC6" s="307"/>
      <c r="FD6" s="307"/>
      <c r="FE6" s="307"/>
      <c r="FF6" s="307"/>
      <c r="FG6" s="307"/>
      <c r="FH6" s="307"/>
      <c r="FI6" s="307"/>
      <c r="FJ6" s="307"/>
      <c r="FK6" s="307"/>
      <c r="FL6" s="307"/>
      <c r="FM6" s="307"/>
      <c r="FN6" s="307"/>
      <c r="FO6" s="307"/>
      <c r="FP6" s="307"/>
      <c r="FQ6" s="307"/>
      <c r="FR6" s="307"/>
      <c r="FS6" s="307"/>
      <c r="FT6" s="307"/>
      <c r="FU6" s="307"/>
      <c r="FV6" s="307"/>
      <c r="FW6" s="307"/>
      <c r="FX6" s="307"/>
      <c r="FY6" s="307"/>
      <c r="FZ6" s="307"/>
      <c r="GA6" s="307"/>
      <c r="GB6" s="307"/>
      <c r="GC6" s="307"/>
      <c r="GD6" s="307"/>
      <c r="GE6" s="307"/>
      <c r="GF6" s="307"/>
      <c r="GG6" s="307"/>
      <c r="GH6" s="307"/>
      <c r="GI6" s="307"/>
      <c r="GJ6" s="307"/>
      <c r="GK6" s="307"/>
      <c r="GL6" s="307"/>
      <c r="GM6" s="307"/>
      <c r="GN6" s="307"/>
      <c r="GO6" s="307"/>
      <c r="GP6" s="307"/>
      <c r="GQ6" s="307"/>
      <c r="GR6" s="307"/>
      <c r="GS6" s="307"/>
      <c r="GT6" s="307"/>
      <c r="GU6" s="307"/>
      <c r="GV6" s="307"/>
      <c r="GW6" s="307"/>
      <c r="GX6" s="307"/>
      <c r="GY6" s="307"/>
      <c r="GZ6" s="307"/>
      <c r="HA6" s="307"/>
      <c r="HB6" s="307"/>
      <c r="HC6" s="307"/>
      <c r="HD6" s="307"/>
      <c r="HE6" s="307"/>
      <c r="HF6" s="307"/>
      <c r="HG6" s="307"/>
      <c r="HH6" s="307"/>
      <c r="HI6" s="307"/>
      <c r="HJ6" s="307"/>
      <c r="HK6" s="307"/>
      <c r="HL6" s="307"/>
      <c r="HM6" s="307"/>
      <c r="HN6" s="307"/>
      <c r="HO6" s="307"/>
      <c r="HP6" s="307"/>
      <c r="HQ6" s="307"/>
      <c r="HR6" s="307"/>
      <c r="HS6" s="307"/>
      <c r="HT6" s="307"/>
      <c r="HU6" s="307"/>
      <c r="HV6" s="307"/>
      <c r="HW6" s="307"/>
      <c r="HX6" s="307"/>
      <c r="HY6" s="307"/>
      <c r="HZ6" s="307"/>
      <c r="IA6" s="307"/>
      <c r="IB6" s="307"/>
      <c r="IC6" s="307"/>
      <c r="ID6" s="307"/>
      <c r="IE6" s="307"/>
      <c r="IF6" s="307"/>
      <c r="IG6" s="307"/>
      <c r="IH6" s="307"/>
      <c r="II6" s="307"/>
      <c r="IJ6" s="307"/>
      <c r="IK6" s="307"/>
      <c r="IL6" s="307"/>
      <c r="IM6" s="307"/>
      <c r="IN6" s="307"/>
      <c r="IO6" s="307"/>
      <c r="IP6" s="307"/>
      <c r="IQ6" s="307"/>
      <c r="IR6" s="307"/>
      <c r="IS6" s="307"/>
      <c r="IT6" s="307"/>
      <c r="IU6" s="307"/>
    </row>
    <row r="7" spans="1:255" ht="15.5">
      <c r="A7" s="309"/>
      <c r="B7" s="307"/>
      <c r="C7" s="310" t="s">
        <v>74</v>
      </c>
      <c r="D7" s="311">
        <f>+'Rebate (charge) Calculation'!G39</f>
        <v>2.266333293096721</v>
      </c>
      <c r="E7" s="312">
        <v>1.8831931255289258E-2</v>
      </c>
      <c r="F7" s="498">
        <f>(D7-E7)/E7</f>
        <v>119.345240345978</v>
      </c>
      <c r="G7" s="312"/>
      <c r="H7" s="312"/>
      <c r="I7" s="313"/>
      <c r="J7" s="312"/>
      <c r="K7" s="312"/>
      <c r="L7" s="313"/>
      <c r="M7" s="307"/>
      <c r="N7" s="318"/>
      <c r="O7" s="318"/>
      <c r="P7" s="316"/>
      <c r="Q7" s="307"/>
      <c r="R7" s="308"/>
      <c r="S7" s="307"/>
      <c r="T7" s="317"/>
      <c r="U7" s="307"/>
      <c r="V7" s="31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c r="CT7" s="307"/>
      <c r="CU7" s="307"/>
      <c r="CV7" s="307"/>
      <c r="CW7" s="307"/>
      <c r="CX7" s="307"/>
      <c r="CY7" s="307"/>
      <c r="CZ7" s="307"/>
      <c r="DA7" s="307"/>
      <c r="DB7" s="307"/>
      <c r="DC7" s="307"/>
      <c r="DD7" s="307"/>
      <c r="DE7" s="307"/>
      <c r="DF7" s="307"/>
      <c r="DG7" s="307"/>
      <c r="DH7" s="307"/>
      <c r="DI7" s="307"/>
      <c r="DJ7" s="307"/>
      <c r="DK7" s="307"/>
      <c r="DL7" s="307"/>
      <c r="DM7" s="307"/>
      <c r="DN7" s="307"/>
      <c r="DO7" s="307"/>
      <c r="DP7" s="307"/>
      <c r="DQ7" s="307"/>
      <c r="DR7" s="307"/>
      <c r="DS7" s="307"/>
      <c r="DT7" s="307"/>
      <c r="DU7" s="307"/>
      <c r="DV7" s="307"/>
      <c r="DW7" s="307"/>
      <c r="DX7" s="307"/>
      <c r="DY7" s="307"/>
      <c r="DZ7" s="307"/>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c r="EZ7" s="307"/>
      <c r="FA7" s="307"/>
      <c r="FB7" s="307"/>
      <c r="FC7" s="307"/>
      <c r="FD7" s="307"/>
      <c r="FE7" s="307"/>
      <c r="FF7" s="307"/>
      <c r="FG7" s="307"/>
      <c r="FH7" s="307"/>
      <c r="FI7" s="307"/>
      <c r="FJ7" s="307"/>
      <c r="FK7" s="307"/>
      <c r="FL7" s="307"/>
      <c r="FM7" s="307"/>
      <c r="FN7" s="307"/>
      <c r="FO7" s="307"/>
      <c r="FP7" s="307"/>
      <c r="FQ7" s="307"/>
      <c r="FR7" s="307"/>
      <c r="FS7" s="307"/>
      <c r="FT7" s="307"/>
      <c r="FU7" s="307"/>
      <c r="FV7" s="307"/>
      <c r="FW7" s="307"/>
      <c r="FX7" s="307"/>
      <c r="FY7" s="307"/>
      <c r="FZ7" s="307"/>
      <c r="GA7" s="307"/>
      <c r="GB7" s="307"/>
      <c r="GC7" s="307"/>
      <c r="GD7" s="307"/>
      <c r="GE7" s="307"/>
      <c r="GF7" s="307"/>
      <c r="GG7" s="307"/>
      <c r="GH7" s="307"/>
      <c r="GI7" s="307"/>
      <c r="GJ7" s="307"/>
      <c r="GK7" s="307"/>
      <c r="GL7" s="307"/>
      <c r="GM7" s="307"/>
      <c r="GN7" s="307"/>
      <c r="GO7" s="307"/>
      <c r="GP7" s="307"/>
      <c r="GQ7" s="307"/>
      <c r="GR7" s="307"/>
      <c r="GS7" s="307"/>
      <c r="GT7" s="307"/>
      <c r="GU7" s="307"/>
      <c r="GV7" s="307"/>
      <c r="GW7" s="307"/>
      <c r="GX7" s="307"/>
      <c r="GY7" s="307"/>
      <c r="GZ7" s="307"/>
      <c r="HA7" s="307"/>
      <c r="HB7" s="307"/>
      <c r="HC7" s="307"/>
      <c r="HD7" s="307"/>
      <c r="HE7" s="307"/>
      <c r="HF7" s="307"/>
      <c r="HG7" s="307"/>
      <c r="HH7" s="307"/>
      <c r="HI7" s="307"/>
      <c r="HJ7" s="307"/>
      <c r="HK7" s="307"/>
      <c r="HL7" s="307"/>
      <c r="HM7" s="307"/>
      <c r="HN7" s="307"/>
      <c r="HO7" s="307"/>
      <c r="HP7" s="307"/>
      <c r="HQ7" s="307"/>
      <c r="HR7" s="307"/>
      <c r="HS7" s="307"/>
      <c r="HT7" s="307"/>
      <c r="HU7" s="307"/>
      <c r="HV7" s="307"/>
      <c r="HW7" s="307"/>
      <c r="HX7" s="307"/>
      <c r="HY7" s="307"/>
      <c r="HZ7" s="307"/>
      <c r="IA7" s="307"/>
      <c r="IB7" s="307"/>
      <c r="IC7" s="307"/>
      <c r="ID7" s="307"/>
      <c r="IE7" s="307"/>
      <c r="IF7" s="307"/>
      <c r="IG7" s="307"/>
      <c r="IH7" s="307"/>
      <c r="II7" s="307"/>
      <c r="IJ7" s="307"/>
      <c r="IK7" s="307"/>
      <c r="IL7" s="307"/>
      <c r="IM7" s="307"/>
      <c r="IN7" s="307"/>
      <c r="IO7" s="307"/>
      <c r="IP7" s="307"/>
      <c r="IQ7" s="307"/>
      <c r="IR7" s="307"/>
      <c r="IS7" s="307"/>
      <c r="IT7" s="307"/>
      <c r="IU7" s="307"/>
    </row>
    <row r="8" spans="1:255" ht="15.5">
      <c r="A8" s="319" t="s">
        <v>211</v>
      </c>
      <c r="B8" s="307"/>
      <c r="C8" s="310"/>
      <c r="D8" s="320"/>
      <c r="E8" s="321"/>
      <c r="F8" s="320"/>
      <c r="G8" s="312"/>
      <c r="H8" s="312"/>
      <c r="I8" s="313"/>
      <c r="J8" s="312"/>
      <c r="K8" s="312"/>
      <c r="L8" s="313"/>
      <c r="M8" s="307"/>
      <c r="N8" s="322"/>
      <c r="O8" s="322"/>
      <c r="P8" s="322"/>
      <c r="Q8" s="307"/>
      <c r="R8" s="308"/>
      <c r="S8" s="307"/>
      <c r="T8" s="317"/>
      <c r="U8" s="307"/>
      <c r="V8" s="31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7"/>
      <c r="CC8" s="307"/>
      <c r="CD8" s="307"/>
      <c r="CE8" s="307"/>
      <c r="CF8" s="307"/>
      <c r="CG8" s="307"/>
      <c r="CH8" s="307"/>
      <c r="CI8" s="307"/>
      <c r="CJ8" s="307"/>
      <c r="CK8" s="307"/>
      <c r="CL8" s="307"/>
      <c r="CM8" s="307"/>
      <c r="CN8" s="307"/>
      <c r="CO8" s="307"/>
      <c r="CP8" s="307"/>
      <c r="CQ8" s="307"/>
      <c r="CR8" s="307"/>
      <c r="CS8" s="307"/>
      <c r="CT8" s="307"/>
      <c r="CU8" s="307"/>
      <c r="CV8" s="307"/>
      <c r="CW8" s="307"/>
      <c r="CX8" s="307"/>
      <c r="CY8" s="307"/>
      <c r="CZ8" s="307"/>
      <c r="DA8" s="307"/>
      <c r="DB8" s="307"/>
      <c r="DC8" s="307"/>
      <c r="DD8" s="307"/>
      <c r="DE8" s="307"/>
      <c r="DF8" s="307"/>
      <c r="DG8" s="307"/>
      <c r="DH8" s="307"/>
      <c r="DI8" s="307"/>
      <c r="DJ8" s="307"/>
      <c r="DK8" s="307"/>
      <c r="DL8" s="307"/>
      <c r="DM8" s="307"/>
      <c r="DN8" s="307"/>
      <c r="DO8" s="307"/>
      <c r="DP8" s="307"/>
      <c r="DQ8" s="307"/>
      <c r="DR8" s="307"/>
      <c r="DS8" s="307"/>
      <c r="DT8" s="307"/>
      <c r="DU8" s="307"/>
      <c r="DV8" s="307"/>
      <c r="DW8" s="307"/>
      <c r="DX8" s="307"/>
      <c r="DY8" s="307"/>
      <c r="DZ8" s="307"/>
      <c r="EA8" s="307"/>
      <c r="EB8" s="307"/>
      <c r="EC8" s="307"/>
      <c r="ED8" s="307"/>
      <c r="EE8" s="307"/>
      <c r="EF8" s="307"/>
      <c r="EG8" s="307"/>
      <c r="EH8" s="307"/>
      <c r="EI8" s="307"/>
      <c r="EJ8" s="307"/>
      <c r="EK8" s="307"/>
      <c r="EL8" s="307"/>
      <c r="EM8" s="307"/>
      <c r="EN8" s="307"/>
      <c r="EO8" s="307"/>
      <c r="EP8" s="307"/>
      <c r="EQ8" s="307"/>
      <c r="ER8" s="307"/>
      <c r="ES8" s="307"/>
      <c r="ET8" s="307"/>
      <c r="EU8" s="307"/>
      <c r="EV8" s="307"/>
      <c r="EW8" s="307"/>
      <c r="EX8" s="307"/>
      <c r="EY8" s="307"/>
      <c r="EZ8" s="307"/>
      <c r="FA8" s="307"/>
      <c r="FB8" s="307"/>
      <c r="FC8" s="307"/>
      <c r="FD8" s="307"/>
      <c r="FE8" s="307"/>
      <c r="FF8" s="307"/>
      <c r="FG8" s="307"/>
      <c r="FH8" s="307"/>
      <c r="FI8" s="307"/>
      <c r="FJ8" s="307"/>
      <c r="FK8" s="307"/>
      <c r="FL8" s="307"/>
      <c r="FM8" s="307"/>
      <c r="FN8" s="307"/>
      <c r="FO8" s="307"/>
      <c r="FP8" s="307"/>
      <c r="FQ8" s="307"/>
      <c r="FR8" s="307"/>
      <c r="FS8" s="307"/>
      <c r="FT8" s="307"/>
      <c r="FU8" s="307"/>
      <c r="FV8" s="307"/>
      <c r="FW8" s="307"/>
      <c r="FX8" s="307"/>
      <c r="FY8" s="307"/>
      <c r="FZ8" s="307"/>
      <c r="GA8" s="307"/>
      <c r="GB8" s="307"/>
      <c r="GC8" s="307"/>
      <c r="GD8" s="307"/>
      <c r="GE8" s="307"/>
      <c r="GF8" s="307"/>
      <c r="GG8" s="307"/>
      <c r="GH8" s="307"/>
      <c r="GI8" s="307"/>
      <c r="GJ8" s="307"/>
      <c r="GK8" s="307"/>
      <c r="GL8" s="307"/>
      <c r="GM8" s="307"/>
      <c r="GN8" s="307"/>
      <c r="GO8" s="307"/>
      <c r="GP8" s="307"/>
      <c r="GQ8" s="307"/>
      <c r="GR8" s="307"/>
      <c r="GS8" s="307"/>
      <c r="GT8" s="307"/>
      <c r="GU8" s="307"/>
      <c r="GV8" s="307"/>
      <c r="GW8" s="307"/>
      <c r="GX8" s="307"/>
      <c r="GY8" s="307"/>
      <c r="GZ8" s="307"/>
      <c r="HA8" s="307"/>
      <c r="HB8" s="307"/>
      <c r="HC8" s="307"/>
      <c r="HD8" s="307"/>
      <c r="HE8" s="307"/>
      <c r="HF8" s="307"/>
      <c r="HG8" s="307"/>
      <c r="HH8" s="307"/>
      <c r="HI8" s="307"/>
      <c r="HJ8" s="307"/>
      <c r="HK8" s="307"/>
      <c r="HL8" s="307"/>
      <c r="HM8" s="307"/>
      <c r="HN8" s="307"/>
      <c r="HO8" s="307"/>
      <c r="HP8" s="307"/>
      <c r="HQ8" s="307"/>
      <c r="HR8" s="307"/>
      <c r="HS8" s="307"/>
      <c r="HT8" s="307"/>
      <c r="HU8" s="307"/>
      <c r="HV8" s="307"/>
      <c r="HW8" s="307"/>
      <c r="HX8" s="307"/>
      <c r="HY8" s="307"/>
      <c r="HZ8" s="307"/>
      <c r="IA8" s="307"/>
      <c r="IB8" s="307"/>
      <c r="IC8" s="307"/>
      <c r="ID8" s="307"/>
      <c r="IE8" s="307"/>
      <c r="IF8" s="307"/>
      <c r="IG8" s="307"/>
      <c r="IH8" s="307"/>
      <c r="II8" s="307"/>
      <c r="IJ8" s="307"/>
      <c r="IK8" s="307"/>
      <c r="IL8" s="307"/>
      <c r="IM8" s="307"/>
      <c r="IN8" s="307"/>
      <c r="IO8" s="307"/>
      <c r="IP8" s="307"/>
      <c r="IQ8" s="307"/>
      <c r="IR8" s="307"/>
      <c r="IS8" s="307"/>
      <c r="IT8" s="307"/>
      <c r="IU8" s="307"/>
    </row>
    <row r="9" spans="1:255" ht="15.5">
      <c r="A9" s="319"/>
      <c r="B9" s="307" t="s">
        <v>212</v>
      </c>
      <c r="C9" s="310"/>
      <c r="D9" s="312">
        <f t="shared" ref="D9:D20" si="0">+ROUND(E9*(1+$F$6),3)</f>
        <v>0.125</v>
      </c>
      <c r="E9" s="321">
        <v>-2.9000000000000001E-2</v>
      </c>
      <c r="F9" s="313">
        <f>-1+D9/E9</f>
        <v>-5.3103448275862064</v>
      </c>
      <c r="G9" s="312"/>
      <c r="H9" s="312"/>
      <c r="I9" s="313"/>
      <c r="J9" s="312"/>
      <c r="K9" s="312"/>
      <c r="L9" s="313"/>
      <c r="M9" s="307"/>
      <c r="N9" s="307"/>
      <c r="O9" s="307"/>
      <c r="P9" s="307"/>
      <c r="Q9" s="307"/>
      <c r="R9" s="308"/>
      <c r="S9" s="307"/>
      <c r="T9" s="317"/>
      <c r="U9" s="307"/>
      <c r="V9" s="317"/>
      <c r="W9" s="323"/>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c r="CP9" s="307"/>
      <c r="CQ9" s="307"/>
      <c r="CR9" s="307"/>
      <c r="CS9" s="307"/>
      <c r="CT9" s="307"/>
      <c r="CU9" s="307"/>
      <c r="CV9" s="307"/>
      <c r="CW9" s="307"/>
      <c r="CX9" s="307"/>
      <c r="CY9" s="307"/>
      <c r="CZ9" s="307"/>
      <c r="DA9" s="307"/>
      <c r="DB9" s="307"/>
      <c r="DC9" s="307"/>
      <c r="DD9" s="307"/>
      <c r="DE9" s="307"/>
      <c r="DF9" s="307"/>
      <c r="DG9" s="307"/>
      <c r="DH9" s="307"/>
      <c r="DI9" s="307"/>
      <c r="DJ9" s="307"/>
      <c r="DK9" s="307"/>
      <c r="DL9" s="307"/>
      <c r="DM9" s="307"/>
      <c r="DN9" s="307"/>
      <c r="DO9" s="307"/>
      <c r="DP9" s="307"/>
      <c r="DQ9" s="307"/>
      <c r="DR9" s="307"/>
      <c r="DS9" s="307"/>
      <c r="DT9" s="307"/>
      <c r="DU9" s="307"/>
      <c r="DV9" s="307"/>
      <c r="DW9" s="307"/>
      <c r="DX9" s="307"/>
      <c r="DY9" s="307"/>
      <c r="DZ9" s="307"/>
      <c r="EA9" s="307"/>
      <c r="EB9" s="307"/>
      <c r="EC9" s="307"/>
      <c r="ED9" s="307"/>
      <c r="EE9" s="307"/>
      <c r="EF9" s="307"/>
      <c r="EG9" s="307"/>
      <c r="EH9" s="307"/>
      <c r="EI9" s="307"/>
      <c r="EJ9" s="307"/>
      <c r="EK9" s="307"/>
      <c r="EL9" s="307"/>
      <c r="EM9" s="307"/>
      <c r="EN9" s="307"/>
      <c r="EO9" s="307"/>
      <c r="EP9" s="307"/>
      <c r="EQ9" s="307"/>
      <c r="ER9" s="307"/>
      <c r="ES9" s="307"/>
      <c r="ET9" s="307"/>
      <c r="EU9" s="307"/>
      <c r="EV9" s="307"/>
      <c r="EW9" s="307"/>
      <c r="EX9" s="307"/>
      <c r="EY9" s="307"/>
      <c r="EZ9" s="307"/>
      <c r="FA9" s="307"/>
      <c r="FB9" s="307"/>
      <c r="FC9" s="307"/>
      <c r="FD9" s="307"/>
      <c r="FE9" s="307"/>
      <c r="FF9" s="307"/>
      <c r="FG9" s="307"/>
      <c r="FH9" s="307"/>
      <c r="FI9" s="307"/>
      <c r="FJ9" s="307"/>
      <c r="FK9" s="307"/>
      <c r="FL9" s="307"/>
      <c r="FM9" s="307"/>
      <c r="FN9" s="307"/>
      <c r="FO9" s="307"/>
      <c r="FP9" s="307"/>
      <c r="FQ9" s="307"/>
      <c r="FR9" s="307"/>
      <c r="FS9" s="307"/>
      <c r="FT9" s="307"/>
      <c r="FU9" s="307"/>
      <c r="FV9" s="307"/>
      <c r="FW9" s="307"/>
      <c r="FX9" s="307"/>
      <c r="FY9" s="307"/>
      <c r="FZ9" s="307"/>
      <c r="GA9" s="307"/>
      <c r="GB9" s="307"/>
      <c r="GC9" s="307"/>
      <c r="GD9" s="307"/>
      <c r="GE9" s="307"/>
      <c r="GF9" s="307"/>
      <c r="GG9" s="307"/>
      <c r="GH9" s="307"/>
      <c r="GI9" s="307"/>
      <c r="GJ9" s="307"/>
      <c r="GK9" s="307"/>
      <c r="GL9" s="307"/>
      <c r="GM9" s="307"/>
      <c r="GN9" s="307"/>
      <c r="GO9" s="307"/>
      <c r="GP9" s="307"/>
      <c r="GQ9" s="307"/>
      <c r="GR9" s="307"/>
      <c r="GS9" s="307"/>
      <c r="GT9" s="307"/>
      <c r="GU9" s="307"/>
      <c r="GV9" s="307"/>
      <c r="GW9" s="307"/>
      <c r="GX9" s="307"/>
      <c r="GY9" s="307"/>
      <c r="GZ9" s="307"/>
      <c r="HA9" s="307"/>
      <c r="HB9" s="307"/>
      <c r="HC9" s="307"/>
      <c r="HD9" s="307"/>
      <c r="HE9" s="307"/>
      <c r="HF9" s="307"/>
      <c r="HG9" s="307"/>
      <c r="HH9" s="307"/>
      <c r="HI9" s="307"/>
      <c r="HJ9" s="307"/>
      <c r="HK9" s="307"/>
      <c r="HL9" s="307"/>
      <c r="HM9" s="307"/>
      <c r="HN9" s="307"/>
      <c r="HO9" s="307"/>
      <c r="HP9" s="307"/>
      <c r="HQ9" s="307"/>
      <c r="HR9" s="307"/>
      <c r="HS9" s="307"/>
      <c r="HT9" s="307"/>
      <c r="HU9" s="307"/>
      <c r="HV9" s="307"/>
      <c r="HW9" s="307"/>
      <c r="HX9" s="307"/>
      <c r="HY9" s="307"/>
      <c r="HZ9" s="307"/>
      <c r="IA9" s="307"/>
      <c r="IB9" s="307"/>
      <c r="IC9" s="307"/>
      <c r="ID9" s="307"/>
      <c r="IE9" s="307"/>
      <c r="IF9" s="307"/>
      <c r="IG9" s="307"/>
      <c r="IH9" s="307"/>
      <c r="II9" s="307"/>
      <c r="IJ9" s="307"/>
      <c r="IK9" s="307"/>
      <c r="IL9" s="307"/>
      <c r="IM9" s="307"/>
      <c r="IN9" s="307"/>
      <c r="IO9" s="307"/>
      <c r="IP9" s="307"/>
      <c r="IQ9" s="307"/>
      <c r="IR9" s="307"/>
      <c r="IS9" s="307"/>
      <c r="IT9" s="307"/>
      <c r="IU9" s="307"/>
    </row>
    <row r="10" spans="1:255" ht="15.5">
      <c r="A10" s="324"/>
      <c r="B10" s="307" t="s">
        <v>213</v>
      </c>
      <c r="C10" s="325"/>
      <c r="D10" s="312">
        <f t="shared" si="0"/>
        <v>0.19</v>
      </c>
      <c r="E10" s="321">
        <v>-4.3999999999999997E-2</v>
      </c>
      <c r="F10" s="313">
        <f>-1+D10/E10</f>
        <v>-5.3181818181818183</v>
      </c>
      <c r="G10" s="312">
        <f t="shared" ref="G10:G20" si="1">ROUND(+H10*(1+$I$6),2)</f>
        <v>0.16</v>
      </c>
      <c r="H10" s="312">
        <v>-0.03</v>
      </c>
      <c r="I10" s="313">
        <f>-1+G10/H10</f>
        <v>-6.3333333333333339</v>
      </c>
      <c r="J10" s="312">
        <f>J11</f>
        <v>-5.4917491749174895E-2</v>
      </c>
      <c r="K10" s="307">
        <v>0.01</v>
      </c>
      <c r="L10" s="313">
        <f t="shared" ref="L10:L11" si="2">-1+J10/K10</f>
        <v>-6.4917491749174889</v>
      </c>
      <c r="M10" s="307"/>
      <c r="N10" s="307">
        <v>-1</v>
      </c>
      <c r="O10" s="307"/>
      <c r="P10" s="307"/>
      <c r="Q10" s="307"/>
      <c r="R10" s="308"/>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c r="CO10" s="307"/>
      <c r="CP10" s="307"/>
      <c r="CQ10" s="307"/>
      <c r="CR10" s="307"/>
      <c r="CS10" s="307"/>
      <c r="CT10" s="307"/>
      <c r="CU10" s="307"/>
      <c r="CV10" s="307"/>
      <c r="CW10" s="307"/>
      <c r="CX10" s="307"/>
      <c r="CY10" s="307"/>
      <c r="CZ10" s="307"/>
      <c r="DA10" s="307"/>
      <c r="DB10" s="307"/>
      <c r="DC10" s="307"/>
      <c r="DD10" s="307"/>
      <c r="DE10" s="307"/>
      <c r="DF10" s="307"/>
      <c r="DG10" s="307"/>
      <c r="DH10" s="307"/>
      <c r="DI10" s="307"/>
      <c r="DJ10" s="307"/>
      <c r="DK10" s="307"/>
      <c r="DL10" s="307"/>
      <c r="DM10" s="307"/>
      <c r="DN10" s="307"/>
      <c r="DO10" s="307"/>
      <c r="DP10" s="307"/>
      <c r="DQ10" s="307"/>
      <c r="DR10" s="307"/>
      <c r="DS10" s="307"/>
      <c r="DT10" s="307"/>
      <c r="DU10" s="307"/>
      <c r="DV10" s="307"/>
      <c r="DW10" s="307"/>
      <c r="DX10" s="307"/>
      <c r="DY10" s="307"/>
      <c r="DZ10" s="307"/>
      <c r="EA10" s="307"/>
      <c r="EB10" s="307"/>
      <c r="EC10" s="307"/>
      <c r="ED10" s="307"/>
      <c r="EE10" s="307"/>
      <c r="EF10" s="307"/>
      <c r="EG10" s="307"/>
      <c r="EH10" s="307"/>
      <c r="EI10" s="307"/>
      <c r="EJ10" s="307"/>
      <c r="EK10" s="307"/>
      <c r="EL10" s="307"/>
      <c r="EM10" s="307"/>
      <c r="EN10" s="307"/>
      <c r="EO10" s="307"/>
      <c r="EP10" s="307"/>
      <c r="EQ10" s="307"/>
      <c r="ER10" s="307"/>
      <c r="ES10" s="307"/>
      <c r="ET10" s="307"/>
      <c r="EU10" s="307"/>
      <c r="EV10" s="307"/>
      <c r="EW10" s="307"/>
      <c r="EX10" s="307"/>
      <c r="EY10" s="307"/>
      <c r="EZ10" s="307"/>
      <c r="FA10" s="307"/>
      <c r="FB10" s="307"/>
      <c r="FC10" s="307"/>
      <c r="FD10" s="307"/>
      <c r="FE10" s="307"/>
      <c r="FF10" s="307"/>
      <c r="FG10" s="307"/>
      <c r="FH10" s="307"/>
      <c r="FI10" s="307"/>
      <c r="FJ10" s="307"/>
      <c r="FK10" s="307"/>
      <c r="FL10" s="307"/>
      <c r="FM10" s="307"/>
      <c r="FN10" s="307"/>
      <c r="FO10" s="307"/>
      <c r="FP10" s="307"/>
      <c r="FQ10" s="307"/>
      <c r="FR10" s="307"/>
      <c r="FS10" s="307"/>
      <c r="FT10" s="307"/>
      <c r="FU10" s="307"/>
      <c r="FV10" s="307"/>
      <c r="FW10" s="307"/>
      <c r="FX10" s="307"/>
      <c r="FY10" s="307"/>
      <c r="FZ10" s="307"/>
      <c r="GA10" s="307"/>
      <c r="GB10" s="307"/>
      <c r="GC10" s="307"/>
      <c r="GD10" s="307"/>
      <c r="GE10" s="307"/>
      <c r="GF10" s="307"/>
      <c r="GG10" s="307"/>
      <c r="GH10" s="307"/>
      <c r="GI10" s="307"/>
      <c r="GJ10" s="307"/>
      <c r="GK10" s="307"/>
      <c r="GL10" s="307"/>
      <c r="GM10" s="307"/>
      <c r="GN10" s="307"/>
      <c r="GO10" s="307"/>
      <c r="GP10" s="307"/>
      <c r="GQ10" s="307"/>
      <c r="GR10" s="307"/>
      <c r="GS10" s="307"/>
      <c r="GT10" s="307"/>
      <c r="GU10" s="307"/>
      <c r="GV10" s="307"/>
      <c r="GW10" s="307"/>
      <c r="GX10" s="307"/>
      <c r="GY10" s="307"/>
      <c r="GZ10" s="307"/>
      <c r="HA10" s="307"/>
      <c r="HB10" s="307"/>
      <c r="HC10" s="307"/>
      <c r="HD10" s="307"/>
      <c r="HE10" s="307"/>
      <c r="HF10" s="307"/>
      <c r="HG10" s="307"/>
      <c r="HH10" s="307"/>
      <c r="HI10" s="307"/>
      <c r="HJ10" s="307"/>
      <c r="HK10" s="307"/>
      <c r="HL10" s="307"/>
      <c r="HM10" s="307"/>
      <c r="HN10" s="307"/>
      <c r="HO10" s="307"/>
      <c r="HP10" s="307"/>
      <c r="HQ10" s="307"/>
      <c r="HR10" s="307"/>
      <c r="HS10" s="307"/>
      <c r="HT10" s="307"/>
      <c r="HU10" s="307"/>
      <c r="HV10" s="307"/>
      <c r="HW10" s="307"/>
      <c r="HX10" s="307"/>
      <c r="HY10" s="307"/>
      <c r="HZ10" s="307"/>
      <c r="IA10" s="307"/>
      <c r="IB10" s="307"/>
      <c r="IC10" s="307"/>
      <c r="ID10" s="307"/>
      <c r="IE10" s="307"/>
      <c r="IF10" s="307"/>
      <c r="IG10" s="307"/>
      <c r="IH10" s="307"/>
      <c r="II10" s="307"/>
      <c r="IJ10" s="307"/>
      <c r="IK10" s="307"/>
      <c r="IL10" s="307"/>
      <c r="IM10" s="307"/>
      <c r="IN10" s="307"/>
      <c r="IO10" s="307"/>
      <c r="IP10" s="307"/>
      <c r="IQ10" s="307"/>
      <c r="IR10" s="307"/>
      <c r="IS10" s="307"/>
      <c r="IT10" s="307"/>
      <c r="IU10" s="307"/>
    </row>
    <row r="11" spans="1:255" ht="15.5">
      <c r="A11" s="324"/>
      <c r="B11" s="307" t="s">
        <v>214</v>
      </c>
      <c r="C11" s="325"/>
      <c r="D11" s="312">
        <f t="shared" si="0"/>
        <v>0.19</v>
      </c>
      <c r="E11" s="321">
        <v>-4.3999999999999997E-2</v>
      </c>
      <c r="F11" s="313">
        <f t="shared" ref="F11:F20" si="3">-1+D11/E11</f>
        <v>-5.3181818181818183</v>
      </c>
      <c r="G11" s="312">
        <f t="shared" si="1"/>
        <v>0.16</v>
      </c>
      <c r="H11" s="312">
        <v>-0.03</v>
      </c>
      <c r="I11" s="313">
        <f>-1+G11/H11</f>
        <v>-6.3333333333333339</v>
      </c>
      <c r="J11" s="312">
        <f>+J12/3*2</f>
        <v>-5.4917491749174895E-2</v>
      </c>
      <c r="K11" s="307">
        <v>0.01</v>
      </c>
      <c r="L11" s="313">
        <f t="shared" si="2"/>
        <v>-6.4917491749174889</v>
      </c>
      <c r="M11" s="307"/>
      <c r="N11" s="307"/>
      <c r="O11" s="307"/>
      <c r="P11" s="307"/>
      <c r="Q11" s="307"/>
      <c r="R11" s="308"/>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7"/>
      <c r="BX11" s="307"/>
      <c r="BY11" s="307"/>
      <c r="BZ11" s="307"/>
      <c r="CA11" s="307"/>
      <c r="CB11" s="307"/>
      <c r="CC11" s="307"/>
      <c r="CD11" s="307"/>
      <c r="CE11" s="307"/>
      <c r="CF11" s="307"/>
      <c r="CG11" s="307"/>
      <c r="CH11" s="307"/>
      <c r="CI11" s="307"/>
      <c r="CJ11" s="307"/>
      <c r="CK11" s="307"/>
      <c r="CL11" s="307"/>
      <c r="CM11" s="307"/>
      <c r="CN11" s="307"/>
      <c r="CO11" s="307"/>
      <c r="CP11" s="307"/>
      <c r="CQ11" s="307"/>
      <c r="CR11" s="307"/>
      <c r="CS11" s="307"/>
      <c r="CT11" s="307"/>
      <c r="CU11" s="307"/>
      <c r="CV11" s="307"/>
      <c r="CW11" s="307"/>
      <c r="CX11" s="307"/>
      <c r="CY11" s="307"/>
      <c r="CZ11" s="307"/>
      <c r="DA11" s="307"/>
      <c r="DB11" s="307"/>
      <c r="DC11" s="307"/>
      <c r="DD11" s="307"/>
      <c r="DE11" s="307"/>
      <c r="DF11" s="307"/>
      <c r="DG11" s="307"/>
      <c r="DH11" s="307"/>
      <c r="DI11" s="307"/>
      <c r="DJ11" s="307"/>
      <c r="DK11" s="307"/>
      <c r="DL11" s="307"/>
      <c r="DM11" s="307"/>
      <c r="DN11" s="307"/>
      <c r="DO11" s="307"/>
      <c r="DP11" s="307"/>
      <c r="DQ11" s="307"/>
      <c r="DR11" s="307"/>
      <c r="DS11" s="307"/>
      <c r="DT11" s="307"/>
      <c r="DU11" s="307"/>
      <c r="DV11" s="307"/>
      <c r="DW11" s="307"/>
      <c r="DX11" s="307"/>
      <c r="DY11" s="307"/>
      <c r="DZ11" s="307"/>
      <c r="EA11" s="307"/>
      <c r="EB11" s="307"/>
      <c r="EC11" s="307"/>
      <c r="ED11" s="307"/>
      <c r="EE11" s="307"/>
      <c r="EF11" s="307"/>
      <c r="EG11" s="307"/>
      <c r="EH11" s="307"/>
      <c r="EI11" s="307"/>
      <c r="EJ11" s="307"/>
      <c r="EK11" s="307"/>
      <c r="EL11" s="307"/>
      <c r="EM11" s="307"/>
      <c r="EN11" s="307"/>
      <c r="EO11" s="307"/>
      <c r="EP11" s="307"/>
      <c r="EQ11" s="307"/>
      <c r="ER11" s="307"/>
      <c r="ES11" s="307"/>
      <c r="ET11" s="307"/>
      <c r="EU11" s="307"/>
      <c r="EV11" s="307"/>
      <c r="EW11" s="307"/>
      <c r="EX11" s="307"/>
      <c r="EY11" s="307"/>
      <c r="EZ11" s="307"/>
      <c r="FA11" s="307"/>
      <c r="FB11" s="307"/>
      <c r="FC11" s="307"/>
      <c r="FD11" s="307"/>
      <c r="FE11" s="307"/>
      <c r="FF11" s="307"/>
      <c r="FG11" s="307"/>
      <c r="FH11" s="307"/>
      <c r="FI11" s="307"/>
      <c r="FJ11" s="307"/>
      <c r="FK11" s="307"/>
      <c r="FL11" s="307"/>
      <c r="FM11" s="307"/>
      <c r="FN11" s="307"/>
      <c r="FO11" s="307"/>
      <c r="FP11" s="307"/>
      <c r="FQ11" s="307"/>
      <c r="FR11" s="307"/>
      <c r="FS11" s="307"/>
      <c r="FT11" s="307"/>
      <c r="FU11" s="307"/>
      <c r="FV11" s="307"/>
      <c r="FW11" s="307"/>
      <c r="FX11" s="307"/>
      <c r="FY11" s="307"/>
      <c r="FZ11" s="307"/>
      <c r="GA11" s="307"/>
      <c r="GB11" s="307"/>
      <c r="GC11" s="307"/>
      <c r="GD11" s="307"/>
      <c r="GE11" s="307"/>
      <c r="GF11" s="307"/>
      <c r="GG11" s="307"/>
      <c r="GH11" s="307"/>
      <c r="GI11" s="307"/>
      <c r="GJ11" s="307"/>
      <c r="GK11" s="307"/>
      <c r="GL11" s="307"/>
      <c r="GM11" s="307"/>
      <c r="GN11" s="307"/>
      <c r="GO11" s="307"/>
      <c r="GP11" s="307"/>
      <c r="GQ11" s="307"/>
      <c r="GR11" s="307"/>
      <c r="GS11" s="307"/>
      <c r="GT11" s="307"/>
      <c r="GU11" s="307"/>
      <c r="GV11" s="307"/>
      <c r="GW11" s="307"/>
      <c r="GX11" s="307"/>
      <c r="GY11" s="307"/>
      <c r="GZ11" s="307"/>
      <c r="HA11" s="307"/>
      <c r="HB11" s="307"/>
      <c r="HC11" s="307"/>
      <c r="HD11" s="307"/>
      <c r="HE11" s="307"/>
      <c r="HF11" s="307"/>
      <c r="HG11" s="307"/>
      <c r="HH11" s="307"/>
      <c r="HI11" s="307"/>
      <c r="HJ11" s="307"/>
      <c r="HK11" s="307"/>
      <c r="HL11" s="307"/>
      <c r="HM11" s="307"/>
      <c r="HN11" s="307"/>
      <c r="HO11" s="307"/>
      <c r="HP11" s="307"/>
      <c r="HQ11" s="307"/>
      <c r="HR11" s="307"/>
      <c r="HS11" s="307"/>
      <c r="HT11" s="307"/>
      <c r="HU11" s="307"/>
      <c r="HV11" s="307"/>
      <c r="HW11" s="307"/>
      <c r="HX11" s="307"/>
      <c r="HY11" s="307"/>
      <c r="HZ11" s="307"/>
      <c r="IA11" s="307"/>
      <c r="IB11" s="307"/>
      <c r="IC11" s="307"/>
      <c r="ID11" s="307"/>
      <c r="IE11" s="307"/>
      <c r="IF11" s="307"/>
      <c r="IG11" s="307"/>
      <c r="IH11" s="307"/>
      <c r="II11" s="307"/>
      <c r="IJ11" s="307"/>
      <c r="IK11" s="307"/>
      <c r="IL11" s="307"/>
      <c r="IM11" s="307"/>
      <c r="IN11" s="307"/>
      <c r="IO11" s="307"/>
      <c r="IP11" s="307"/>
      <c r="IQ11" s="307"/>
      <c r="IR11" s="307"/>
      <c r="IS11" s="307"/>
      <c r="IT11" s="307"/>
      <c r="IU11" s="307"/>
    </row>
    <row r="12" spans="1:255" ht="15.5">
      <c r="A12" s="324"/>
      <c r="B12" s="307" t="s">
        <v>215</v>
      </c>
      <c r="C12" s="325"/>
      <c r="D12" s="312">
        <f>+D13/3*2</f>
        <v>0.254</v>
      </c>
      <c r="E12" s="321">
        <v>-5.8666666666666666E-2</v>
      </c>
      <c r="F12" s="313">
        <f t="shared" si="3"/>
        <v>-5.329545454545455</v>
      </c>
      <c r="G12" s="312">
        <f t="shared" si="1"/>
        <v>0.27</v>
      </c>
      <c r="H12" s="312">
        <v>-0.05</v>
      </c>
      <c r="I12" s="313">
        <f>-1+G12/H12</f>
        <v>-6.4</v>
      </c>
      <c r="J12" s="312">
        <f>+J13/3*2</f>
        <v>-8.2376237623762338E-2</v>
      </c>
      <c r="K12" s="307">
        <v>9.5049504950494995E-3</v>
      </c>
      <c r="L12" s="313">
        <f>-1+J12/K12</f>
        <v>-9.6666666666666679</v>
      </c>
      <c r="M12" s="307"/>
      <c r="N12" s="307"/>
      <c r="O12" s="307"/>
      <c r="P12" s="307"/>
      <c r="Q12" s="307"/>
      <c r="R12" s="308"/>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7"/>
      <c r="CO12" s="307"/>
      <c r="CP12" s="307"/>
      <c r="CQ12" s="307"/>
      <c r="CR12" s="307"/>
      <c r="CS12" s="307"/>
      <c r="CT12" s="307"/>
      <c r="CU12" s="307"/>
      <c r="CV12" s="307"/>
      <c r="CW12" s="307"/>
      <c r="CX12" s="307"/>
      <c r="CY12" s="307"/>
      <c r="CZ12" s="307"/>
      <c r="DA12" s="307"/>
      <c r="DB12" s="307"/>
      <c r="DC12" s="307"/>
      <c r="DD12" s="307"/>
      <c r="DE12" s="307"/>
      <c r="DF12" s="307"/>
      <c r="DG12" s="307"/>
      <c r="DH12" s="307"/>
      <c r="DI12" s="307"/>
      <c r="DJ12" s="307"/>
      <c r="DK12" s="307"/>
      <c r="DL12" s="307"/>
      <c r="DM12" s="307"/>
      <c r="DN12" s="307"/>
      <c r="DO12" s="307"/>
      <c r="DP12" s="307"/>
      <c r="DQ12" s="307"/>
      <c r="DR12" s="307"/>
      <c r="DS12" s="307"/>
      <c r="DT12" s="307"/>
      <c r="DU12" s="307"/>
      <c r="DV12" s="307"/>
      <c r="DW12" s="307"/>
      <c r="DX12" s="307"/>
      <c r="DY12" s="307"/>
      <c r="DZ12" s="307"/>
      <c r="EA12" s="307"/>
      <c r="EB12" s="307"/>
      <c r="EC12" s="307"/>
      <c r="ED12" s="307"/>
      <c r="EE12" s="307"/>
      <c r="EF12" s="307"/>
      <c r="EG12" s="307"/>
      <c r="EH12" s="307"/>
      <c r="EI12" s="307"/>
      <c r="EJ12" s="307"/>
      <c r="EK12" s="307"/>
      <c r="EL12" s="307"/>
      <c r="EM12" s="307"/>
      <c r="EN12" s="307"/>
      <c r="EO12" s="307"/>
      <c r="EP12" s="307"/>
      <c r="EQ12" s="307"/>
      <c r="ER12" s="307"/>
      <c r="ES12" s="307"/>
      <c r="ET12" s="307"/>
      <c r="EU12" s="307"/>
      <c r="EV12" s="307"/>
      <c r="EW12" s="307"/>
      <c r="EX12" s="307"/>
      <c r="EY12" s="307"/>
      <c r="EZ12" s="307"/>
      <c r="FA12" s="307"/>
      <c r="FB12" s="307"/>
      <c r="FC12" s="307"/>
      <c r="FD12" s="307"/>
      <c r="FE12" s="307"/>
      <c r="FF12" s="307"/>
      <c r="FG12" s="307"/>
      <c r="FH12" s="307"/>
      <c r="FI12" s="307"/>
      <c r="FJ12" s="307"/>
      <c r="FK12" s="307"/>
      <c r="FL12" s="307"/>
      <c r="FM12" s="307"/>
      <c r="FN12" s="307"/>
      <c r="FO12" s="307"/>
      <c r="FP12" s="307"/>
      <c r="FQ12" s="307"/>
      <c r="FR12" s="307"/>
      <c r="FS12" s="307"/>
      <c r="FT12" s="307"/>
      <c r="FU12" s="307"/>
      <c r="FV12" s="307"/>
      <c r="FW12" s="307"/>
      <c r="FX12" s="307"/>
      <c r="FY12" s="307"/>
      <c r="FZ12" s="307"/>
      <c r="GA12" s="307"/>
      <c r="GB12" s="307"/>
      <c r="GC12" s="307"/>
      <c r="GD12" s="307"/>
      <c r="GE12" s="307"/>
      <c r="GF12" s="307"/>
      <c r="GG12" s="307"/>
      <c r="GH12" s="307"/>
      <c r="GI12" s="307"/>
      <c r="GJ12" s="307"/>
      <c r="GK12" s="307"/>
      <c r="GL12" s="307"/>
      <c r="GM12" s="307"/>
      <c r="GN12" s="307"/>
      <c r="GO12" s="307"/>
      <c r="GP12" s="307"/>
      <c r="GQ12" s="307"/>
      <c r="GR12" s="307"/>
      <c r="GS12" s="307"/>
      <c r="GT12" s="307"/>
      <c r="GU12" s="307"/>
      <c r="GV12" s="307"/>
      <c r="GW12" s="307"/>
      <c r="GX12" s="307"/>
      <c r="GY12" s="307"/>
      <c r="GZ12" s="307"/>
      <c r="HA12" s="307"/>
      <c r="HB12" s="307"/>
      <c r="HC12" s="307"/>
      <c r="HD12" s="307"/>
      <c r="HE12" s="307"/>
      <c r="HF12" s="307"/>
      <c r="HG12" s="307"/>
      <c r="HH12" s="307"/>
      <c r="HI12" s="307"/>
      <c r="HJ12" s="307"/>
      <c r="HK12" s="307"/>
      <c r="HL12" s="307"/>
      <c r="HM12" s="307"/>
      <c r="HN12" s="307"/>
      <c r="HO12" s="307"/>
      <c r="HP12" s="307"/>
      <c r="HQ12" s="307"/>
      <c r="HR12" s="307"/>
      <c r="HS12" s="307"/>
      <c r="HT12" s="307"/>
      <c r="HU12" s="307"/>
      <c r="HV12" s="307"/>
      <c r="HW12" s="307"/>
      <c r="HX12" s="307"/>
      <c r="HY12" s="307"/>
      <c r="HZ12" s="307"/>
      <c r="IA12" s="307"/>
      <c r="IB12" s="307"/>
      <c r="IC12" s="307"/>
      <c r="ID12" s="307"/>
      <c r="IE12" s="307"/>
      <c r="IF12" s="307"/>
      <c r="IG12" s="307"/>
      <c r="IH12" s="307"/>
      <c r="II12" s="307"/>
      <c r="IJ12" s="307"/>
      <c r="IK12" s="307"/>
      <c r="IL12" s="307"/>
      <c r="IM12" s="307"/>
      <c r="IN12" s="307"/>
      <c r="IO12" s="307"/>
      <c r="IP12" s="307"/>
      <c r="IQ12" s="307"/>
      <c r="IR12" s="307"/>
      <c r="IS12" s="307"/>
      <c r="IT12" s="307"/>
      <c r="IU12" s="307"/>
    </row>
    <row r="13" spans="1:255" ht="15.5">
      <c r="A13" s="324"/>
      <c r="B13" s="307" t="s">
        <v>216</v>
      </c>
      <c r="C13" s="310"/>
      <c r="D13" s="312">
        <f t="shared" si="0"/>
        <v>0.38100000000000001</v>
      </c>
      <c r="E13" s="321">
        <v>-8.7999999999999995E-2</v>
      </c>
      <c r="F13" s="313">
        <f t="shared" si="3"/>
        <v>-5.329545454545455</v>
      </c>
      <c r="G13" s="312">
        <f t="shared" si="1"/>
        <v>0.43</v>
      </c>
      <c r="H13" s="312">
        <v>-0.08</v>
      </c>
      <c r="I13" s="313">
        <f>-1+G13/H13</f>
        <v>-6.375</v>
      </c>
      <c r="J13" s="312">
        <f>0.475247524752475*J14</f>
        <v>-0.12356435643564351</v>
      </c>
      <c r="K13" s="307">
        <v>1.4257425742574249E-2</v>
      </c>
      <c r="L13" s="313">
        <f>-1+J13/K13</f>
        <v>-9.6666666666666679</v>
      </c>
      <c r="M13" s="307"/>
      <c r="N13" s="307"/>
      <c r="O13" s="307"/>
      <c r="P13" s="307"/>
      <c r="Q13" s="307"/>
      <c r="R13" s="308"/>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c r="CA13" s="307"/>
      <c r="CB13" s="307"/>
      <c r="CC13" s="307"/>
      <c r="CD13" s="307"/>
      <c r="CE13" s="307"/>
      <c r="CF13" s="307"/>
      <c r="CG13" s="307"/>
      <c r="CH13" s="307"/>
      <c r="CI13" s="307"/>
      <c r="CJ13" s="307"/>
      <c r="CK13" s="307"/>
      <c r="CL13" s="307"/>
      <c r="CM13" s="307"/>
      <c r="CN13" s="307"/>
      <c r="CO13" s="307"/>
      <c r="CP13" s="307"/>
      <c r="CQ13" s="307"/>
      <c r="CR13" s="307"/>
      <c r="CS13" s="307"/>
      <c r="CT13" s="307"/>
      <c r="CU13" s="307"/>
      <c r="CV13" s="307"/>
      <c r="CW13" s="307"/>
      <c r="CX13" s="307"/>
      <c r="CY13" s="307"/>
      <c r="CZ13" s="307"/>
      <c r="DA13" s="307"/>
      <c r="DB13" s="307"/>
      <c r="DC13" s="307"/>
      <c r="DD13" s="307"/>
      <c r="DE13" s="307"/>
      <c r="DF13" s="307"/>
      <c r="DG13" s="307"/>
      <c r="DH13" s="307"/>
      <c r="DI13" s="307"/>
      <c r="DJ13" s="307"/>
      <c r="DK13" s="307"/>
      <c r="DL13" s="307"/>
      <c r="DM13" s="307"/>
      <c r="DN13" s="307"/>
      <c r="DO13" s="307"/>
      <c r="DP13" s="307"/>
      <c r="DQ13" s="307"/>
      <c r="DR13" s="307"/>
      <c r="DS13" s="307"/>
      <c r="DT13" s="307"/>
      <c r="DU13" s="307"/>
      <c r="DV13" s="307"/>
      <c r="DW13" s="307"/>
      <c r="DX13" s="307"/>
      <c r="DY13" s="307"/>
      <c r="DZ13" s="307"/>
      <c r="EA13" s="307"/>
      <c r="EB13" s="307"/>
      <c r="EC13" s="307"/>
      <c r="ED13" s="307"/>
      <c r="EE13" s="307"/>
      <c r="EF13" s="307"/>
      <c r="EG13" s="307"/>
      <c r="EH13" s="307"/>
      <c r="EI13" s="307"/>
      <c r="EJ13" s="307"/>
      <c r="EK13" s="307"/>
      <c r="EL13" s="307"/>
      <c r="EM13" s="307"/>
      <c r="EN13" s="307"/>
      <c r="EO13" s="307"/>
      <c r="EP13" s="307"/>
      <c r="EQ13" s="307"/>
      <c r="ER13" s="307"/>
      <c r="ES13" s="307"/>
      <c r="ET13" s="307"/>
      <c r="EU13" s="307"/>
      <c r="EV13" s="307"/>
      <c r="EW13" s="307"/>
      <c r="EX13" s="307"/>
      <c r="EY13" s="307"/>
      <c r="EZ13" s="307"/>
      <c r="FA13" s="307"/>
      <c r="FB13" s="307"/>
      <c r="FC13" s="307"/>
      <c r="FD13" s="307"/>
      <c r="FE13" s="307"/>
      <c r="FF13" s="307"/>
      <c r="FG13" s="307"/>
      <c r="FH13" s="307"/>
      <c r="FI13" s="307"/>
      <c r="FJ13" s="307"/>
      <c r="FK13" s="307"/>
      <c r="FL13" s="307"/>
      <c r="FM13" s="307"/>
      <c r="FN13" s="307"/>
      <c r="FO13" s="307"/>
      <c r="FP13" s="307"/>
      <c r="FQ13" s="307"/>
      <c r="FR13" s="307"/>
      <c r="FS13" s="307"/>
      <c r="FT13" s="307"/>
      <c r="FU13" s="307"/>
      <c r="FV13" s="307"/>
      <c r="FW13" s="307"/>
      <c r="FX13" s="307"/>
      <c r="FY13" s="307"/>
      <c r="FZ13" s="307"/>
      <c r="GA13" s="307"/>
      <c r="GB13" s="307"/>
      <c r="GC13" s="307"/>
      <c r="GD13" s="307"/>
      <c r="GE13" s="307"/>
      <c r="GF13" s="307"/>
      <c r="GG13" s="307"/>
      <c r="GH13" s="307"/>
      <c r="GI13" s="307"/>
      <c r="GJ13" s="307"/>
      <c r="GK13" s="307"/>
      <c r="GL13" s="307"/>
      <c r="GM13" s="307"/>
      <c r="GN13" s="307"/>
      <c r="GO13" s="307"/>
      <c r="GP13" s="307"/>
      <c r="GQ13" s="307"/>
      <c r="GR13" s="307"/>
      <c r="GS13" s="307"/>
      <c r="GT13" s="307"/>
      <c r="GU13" s="307"/>
      <c r="GV13" s="307"/>
      <c r="GW13" s="307"/>
      <c r="GX13" s="307"/>
      <c r="GY13" s="307"/>
      <c r="GZ13" s="307"/>
      <c r="HA13" s="307"/>
      <c r="HB13" s="307"/>
      <c r="HC13" s="307"/>
      <c r="HD13" s="307"/>
      <c r="HE13" s="307"/>
      <c r="HF13" s="307"/>
      <c r="HG13" s="307"/>
      <c r="HH13" s="307"/>
      <c r="HI13" s="307"/>
      <c r="HJ13" s="307"/>
      <c r="HK13" s="307"/>
      <c r="HL13" s="307"/>
      <c r="HM13" s="307"/>
      <c r="HN13" s="307"/>
      <c r="HO13" s="307"/>
      <c r="HP13" s="307"/>
      <c r="HQ13" s="307"/>
      <c r="HR13" s="307"/>
      <c r="HS13" s="307"/>
      <c r="HT13" s="307"/>
      <c r="HU13" s="307"/>
      <c r="HV13" s="307"/>
      <c r="HW13" s="307"/>
      <c r="HX13" s="307"/>
      <c r="HY13" s="307"/>
      <c r="HZ13" s="307"/>
      <c r="IA13" s="307"/>
      <c r="IB13" s="307"/>
      <c r="IC13" s="307"/>
      <c r="ID13" s="307"/>
      <c r="IE13" s="307"/>
      <c r="IF13" s="307"/>
      <c r="IG13" s="307"/>
      <c r="IH13" s="307"/>
      <c r="II13" s="307"/>
      <c r="IJ13" s="307"/>
      <c r="IK13" s="307"/>
      <c r="IL13" s="307"/>
      <c r="IM13" s="307"/>
      <c r="IN13" s="307"/>
      <c r="IO13" s="307"/>
      <c r="IP13" s="307"/>
      <c r="IQ13" s="307"/>
      <c r="IR13" s="307"/>
      <c r="IS13" s="307"/>
      <c r="IT13" s="307"/>
      <c r="IU13" s="307"/>
    </row>
    <row r="14" spans="1:255" ht="15.5">
      <c r="A14" s="324"/>
      <c r="B14" s="307" t="s">
        <v>217</v>
      </c>
      <c r="C14" s="310"/>
      <c r="D14" s="312">
        <f t="shared" si="0"/>
        <v>0.78300000000000003</v>
      </c>
      <c r="E14" s="321">
        <v>-0.18099999999999999</v>
      </c>
      <c r="F14" s="313">
        <f t="shared" si="3"/>
        <v>-5.3259668508287294</v>
      </c>
      <c r="G14" s="312">
        <f t="shared" si="1"/>
        <v>0.92</v>
      </c>
      <c r="H14" s="326">
        <v>-0.17</v>
      </c>
      <c r="I14" s="313">
        <f t="shared" ref="I14:I20" si="4">-1+G14/H14</f>
        <v>-6.4117647058823524</v>
      </c>
      <c r="J14" s="312">
        <f t="shared" ref="J14:J15" si="5">ROUND(+K14*(1+$L$6),2)</f>
        <v>-0.26</v>
      </c>
      <c r="K14" s="307">
        <v>0.03</v>
      </c>
      <c r="L14" s="313">
        <f t="shared" ref="L14:L20" si="6">-1+J14/K14</f>
        <v>-9.6666666666666679</v>
      </c>
      <c r="M14" s="307">
        <f>G14*3</f>
        <v>2.7600000000000002</v>
      </c>
      <c r="N14" s="307">
        <f>J14*3</f>
        <v>-0.78</v>
      </c>
      <c r="O14" s="307"/>
      <c r="P14" s="307"/>
      <c r="Q14" s="307"/>
      <c r="R14" s="308"/>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c r="CB14" s="307"/>
      <c r="CC14" s="307"/>
      <c r="CD14" s="307"/>
      <c r="CE14" s="307"/>
      <c r="CF14" s="307"/>
      <c r="CG14" s="307"/>
      <c r="CH14" s="307"/>
      <c r="CI14" s="307"/>
      <c r="CJ14" s="307"/>
      <c r="CK14" s="307"/>
      <c r="CL14" s="307"/>
      <c r="CM14" s="307"/>
      <c r="CN14" s="307"/>
      <c r="CO14" s="307"/>
      <c r="CP14" s="307"/>
      <c r="CQ14" s="307"/>
      <c r="CR14" s="307"/>
      <c r="CS14" s="307"/>
      <c r="CT14" s="307"/>
      <c r="CU14" s="307"/>
      <c r="CV14" s="307"/>
      <c r="CW14" s="307"/>
      <c r="CX14" s="307"/>
      <c r="CY14" s="307"/>
      <c r="CZ14" s="307"/>
      <c r="DA14" s="307"/>
      <c r="DB14" s="307"/>
      <c r="DC14" s="307"/>
      <c r="DD14" s="307"/>
      <c r="DE14" s="307"/>
      <c r="DF14" s="307"/>
      <c r="DG14" s="307"/>
      <c r="DH14" s="307"/>
      <c r="DI14" s="307"/>
      <c r="DJ14" s="307"/>
      <c r="DK14" s="307"/>
      <c r="DL14" s="307"/>
      <c r="DM14" s="307"/>
      <c r="DN14" s="307"/>
      <c r="DO14" s="307"/>
      <c r="DP14" s="307"/>
      <c r="DQ14" s="307"/>
      <c r="DR14" s="307"/>
      <c r="DS14" s="307"/>
      <c r="DT14" s="307"/>
      <c r="DU14" s="307"/>
      <c r="DV14" s="307"/>
      <c r="DW14" s="307"/>
      <c r="DX14" s="307"/>
      <c r="DY14" s="307"/>
      <c r="DZ14" s="307"/>
      <c r="EA14" s="307"/>
      <c r="EB14" s="307"/>
      <c r="EC14" s="307"/>
      <c r="ED14" s="307"/>
      <c r="EE14" s="307"/>
      <c r="EF14" s="307"/>
      <c r="EG14" s="307"/>
      <c r="EH14" s="307"/>
      <c r="EI14" s="307"/>
      <c r="EJ14" s="307"/>
      <c r="EK14" s="307"/>
      <c r="EL14" s="307"/>
      <c r="EM14" s="307"/>
      <c r="EN14" s="307"/>
      <c r="EO14" s="307"/>
      <c r="EP14" s="307"/>
      <c r="EQ14" s="307"/>
      <c r="ER14" s="307"/>
      <c r="ES14" s="307"/>
      <c r="ET14" s="307"/>
      <c r="EU14" s="307"/>
      <c r="EV14" s="307"/>
      <c r="EW14" s="307"/>
      <c r="EX14" s="307"/>
      <c r="EY14" s="307"/>
      <c r="EZ14" s="307"/>
      <c r="FA14" s="307"/>
      <c r="FB14" s="307"/>
      <c r="FC14" s="307"/>
      <c r="FD14" s="307"/>
      <c r="FE14" s="307"/>
      <c r="FF14" s="307"/>
      <c r="FG14" s="307"/>
      <c r="FH14" s="307"/>
      <c r="FI14" s="307"/>
      <c r="FJ14" s="307"/>
      <c r="FK14" s="307"/>
      <c r="FL14" s="307"/>
      <c r="FM14" s="307"/>
      <c r="FN14" s="307"/>
      <c r="FO14" s="307"/>
      <c r="FP14" s="307"/>
      <c r="FQ14" s="307"/>
      <c r="FR14" s="307"/>
      <c r="FS14" s="307"/>
      <c r="FT14" s="307"/>
      <c r="FU14" s="307"/>
      <c r="FV14" s="307"/>
      <c r="FW14" s="307"/>
      <c r="FX14" s="307"/>
      <c r="FY14" s="307"/>
      <c r="FZ14" s="307"/>
      <c r="GA14" s="307"/>
      <c r="GB14" s="307"/>
      <c r="GC14" s="307"/>
      <c r="GD14" s="307"/>
      <c r="GE14" s="307"/>
      <c r="GF14" s="307"/>
      <c r="GG14" s="307"/>
      <c r="GH14" s="307"/>
      <c r="GI14" s="307"/>
      <c r="GJ14" s="307"/>
      <c r="GK14" s="307"/>
      <c r="GL14" s="307"/>
      <c r="GM14" s="307"/>
      <c r="GN14" s="307"/>
      <c r="GO14" s="307"/>
      <c r="GP14" s="307"/>
      <c r="GQ14" s="307"/>
      <c r="GR14" s="307"/>
      <c r="GS14" s="307"/>
      <c r="GT14" s="307"/>
      <c r="GU14" s="307"/>
      <c r="GV14" s="307"/>
      <c r="GW14" s="307"/>
      <c r="GX14" s="307"/>
      <c r="GY14" s="307"/>
      <c r="GZ14" s="307"/>
      <c r="HA14" s="307"/>
      <c r="HB14" s="307"/>
      <c r="HC14" s="307"/>
      <c r="HD14" s="307"/>
      <c r="HE14" s="307"/>
      <c r="HF14" s="307"/>
      <c r="HG14" s="307"/>
      <c r="HH14" s="307"/>
      <c r="HI14" s="307"/>
      <c r="HJ14" s="307"/>
      <c r="HK14" s="307"/>
      <c r="HL14" s="307"/>
      <c r="HM14" s="307"/>
      <c r="HN14" s="307"/>
      <c r="HO14" s="307"/>
      <c r="HP14" s="307"/>
      <c r="HQ14" s="307"/>
      <c r="HR14" s="307"/>
      <c r="HS14" s="307"/>
      <c r="HT14" s="307"/>
      <c r="HU14" s="307"/>
      <c r="HV14" s="307"/>
      <c r="HW14" s="307"/>
      <c r="HX14" s="307"/>
      <c r="HY14" s="307"/>
      <c r="HZ14" s="307"/>
      <c r="IA14" s="307"/>
      <c r="IB14" s="307"/>
      <c r="IC14" s="307"/>
      <c r="ID14" s="307"/>
      <c r="IE14" s="307"/>
      <c r="IF14" s="307"/>
      <c r="IG14" s="307"/>
      <c r="IH14" s="307"/>
      <c r="II14" s="307"/>
      <c r="IJ14" s="307"/>
      <c r="IK14" s="307"/>
      <c r="IL14" s="307"/>
      <c r="IM14" s="307"/>
      <c r="IN14" s="307"/>
      <c r="IO14" s="307"/>
      <c r="IP14" s="307"/>
      <c r="IQ14" s="307"/>
      <c r="IR14" s="307"/>
      <c r="IS14" s="307"/>
      <c r="IT14" s="307"/>
      <c r="IU14" s="307"/>
    </row>
    <row r="15" spans="1:255" ht="15.5">
      <c r="A15" s="324"/>
      <c r="B15" s="307" t="s">
        <v>218</v>
      </c>
      <c r="C15" s="310"/>
      <c r="D15" s="312">
        <f t="shared" si="0"/>
        <v>1.1679999999999999</v>
      </c>
      <c r="E15" s="321">
        <v>-0.27</v>
      </c>
      <c r="F15" s="313">
        <f t="shared" si="3"/>
        <v>-5.3259259259259251</v>
      </c>
      <c r="G15" s="312">
        <f t="shared" si="1"/>
        <v>1.19</v>
      </c>
      <c r="H15" s="312">
        <v>-0.22</v>
      </c>
      <c r="I15" s="313">
        <f t="shared" si="4"/>
        <v>-6.4090909090909092</v>
      </c>
      <c r="J15" s="312">
        <f t="shared" si="5"/>
        <v>-0.43</v>
      </c>
      <c r="K15" s="307">
        <v>0.05</v>
      </c>
      <c r="L15" s="313">
        <f t="shared" si="6"/>
        <v>-9.6</v>
      </c>
      <c r="M15" s="307"/>
      <c r="N15" s="307"/>
      <c r="O15" s="307"/>
      <c r="P15" s="307"/>
      <c r="Q15" s="307"/>
      <c r="R15" s="308"/>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7"/>
      <c r="CA15" s="307"/>
      <c r="CB15" s="307"/>
      <c r="CC15" s="307"/>
      <c r="CD15" s="307"/>
      <c r="CE15" s="307"/>
      <c r="CF15" s="307"/>
      <c r="CG15" s="307"/>
      <c r="CH15" s="307"/>
      <c r="CI15" s="307"/>
      <c r="CJ15" s="307"/>
      <c r="CK15" s="307"/>
      <c r="CL15" s="307"/>
      <c r="CM15" s="307"/>
      <c r="CN15" s="307"/>
      <c r="CO15" s="307"/>
      <c r="CP15" s="307"/>
      <c r="CQ15" s="307"/>
      <c r="CR15" s="307"/>
      <c r="CS15" s="307"/>
      <c r="CT15" s="307"/>
      <c r="CU15" s="307"/>
      <c r="CV15" s="307"/>
      <c r="CW15" s="307"/>
      <c r="CX15" s="307"/>
      <c r="CY15" s="307"/>
      <c r="CZ15" s="307"/>
      <c r="DA15" s="307"/>
      <c r="DB15" s="307"/>
      <c r="DC15" s="307"/>
      <c r="DD15" s="307"/>
      <c r="DE15" s="307"/>
      <c r="DF15" s="307"/>
      <c r="DG15" s="307"/>
      <c r="DH15" s="307"/>
      <c r="DI15" s="307"/>
      <c r="DJ15" s="307"/>
      <c r="DK15" s="307"/>
      <c r="DL15" s="307"/>
      <c r="DM15" s="307"/>
      <c r="DN15" s="307"/>
      <c r="DO15" s="307"/>
      <c r="DP15" s="307"/>
      <c r="DQ15" s="307"/>
      <c r="DR15" s="307"/>
      <c r="DS15" s="307"/>
      <c r="DT15" s="307"/>
      <c r="DU15" s="307"/>
      <c r="DV15" s="307"/>
      <c r="DW15" s="307"/>
      <c r="DX15" s="307"/>
      <c r="DY15" s="307"/>
      <c r="DZ15" s="307"/>
      <c r="EA15" s="307"/>
      <c r="EB15" s="307"/>
      <c r="EC15" s="307"/>
      <c r="ED15" s="307"/>
      <c r="EE15" s="307"/>
      <c r="EF15" s="307"/>
      <c r="EG15" s="307"/>
      <c r="EH15" s="307"/>
      <c r="EI15" s="307"/>
      <c r="EJ15" s="307"/>
      <c r="EK15" s="307"/>
      <c r="EL15" s="307"/>
      <c r="EM15" s="307"/>
      <c r="EN15" s="307"/>
      <c r="EO15" s="307"/>
      <c r="EP15" s="307"/>
      <c r="EQ15" s="307"/>
      <c r="ER15" s="307"/>
      <c r="ES15" s="307"/>
      <c r="ET15" s="307"/>
      <c r="EU15" s="307"/>
      <c r="EV15" s="307"/>
      <c r="EW15" s="307"/>
      <c r="EX15" s="307"/>
      <c r="EY15" s="307"/>
      <c r="EZ15" s="307"/>
      <c r="FA15" s="307"/>
      <c r="FB15" s="307"/>
      <c r="FC15" s="307"/>
      <c r="FD15" s="307"/>
      <c r="FE15" s="307"/>
      <c r="FF15" s="307"/>
      <c r="FG15" s="307"/>
      <c r="FH15" s="307"/>
      <c r="FI15" s="307"/>
      <c r="FJ15" s="307"/>
      <c r="FK15" s="307"/>
      <c r="FL15" s="307"/>
      <c r="FM15" s="307"/>
      <c r="FN15" s="307"/>
      <c r="FO15" s="307"/>
      <c r="FP15" s="307"/>
      <c r="FQ15" s="307"/>
      <c r="FR15" s="307"/>
      <c r="FS15" s="307"/>
      <c r="FT15" s="307"/>
      <c r="FU15" s="307"/>
      <c r="FV15" s="307"/>
      <c r="FW15" s="307"/>
      <c r="FX15" s="307"/>
      <c r="FY15" s="307"/>
      <c r="FZ15" s="307"/>
      <c r="GA15" s="307"/>
      <c r="GB15" s="307"/>
      <c r="GC15" s="307"/>
      <c r="GD15" s="307"/>
      <c r="GE15" s="307"/>
      <c r="GF15" s="307"/>
      <c r="GG15" s="307"/>
      <c r="GH15" s="307"/>
      <c r="GI15" s="307"/>
      <c r="GJ15" s="307"/>
      <c r="GK15" s="307"/>
      <c r="GL15" s="307"/>
      <c r="GM15" s="307"/>
      <c r="GN15" s="307"/>
      <c r="GO15" s="307"/>
      <c r="GP15" s="307"/>
      <c r="GQ15" s="307"/>
      <c r="GR15" s="307"/>
      <c r="GS15" s="307"/>
      <c r="GT15" s="307"/>
      <c r="GU15" s="307"/>
      <c r="GV15" s="307"/>
      <c r="GW15" s="307"/>
      <c r="GX15" s="307"/>
      <c r="GY15" s="307"/>
      <c r="GZ15" s="307"/>
      <c r="HA15" s="307"/>
      <c r="HB15" s="307"/>
      <c r="HC15" s="307"/>
      <c r="HD15" s="307"/>
      <c r="HE15" s="307"/>
      <c r="HF15" s="307"/>
      <c r="HG15" s="307"/>
      <c r="HH15" s="307"/>
      <c r="HI15" s="307"/>
      <c r="HJ15" s="307"/>
      <c r="HK15" s="307"/>
      <c r="HL15" s="307"/>
      <c r="HM15" s="307"/>
      <c r="HN15" s="307"/>
      <c r="HO15" s="307"/>
      <c r="HP15" s="307"/>
      <c r="HQ15" s="307"/>
      <c r="HR15" s="307"/>
      <c r="HS15" s="307"/>
      <c r="HT15" s="307"/>
      <c r="HU15" s="307"/>
      <c r="HV15" s="307"/>
      <c r="HW15" s="307"/>
      <c r="HX15" s="307"/>
      <c r="HY15" s="307"/>
      <c r="HZ15" s="307"/>
      <c r="IA15" s="307"/>
      <c r="IB15" s="307"/>
      <c r="IC15" s="307"/>
      <c r="ID15" s="307"/>
      <c r="IE15" s="307"/>
      <c r="IF15" s="307"/>
      <c r="IG15" s="307"/>
      <c r="IH15" s="307"/>
      <c r="II15" s="307"/>
      <c r="IJ15" s="307"/>
      <c r="IK15" s="307"/>
      <c r="IL15" s="307"/>
      <c r="IM15" s="307"/>
      <c r="IN15" s="307"/>
      <c r="IO15" s="307"/>
      <c r="IP15" s="307"/>
      <c r="IQ15" s="307"/>
      <c r="IR15" s="307"/>
      <c r="IS15" s="307"/>
      <c r="IT15" s="307"/>
      <c r="IU15" s="307"/>
    </row>
    <row r="16" spans="1:255" ht="15.5">
      <c r="A16" s="324"/>
      <c r="B16" s="307" t="s">
        <v>219</v>
      </c>
      <c r="C16" s="310"/>
      <c r="D16" s="312">
        <f t="shared" si="0"/>
        <v>1.571</v>
      </c>
      <c r="E16" s="321">
        <v>-0.36299999999999999</v>
      </c>
      <c r="F16" s="313">
        <f t="shared" si="3"/>
        <v>-5.327823691460055</v>
      </c>
      <c r="G16" s="312">
        <f t="shared" si="1"/>
        <v>1.78</v>
      </c>
      <c r="H16" s="312">
        <v>-0.33</v>
      </c>
      <c r="I16" s="313">
        <f t="shared" si="4"/>
        <v>-6.3939393939393936</v>
      </c>
      <c r="J16" s="312">
        <f>+J14*2</f>
        <v>-0.52</v>
      </c>
      <c r="K16" s="307">
        <v>0.06</v>
      </c>
      <c r="L16" s="313">
        <f t="shared" si="6"/>
        <v>-9.6666666666666679</v>
      </c>
      <c r="M16" s="307"/>
      <c r="N16" s="307"/>
      <c r="O16" s="307"/>
      <c r="P16" s="307"/>
      <c r="Q16" s="307"/>
      <c r="R16" s="308"/>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c r="CQ16" s="307"/>
      <c r="CR16" s="307"/>
      <c r="CS16" s="307"/>
      <c r="CT16" s="307"/>
      <c r="CU16" s="307"/>
      <c r="CV16" s="307"/>
      <c r="CW16" s="307"/>
      <c r="CX16" s="307"/>
      <c r="CY16" s="307"/>
      <c r="CZ16" s="307"/>
      <c r="DA16" s="307"/>
      <c r="DB16" s="307"/>
      <c r="DC16" s="307"/>
      <c r="DD16" s="307"/>
      <c r="DE16" s="307"/>
      <c r="DF16" s="307"/>
      <c r="DG16" s="307"/>
      <c r="DH16" s="307"/>
      <c r="DI16" s="307"/>
      <c r="DJ16" s="307"/>
      <c r="DK16" s="307"/>
      <c r="DL16" s="307"/>
      <c r="DM16" s="307"/>
      <c r="DN16" s="307"/>
      <c r="DO16" s="307"/>
      <c r="DP16" s="307"/>
      <c r="DQ16" s="307"/>
      <c r="DR16" s="307"/>
      <c r="DS16" s="307"/>
      <c r="DT16" s="307"/>
      <c r="DU16" s="307"/>
      <c r="DV16" s="307"/>
      <c r="DW16" s="307"/>
      <c r="DX16" s="307"/>
      <c r="DY16" s="307"/>
      <c r="DZ16" s="307"/>
      <c r="EA16" s="307"/>
      <c r="EB16" s="307"/>
      <c r="EC16" s="307"/>
      <c r="ED16" s="307"/>
      <c r="EE16" s="307"/>
      <c r="EF16" s="307"/>
      <c r="EG16" s="307"/>
      <c r="EH16" s="307"/>
      <c r="EI16" s="307"/>
      <c r="EJ16" s="307"/>
      <c r="EK16" s="307"/>
      <c r="EL16" s="307"/>
      <c r="EM16" s="307"/>
      <c r="EN16" s="307"/>
      <c r="EO16" s="307"/>
      <c r="EP16" s="307"/>
      <c r="EQ16" s="307"/>
      <c r="ER16" s="307"/>
      <c r="ES16" s="307"/>
      <c r="ET16" s="307"/>
      <c r="EU16" s="307"/>
      <c r="EV16" s="307"/>
      <c r="EW16" s="307"/>
      <c r="EX16" s="307"/>
      <c r="EY16" s="307"/>
      <c r="EZ16" s="307"/>
      <c r="FA16" s="307"/>
      <c r="FB16" s="307"/>
      <c r="FC16" s="307"/>
      <c r="FD16" s="307"/>
      <c r="FE16" s="307"/>
      <c r="FF16" s="307"/>
      <c r="FG16" s="307"/>
      <c r="FH16" s="307"/>
      <c r="FI16" s="307"/>
      <c r="FJ16" s="307"/>
      <c r="FK16" s="307"/>
      <c r="FL16" s="307"/>
      <c r="FM16" s="307"/>
      <c r="FN16" s="307"/>
      <c r="FO16" s="307"/>
      <c r="FP16" s="307"/>
      <c r="FQ16" s="307"/>
      <c r="FR16" s="307"/>
      <c r="FS16" s="307"/>
      <c r="FT16" s="307"/>
      <c r="FU16" s="307"/>
      <c r="FV16" s="307"/>
      <c r="FW16" s="307"/>
      <c r="FX16" s="307"/>
      <c r="FY16" s="307"/>
      <c r="FZ16" s="307"/>
      <c r="GA16" s="307"/>
      <c r="GB16" s="307"/>
      <c r="GC16" s="307"/>
      <c r="GD16" s="307"/>
      <c r="GE16" s="307"/>
      <c r="GF16" s="307"/>
      <c r="GG16" s="307"/>
      <c r="GH16" s="307"/>
      <c r="GI16" s="307"/>
      <c r="GJ16" s="307"/>
      <c r="GK16" s="307"/>
      <c r="GL16" s="307"/>
      <c r="GM16" s="307"/>
      <c r="GN16" s="307"/>
      <c r="GO16" s="307"/>
      <c r="GP16" s="307"/>
      <c r="GQ16" s="307"/>
      <c r="GR16" s="307"/>
      <c r="GS16" s="307"/>
      <c r="GT16" s="307"/>
      <c r="GU16" s="307"/>
      <c r="GV16" s="307"/>
      <c r="GW16" s="307"/>
      <c r="GX16" s="307"/>
      <c r="GY16" s="307"/>
      <c r="GZ16" s="307"/>
      <c r="HA16" s="307"/>
      <c r="HB16" s="307"/>
      <c r="HC16" s="307"/>
      <c r="HD16" s="307"/>
      <c r="HE16" s="307"/>
      <c r="HF16" s="307"/>
      <c r="HG16" s="307"/>
      <c r="HH16" s="307"/>
      <c r="HI16" s="307"/>
      <c r="HJ16" s="307"/>
      <c r="HK16" s="307"/>
      <c r="HL16" s="307"/>
      <c r="HM16" s="307"/>
      <c r="HN16" s="307"/>
      <c r="HO16" s="307"/>
      <c r="HP16" s="307"/>
      <c r="HQ16" s="307"/>
      <c r="HR16" s="307"/>
      <c r="HS16" s="307"/>
      <c r="HT16" s="307"/>
      <c r="HU16" s="307"/>
      <c r="HV16" s="307"/>
      <c r="HW16" s="307"/>
      <c r="HX16" s="307"/>
      <c r="HY16" s="307"/>
      <c r="HZ16" s="307"/>
      <c r="IA16" s="307"/>
      <c r="IB16" s="307"/>
      <c r="IC16" s="307"/>
      <c r="ID16" s="307"/>
      <c r="IE16" s="307"/>
      <c r="IF16" s="307"/>
      <c r="IG16" s="307"/>
      <c r="IH16" s="307"/>
      <c r="II16" s="307"/>
      <c r="IJ16" s="307"/>
      <c r="IK16" s="307"/>
      <c r="IL16" s="307"/>
      <c r="IM16" s="307"/>
      <c r="IN16" s="307"/>
      <c r="IO16" s="307"/>
      <c r="IP16" s="307"/>
      <c r="IQ16" s="307"/>
      <c r="IR16" s="307"/>
      <c r="IS16" s="307"/>
      <c r="IT16" s="307"/>
      <c r="IU16" s="307"/>
    </row>
    <row r="17" spans="1:255" ht="15.5">
      <c r="A17" s="324"/>
      <c r="B17" s="307" t="s">
        <v>220</v>
      </c>
      <c r="C17" s="310"/>
      <c r="D17" s="312">
        <f t="shared" si="0"/>
        <v>2.3540000000000001</v>
      </c>
      <c r="E17" s="321">
        <v>-0.54400000000000004</v>
      </c>
      <c r="F17" s="313">
        <f t="shared" si="3"/>
        <v>-5.3272058823529411</v>
      </c>
      <c r="G17" s="312">
        <f t="shared" si="1"/>
        <v>2.7</v>
      </c>
      <c r="H17" s="312">
        <v>-0.5</v>
      </c>
      <c r="I17" s="313">
        <f t="shared" si="4"/>
        <v>-6.4</v>
      </c>
      <c r="J17" s="312">
        <f>+J14*3</f>
        <v>-0.78</v>
      </c>
      <c r="K17" s="307">
        <v>0.09</v>
      </c>
      <c r="L17" s="313">
        <f t="shared" si="6"/>
        <v>-9.6666666666666679</v>
      </c>
      <c r="M17" s="307"/>
      <c r="N17" s="307"/>
      <c r="O17" s="307"/>
      <c r="P17" s="307"/>
      <c r="Q17" s="307"/>
      <c r="R17" s="308"/>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s="307"/>
      <c r="CR17" s="307"/>
      <c r="CS17" s="307"/>
      <c r="CT17" s="307"/>
      <c r="CU17" s="307"/>
      <c r="CV17" s="307"/>
      <c r="CW17" s="307"/>
      <c r="CX17" s="307"/>
      <c r="CY17" s="307"/>
      <c r="CZ17" s="307"/>
      <c r="DA17" s="307"/>
      <c r="DB17" s="307"/>
      <c r="DC17" s="307"/>
      <c r="DD17" s="307"/>
      <c r="DE17" s="307"/>
      <c r="DF17" s="307"/>
      <c r="DG17" s="307"/>
      <c r="DH17" s="307"/>
      <c r="DI17" s="307"/>
      <c r="DJ17" s="307"/>
      <c r="DK17" s="307"/>
      <c r="DL17" s="307"/>
      <c r="DM17" s="307"/>
      <c r="DN17" s="307"/>
      <c r="DO17" s="307"/>
      <c r="DP17" s="307"/>
      <c r="DQ17" s="307"/>
      <c r="DR17" s="307"/>
      <c r="DS17" s="307"/>
      <c r="DT17" s="307"/>
      <c r="DU17" s="307"/>
      <c r="DV17" s="307"/>
      <c r="DW17" s="307"/>
      <c r="DX17" s="307"/>
      <c r="DY17" s="307"/>
      <c r="DZ17" s="307"/>
      <c r="EA17" s="307"/>
      <c r="EB17" s="307"/>
      <c r="EC17" s="307"/>
      <c r="ED17" s="307"/>
      <c r="EE17" s="307"/>
      <c r="EF17" s="307"/>
      <c r="EG17" s="307"/>
      <c r="EH17" s="307"/>
      <c r="EI17" s="307"/>
      <c r="EJ17" s="307"/>
      <c r="EK17" s="307"/>
      <c r="EL17" s="307"/>
      <c r="EM17" s="307"/>
      <c r="EN17" s="307"/>
      <c r="EO17" s="307"/>
      <c r="EP17" s="307"/>
      <c r="EQ17" s="307"/>
      <c r="ER17" s="307"/>
      <c r="ES17" s="307"/>
      <c r="ET17" s="307"/>
      <c r="EU17" s="307"/>
      <c r="EV17" s="307"/>
      <c r="EW17" s="307"/>
      <c r="EX17" s="307"/>
      <c r="EY17" s="307"/>
      <c r="EZ17" s="307"/>
      <c r="FA17" s="307"/>
      <c r="FB17" s="307"/>
      <c r="FC17" s="307"/>
      <c r="FD17" s="307"/>
      <c r="FE17" s="307"/>
      <c r="FF17" s="307"/>
      <c r="FG17" s="307"/>
      <c r="FH17" s="307"/>
      <c r="FI17" s="307"/>
      <c r="FJ17" s="307"/>
      <c r="FK17" s="307"/>
      <c r="FL17" s="307"/>
      <c r="FM17" s="307"/>
      <c r="FN17" s="307"/>
      <c r="FO17" s="307"/>
      <c r="FP17" s="307"/>
      <c r="FQ17" s="307"/>
      <c r="FR17" s="307"/>
      <c r="FS17" s="307"/>
      <c r="FT17" s="307"/>
      <c r="FU17" s="307"/>
      <c r="FV17" s="307"/>
      <c r="FW17" s="307"/>
      <c r="FX17" s="307"/>
      <c r="FY17" s="307"/>
      <c r="FZ17" s="307"/>
      <c r="GA17" s="307"/>
      <c r="GB17" s="307"/>
      <c r="GC17" s="307"/>
      <c r="GD17" s="307"/>
      <c r="GE17" s="307"/>
      <c r="GF17" s="307"/>
      <c r="GG17" s="307"/>
      <c r="GH17" s="307"/>
      <c r="GI17" s="307"/>
      <c r="GJ17" s="307"/>
      <c r="GK17" s="307"/>
      <c r="GL17" s="307"/>
      <c r="GM17" s="307"/>
      <c r="GN17" s="307"/>
      <c r="GO17" s="307"/>
      <c r="GP17" s="307"/>
      <c r="GQ17" s="307"/>
      <c r="GR17" s="307"/>
      <c r="GS17" s="307"/>
      <c r="GT17" s="307"/>
      <c r="GU17" s="307"/>
      <c r="GV17" s="307"/>
      <c r="GW17" s="307"/>
      <c r="GX17" s="307"/>
      <c r="GY17" s="307"/>
      <c r="GZ17" s="307"/>
      <c r="HA17" s="307"/>
      <c r="HB17" s="307"/>
      <c r="HC17" s="307"/>
      <c r="HD17" s="307"/>
      <c r="HE17" s="307"/>
      <c r="HF17" s="307"/>
      <c r="HG17" s="307"/>
      <c r="HH17" s="307"/>
      <c r="HI17" s="307"/>
      <c r="HJ17" s="307"/>
      <c r="HK17" s="307"/>
      <c r="HL17" s="307"/>
      <c r="HM17" s="307"/>
      <c r="HN17" s="307"/>
      <c r="HO17" s="307"/>
      <c r="HP17" s="307"/>
      <c r="HQ17" s="307"/>
      <c r="HR17" s="307"/>
      <c r="HS17" s="307"/>
      <c r="HT17" s="307"/>
      <c r="HU17" s="307"/>
      <c r="HV17" s="307"/>
      <c r="HW17" s="307"/>
      <c r="HX17" s="307"/>
      <c r="HY17" s="307"/>
      <c r="HZ17" s="307"/>
      <c r="IA17" s="307"/>
      <c r="IB17" s="307"/>
      <c r="IC17" s="307"/>
      <c r="ID17" s="307"/>
      <c r="IE17" s="307"/>
      <c r="IF17" s="307"/>
      <c r="IG17" s="307"/>
      <c r="IH17" s="307"/>
      <c r="II17" s="307"/>
      <c r="IJ17" s="307"/>
      <c r="IK17" s="307"/>
      <c r="IL17" s="307"/>
      <c r="IM17" s="307"/>
      <c r="IN17" s="307"/>
      <c r="IO17" s="307"/>
      <c r="IP17" s="307"/>
      <c r="IQ17" s="307"/>
      <c r="IR17" s="307"/>
      <c r="IS17" s="307"/>
      <c r="IT17" s="307"/>
      <c r="IU17" s="307"/>
    </row>
    <row r="18" spans="1:255" ht="15.5">
      <c r="A18" s="324"/>
      <c r="B18" s="307" t="s">
        <v>221</v>
      </c>
      <c r="C18" s="310"/>
      <c r="D18" s="312">
        <f t="shared" si="0"/>
        <v>3.1419999999999999</v>
      </c>
      <c r="E18" s="321">
        <v>-0.72599999999999998</v>
      </c>
      <c r="F18" s="313">
        <f t="shared" si="3"/>
        <v>-5.327823691460055</v>
      </c>
      <c r="G18" s="312">
        <f t="shared" si="1"/>
        <v>3.62</v>
      </c>
      <c r="H18" s="312">
        <v>-0.67</v>
      </c>
      <c r="I18" s="313">
        <f t="shared" si="4"/>
        <v>-6.4029850746268657</v>
      </c>
      <c r="J18" s="312">
        <f>+J14*4</f>
        <v>-1.04</v>
      </c>
      <c r="K18" s="307">
        <v>0.12</v>
      </c>
      <c r="L18" s="313">
        <f t="shared" si="6"/>
        <v>-9.6666666666666679</v>
      </c>
      <c r="M18" s="307"/>
      <c r="N18" s="307"/>
      <c r="O18" s="307"/>
      <c r="P18" s="307"/>
      <c r="Q18" s="307"/>
      <c r="R18" s="308"/>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c r="CB18" s="307"/>
      <c r="CC18" s="307"/>
      <c r="CD18" s="307"/>
      <c r="CE18" s="307"/>
      <c r="CF18" s="307"/>
      <c r="CG18" s="307"/>
      <c r="CH18" s="307"/>
      <c r="CI18" s="307"/>
      <c r="CJ18" s="307"/>
      <c r="CK18" s="307"/>
      <c r="CL18" s="307"/>
      <c r="CM18" s="307"/>
      <c r="CN18" s="307"/>
      <c r="CO18" s="307"/>
      <c r="CP18" s="307"/>
      <c r="CQ18" s="307"/>
      <c r="CR18" s="307"/>
      <c r="CS18" s="307"/>
      <c r="CT18" s="307"/>
      <c r="CU18" s="307"/>
      <c r="CV18" s="307"/>
      <c r="CW18" s="307"/>
      <c r="CX18" s="307"/>
      <c r="CY18" s="307"/>
      <c r="CZ18" s="307"/>
      <c r="DA18" s="307"/>
      <c r="DB18" s="307"/>
      <c r="DC18" s="307"/>
      <c r="DD18" s="307"/>
      <c r="DE18" s="307"/>
      <c r="DF18" s="307"/>
      <c r="DG18" s="307"/>
      <c r="DH18" s="307"/>
      <c r="DI18" s="307"/>
      <c r="DJ18" s="307"/>
      <c r="DK18" s="307"/>
      <c r="DL18" s="307"/>
      <c r="DM18" s="307"/>
      <c r="DN18" s="307"/>
      <c r="DO18" s="307"/>
      <c r="DP18" s="307"/>
      <c r="DQ18" s="307"/>
      <c r="DR18" s="307"/>
      <c r="DS18" s="307"/>
      <c r="DT18" s="307"/>
      <c r="DU18" s="307"/>
      <c r="DV18" s="307"/>
      <c r="DW18" s="307"/>
      <c r="DX18" s="307"/>
      <c r="DY18" s="307"/>
      <c r="DZ18" s="307"/>
      <c r="EA18" s="307"/>
      <c r="EB18" s="307"/>
      <c r="EC18" s="307"/>
      <c r="ED18" s="307"/>
      <c r="EE18" s="307"/>
      <c r="EF18" s="307"/>
      <c r="EG18" s="307"/>
      <c r="EH18" s="307"/>
      <c r="EI18" s="307"/>
      <c r="EJ18" s="307"/>
      <c r="EK18" s="307"/>
      <c r="EL18" s="307"/>
      <c r="EM18" s="307"/>
      <c r="EN18" s="307"/>
      <c r="EO18" s="307"/>
      <c r="EP18" s="307"/>
      <c r="EQ18" s="307"/>
      <c r="ER18" s="307"/>
      <c r="ES18" s="307"/>
      <c r="ET18" s="307"/>
      <c r="EU18" s="307"/>
      <c r="EV18" s="307"/>
      <c r="EW18" s="307"/>
      <c r="EX18" s="307"/>
      <c r="EY18" s="307"/>
      <c r="EZ18" s="307"/>
      <c r="FA18" s="307"/>
      <c r="FB18" s="307"/>
      <c r="FC18" s="307"/>
      <c r="FD18" s="307"/>
      <c r="FE18" s="307"/>
      <c r="FF18" s="307"/>
      <c r="FG18" s="307"/>
      <c r="FH18" s="307"/>
      <c r="FI18" s="307"/>
      <c r="FJ18" s="307"/>
      <c r="FK18" s="307"/>
      <c r="FL18" s="307"/>
      <c r="FM18" s="307"/>
      <c r="FN18" s="307"/>
      <c r="FO18" s="307"/>
      <c r="FP18" s="307"/>
      <c r="FQ18" s="307"/>
      <c r="FR18" s="307"/>
      <c r="FS18" s="307"/>
      <c r="FT18" s="307"/>
      <c r="FU18" s="307"/>
      <c r="FV18" s="307"/>
      <c r="FW18" s="307"/>
      <c r="FX18" s="307"/>
      <c r="FY18" s="307"/>
      <c r="FZ18" s="307"/>
      <c r="GA18" s="307"/>
      <c r="GB18" s="307"/>
      <c r="GC18" s="307"/>
      <c r="GD18" s="307"/>
      <c r="GE18" s="307"/>
      <c r="GF18" s="307"/>
      <c r="GG18" s="307"/>
      <c r="GH18" s="307"/>
      <c r="GI18" s="307"/>
      <c r="GJ18" s="307"/>
      <c r="GK18" s="307"/>
      <c r="GL18" s="307"/>
      <c r="GM18" s="307"/>
      <c r="GN18" s="307"/>
      <c r="GO18" s="307"/>
      <c r="GP18" s="307"/>
      <c r="GQ18" s="307"/>
      <c r="GR18" s="307"/>
      <c r="GS18" s="307"/>
      <c r="GT18" s="307"/>
      <c r="GU18" s="307"/>
      <c r="GV18" s="307"/>
      <c r="GW18" s="307"/>
      <c r="GX18" s="307"/>
      <c r="GY18" s="307"/>
      <c r="GZ18" s="307"/>
      <c r="HA18" s="307"/>
      <c r="HB18" s="307"/>
      <c r="HC18" s="307"/>
      <c r="HD18" s="307"/>
      <c r="HE18" s="307"/>
      <c r="HF18" s="307"/>
      <c r="HG18" s="307"/>
      <c r="HH18" s="307"/>
      <c r="HI18" s="307"/>
      <c r="HJ18" s="307"/>
      <c r="HK18" s="307"/>
      <c r="HL18" s="307"/>
      <c r="HM18" s="307"/>
      <c r="HN18" s="307"/>
      <c r="HO18" s="307"/>
      <c r="HP18" s="307"/>
      <c r="HQ18" s="307"/>
      <c r="HR18" s="307"/>
      <c r="HS18" s="307"/>
      <c r="HT18" s="307"/>
      <c r="HU18" s="307"/>
      <c r="HV18" s="307"/>
      <c r="HW18" s="307"/>
      <c r="HX18" s="307"/>
      <c r="HY18" s="307"/>
      <c r="HZ18" s="307"/>
      <c r="IA18" s="307"/>
      <c r="IB18" s="307"/>
      <c r="IC18" s="307"/>
      <c r="ID18" s="307"/>
      <c r="IE18" s="307"/>
      <c r="IF18" s="307"/>
      <c r="IG18" s="307"/>
      <c r="IH18" s="307"/>
      <c r="II18" s="307"/>
      <c r="IJ18" s="307"/>
      <c r="IK18" s="307"/>
      <c r="IL18" s="307"/>
      <c r="IM18" s="307"/>
      <c r="IN18" s="307"/>
      <c r="IO18" s="307"/>
      <c r="IP18" s="307"/>
      <c r="IQ18" s="307"/>
      <c r="IR18" s="307"/>
      <c r="IS18" s="307"/>
      <c r="IT18" s="307"/>
      <c r="IU18" s="307"/>
    </row>
    <row r="19" spans="1:255" ht="15.5">
      <c r="A19" s="324"/>
      <c r="B19" s="307" t="s">
        <v>222</v>
      </c>
      <c r="C19" s="310"/>
      <c r="D19" s="312">
        <f t="shared" si="0"/>
        <v>4.6909999999999998</v>
      </c>
      <c r="E19" s="321">
        <v>-1.0840000000000001</v>
      </c>
      <c r="F19" s="313">
        <f t="shared" si="3"/>
        <v>-5.3274907749077487</v>
      </c>
      <c r="G19" s="312">
        <f t="shared" si="1"/>
        <v>5.41</v>
      </c>
      <c r="H19" s="312">
        <v>-1</v>
      </c>
      <c r="I19" s="313">
        <f t="shared" si="4"/>
        <v>-6.41</v>
      </c>
      <c r="J19" s="312">
        <f>+J14*6</f>
        <v>-1.56</v>
      </c>
      <c r="K19" s="307">
        <v>0.18</v>
      </c>
      <c r="L19" s="313">
        <f t="shared" si="6"/>
        <v>-9.6666666666666679</v>
      </c>
      <c r="M19" s="307"/>
      <c r="N19" s="307"/>
      <c r="O19" s="307"/>
      <c r="P19" s="307"/>
      <c r="Q19" s="307"/>
      <c r="R19" s="308"/>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307"/>
      <c r="BZ19" s="307"/>
      <c r="CA19" s="307"/>
      <c r="CB19" s="307"/>
      <c r="CC19" s="307"/>
      <c r="CD19" s="307"/>
      <c r="CE19" s="307"/>
      <c r="CF19" s="307"/>
      <c r="CG19" s="307"/>
      <c r="CH19" s="307"/>
      <c r="CI19" s="307"/>
      <c r="CJ19" s="307"/>
      <c r="CK19" s="307"/>
      <c r="CL19" s="307"/>
      <c r="CM19" s="307"/>
      <c r="CN19" s="307"/>
      <c r="CO19" s="307"/>
      <c r="CP19" s="307"/>
      <c r="CQ19" s="307"/>
      <c r="CR19" s="307"/>
      <c r="CS19" s="307"/>
      <c r="CT19" s="307"/>
      <c r="CU19" s="307"/>
      <c r="CV19" s="307"/>
      <c r="CW19" s="307"/>
      <c r="CX19" s="307"/>
      <c r="CY19" s="307"/>
      <c r="CZ19" s="307"/>
      <c r="DA19" s="307"/>
      <c r="DB19" s="307"/>
      <c r="DC19" s="307"/>
      <c r="DD19" s="307"/>
      <c r="DE19" s="307"/>
      <c r="DF19" s="307"/>
      <c r="DG19" s="307"/>
      <c r="DH19" s="307"/>
      <c r="DI19" s="307"/>
      <c r="DJ19" s="307"/>
      <c r="DK19" s="307"/>
      <c r="DL19" s="307"/>
      <c r="DM19" s="307"/>
      <c r="DN19" s="307"/>
      <c r="DO19" s="307"/>
      <c r="DP19" s="307"/>
      <c r="DQ19" s="307"/>
      <c r="DR19" s="307"/>
      <c r="DS19" s="307"/>
      <c r="DT19" s="307"/>
      <c r="DU19" s="307"/>
      <c r="DV19" s="307"/>
      <c r="DW19" s="307"/>
      <c r="DX19" s="307"/>
      <c r="DY19" s="307"/>
      <c r="DZ19" s="307"/>
      <c r="EA19" s="307"/>
      <c r="EB19" s="307"/>
      <c r="EC19" s="307"/>
      <c r="ED19" s="307"/>
      <c r="EE19" s="307"/>
      <c r="EF19" s="307"/>
      <c r="EG19" s="307"/>
      <c r="EH19" s="307"/>
      <c r="EI19" s="307"/>
      <c r="EJ19" s="307"/>
      <c r="EK19" s="307"/>
      <c r="EL19" s="307"/>
      <c r="EM19" s="307"/>
      <c r="EN19" s="307"/>
      <c r="EO19" s="307"/>
      <c r="EP19" s="307"/>
      <c r="EQ19" s="307"/>
      <c r="ER19" s="307"/>
      <c r="ES19" s="307"/>
      <c r="ET19" s="307"/>
      <c r="EU19" s="307"/>
      <c r="EV19" s="307"/>
      <c r="EW19" s="307"/>
      <c r="EX19" s="307"/>
      <c r="EY19" s="307"/>
      <c r="EZ19" s="307"/>
      <c r="FA19" s="307"/>
      <c r="FB19" s="307"/>
      <c r="FC19" s="307"/>
      <c r="FD19" s="307"/>
      <c r="FE19" s="307"/>
      <c r="FF19" s="307"/>
      <c r="FG19" s="307"/>
      <c r="FH19" s="307"/>
      <c r="FI19" s="307"/>
      <c r="FJ19" s="307"/>
      <c r="FK19" s="307"/>
      <c r="FL19" s="307"/>
      <c r="FM19" s="307"/>
      <c r="FN19" s="307"/>
      <c r="FO19" s="307"/>
      <c r="FP19" s="307"/>
      <c r="FQ19" s="307"/>
      <c r="FR19" s="307"/>
      <c r="FS19" s="307"/>
      <c r="FT19" s="307"/>
      <c r="FU19" s="307"/>
      <c r="FV19" s="307"/>
      <c r="FW19" s="307"/>
      <c r="FX19" s="307"/>
      <c r="FY19" s="307"/>
      <c r="FZ19" s="307"/>
      <c r="GA19" s="307"/>
      <c r="GB19" s="307"/>
      <c r="GC19" s="307"/>
      <c r="GD19" s="307"/>
      <c r="GE19" s="307"/>
      <c r="GF19" s="307"/>
      <c r="GG19" s="307"/>
      <c r="GH19" s="307"/>
      <c r="GI19" s="307"/>
      <c r="GJ19" s="307"/>
      <c r="GK19" s="307"/>
      <c r="GL19" s="307"/>
      <c r="GM19" s="307"/>
      <c r="GN19" s="307"/>
      <c r="GO19" s="307"/>
      <c r="GP19" s="307"/>
      <c r="GQ19" s="307"/>
      <c r="GR19" s="307"/>
      <c r="GS19" s="307"/>
      <c r="GT19" s="307"/>
      <c r="GU19" s="307"/>
      <c r="GV19" s="307"/>
      <c r="GW19" s="307"/>
      <c r="GX19" s="307"/>
      <c r="GY19" s="307"/>
      <c r="GZ19" s="307"/>
      <c r="HA19" s="307"/>
      <c r="HB19" s="307"/>
      <c r="HC19" s="307"/>
      <c r="HD19" s="307"/>
      <c r="HE19" s="307"/>
      <c r="HF19" s="307"/>
      <c r="HG19" s="307"/>
      <c r="HH19" s="307"/>
      <c r="HI19" s="307"/>
      <c r="HJ19" s="307"/>
      <c r="HK19" s="307"/>
      <c r="HL19" s="307"/>
      <c r="HM19" s="307"/>
      <c r="HN19" s="307"/>
      <c r="HO19" s="307"/>
      <c r="HP19" s="307"/>
      <c r="HQ19" s="307"/>
      <c r="HR19" s="307"/>
      <c r="HS19" s="307"/>
      <c r="HT19" s="307"/>
      <c r="HU19" s="307"/>
      <c r="HV19" s="307"/>
      <c r="HW19" s="307"/>
      <c r="HX19" s="307"/>
      <c r="HY19" s="307"/>
      <c r="HZ19" s="307"/>
      <c r="IA19" s="307"/>
      <c r="IB19" s="307"/>
      <c r="IC19" s="307"/>
      <c r="ID19" s="307"/>
      <c r="IE19" s="307"/>
      <c r="IF19" s="307"/>
      <c r="IG19" s="307"/>
      <c r="IH19" s="307"/>
      <c r="II19" s="307"/>
      <c r="IJ19" s="307"/>
      <c r="IK19" s="307"/>
      <c r="IL19" s="307"/>
      <c r="IM19" s="307"/>
      <c r="IN19" s="307"/>
      <c r="IO19" s="307"/>
      <c r="IP19" s="307"/>
      <c r="IQ19" s="307"/>
      <c r="IR19" s="307"/>
      <c r="IS19" s="307"/>
      <c r="IT19" s="307"/>
      <c r="IU19" s="307"/>
    </row>
    <row r="20" spans="1:255" ht="15.5">
      <c r="A20" s="324"/>
      <c r="B20" s="307" t="s">
        <v>223</v>
      </c>
      <c r="C20" s="310"/>
      <c r="D20" s="312">
        <f t="shared" si="0"/>
        <v>6.2619999999999996</v>
      </c>
      <c r="E20" s="321">
        <v>-1.4470000000000001</v>
      </c>
      <c r="F20" s="313">
        <f t="shared" si="3"/>
        <v>-5.3275742916378706</v>
      </c>
      <c r="G20" s="312">
        <f t="shared" si="1"/>
        <v>7.19</v>
      </c>
      <c r="H20" s="312">
        <v>-1.33</v>
      </c>
      <c r="I20" s="313">
        <f t="shared" si="4"/>
        <v>-6.4060150375939848</v>
      </c>
      <c r="J20" s="312">
        <f>+J14*8</f>
        <v>-2.08</v>
      </c>
      <c r="K20" s="307">
        <v>0.24</v>
      </c>
      <c r="L20" s="313">
        <f t="shared" si="6"/>
        <v>-9.6666666666666679</v>
      </c>
      <c r="M20" s="307"/>
      <c r="N20" s="307"/>
      <c r="O20" s="307"/>
      <c r="P20" s="307"/>
      <c r="Q20" s="307"/>
      <c r="R20" s="308"/>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c r="CB20" s="307"/>
      <c r="CC20" s="307"/>
      <c r="CD20" s="307"/>
      <c r="CE20" s="307"/>
      <c r="CF20" s="307"/>
      <c r="CG20" s="307"/>
      <c r="CH20" s="307"/>
      <c r="CI20" s="307"/>
      <c r="CJ20" s="307"/>
      <c r="CK20" s="307"/>
      <c r="CL20" s="307"/>
      <c r="CM20" s="307"/>
      <c r="CN20" s="307"/>
      <c r="CO20" s="307"/>
      <c r="CP20" s="307"/>
      <c r="CQ20" s="307"/>
      <c r="CR20" s="307"/>
      <c r="CS20" s="307"/>
      <c r="CT20" s="307"/>
      <c r="CU20" s="307"/>
      <c r="CV20" s="307"/>
      <c r="CW20" s="307"/>
      <c r="CX20" s="307"/>
      <c r="CY20" s="307"/>
      <c r="CZ20" s="307"/>
      <c r="DA20" s="307"/>
      <c r="DB20" s="307"/>
      <c r="DC20" s="307"/>
      <c r="DD20" s="307"/>
      <c r="DE20" s="307"/>
      <c r="DF20" s="307"/>
      <c r="DG20" s="307"/>
      <c r="DH20" s="307"/>
      <c r="DI20" s="307"/>
      <c r="DJ20" s="307"/>
      <c r="DK20" s="307"/>
      <c r="DL20" s="307"/>
      <c r="DM20" s="307"/>
      <c r="DN20" s="307"/>
      <c r="DO20" s="307"/>
      <c r="DP20" s="307"/>
      <c r="DQ20" s="307"/>
      <c r="DR20" s="307"/>
      <c r="DS20" s="307"/>
      <c r="DT20" s="307"/>
      <c r="DU20" s="307"/>
      <c r="DV20" s="307"/>
      <c r="DW20" s="307"/>
      <c r="DX20" s="307"/>
      <c r="DY20" s="307"/>
      <c r="DZ20" s="307"/>
      <c r="EA20" s="307"/>
      <c r="EB20" s="307"/>
      <c r="EC20" s="307"/>
      <c r="ED20" s="307"/>
      <c r="EE20" s="307"/>
      <c r="EF20" s="307"/>
      <c r="EG20" s="307"/>
      <c r="EH20" s="307"/>
      <c r="EI20" s="307"/>
      <c r="EJ20" s="307"/>
      <c r="EK20" s="307"/>
      <c r="EL20" s="307"/>
      <c r="EM20" s="307"/>
      <c r="EN20" s="307"/>
      <c r="EO20" s="307"/>
      <c r="EP20" s="307"/>
      <c r="EQ20" s="307"/>
      <c r="ER20" s="307"/>
      <c r="ES20" s="307"/>
      <c r="ET20" s="307"/>
      <c r="EU20" s="307"/>
      <c r="EV20" s="307"/>
      <c r="EW20" s="307"/>
      <c r="EX20" s="307"/>
      <c r="EY20" s="307"/>
      <c r="EZ20" s="307"/>
      <c r="FA20" s="307"/>
      <c r="FB20" s="307"/>
      <c r="FC20" s="307"/>
      <c r="FD20" s="307"/>
      <c r="FE20" s="307"/>
      <c r="FF20" s="307"/>
      <c r="FG20" s="307"/>
      <c r="FH20" s="307"/>
      <c r="FI20" s="307"/>
      <c r="FJ20" s="307"/>
      <c r="FK20" s="307"/>
      <c r="FL20" s="307"/>
      <c r="FM20" s="307"/>
      <c r="FN20" s="307"/>
      <c r="FO20" s="307"/>
      <c r="FP20" s="307"/>
      <c r="FQ20" s="307"/>
      <c r="FR20" s="307"/>
      <c r="FS20" s="307"/>
      <c r="FT20" s="307"/>
      <c r="FU20" s="307"/>
      <c r="FV20" s="307"/>
      <c r="FW20" s="307"/>
      <c r="FX20" s="307"/>
      <c r="FY20" s="307"/>
      <c r="FZ20" s="307"/>
      <c r="GA20" s="307"/>
      <c r="GB20" s="307"/>
      <c r="GC20" s="307"/>
      <c r="GD20" s="307"/>
      <c r="GE20" s="307"/>
      <c r="GF20" s="307"/>
      <c r="GG20" s="307"/>
      <c r="GH20" s="307"/>
      <c r="GI20" s="307"/>
      <c r="GJ20" s="307"/>
      <c r="GK20" s="307"/>
      <c r="GL20" s="307"/>
      <c r="GM20" s="307"/>
      <c r="GN20" s="307"/>
      <c r="GO20" s="307"/>
      <c r="GP20" s="307"/>
      <c r="GQ20" s="307"/>
      <c r="GR20" s="307"/>
      <c r="GS20" s="307"/>
      <c r="GT20" s="307"/>
      <c r="GU20" s="307"/>
      <c r="GV20" s="307"/>
      <c r="GW20" s="307"/>
      <c r="GX20" s="307"/>
      <c r="GY20" s="307"/>
      <c r="GZ20" s="307"/>
      <c r="HA20" s="307"/>
      <c r="HB20" s="307"/>
      <c r="HC20" s="307"/>
      <c r="HD20" s="307"/>
      <c r="HE20" s="307"/>
      <c r="HF20" s="307"/>
      <c r="HG20" s="307"/>
      <c r="HH20" s="307"/>
      <c r="HI20" s="307"/>
      <c r="HJ20" s="307"/>
      <c r="HK20" s="307"/>
      <c r="HL20" s="307"/>
      <c r="HM20" s="307"/>
      <c r="HN20" s="307"/>
      <c r="HO20" s="307"/>
      <c r="HP20" s="307"/>
      <c r="HQ20" s="307"/>
      <c r="HR20" s="307"/>
      <c r="HS20" s="307"/>
      <c r="HT20" s="307"/>
      <c r="HU20" s="307"/>
      <c r="HV20" s="307"/>
      <c r="HW20" s="307"/>
      <c r="HX20" s="307"/>
      <c r="HY20" s="307"/>
      <c r="HZ20" s="307"/>
      <c r="IA20" s="307"/>
      <c r="IB20" s="307"/>
      <c r="IC20" s="307"/>
      <c r="ID20" s="307"/>
      <c r="IE20" s="307"/>
      <c r="IF20" s="307"/>
      <c r="IG20" s="307"/>
      <c r="IH20" s="307"/>
      <c r="II20" s="307"/>
      <c r="IJ20" s="307"/>
      <c r="IK20" s="307"/>
      <c r="IL20" s="307"/>
      <c r="IM20" s="307"/>
      <c r="IN20" s="307"/>
      <c r="IO20" s="307"/>
      <c r="IP20" s="307"/>
      <c r="IQ20" s="307"/>
      <c r="IR20" s="307"/>
      <c r="IS20" s="307"/>
      <c r="IT20" s="307"/>
      <c r="IU20" s="307"/>
    </row>
    <row r="21" spans="1:255" ht="15.5">
      <c r="A21" s="324"/>
      <c r="B21" s="307"/>
      <c r="C21" s="310"/>
      <c r="D21" s="320"/>
      <c r="E21" s="312"/>
      <c r="F21" s="320"/>
      <c r="G21" s="312"/>
      <c r="H21" s="312"/>
      <c r="I21" s="313"/>
      <c r="J21" s="312"/>
      <c r="K21" s="312"/>
      <c r="L21" s="313"/>
      <c r="M21" s="307"/>
      <c r="N21" s="307"/>
      <c r="O21" s="307"/>
      <c r="P21" s="307"/>
      <c r="Q21" s="307"/>
      <c r="R21" s="308"/>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c r="CH21" s="307"/>
      <c r="CI21" s="307"/>
      <c r="CJ21" s="307"/>
      <c r="CK21" s="307"/>
      <c r="CL21" s="307"/>
      <c r="CM21" s="307"/>
      <c r="CN21" s="307"/>
      <c r="CO21" s="307"/>
      <c r="CP21" s="307"/>
      <c r="CQ21" s="307"/>
      <c r="CR21" s="307"/>
      <c r="CS21" s="307"/>
      <c r="CT21" s="307"/>
      <c r="CU21" s="307"/>
      <c r="CV21" s="307"/>
      <c r="CW21" s="307"/>
      <c r="CX21" s="307"/>
      <c r="CY21" s="307"/>
      <c r="CZ21" s="307"/>
      <c r="DA21" s="307"/>
      <c r="DB21" s="307"/>
      <c r="DC21" s="307"/>
      <c r="DD21" s="307"/>
      <c r="DE21" s="307"/>
      <c r="DF21" s="307"/>
      <c r="DG21" s="307"/>
      <c r="DH21" s="307"/>
      <c r="DI21" s="307"/>
      <c r="DJ21" s="307"/>
      <c r="DK21" s="307"/>
      <c r="DL21" s="307"/>
      <c r="DM21" s="307"/>
      <c r="DN21" s="307"/>
      <c r="DO21" s="307"/>
      <c r="DP21" s="307"/>
      <c r="DQ21" s="307"/>
      <c r="DR21" s="307"/>
      <c r="DS21" s="307"/>
      <c r="DT21" s="307"/>
      <c r="DU21" s="307"/>
      <c r="DV21" s="307"/>
      <c r="DW21" s="307"/>
      <c r="DX21" s="307"/>
      <c r="DY21" s="307"/>
      <c r="DZ21" s="307"/>
      <c r="EA21" s="307"/>
      <c r="EB21" s="307"/>
      <c r="EC21" s="307"/>
      <c r="ED21" s="307"/>
      <c r="EE21" s="307"/>
      <c r="EF21" s="307"/>
      <c r="EG21" s="307"/>
      <c r="EH21" s="307"/>
      <c r="EI21" s="307"/>
      <c r="EJ21" s="307"/>
      <c r="EK21" s="307"/>
      <c r="EL21" s="307"/>
      <c r="EM21" s="307"/>
      <c r="EN21" s="307"/>
      <c r="EO21" s="307"/>
      <c r="EP21" s="307"/>
      <c r="EQ21" s="307"/>
      <c r="ER21" s="307"/>
      <c r="ES21" s="307"/>
      <c r="ET21" s="307"/>
      <c r="EU21" s="307"/>
      <c r="EV21" s="307"/>
      <c r="EW21" s="307"/>
      <c r="EX21" s="307"/>
      <c r="EY21" s="307"/>
      <c r="EZ21" s="307"/>
      <c r="FA21" s="307"/>
      <c r="FB21" s="307"/>
      <c r="FC21" s="307"/>
      <c r="FD21" s="307"/>
      <c r="FE21" s="307"/>
      <c r="FF21" s="307"/>
      <c r="FG21" s="307"/>
      <c r="FH21" s="307"/>
      <c r="FI21" s="307"/>
      <c r="FJ21" s="307"/>
      <c r="FK21" s="307"/>
      <c r="FL21" s="307"/>
      <c r="FM21" s="307"/>
      <c r="FN21" s="307"/>
      <c r="FO21" s="307"/>
      <c r="FP21" s="307"/>
      <c r="FQ21" s="307"/>
      <c r="FR21" s="307"/>
      <c r="FS21" s="307"/>
      <c r="FT21" s="307"/>
      <c r="FU21" s="307"/>
      <c r="FV21" s="307"/>
      <c r="FW21" s="307"/>
      <c r="FX21" s="307"/>
      <c r="FY21" s="307"/>
      <c r="FZ21" s="307"/>
      <c r="GA21" s="307"/>
      <c r="GB21" s="307"/>
      <c r="GC21" s="307"/>
      <c r="GD21" s="307"/>
      <c r="GE21" s="307"/>
      <c r="GF21" s="307"/>
      <c r="GG21" s="307"/>
      <c r="GH21" s="307"/>
      <c r="GI21" s="307"/>
      <c r="GJ21" s="307"/>
      <c r="GK21" s="307"/>
      <c r="GL21" s="307"/>
      <c r="GM21" s="307"/>
      <c r="GN21" s="307"/>
      <c r="GO21" s="307"/>
      <c r="GP21" s="307"/>
      <c r="GQ21" s="307"/>
      <c r="GR21" s="307"/>
      <c r="GS21" s="307"/>
      <c r="GT21" s="307"/>
      <c r="GU21" s="307"/>
      <c r="GV21" s="307"/>
      <c r="GW21" s="307"/>
      <c r="GX21" s="307"/>
      <c r="GY21" s="307"/>
      <c r="GZ21" s="307"/>
      <c r="HA21" s="307"/>
      <c r="HB21" s="307"/>
      <c r="HC21" s="307"/>
      <c r="HD21" s="307"/>
      <c r="HE21" s="307"/>
      <c r="HF21" s="307"/>
      <c r="HG21" s="307"/>
      <c r="HH21" s="307"/>
      <c r="HI21" s="307"/>
      <c r="HJ21" s="307"/>
      <c r="HK21" s="307"/>
      <c r="HL21" s="307"/>
      <c r="HM21" s="307"/>
      <c r="HN21" s="307"/>
      <c r="HO21" s="307"/>
      <c r="HP21" s="307"/>
      <c r="HQ21" s="307"/>
      <c r="HR21" s="307"/>
      <c r="HS21" s="307"/>
      <c r="HT21" s="307"/>
      <c r="HU21" s="307"/>
      <c r="HV21" s="307"/>
      <c r="HW21" s="307"/>
      <c r="HX21" s="307"/>
      <c r="HY21" s="307"/>
      <c r="HZ21" s="307"/>
      <c r="IA21" s="307"/>
      <c r="IB21" s="307"/>
      <c r="IC21" s="307"/>
      <c r="ID21" s="307"/>
      <c r="IE21" s="307"/>
      <c r="IF21" s="307"/>
      <c r="IG21" s="307"/>
      <c r="IH21" s="307"/>
      <c r="II21" s="307"/>
      <c r="IJ21" s="307"/>
      <c r="IK21" s="307"/>
      <c r="IL21" s="307"/>
      <c r="IM21" s="307"/>
      <c r="IN21" s="307"/>
      <c r="IO21" s="307"/>
      <c r="IP21" s="307"/>
      <c r="IQ21" s="307"/>
      <c r="IR21" s="307"/>
      <c r="IS21" s="307"/>
      <c r="IT21" s="307"/>
      <c r="IU21" s="307"/>
    </row>
    <row r="22" spans="1:255" ht="15.5">
      <c r="A22" s="324"/>
      <c r="B22" s="307"/>
      <c r="C22" s="310"/>
      <c r="D22" s="320"/>
      <c r="E22" s="312"/>
      <c r="F22" s="320"/>
      <c r="G22" s="312"/>
      <c r="H22" s="312"/>
      <c r="I22" s="313"/>
      <c r="J22" s="312"/>
      <c r="K22" s="312"/>
      <c r="L22" s="313"/>
      <c r="M22" s="307"/>
      <c r="N22" s="307"/>
      <c r="O22" s="307"/>
      <c r="P22" s="307"/>
      <c r="Q22" s="307"/>
      <c r="R22" s="308"/>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c r="CQ22" s="307"/>
      <c r="CR22" s="307"/>
      <c r="CS22" s="307"/>
      <c r="CT22" s="307"/>
      <c r="CU22" s="307"/>
      <c r="CV22" s="307"/>
      <c r="CW22" s="307"/>
      <c r="CX22" s="307"/>
      <c r="CY22" s="307"/>
      <c r="CZ22" s="307"/>
      <c r="DA22" s="307"/>
      <c r="DB22" s="307"/>
      <c r="DC22" s="307"/>
      <c r="DD22" s="307"/>
      <c r="DE22" s="307"/>
      <c r="DF22" s="307"/>
      <c r="DG22" s="307"/>
      <c r="DH22" s="307"/>
      <c r="DI22" s="307"/>
      <c r="DJ22" s="307"/>
      <c r="DK22" s="307"/>
      <c r="DL22" s="307"/>
      <c r="DM22" s="307"/>
      <c r="DN22" s="307"/>
      <c r="DO22" s="307"/>
      <c r="DP22" s="307"/>
      <c r="DQ22" s="307"/>
      <c r="DR22" s="307"/>
      <c r="DS22" s="307"/>
      <c r="DT22" s="307"/>
      <c r="DU22" s="307"/>
      <c r="DV22" s="307"/>
      <c r="DW22" s="307"/>
      <c r="DX22" s="307"/>
      <c r="DY22" s="307"/>
      <c r="DZ22" s="307"/>
      <c r="EA22" s="307"/>
      <c r="EB22" s="307"/>
      <c r="EC22" s="307"/>
      <c r="ED22" s="307"/>
      <c r="EE22" s="307"/>
      <c r="EF22" s="307"/>
      <c r="EG22" s="307"/>
      <c r="EH22" s="307"/>
      <c r="EI22" s="307"/>
      <c r="EJ22" s="307"/>
      <c r="EK22" s="307"/>
      <c r="EL22" s="307"/>
      <c r="EM22" s="307"/>
      <c r="EN22" s="307"/>
      <c r="EO22" s="307"/>
      <c r="EP22" s="307"/>
      <c r="EQ22" s="307"/>
      <c r="ER22" s="307"/>
      <c r="ES22" s="307"/>
      <c r="ET22" s="307"/>
      <c r="EU22" s="307"/>
      <c r="EV22" s="307"/>
      <c r="EW22" s="307"/>
      <c r="EX22" s="307"/>
      <c r="EY22" s="307"/>
      <c r="EZ22" s="307"/>
      <c r="FA22" s="307"/>
      <c r="FB22" s="307"/>
      <c r="FC22" s="307"/>
      <c r="FD22" s="307"/>
      <c r="FE22" s="307"/>
      <c r="FF22" s="307"/>
      <c r="FG22" s="307"/>
      <c r="FH22" s="307"/>
      <c r="FI22" s="307"/>
      <c r="FJ22" s="307"/>
      <c r="FK22" s="307"/>
      <c r="FL22" s="307"/>
      <c r="FM22" s="307"/>
      <c r="FN22" s="307"/>
      <c r="FO22" s="307"/>
      <c r="FP22" s="307"/>
      <c r="FQ22" s="307"/>
      <c r="FR22" s="307"/>
      <c r="FS22" s="307"/>
      <c r="FT22" s="307"/>
      <c r="FU22" s="307"/>
      <c r="FV22" s="307"/>
      <c r="FW22" s="307"/>
      <c r="FX22" s="307"/>
      <c r="FY22" s="307"/>
      <c r="FZ22" s="307"/>
      <c r="GA22" s="307"/>
      <c r="GB22" s="307"/>
      <c r="GC22" s="307"/>
      <c r="GD22" s="307"/>
      <c r="GE22" s="307"/>
      <c r="GF22" s="307"/>
      <c r="GG22" s="307"/>
      <c r="GH22" s="307"/>
      <c r="GI22" s="307"/>
      <c r="GJ22" s="307"/>
      <c r="GK22" s="307"/>
      <c r="GL22" s="307"/>
      <c r="GM22" s="307"/>
      <c r="GN22" s="307"/>
      <c r="GO22" s="307"/>
      <c r="GP22" s="307"/>
      <c r="GQ22" s="307"/>
      <c r="GR22" s="307"/>
      <c r="GS22" s="307"/>
      <c r="GT22" s="307"/>
      <c r="GU22" s="307"/>
      <c r="GV22" s="307"/>
      <c r="GW22" s="307"/>
      <c r="GX22" s="307"/>
      <c r="GY22" s="307"/>
      <c r="GZ22" s="307"/>
      <c r="HA22" s="307"/>
      <c r="HB22" s="307"/>
      <c r="HC22" s="307"/>
      <c r="HD22" s="307"/>
      <c r="HE22" s="307"/>
      <c r="HF22" s="307"/>
      <c r="HG22" s="307"/>
      <c r="HH22" s="307"/>
      <c r="HI22" s="307"/>
      <c r="HJ22" s="307"/>
      <c r="HK22" s="307"/>
      <c r="HL22" s="307"/>
      <c r="HM22" s="307"/>
      <c r="HN22" s="307"/>
      <c r="HO22" s="307"/>
      <c r="HP22" s="307"/>
      <c r="HQ22" s="307"/>
      <c r="HR22" s="307"/>
      <c r="HS22" s="307"/>
      <c r="HT22" s="307"/>
      <c r="HU22" s="307"/>
      <c r="HV22" s="307"/>
      <c r="HW22" s="307"/>
      <c r="HX22" s="307"/>
      <c r="HY22" s="307"/>
      <c r="HZ22" s="307"/>
      <c r="IA22" s="307"/>
      <c r="IB22" s="307"/>
      <c r="IC22" s="307"/>
      <c r="ID22" s="307"/>
      <c r="IE22" s="307"/>
      <c r="IF22" s="307"/>
      <c r="IG22" s="307"/>
      <c r="IH22" s="307"/>
      <c r="II22" s="307"/>
      <c r="IJ22" s="307"/>
      <c r="IK22" s="307"/>
      <c r="IL22" s="307"/>
      <c r="IM22" s="307"/>
      <c r="IN22" s="307"/>
      <c r="IO22" s="307"/>
      <c r="IP22" s="307"/>
      <c r="IQ22" s="307"/>
      <c r="IR22" s="307"/>
      <c r="IS22" s="307"/>
      <c r="IT22" s="307"/>
      <c r="IU22" s="307"/>
    </row>
    <row r="23" spans="1:255" ht="15.5">
      <c r="A23" s="319" t="s">
        <v>224</v>
      </c>
      <c r="B23" s="307"/>
      <c r="C23" s="310"/>
      <c r="D23" s="320"/>
      <c r="E23" s="312"/>
      <c r="F23" s="320"/>
      <c r="G23" s="312"/>
      <c r="H23" s="312"/>
      <c r="I23" s="313"/>
      <c r="J23" s="312"/>
      <c r="K23" s="312"/>
      <c r="L23" s="313"/>
      <c r="M23" s="307"/>
      <c r="N23" s="307"/>
      <c r="O23" s="307"/>
      <c r="P23" s="307"/>
      <c r="Q23" s="307"/>
      <c r="R23" s="308"/>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c r="BN23" s="307"/>
      <c r="BO23" s="307"/>
      <c r="BP23" s="307"/>
      <c r="BQ23" s="307"/>
      <c r="BR23" s="307"/>
      <c r="BS23" s="307"/>
      <c r="BT23" s="307"/>
      <c r="BU23" s="307"/>
      <c r="BV23" s="307"/>
      <c r="BW23" s="307"/>
      <c r="BX23" s="307"/>
      <c r="BY23" s="307"/>
      <c r="BZ23" s="307"/>
      <c r="CA23" s="307"/>
      <c r="CB23" s="307"/>
      <c r="CC23" s="307"/>
      <c r="CD23" s="307"/>
      <c r="CE23" s="307"/>
      <c r="CF23" s="307"/>
      <c r="CG23" s="307"/>
      <c r="CH23" s="307"/>
      <c r="CI23" s="307"/>
      <c r="CJ23" s="307"/>
      <c r="CK23" s="307"/>
      <c r="CL23" s="307"/>
      <c r="CM23" s="307"/>
      <c r="CN23" s="307"/>
      <c r="CO23" s="307"/>
      <c r="CP23" s="307"/>
      <c r="CQ23" s="307"/>
      <c r="CR23" s="307"/>
      <c r="CS23" s="307"/>
      <c r="CT23" s="307"/>
      <c r="CU23" s="307"/>
      <c r="CV23" s="307"/>
      <c r="CW23" s="307"/>
      <c r="CX23" s="307"/>
      <c r="CY23" s="307"/>
      <c r="CZ23" s="307"/>
      <c r="DA23" s="307"/>
      <c r="DB23" s="307"/>
      <c r="DC23" s="307"/>
      <c r="DD23" s="307"/>
      <c r="DE23" s="307"/>
      <c r="DF23" s="307"/>
      <c r="DG23" s="307"/>
      <c r="DH23" s="307"/>
      <c r="DI23" s="307"/>
      <c r="DJ23" s="307"/>
      <c r="DK23" s="307"/>
      <c r="DL23" s="307"/>
      <c r="DM23" s="307"/>
      <c r="DN23" s="307"/>
      <c r="DO23" s="307"/>
      <c r="DP23" s="307"/>
      <c r="DQ23" s="307"/>
      <c r="DR23" s="307"/>
      <c r="DS23" s="307"/>
      <c r="DT23" s="307"/>
      <c r="DU23" s="307"/>
      <c r="DV23" s="307"/>
      <c r="DW23" s="307"/>
      <c r="DX23" s="307"/>
      <c r="DY23" s="307"/>
      <c r="DZ23" s="307"/>
      <c r="EA23" s="307"/>
      <c r="EB23" s="307"/>
      <c r="EC23" s="307"/>
      <c r="ED23" s="307"/>
      <c r="EE23" s="307"/>
      <c r="EF23" s="307"/>
      <c r="EG23" s="307"/>
      <c r="EH23" s="307"/>
      <c r="EI23" s="307"/>
      <c r="EJ23" s="307"/>
      <c r="EK23" s="307"/>
      <c r="EL23" s="307"/>
      <c r="EM23" s="307"/>
      <c r="EN23" s="307"/>
      <c r="EO23" s="307"/>
      <c r="EP23" s="307"/>
      <c r="EQ23" s="307"/>
      <c r="ER23" s="307"/>
      <c r="ES23" s="307"/>
      <c r="ET23" s="307"/>
      <c r="EU23" s="307"/>
      <c r="EV23" s="307"/>
      <c r="EW23" s="307"/>
      <c r="EX23" s="307"/>
      <c r="EY23" s="307"/>
      <c r="EZ23" s="307"/>
      <c r="FA23" s="307"/>
      <c r="FB23" s="307"/>
      <c r="FC23" s="307"/>
      <c r="FD23" s="307"/>
      <c r="FE23" s="307"/>
      <c r="FF23" s="307"/>
      <c r="FG23" s="307"/>
      <c r="FH23" s="307"/>
      <c r="FI23" s="307"/>
      <c r="FJ23" s="307"/>
      <c r="FK23" s="307"/>
      <c r="FL23" s="307"/>
      <c r="FM23" s="307"/>
      <c r="FN23" s="307"/>
      <c r="FO23" s="307"/>
      <c r="FP23" s="307"/>
      <c r="FQ23" s="307"/>
      <c r="FR23" s="307"/>
      <c r="FS23" s="307"/>
      <c r="FT23" s="307"/>
      <c r="FU23" s="307"/>
      <c r="FV23" s="307"/>
      <c r="FW23" s="307"/>
      <c r="FX23" s="307"/>
      <c r="FY23" s="307"/>
      <c r="FZ23" s="307"/>
      <c r="GA23" s="307"/>
      <c r="GB23" s="307"/>
      <c r="GC23" s="307"/>
      <c r="GD23" s="307"/>
      <c r="GE23" s="307"/>
      <c r="GF23" s="307"/>
      <c r="GG23" s="307"/>
      <c r="GH23" s="307"/>
      <c r="GI23" s="307"/>
      <c r="GJ23" s="307"/>
      <c r="GK23" s="307"/>
      <c r="GL23" s="307"/>
      <c r="GM23" s="307"/>
      <c r="GN23" s="307"/>
      <c r="GO23" s="307"/>
      <c r="GP23" s="307"/>
      <c r="GQ23" s="307"/>
      <c r="GR23" s="307"/>
      <c r="GS23" s="307"/>
      <c r="GT23" s="307"/>
      <c r="GU23" s="307"/>
      <c r="GV23" s="307"/>
      <c r="GW23" s="307"/>
      <c r="GX23" s="307"/>
      <c r="GY23" s="307"/>
      <c r="GZ23" s="307"/>
      <c r="HA23" s="307"/>
      <c r="HB23" s="307"/>
      <c r="HC23" s="307"/>
      <c r="HD23" s="307"/>
      <c r="HE23" s="307"/>
      <c r="HF23" s="307"/>
      <c r="HG23" s="307"/>
      <c r="HH23" s="307"/>
      <c r="HI23" s="307"/>
      <c r="HJ23" s="307"/>
      <c r="HK23" s="307"/>
      <c r="HL23" s="307"/>
      <c r="HM23" s="307"/>
      <c r="HN23" s="307"/>
      <c r="HO23" s="307"/>
      <c r="HP23" s="307"/>
      <c r="HQ23" s="307"/>
      <c r="HR23" s="307"/>
      <c r="HS23" s="307"/>
      <c r="HT23" s="307"/>
      <c r="HU23" s="307"/>
      <c r="HV23" s="307"/>
      <c r="HW23" s="307"/>
      <c r="HX23" s="307"/>
      <c r="HY23" s="307"/>
      <c r="HZ23" s="307"/>
      <c r="IA23" s="307"/>
      <c r="IB23" s="307"/>
      <c r="IC23" s="307"/>
      <c r="ID23" s="307"/>
      <c r="IE23" s="307"/>
      <c r="IF23" s="307"/>
      <c r="IG23" s="307"/>
      <c r="IH23" s="307"/>
      <c r="II23" s="307"/>
      <c r="IJ23" s="307"/>
      <c r="IK23" s="307"/>
      <c r="IL23" s="307"/>
      <c r="IM23" s="307"/>
      <c r="IN23" s="307"/>
      <c r="IO23" s="307"/>
      <c r="IP23" s="307"/>
      <c r="IQ23" s="307"/>
      <c r="IR23" s="307"/>
      <c r="IS23" s="307"/>
      <c r="IT23" s="307"/>
      <c r="IU23" s="307"/>
    </row>
    <row r="24" spans="1:255" ht="15.5">
      <c r="A24" s="319"/>
      <c r="B24" s="307" t="s">
        <v>212</v>
      </c>
      <c r="C24" s="310"/>
      <c r="D24" s="312">
        <f>+ROUND(E24*(1+$F$7),3)</f>
        <v>0</v>
      </c>
      <c r="E24" s="312">
        <v>0</v>
      </c>
      <c r="F24" s="313" t="e">
        <f t="shared" ref="F24:F35" si="7">-1+D24/E24</f>
        <v>#DIV/0!</v>
      </c>
      <c r="G24" s="312"/>
      <c r="H24" s="312"/>
      <c r="I24" s="313"/>
      <c r="J24" s="312"/>
      <c r="K24" s="312"/>
      <c r="L24" s="313"/>
      <c r="M24" s="307"/>
      <c r="N24" s="307"/>
      <c r="O24" s="307"/>
      <c r="P24" s="307"/>
      <c r="Q24" s="307"/>
      <c r="R24" s="308"/>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c r="BV24" s="307"/>
      <c r="BW24" s="307"/>
      <c r="BX24" s="307"/>
      <c r="BY24" s="307"/>
      <c r="BZ24" s="307"/>
      <c r="CA24" s="307"/>
      <c r="CB24" s="307"/>
      <c r="CC24" s="307"/>
      <c r="CD24" s="307"/>
      <c r="CE24" s="307"/>
      <c r="CF24" s="307"/>
      <c r="CG24" s="307"/>
      <c r="CH24" s="307"/>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7"/>
      <c r="DS24" s="307"/>
      <c r="DT24" s="307"/>
      <c r="DU24" s="307"/>
      <c r="DV24" s="307"/>
      <c r="DW24" s="307"/>
      <c r="DX24" s="307"/>
      <c r="DY24" s="307"/>
      <c r="DZ24" s="307"/>
      <c r="EA24" s="307"/>
      <c r="EB24" s="307"/>
      <c r="EC24" s="307"/>
      <c r="ED24" s="307"/>
      <c r="EE24" s="307"/>
      <c r="EF24" s="307"/>
      <c r="EG24" s="307"/>
      <c r="EH24" s="307"/>
      <c r="EI24" s="307"/>
      <c r="EJ24" s="307"/>
      <c r="EK24" s="307"/>
      <c r="EL24" s="307"/>
      <c r="EM24" s="307"/>
      <c r="EN24" s="307"/>
      <c r="EO24" s="307"/>
      <c r="EP24" s="307"/>
      <c r="EQ24" s="307"/>
      <c r="ER24" s="307"/>
      <c r="ES24" s="307"/>
      <c r="ET24" s="307"/>
      <c r="EU24" s="307"/>
      <c r="EV24" s="307"/>
      <c r="EW24" s="307"/>
      <c r="EX24" s="307"/>
      <c r="EY24" s="307"/>
      <c r="EZ24" s="307"/>
      <c r="FA24" s="307"/>
      <c r="FB24" s="307"/>
      <c r="FC24" s="307"/>
      <c r="FD24" s="307"/>
      <c r="FE24" s="307"/>
      <c r="FF24" s="307"/>
      <c r="FG24" s="307"/>
      <c r="FH24" s="307"/>
      <c r="FI24" s="307"/>
      <c r="FJ24" s="307"/>
      <c r="FK24" s="307"/>
      <c r="FL24" s="307"/>
      <c r="FM24" s="307"/>
      <c r="FN24" s="307"/>
      <c r="FO24" s="307"/>
      <c r="FP24" s="307"/>
      <c r="FQ24" s="307"/>
      <c r="FR24" s="307"/>
      <c r="FS24" s="307"/>
      <c r="FT24" s="307"/>
      <c r="FU24" s="307"/>
      <c r="FV24" s="307"/>
      <c r="FW24" s="307"/>
      <c r="FX24" s="307"/>
      <c r="FY24" s="307"/>
      <c r="FZ24" s="307"/>
      <c r="GA24" s="307"/>
      <c r="GB24" s="307"/>
      <c r="GC24" s="307"/>
      <c r="GD24" s="307"/>
      <c r="GE24" s="307"/>
      <c r="GF24" s="307"/>
      <c r="GG24" s="307"/>
      <c r="GH24" s="307"/>
      <c r="GI24" s="307"/>
      <c r="GJ24" s="307"/>
      <c r="GK24" s="307"/>
      <c r="GL24" s="307"/>
      <c r="GM24" s="307"/>
      <c r="GN24" s="307"/>
      <c r="GO24" s="307"/>
      <c r="GP24" s="307"/>
      <c r="GQ24" s="307"/>
      <c r="GR24" s="307"/>
      <c r="GS24" s="307"/>
      <c r="GT24" s="307"/>
      <c r="GU24" s="307"/>
      <c r="GV24" s="307"/>
      <c r="GW24" s="307"/>
      <c r="GX24" s="307"/>
      <c r="GY24" s="307"/>
      <c r="GZ24" s="307"/>
      <c r="HA24" s="307"/>
      <c r="HB24" s="307"/>
      <c r="HC24" s="307"/>
      <c r="HD24" s="307"/>
      <c r="HE24" s="307"/>
      <c r="HF24" s="307"/>
      <c r="HG24" s="307"/>
      <c r="HH24" s="307"/>
      <c r="HI24" s="307"/>
      <c r="HJ24" s="307"/>
      <c r="HK24" s="307"/>
      <c r="HL24" s="307"/>
      <c r="HM24" s="307"/>
      <c r="HN24" s="307"/>
      <c r="HO24" s="307"/>
      <c r="HP24" s="307"/>
      <c r="HQ24" s="307"/>
      <c r="HR24" s="307"/>
      <c r="HS24" s="307"/>
      <c r="HT24" s="307"/>
      <c r="HU24" s="307"/>
      <c r="HV24" s="307"/>
      <c r="HW24" s="307"/>
      <c r="HX24" s="307"/>
      <c r="HY24" s="307"/>
      <c r="HZ24" s="307"/>
      <c r="IA24" s="307"/>
      <c r="IB24" s="307"/>
      <c r="IC24" s="307"/>
      <c r="ID24" s="307"/>
      <c r="IE24" s="307"/>
      <c r="IF24" s="307"/>
      <c r="IG24" s="307"/>
      <c r="IH24" s="307"/>
      <c r="II24" s="307"/>
      <c r="IJ24" s="307"/>
      <c r="IK24" s="307"/>
      <c r="IL24" s="307"/>
      <c r="IM24" s="307"/>
      <c r="IN24" s="307"/>
      <c r="IO24" s="307"/>
      <c r="IP24" s="307"/>
      <c r="IQ24" s="307"/>
      <c r="IR24" s="307"/>
      <c r="IS24" s="307"/>
      <c r="IT24" s="307"/>
      <c r="IU24" s="307"/>
    </row>
    <row r="25" spans="1:255" ht="15.5">
      <c r="A25" s="324"/>
      <c r="B25" s="307" t="s">
        <v>213</v>
      </c>
      <c r="C25" s="325"/>
      <c r="D25" s="312">
        <f t="shared" ref="D25:D35" si="8">+ROUND(E25*(1+$F$7),3)</f>
        <v>-0.12</v>
      </c>
      <c r="E25" s="312">
        <v>-1E-3</v>
      </c>
      <c r="F25" s="313">
        <f t="shared" si="7"/>
        <v>119</v>
      </c>
      <c r="G25" s="312"/>
      <c r="H25" s="312"/>
      <c r="I25" s="313"/>
      <c r="J25" s="312"/>
      <c r="K25" s="312"/>
      <c r="L25" s="313"/>
      <c r="M25" s="307"/>
      <c r="N25" s="307"/>
      <c r="O25" s="307"/>
      <c r="P25" s="307"/>
      <c r="Q25" s="307"/>
      <c r="R25" s="308"/>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c r="BV25" s="307"/>
      <c r="BW25" s="307"/>
      <c r="BX25" s="307"/>
      <c r="BY25" s="307"/>
      <c r="BZ25" s="307"/>
      <c r="CA25" s="307"/>
      <c r="CB25" s="307"/>
      <c r="CC25" s="307"/>
      <c r="CD25" s="307"/>
      <c r="CE25" s="307"/>
      <c r="CF25" s="307"/>
      <c r="CG25" s="307"/>
      <c r="CH25" s="307"/>
      <c r="CI25" s="307"/>
      <c r="CJ25" s="307"/>
      <c r="CK25" s="307"/>
      <c r="CL25" s="307"/>
      <c r="CM25" s="307"/>
      <c r="CN25" s="307"/>
      <c r="CO25" s="307"/>
      <c r="CP25" s="307"/>
      <c r="CQ25" s="307"/>
      <c r="CR25" s="307"/>
      <c r="CS25" s="307"/>
      <c r="CT25" s="307"/>
      <c r="CU25" s="307"/>
      <c r="CV25" s="307"/>
      <c r="CW25" s="307"/>
      <c r="CX25" s="307"/>
      <c r="CY25" s="307"/>
      <c r="CZ25" s="307"/>
      <c r="DA25" s="307"/>
      <c r="DB25" s="307"/>
      <c r="DC25" s="307"/>
      <c r="DD25" s="307"/>
      <c r="DE25" s="307"/>
      <c r="DF25" s="307"/>
      <c r="DG25" s="307"/>
      <c r="DH25" s="307"/>
      <c r="DI25" s="307"/>
      <c r="DJ25" s="307"/>
      <c r="DK25" s="307"/>
      <c r="DL25" s="307"/>
      <c r="DM25" s="307"/>
      <c r="DN25" s="307"/>
      <c r="DO25" s="307"/>
      <c r="DP25" s="307"/>
      <c r="DQ25" s="307"/>
      <c r="DR25" s="307"/>
      <c r="DS25" s="307"/>
      <c r="DT25" s="307"/>
      <c r="DU25" s="307"/>
      <c r="DV25" s="307"/>
      <c r="DW25" s="307"/>
      <c r="DX25" s="307"/>
      <c r="DY25" s="307"/>
      <c r="DZ25" s="307"/>
      <c r="EA25" s="307"/>
      <c r="EB25" s="307"/>
      <c r="EC25" s="307"/>
      <c r="ED25" s="307"/>
      <c r="EE25" s="307"/>
      <c r="EF25" s="307"/>
      <c r="EG25" s="307"/>
      <c r="EH25" s="307"/>
      <c r="EI25" s="307"/>
      <c r="EJ25" s="307"/>
      <c r="EK25" s="307"/>
      <c r="EL25" s="307"/>
      <c r="EM25" s="307"/>
      <c r="EN25" s="307"/>
      <c r="EO25" s="307"/>
      <c r="EP25" s="307"/>
      <c r="EQ25" s="307"/>
      <c r="ER25" s="307"/>
      <c r="ES25" s="307"/>
      <c r="ET25" s="307"/>
      <c r="EU25" s="307"/>
      <c r="EV25" s="307"/>
      <c r="EW25" s="307"/>
      <c r="EX25" s="307"/>
      <c r="EY25" s="307"/>
      <c r="EZ25" s="307"/>
      <c r="FA25" s="307"/>
      <c r="FB25" s="307"/>
      <c r="FC25" s="307"/>
      <c r="FD25" s="307"/>
      <c r="FE25" s="307"/>
      <c r="FF25" s="307"/>
      <c r="FG25" s="307"/>
      <c r="FH25" s="307"/>
      <c r="FI25" s="307"/>
      <c r="FJ25" s="307"/>
      <c r="FK25" s="307"/>
      <c r="FL25" s="307"/>
      <c r="FM25" s="307"/>
      <c r="FN25" s="307"/>
      <c r="FO25" s="307"/>
      <c r="FP25" s="307"/>
      <c r="FQ25" s="307"/>
      <c r="FR25" s="307"/>
      <c r="FS25" s="307"/>
      <c r="FT25" s="307"/>
      <c r="FU25" s="307"/>
      <c r="FV25" s="307"/>
      <c r="FW25" s="307"/>
      <c r="FX25" s="307"/>
      <c r="FY25" s="307"/>
      <c r="FZ25" s="307"/>
      <c r="GA25" s="307"/>
      <c r="GB25" s="307"/>
      <c r="GC25" s="307"/>
      <c r="GD25" s="307"/>
      <c r="GE25" s="307"/>
      <c r="GF25" s="307"/>
      <c r="GG25" s="307"/>
      <c r="GH25" s="307"/>
      <c r="GI25" s="307"/>
      <c r="GJ25" s="307"/>
      <c r="GK25" s="307"/>
      <c r="GL25" s="307"/>
      <c r="GM25" s="307"/>
      <c r="GN25" s="307"/>
      <c r="GO25" s="307"/>
      <c r="GP25" s="307"/>
      <c r="GQ25" s="307"/>
      <c r="GR25" s="307"/>
      <c r="GS25" s="307"/>
      <c r="GT25" s="307"/>
      <c r="GU25" s="307"/>
      <c r="GV25" s="307"/>
      <c r="GW25" s="307"/>
      <c r="GX25" s="307"/>
      <c r="GY25" s="307"/>
      <c r="GZ25" s="307"/>
      <c r="HA25" s="307"/>
      <c r="HB25" s="307"/>
      <c r="HC25" s="307"/>
      <c r="HD25" s="307"/>
      <c r="HE25" s="307"/>
      <c r="HF25" s="307"/>
      <c r="HG25" s="307"/>
      <c r="HH25" s="307"/>
      <c r="HI25" s="307"/>
      <c r="HJ25" s="307"/>
      <c r="HK25" s="307"/>
      <c r="HL25" s="307"/>
      <c r="HM25" s="307"/>
      <c r="HN25" s="307"/>
      <c r="HO25" s="307"/>
      <c r="HP25" s="307"/>
      <c r="HQ25" s="307"/>
      <c r="HR25" s="307"/>
      <c r="HS25" s="307"/>
      <c r="HT25" s="307"/>
      <c r="HU25" s="307"/>
      <c r="HV25" s="307"/>
      <c r="HW25" s="307"/>
      <c r="HX25" s="307"/>
      <c r="HY25" s="307"/>
      <c r="HZ25" s="307"/>
      <c r="IA25" s="307"/>
      <c r="IB25" s="307"/>
      <c r="IC25" s="307"/>
      <c r="ID25" s="307"/>
      <c r="IE25" s="307"/>
      <c r="IF25" s="307"/>
      <c r="IG25" s="307"/>
      <c r="IH25" s="307"/>
      <c r="II25" s="307"/>
      <c r="IJ25" s="307"/>
      <c r="IK25" s="307"/>
      <c r="IL25" s="307"/>
      <c r="IM25" s="307"/>
      <c r="IN25" s="307"/>
      <c r="IO25" s="307"/>
      <c r="IP25" s="307"/>
      <c r="IQ25" s="307"/>
      <c r="IR25" s="307"/>
      <c r="IS25" s="307"/>
      <c r="IT25" s="307"/>
      <c r="IU25" s="307"/>
    </row>
    <row r="26" spans="1:255" ht="15.5">
      <c r="A26" s="324"/>
      <c r="B26" s="307" t="s">
        <v>214</v>
      </c>
      <c r="C26" s="325"/>
      <c r="D26" s="312">
        <f t="shared" si="8"/>
        <v>-0.12</v>
      </c>
      <c r="E26" s="312">
        <v>-1E-3</v>
      </c>
      <c r="F26" s="313">
        <f t="shared" si="7"/>
        <v>119</v>
      </c>
      <c r="G26" s="312"/>
      <c r="H26" s="312"/>
      <c r="I26" s="313"/>
      <c r="J26" s="312"/>
      <c r="K26" s="312"/>
      <c r="L26" s="313"/>
      <c r="M26" s="307"/>
      <c r="N26" s="307"/>
      <c r="O26" s="307"/>
      <c r="P26" s="307"/>
      <c r="Q26" s="307"/>
      <c r="R26" s="308"/>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c r="CB26" s="307"/>
      <c r="CC26" s="307"/>
      <c r="CD26" s="307"/>
      <c r="CE26" s="307"/>
      <c r="CF26" s="307"/>
      <c r="CG26" s="307"/>
      <c r="CH26" s="307"/>
      <c r="CI26" s="307"/>
      <c r="CJ26" s="307"/>
      <c r="CK26" s="307"/>
      <c r="CL26" s="307"/>
      <c r="CM26" s="307"/>
      <c r="CN26" s="307"/>
      <c r="CO26" s="307"/>
      <c r="CP26" s="307"/>
      <c r="CQ26" s="307"/>
      <c r="CR26" s="307"/>
      <c r="CS26" s="307"/>
      <c r="CT26" s="307"/>
      <c r="CU26" s="307"/>
      <c r="CV26" s="307"/>
      <c r="CW26" s="307"/>
      <c r="CX26" s="307"/>
      <c r="CY26" s="307"/>
      <c r="CZ26" s="307"/>
      <c r="DA26" s="307"/>
      <c r="DB26" s="307"/>
      <c r="DC26" s="307"/>
      <c r="DD26" s="307"/>
      <c r="DE26" s="307"/>
      <c r="DF26" s="307"/>
      <c r="DG26" s="307"/>
      <c r="DH26" s="307"/>
      <c r="DI26" s="307"/>
      <c r="DJ26" s="307"/>
      <c r="DK26" s="307"/>
      <c r="DL26" s="307"/>
      <c r="DM26" s="307"/>
      <c r="DN26" s="307"/>
      <c r="DO26" s="307"/>
      <c r="DP26" s="307"/>
      <c r="DQ26" s="307"/>
      <c r="DR26" s="307"/>
      <c r="DS26" s="307"/>
      <c r="DT26" s="307"/>
      <c r="DU26" s="307"/>
      <c r="DV26" s="307"/>
      <c r="DW26" s="307"/>
      <c r="DX26" s="307"/>
      <c r="DY26" s="307"/>
      <c r="DZ26" s="307"/>
      <c r="EA26" s="307"/>
      <c r="EB26" s="307"/>
      <c r="EC26" s="307"/>
      <c r="ED26" s="307"/>
      <c r="EE26" s="307"/>
      <c r="EF26" s="307"/>
      <c r="EG26" s="307"/>
      <c r="EH26" s="307"/>
      <c r="EI26" s="307"/>
      <c r="EJ26" s="307"/>
      <c r="EK26" s="307"/>
      <c r="EL26" s="307"/>
      <c r="EM26" s="307"/>
      <c r="EN26" s="307"/>
      <c r="EO26" s="307"/>
      <c r="EP26" s="307"/>
      <c r="EQ26" s="307"/>
      <c r="ER26" s="307"/>
      <c r="ES26" s="307"/>
      <c r="ET26" s="307"/>
      <c r="EU26" s="307"/>
      <c r="EV26" s="307"/>
      <c r="EW26" s="307"/>
      <c r="EX26" s="307"/>
      <c r="EY26" s="307"/>
      <c r="EZ26" s="307"/>
      <c r="FA26" s="307"/>
      <c r="FB26" s="307"/>
      <c r="FC26" s="307"/>
      <c r="FD26" s="307"/>
      <c r="FE26" s="307"/>
      <c r="FF26" s="307"/>
      <c r="FG26" s="307"/>
      <c r="FH26" s="307"/>
      <c r="FI26" s="307"/>
      <c r="FJ26" s="307"/>
      <c r="FK26" s="307"/>
      <c r="FL26" s="307"/>
      <c r="FM26" s="307"/>
      <c r="FN26" s="307"/>
      <c r="FO26" s="307"/>
      <c r="FP26" s="307"/>
      <c r="FQ26" s="307"/>
      <c r="FR26" s="307"/>
      <c r="FS26" s="307"/>
      <c r="FT26" s="307"/>
      <c r="FU26" s="307"/>
      <c r="FV26" s="307"/>
      <c r="FW26" s="307"/>
      <c r="FX26" s="307"/>
      <c r="FY26" s="307"/>
      <c r="FZ26" s="307"/>
      <c r="GA26" s="307"/>
      <c r="GB26" s="307"/>
      <c r="GC26" s="307"/>
      <c r="GD26" s="307"/>
      <c r="GE26" s="307"/>
      <c r="GF26" s="307"/>
      <c r="GG26" s="307"/>
      <c r="GH26" s="307"/>
      <c r="GI26" s="307"/>
      <c r="GJ26" s="307"/>
      <c r="GK26" s="307"/>
      <c r="GL26" s="307"/>
      <c r="GM26" s="307"/>
      <c r="GN26" s="307"/>
      <c r="GO26" s="307"/>
      <c r="GP26" s="307"/>
      <c r="GQ26" s="307"/>
      <c r="GR26" s="307"/>
      <c r="GS26" s="307"/>
      <c r="GT26" s="307"/>
      <c r="GU26" s="307"/>
      <c r="GV26" s="307"/>
      <c r="GW26" s="307"/>
      <c r="GX26" s="307"/>
      <c r="GY26" s="307"/>
      <c r="GZ26" s="307"/>
      <c r="HA26" s="307"/>
      <c r="HB26" s="307"/>
      <c r="HC26" s="307"/>
      <c r="HD26" s="307"/>
      <c r="HE26" s="307"/>
      <c r="HF26" s="307"/>
      <c r="HG26" s="307"/>
      <c r="HH26" s="307"/>
      <c r="HI26" s="307"/>
      <c r="HJ26" s="307"/>
      <c r="HK26" s="307"/>
      <c r="HL26" s="307"/>
      <c r="HM26" s="307"/>
      <c r="HN26" s="307"/>
      <c r="HO26" s="307"/>
      <c r="HP26" s="307"/>
      <c r="HQ26" s="307"/>
      <c r="HR26" s="307"/>
      <c r="HS26" s="307"/>
      <c r="HT26" s="307"/>
      <c r="HU26" s="307"/>
      <c r="HV26" s="307"/>
      <c r="HW26" s="307"/>
      <c r="HX26" s="307"/>
      <c r="HY26" s="307"/>
      <c r="HZ26" s="307"/>
      <c r="IA26" s="307"/>
      <c r="IB26" s="307"/>
      <c r="IC26" s="307"/>
      <c r="ID26" s="307"/>
      <c r="IE26" s="307"/>
      <c r="IF26" s="307"/>
      <c r="IG26" s="307"/>
      <c r="IH26" s="307"/>
      <c r="II26" s="307"/>
      <c r="IJ26" s="307"/>
      <c r="IK26" s="307"/>
      <c r="IL26" s="307"/>
      <c r="IM26" s="307"/>
      <c r="IN26" s="307"/>
      <c r="IO26" s="307"/>
      <c r="IP26" s="307"/>
      <c r="IQ26" s="307"/>
      <c r="IR26" s="307"/>
      <c r="IS26" s="307"/>
      <c r="IT26" s="307"/>
      <c r="IU26" s="307"/>
    </row>
    <row r="27" spans="1:255" ht="15.5">
      <c r="A27" s="324"/>
      <c r="B27" s="307" t="s">
        <v>215</v>
      </c>
      <c r="C27" s="325"/>
      <c r="D27" s="312">
        <f t="shared" si="8"/>
        <v>-0.12</v>
      </c>
      <c r="E27" s="312">
        <v>-1E-3</v>
      </c>
      <c r="F27" s="313">
        <f t="shared" si="7"/>
        <v>119</v>
      </c>
      <c r="G27" s="312"/>
      <c r="H27" s="312"/>
      <c r="I27" s="313"/>
      <c r="J27" s="312"/>
      <c r="K27" s="312"/>
      <c r="L27" s="313"/>
      <c r="M27" s="307"/>
      <c r="N27" s="307"/>
      <c r="O27" s="307"/>
      <c r="P27" s="307"/>
      <c r="Q27" s="307"/>
      <c r="R27" s="308"/>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307"/>
      <c r="BQ27" s="307"/>
      <c r="BR27" s="307"/>
      <c r="BS27" s="307"/>
      <c r="BT27" s="307"/>
      <c r="BU27" s="307"/>
      <c r="BV27" s="307"/>
      <c r="BW27" s="307"/>
      <c r="BX27" s="307"/>
      <c r="BY27" s="307"/>
      <c r="BZ27" s="307"/>
      <c r="CA27" s="307"/>
      <c r="CB27" s="307"/>
      <c r="CC27" s="307"/>
      <c r="CD27" s="307"/>
      <c r="CE27" s="307"/>
      <c r="CF27" s="307"/>
      <c r="CG27" s="307"/>
      <c r="CH27" s="307"/>
      <c r="CI27" s="307"/>
      <c r="CJ27" s="307"/>
      <c r="CK27" s="307"/>
      <c r="CL27" s="307"/>
      <c r="CM27" s="307"/>
      <c r="CN27" s="307"/>
      <c r="CO27" s="307"/>
      <c r="CP27" s="307"/>
      <c r="CQ27" s="307"/>
      <c r="CR27" s="307"/>
      <c r="CS27" s="307"/>
      <c r="CT27" s="307"/>
      <c r="CU27" s="307"/>
      <c r="CV27" s="307"/>
      <c r="CW27" s="307"/>
      <c r="CX27" s="307"/>
      <c r="CY27" s="307"/>
      <c r="CZ27" s="307"/>
      <c r="DA27" s="307"/>
      <c r="DB27" s="307"/>
      <c r="DC27" s="307"/>
      <c r="DD27" s="307"/>
      <c r="DE27" s="307"/>
      <c r="DF27" s="307"/>
      <c r="DG27" s="307"/>
      <c r="DH27" s="307"/>
      <c r="DI27" s="307"/>
      <c r="DJ27" s="307"/>
      <c r="DK27" s="307"/>
      <c r="DL27" s="307"/>
      <c r="DM27" s="307"/>
      <c r="DN27" s="307"/>
      <c r="DO27" s="307"/>
      <c r="DP27" s="307"/>
      <c r="DQ27" s="307"/>
      <c r="DR27" s="307"/>
      <c r="DS27" s="307"/>
      <c r="DT27" s="307"/>
      <c r="DU27" s="307"/>
      <c r="DV27" s="307"/>
      <c r="DW27" s="307"/>
      <c r="DX27" s="307"/>
      <c r="DY27" s="307"/>
      <c r="DZ27" s="307"/>
      <c r="EA27" s="307"/>
      <c r="EB27" s="307"/>
      <c r="EC27" s="307"/>
      <c r="ED27" s="307"/>
      <c r="EE27" s="307"/>
      <c r="EF27" s="307"/>
      <c r="EG27" s="307"/>
      <c r="EH27" s="307"/>
      <c r="EI27" s="307"/>
      <c r="EJ27" s="307"/>
      <c r="EK27" s="307"/>
      <c r="EL27" s="307"/>
      <c r="EM27" s="307"/>
      <c r="EN27" s="307"/>
      <c r="EO27" s="307"/>
      <c r="EP27" s="307"/>
      <c r="EQ27" s="307"/>
      <c r="ER27" s="307"/>
      <c r="ES27" s="307"/>
      <c r="ET27" s="307"/>
      <c r="EU27" s="307"/>
      <c r="EV27" s="307"/>
      <c r="EW27" s="307"/>
      <c r="EX27" s="307"/>
      <c r="EY27" s="307"/>
      <c r="EZ27" s="307"/>
      <c r="FA27" s="307"/>
      <c r="FB27" s="307"/>
      <c r="FC27" s="307"/>
      <c r="FD27" s="307"/>
      <c r="FE27" s="307"/>
      <c r="FF27" s="307"/>
      <c r="FG27" s="307"/>
      <c r="FH27" s="307"/>
      <c r="FI27" s="307"/>
      <c r="FJ27" s="307"/>
      <c r="FK27" s="307"/>
      <c r="FL27" s="307"/>
      <c r="FM27" s="307"/>
      <c r="FN27" s="307"/>
      <c r="FO27" s="307"/>
      <c r="FP27" s="307"/>
      <c r="FQ27" s="307"/>
      <c r="FR27" s="307"/>
      <c r="FS27" s="307"/>
      <c r="FT27" s="307"/>
      <c r="FU27" s="307"/>
      <c r="FV27" s="307"/>
      <c r="FW27" s="307"/>
      <c r="FX27" s="307"/>
      <c r="FY27" s="307"/>
      <c r="FZ27" s="307"/>
      <c r="GA27" s="307"/>
      <c r="GB27" s="307"/>
      <c r="GC27" s="307"/>
      <c r="GD27" s="307"/>
      <c r="GE27" s="307"/>
      <c r="GF27" s="307"/>
      <c r="GG27" s="307"/>
      <c r="GH27" s="307"/>
      <c r="GI27" s="307"/>
      <c r="GJ27" s="307"/>
      <c r="GK27" s="307"/>
      <c r="GL27" s="307"/>
      <c r="GM27" s="307"/>
      <c r="GN27" s="307"/>
      <c r="GO27" s="307"/>
      <c r="GP27" s="307"/>
      <c r="GQ27" s="307"/>
      <c r="GR27" s="307"/>
      <c r="GS27" s="307"/>
      <c r="GT27" s="307"/>
      <c r="GU27" s="307"/>
      <c r="GV27" s="307"/>
      <c r="GW27" s="307"/>
      <c r="GX27" s="307"/>
      <c r="GY27" s="307"/>
      <c r="GZ27" s="307"/>
      <c r="HA27" s="307"/>
      <c r="HB27" s="307"/>
      <c r="HC27" s="307"/>
      <c r="HD27" s="307"/>
      <c r="HE27" s="307"/>
      <c r="HF27" s="307"/>
      <c r="HG27" s="307"/>
      <c r="HH27" s="307"/>
      <c r="HI27" s="307"/>
      <c r="HJ27" s="307"/>
      <c r="HK27" s="307"/>
      <c r="HL27" s="307"/>
      <c r="HM27" s="307"/>
      <c r="HN27" s="307"/>
      <c r="HO27" s="307"/>
      <c r="HP27" s="307"/>
      <c r="HQ27" s="307"/>
      <c r="HR27" s="307"/>
      <c r="HS27" s="307"/>
      <c r="HT27" s="307"/>
      <c r="HU27" s="307"/>
      <c r="HV27" s="307"/>
      <c r="HW27" s="307"/>
      <c r="HX27" s="307"/>
      <c r="HY27" s="307"/>
      <c r="HZ27" s="307"/>
      <c r="IA27" s="307"/>
      <c r="IB27" s="307"/>
      <c r="IC27" s="307"/>
      <c r="ID27" s="307"/>
      <c r="IE27" s="307"/>
      <c r="IF27" s="307"/>
      <c r="IG27" s="307"/>
      <c r="IH27" s="307"/>
      <c r="II27" s="307"/>
      <c r="IJ27" s="307"/>
      <c r="IK27" s="307"/>
      <c r="IL27" s="307"/>
      <c r="IM27" s="307"/>
      <c r="IN27" s="307"/>
      <c r="IO27" s="307"/>
      <c r="IP27" s="307"/>
      <c r="IQ27" s="307"/>
      <c r="IR27" s="307"/>
      <c r="IS27" s="307"/>
      <c r="IT27" s="307"/>
      <c r="IU27" s="307"/>
    </row>
    <row r="28" spans="1:255" ht="15.5">
      <c r="A28" s="324"/>
      <c r="B28" s="307" t="s">
        <v>216</v>
      </c>
      <c r="C28" s="310"/>
      <c r="D28" s="312">
        <f t="shared" si="8"/>
        <v>-0.12</v>
      </c>
      <c r="E28" s="312">
        <v>-1E-3</v>
      </c>
      <c r="F28" s="313">
        <f t="shared" si="7"/>
        <v>119</v>
      </c>
      <c r="G28" s="312"/>
      <c r="H28" s="312"/>
      <c r="I28" s="313"/>
      <c r="J28" s="312"/>
      <c r="K28" s="312"/>
      <c r="L28" s="313"/>
      <c r="M28" s="307"/>
      <c r="N28" s="307"/>
      <c r="O28" s="307"/>
      <c r="P28" s="307"/>
      <c r="Q28" s="307"/>
      <c r="R28" s="308"/>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c r="CB28" s="307"/>
      <c r="CC28" s="307"/>
      <c r="CD28" s="307"/>
      <c r="CE28" s="307"/>
      <c r="CF28" s="307"/>
      <c r="CG28" s="307"/>
      <c r="CH28" s="307"/>
      <c r="CI28" s="307"/>
      <c r="CJ28" s="307"/>
      <c r="CK28" s="307"/>
      <c r="CL28" s="307"/>
      <c r="CM28" s="307"/>
      <c r="CN28" s="307"/>
      <c r="CO28" s="307"/>
      <c r="CP28" s="307"/>
      <c r="CQ28" s="307"/>
      <c r="CR28" s="307"/>
      <c r="CS28" s="307"/>
      <c r="CT28" s="307"/>
      <c r="CU28" s="307"/>
      <c r="CV28" s="307"/>
      <c r="CW28" s="307"/>
      <c r="CX28" s="307"/>
      <c r="CY28" s="307"/>
      <c r="CZ28" s="307"/>
      <c r="DA28" s="307"/>
      <c r="DB28" s="307"/>
      <c r="DC28" s="307"/>
      <c r="DD28" s="307"/>
      <c r="DE28" s="307"/>
      <c r="DF28" s="307"/>
      <c r="DG28" s="307"/>
      <c r="DH28" s="307"/>
      <c r="DI28" s="307"/>
      <c r="DJ28" s="307"/>
      <c r="DK28" s="307"/>
      <c r="DL28" s="307"/>
      <c r="DM28" s="307"/>
      <c r="DN28" s="307"/>
      <c r="DO28" s="307"/>
      <c r="DP28" s="307"/>
      <c r="DQ28" s="307"/>
      <c r="DR28" s="307"/>
      <c r="DS28" s="307"/>
      <c r="DT28" s="307"/>
      <c r="DU28" s="307"/>
      <c r="DV28" s="307"/>
      <c r="DW28" s="307"/>
      <c r="DX28" s="307"/>
      <c r="DY28" s="307"/>
      <c r="DZ28" s="307"/>
      <c r="EA28" s="307"/>
      <c r="EB28" s="307"/>
      <c r="EC28" s="307"/>
      <c r="ED28" s="307"/>
      <c r="EE28" s="307"/>
      <c r="EF28" s="307"/>
      <c r="EG28" s="307"/>
      <c r="EH28" s="307"/>
      <c r="EI28" s="307"/>
      <c r="EJ28" s="307"/>
      <c r="EK28" s="307"/>
      <c r="EL28" s="307"/>
      <c r="EM28" s="307"/>
      <c r="EN28" s="307"/>
      <c r="EO28" s="307"/>
      <c r="EP28" s="307"/>
      <c r="EQ28" s="307"/>
      <c r="ER28" s="307"/>
      <c r="ES28" s="307"/>
      <c r="ET28" s="307"/>
      <c r="EU28" s="307"/>
      <c r="EV28" s="307"/>
      <c r="EW28" s="307"/>
      <c r="EX28" s="307"/>
      <c r="EY28" s="307"/>
      <c r="EZ28" s="307"/>
      <c r="FA28" s="307"/>
      <c r="FB28" s="307"/>
      <c r="FC28" s="307"/>
      <c r="FD28" s="307"/>
      <c r="FE28" s="307"/>
      <c r="FF28" s="307"/>
      <c r="FG28" s="307"/>
      <c r="FH28" s="307"/>
      <c r="FI28" s="307"/>
      <c r="FJ28" s="307"/>
      <c r="FK28" s="307"/>
      <c r="FL28" s="307"/>
      <c r="FM28" s="307"/>
      <c r="FN28" s="307"/>
      <c r="FO28" s="307"/>
      <c r="FP28" s="307"/>
      <c r="FQ28" s="307"/>
      <c r="FR28" s="307"/>
      <c r="FS28" s="307"/>
      <c r="FT28" s="307"/>
      <c r="FU28" s="307"/>
      <c r="FV28" s="307"/>
      <c r="FW28" s="307"/>
      <c r="FX28" s="307"/>
      <c r="FY28" s="307"/>
      <c r="FZ28" s="307"/>
      <c r="GA28" s="307"/>
      <c r="GB28" s="307"/>
      <c r="GC28" s="307"/>
      <c r="GD28" s="307"/>
      <c r="GE28" s="307"/>
      <c r="GF28" s="307"/>
      <c r="GG28" s="307"/>
      <c r="GH28" s="307"/>
      <c r="GI28" s="307"/>
      <c r="GJ28" s="307"/>
      <c r="GK28" s="307"/>
      <c r="GL28" s="307"/>
      <c r="GM28" s="307"/>
      <c r="GN28" s="307"/>
      <c r="GO28" s="307"/>
      <c r="GP28" s="307"/>
      <c r="GQ28" s="307"/>
      <c r="GR28" s="307"/>
      <c r="GS28" s="307"/>
      <c r="GT28" s="307"/>
      <c r="GU28" s="307"/>
      <c r="GV28" s="307"/>
      <c r="GW28" s="307"/>
      <c r="GX28" s="307"/>
      <c r="GY28" s="307"/>
      <c r="GZ28" s="307"/>
      <c r="HA28" s="307"/>
      <c r="HB28" s="307"/>
      <c r="HC28" s="307"/>
      <c r="HD28" s="307"/>
      <c r="HE28" s="307"/>
      <c r="HF28" s="307"/>
      <c r="HG28" s="307"/>
      <c r="HH28" s="307"/>
      <c r="HI28" s="307"/>
      <c r="HJ28" s="307"/>
      <c r="HK28" s="307"/>
      <c r="HL28" s="307"/>
      <c r="HM28" s="307"/>
      <c r="HN28" s="307"/>
      <c r="HO28" s="307"/>
      <c r="HP28" s="307"/>
      <c r="HQ28" s="307"/>
      <c r="HR28" s="307"/>
      <c r="HS28" s="307"/>
      <c r="HT28" s="307"/>
      <c r="HU28" s="307"/>
      <c r="HV28" s="307"/>
      <c r="HW28" s="307"/>
      <c r="HX28" s="307"/>
      <c r="HY28" s="307"/>
      <c r="HZ28" s="307"/>
      <c r="IA28" s="307"/>
      <c r="IB28" s="307"/>
      <c r="IC28" s="307"/>
      <c r="ID28" s="307"/>
      <c r="IE28" s="307"/>
      <c r="IF28" s="307"/>
      <c r="IG28" s="307"/>
      <c r="IH28" s="307"/>
      <c r="II28" s="307"/>
      <c r="IJ28" s="307"/>
      <c r="IK28" s="307"/>
      <c r="IL28" s="307"/>
      <c r="IM28" s="307"/>
      <c r="IN28" s="307"/>
      <c r="IO28" s="307"/>
      <c r="IP28" s="307"/>
      <c r="IQ28" s="307"/>
      <c r="IR28" s="307"/>
      <c r="IS28" s="307"/>
      <c r="IT28" s="307"/>
      <c r="IU28" s="307"/>
    </row>
    <row r="29" spans="1:255" ht="15.5">
      <c r="A29" s="324"/>
      <c r="B29" s="307" t="s">
        <v>217</v>
      </c>
      <c r="C29" s="310"/>
      <c r="D29" s="312">
        <f t="shared" si="8"/>
        <v>-0.24099999999999999</v>
      </c>
      <c r="E29" s="321">
        <v>-2E-3</v>
      </c>
      <c r="F29" s="313">
        <f t="shared" si="7"/>
        <v>119.5</v>
      </c>
      <c r="G29" s="312"/>
      <c r="H29" s="312"/>
      <c r="I29" s="313"/>
      <c r="J29" s="312"/>
      <c r="K29" s="312"/>
      <c r="L29" s="313"/>
      <c r="M29" s="307"/>
      <c r="N29" s="307"/>
      <c r="O29" s="307"/>
      <c r="P29" s="307"/>
      <c r="Q29" s="307"/>
      <c r="R29" s="308"/>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c r="CB29" s="307"/>
      <c r="CC29" s="307"/>
      <c r="CD29" s="307"/>
      <c r="CE29" s="307"/>
      <c r="CF29" s="307"/>
      <c r="CG29" s="307"/>
      <c r="CH29" s="307"/>
      <c r="CI29" s="307"/>
      <c r="CJ29" s="307"/>
      <c r="CK29" s="307"/>
      <c r="CL29" s="307"/>
      <c r="CM29" s="307"/>
      <c r="CN29" s="307"/>
      <c r="CO29" s="307"/>
      <c r="CP29" s="307"/>
      <c r="CQ29" s="307"/>
      <c r="CR29" s="307"/>
      <c r="CS29" s="307"/>
      <c r="CT29" s="307"/>
      <c r="CU29" s="307"/>
      <c r="CV29" s="307"/>
      <c r="CW29" s="307"/>
      <c r="CX29" s="307"/>
      <c r="CY29" s="307"/>
      <c r="CZ29" s="307"/>
      <c r="DA29" s="307"/>
      <c r="DB29" s="307"/>
      <c r="DC29" s="307"/>
      <c r="DD29" s="307"/>
      <c r="DE29" s="307"/>
      <c r="DF29" s="307"/>
      <c r="DG29" s="307"/>
      <c r="DH29" s="307"/>
      <c r="DI29" s="307"/>
      <c r="DJ29" s="307"/>
      <c r="DK29" s="307"/>
      <c r="DL29" s="307"/>
      <c r="DM29" s="307"/>
      <c r="DN29" s="307"/>
      <c r="DO29" s="307"/>
      <c r="DP29" s="307"/>
      <c r="DQ29" s="307"/>
      <c r="DR29" s="307"/>
      <c r="DS29" s="307"/>
      <c r="DT29" s="307"/>
      <c r="DU29" s="307"/>
      <c r="DV29" s="307"/>
      <c r="DW29" s="307"/>
      <c r="DX29" s="307"/>
      <c r="DY29" s="307"/>
      <c r="DZ29" s="307"/>
      <c r="EA29" s="307"/>
      <c r="EB29" s="307"/>
      <c r="EC29" s="307"/>
      <c r="ED29" s="307"/>
      <c r="EE29" s="307"/>
      <c r="EF29" s="307"/>
      <c r="EG29" s="307"/>
      <c r="EH29" s="307"/>
      <c r="EI29" s="307"/>
      <c r="EJ29" s="307"/>
      <c r="EK29" s="307"/>
      <c r="EL29" s="307"/>
      <c r="EM29" s="307"/>
      <c r="EN29" s="307"/>
      <c r="EO29" s="307"/>
      <c r="EP29" s="307"/>
      <c r="EQ29" s="307"/>
      <c r="ER29" s="307"/>
      <c r="ES29" s="307"/>
      <c r="ET29" s="307"/>
      <c r="EU29" s="307"/>
      <c r="EV29" s="307"/>
      <c r="EW29" s="307"/>
      <c r="EX29" s="307"/>
      <c r="EY29" s="307"/>
      <c r="EZ29" s="307"/>
      <c r="FA29" s="307"/>
      <c r="FB29" s="307"/>
      <c r="FC29" s="307"/>
      <c r="FD29" s="307"/>
      <c r="FE29" s="307"/>
      <c r="FF29" s="307"/>
      <c r="FG29" s="307"/>
      <c r="FH29" s="307"/>
      <c r="FI29" s="307"/>
      <c r="FJ29" s="307"/>
      <c r="FK29" s="307"/>
      <c r="FL29" s="307"/>
      <c r="FM29" s="307"/>
      <c r="FN29" s="307"/>
      <c r="FO29" s="307"/>
      <c r="FP29" s="307"/>
      <c r="FQ29" s="307"/>
      <c r="FR29" s="307"/>
      <c r="FS29" s="307"/>
      <c r="FT29" s="307"/>
      <c r="FU29" s="307"/>
      <c r="FV29" s="307"/>
      <c r="FW29" s="307"/>
      <c r="FX29" s="307"/>
      <c r="FY29" s="307"/>
      <c r="FZ29" s="307"/>
      <c r="GA29" s="307"/>
      <c r="GB29" s="307"/>
      <c r="GC29" s="307"/>
      <c r="GD29" s="307"/>
      <c r="GE29" s="307"/>
      <c r="GF29" s="307"/>
      <c r="GG29" s="307"/>
      <c r="GH29" s="307"/>
      <c r="GI29" s="307"/>
      <c r="GJ29" s="307"/>
      <c r="GK29" s="307"/>
      <c r="GL29" s="307"/>
      <c r="GM29" s="307"/>
      <c r="GN29" s="307"/>
      <c r="GO29" s="307"/>
      <c r="GP29" s="307"/>
      <c r="GQ29" s="307"/>
      <c r="GR29" s="307"/>
      <c r="GS29" s="307"/>
      <c r="GT29" s="307"/>
      <c r="GU29" s="307"/>
      <c r="GV29" s="307"/>
      <c r="GW29" s="307"/>
      <c r="GX29" s="307"/>
      <c r="GY29" s="307"/>
      <c r="GZ29" s="307"/>
      <c r="HA29" s="307"/>
      <c r="HB29" s="307"/>
      <c r="HC29" s="307"/>
      <c r="HD29" s="307"/>
      <c r="HE29" s="307"/>
      <c r="HF29" s="307"/>
      <c r="HG29" s="307"/>
      <c r="HH29" s="307"/>
      <c r="HI29" s="307"/>
      <c r="HJ29" s="307"/>
      <c r="HK29" s="307"/>
      <c r="HL29" s="307"/>
      <c r="HM29" s="307"/>
      <c r="HN29" s="307"/>
      <c r="HO29" s="307"/>
      <c r="HP29" s="307"/>
      <c r="HQ29" s="307"/>
      <c r="HR29" s="307"/>
      <c r="HS29" s="307"/>
      <c r="HT29" s="307"/>
      <c r="HU29" s="307"/>
      <c r="HV29" s="307"/>
      <c r="HW29" s="307"/>
      <c r="HX29" s="307"/>
      <c r="HY29" s="307"/>
      <c r="HZ29" s="307"/>
      <c r="IA29" s="307"/>
      <c r="IB29" s="307"/>
      <c r="IC29" s="307"/>
      <c r="ID29" s="307"/>
      <c r="IE29" s="307"/>
      <c r="IF29" s="307"/>
      <c r="IG29" s="307"/>
      <c r="IH29" s="307"/>
      <c r="II29" s="307"/>
      <c r="IJ29" s="307"/>
      <c r="IK29" s="307"/>
      <c r="IL29" s="307"/>
      <c r="IM29" s="307"/>
      <c r="IN29" s="307"/>
      <c r="IO29" s="307"/>
      <c r="IP29" s="307"/>
      <c r="IQ29" s="307"/>
      <c r="IR29" s="307"/>
      <c r="IS29" s="307"/>
      <c r="IT29" s="307"/>
      <c r="IU29" s="307"/>
    </row>
    <row r="30" spans="1:255" ht="15.5">
      <c r="A30" s="324"/>
      <c r="B30" s="307" t="s">
        <v>218</v>
      </c>
      <c r="C30" s="310"/>
      <c r="D30" s="312">
        <f t="shared" si="8"/>
        <v>-0.36099999999999999</v>
      </c>
      <c r="E30" s="321">
        <v>-3.0000000000000001E-3</v>
      </c>
      <c r="F30" s="313">
        <f t="shared" si="7"/>
        <v>119.33333333333333</v>
      </c>
      <c r="G30" s="312"/>
      <c r="H30" s="312"/>
      <c r="I30" s="313"/>
      <c r="J30" s="312"/>
      <c r="K30" s="312"/>
      <c r="L30" s="313"/>
      <c r="M30" s="307"/>
      <c r="N30" s="307"/>
      <c r="O30" s="307"/>
      <c r="P30" s="307"/>
      <c r="Q30" s="307"/>
      <c r="R30" s="308"/>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7"/>
      <c r="CB30" s="307"/>
      <c r="CC30" s="307"/>
      <c r="CD30" s="307"/>
      <c r="CE30" s="307"/>
      <c r="CF30" s="307"/>
      <c r="CG30" s="307"/>
      <c r="CH30" s="307"/>
      <c r="CI30" s="307"/>
      <c r="CJ30" s="307"/>
      <c r="CK30" s="307"/>
      <c r="CL30" s="307"/>
      <c r="CM30" s="307"/>
      <c r="CN30" s="307"/>
      <c r="CO30" s="307"/>
      <c r="CP30" s="307"/>
      <c r="CQ30" s="307"/>
      <c r="CR30" s="307"/>
      <c r="CS30" s="307"/>
      <c r="CT30" s="307"/>
      <c r="CU30" s="307"/>
      <c r="CV30" s="307"/>
      <c r="CW30" s="307"/>
      <c r="CX30" s="307"/>
      <c r="CY30" s="307"/>
      <c r="CZ30" s="307"/>
      <c r="DA30" s="307"/>
      <c r="DB30" s="307"/>
      <c r="DC30" s="307"/>
      <c r="DD30" s="307"/>
      <c r="DE30" s="307"/>
      <c r="DF30" s="307"/>
      <c r="DG30" s="307"/>
      <c r="DH30" s="307"/>
      <c r="DI30" s="307"/>
      <c r="DJ30" s="307"/>
      <c r="DK30" s="307"/>
      <c r="DL30" s="307"/>
      <c r="DM30" s="307"/>
      <c r="DN30" s="307"/>
      <c r="DO30" s="307"/>
      <c r="DP30" s="307"/>
      <c r="DQ30" s="307"/>
      <c r="DR30" s="307"/>
      <c r="DS30" s="307"/>
      <c r="DT30" s="307"/>
      <c r="DU30" s="307"/>
      <c r="DV30" s="307"/>
      <c r="DW30" s="307"/>
      <c r="DX30" s="307"/>
      <c r="DY30" s="307"/>
      <c r="DZ30" s="307"/>
      <c r="EA30" s="307"/>
      <c r="EB30" s="307"/>
      <c r="EC30" s="307"/>
      <c r="ED30" s="307"/>
      <c r="EE30" s="307"/>
      <c r="EF30" s="307"/>
      <c r="EG30" s="307"/>
      <c r="EH30" s="307"/>
      <c r="EI30" s="307"/>
      <c r="EJ30" s="307"/>
      <c r="EK30" s="307"/>
      <c r="EL30" s="307"/>
      <c r="EM30" s="307"/>
      <c r="EN30" s="307"/>
      <c r="EO30" s="307"/>
      <c r="EP30" s="307"/>
      <c r="EQ30" s="307"/>
      <c r="ER30" s="307"/>
      <c r="ES30" s="307"/>
      <c r="ET30" s="307"/>
      <c r="EU30" s="307"/>
      <c r="EV30" s="307"/>
      <c r="EW30" s="307"/>
      <c r="EX30" s="307"/>
      <c r="EY30" s="307"/>
      <c r="EZ30" s="307"/>
      <c r="FA30" s="307"/>
      <c r="FB30" s="307"/>
      <c r="FC30" s="307"/>
      <c r="FD30" s="307"/>
      <c r="FE30" s="307"/>
      <c r="FF30" s="307"/>
      <c r="FG30" s="307"/>
      <c r="FH30" s="307"/>
      <c r="FI30" s="307"/>
      <c r="FJ30" s="307"/>
      <c r="FK30" s="307"/>
      <c r="FL30" s="307"/>
      <c r="FM30" s="307"/>
      <c r="FN30" s="307"/>
      <c r="FO30" s="307"/>
      <c r="FP30" s="307"/>
      <c r="FQ30" s="307"/>
      <c r="FR30" s="307"/>
      <c r="FS30" s="307"/>
      <c r="FT30" s="307"/>
      <c r="FU30" s="307"/>
      <c r="FV30" s="307"/>
      <c r="FW30" s="307"/>
      <c r="FX30" s="307"/>
      <c r="FY30" s="307"/>
      <c r="FZ30" s="307"/>
      <c r="GA30" s="307"/>
      <c r="GB30" s="307"/>
      <c r="GC30" s="307"/>
      <c r="GD30" s="307"/>
      <c r="GE30" s="307"/>
      <c r="GF30" s="307"/>
      <c r="GG30" s="307"/>
      <c r="GH30" s="307"/>
      <c r="GI30" s="307"/>
      <c r="GJ30" s="307"/>
      <c r="GK30" s="307"/>
      <c r="GL30" s="307"/>
      <c r="GM30" s="307"/>
      <c r="GN30" s="307"/>
      <c r="GO30" s="307"/>
      <c r="GP30" s="307"/>
      <c r="GQ30" s="307"/>
      <c r="GR30" s="307"/>
      <c r="GS30" s="307"/>
      <c r="GT30" s="307"/>
      <c r="GU30" s="307"/>
      <c r="GV30" s="307"/>
      <c r="GW30" s="307"/>
      <c r="GX30" s="307"/>
      <c r="GY30" s="307"/>
      <c r="GZ30" s="307"/>
      <c r="HA30" s="307"/>
      <c r="HB30" s="307"/>
      <c r="HC30" s="307"/>
      <c r="HD30" s="307"/>
      <c r="HE30" s="307"/>
      <c r="HF30" s="307"/>
      <c r="HG30" s="307"/>
      <c r="HH30" s="307"/>
      <c r="HI30" s="307"/>
      <c r="HJ30" s="307"/>
      <c r="HK30" s="307"/>
      <c r="HL30" s="307"/>
      <c r="HM30" s="307"/>
      <c r="HN30" s="307"/>
      <c r="HO30" s="307"/>
      <c r="HP30" s="307"/>
      <c r="HQ30" s="307"/>
      <c r="HR30" s="307"/>
      <c r="HS30" s="307"/>
      <c r="HT30" s="307"/>
      <c r="HU30" s="307"/>
      <c r="HV30" s="307"/>
      <c r="HW30" s="307"/>
      <c r="HX30" s="307"/>
      <c r="HY30" s="307"/>
      <c r="HZ30" s="307"/>
      <c r="IA30" s="307"/>
      <c r="IB30" s="307"/>
      <c r="IC30" s="307"/>
      <c r="ID30" s="307"/>
      <c r="IE30" s="307"/>
      <c r="IF30" s="307"/>
      <c r="IG30" s="307"/>
      <c r="IH30" s="307"/>
      <c r="II30" s="307"/>
      <c r="IJ30" s="307"/>
      <c r="IK30" s="307"/>
      <c r="IL30" s="307"/>
      <c r="IM30" s="307"/>
      <c r="IN30" s="307"/>
      <c r="IO30" s="307"/>
      <c r="IP30" s="307"/>
      <c r="IQ30" s="307"/>
      <c r="IR30" s="307"/>
      <c r="IS30" s="307"/>
      <c r="IT30" s="307"/>
      <c r="IU30" s="307"/>
    </row>
    <row r="31" spans="1:255" ht="15.5">
      <c r="A31" s="324"/>
      <c r="B31" s="307" t="s">
        <v>219</v>
      </c>
      <c r="C31" s="310"/>
      <c r="D31" s="312">
        <f t="shared" si="8"/>
        <v>-0.48099999999999998</v>
      </c>
      <c r="E31" s="321">
        <v>-4.0000000000000001E-3</v>
      </c>
      <c r="F31" s="313">
        <f t="shared" si="7"/>
        <v>119.25</v>
      </c>
      <c r="G31" s="312"/>
      <c r="H31" s="312"/>
      <c r="I31" s="313"/>
      <c r="J31" s="312"/>
      <c r="K31" s="312"/>
      <c r="L31" s="313"/>
      <c r="M31" s="307"/>
      <c r="N31" s="307"/>
      <c r="O31" s="307"/>
      <c r="P31" s="307"/>
      <c r="Q31" s="307"/>
      <c r="R31" s="308"/>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c r="CB31" s="307"/>
      <c r="CC31" s="307"/>
      <c r="CD31" s="307"/>
      <c r="CE31" s="307"/>
      <c r="CF31" s="307"/>
      <c r="CG31" s="307"/>
      <c r="CH31" s="307"/>
      <c r="CI31" s="307"/>
      <c r="CJ31" s="307"/>
      <c r="CK31" s="307"/>
      <c r="CL31" s="307"/>
      <c r="CM31" s="307"/>
      <c r="CN31" s="307"/>
      <c r="CO31" s="307"/>
      <c r="CP31" s="307"/>
      <c r="CQ31" s="307"/>
      <c r="CR31" s="307"/>
      <c r="CS31" s="307"/>
      <c r="CT31" s="307"/>
      <c r="CU31" s="307"/>
      <c r="CV31" s="307"/>
      <c r="CW31" s="307"/>
      <c r="CX31" s="307"/>
      <c r="CY31" s="307"/>
      <c r="CZ31" s="307"/>
      <c r="DA31" s="307"/>
      <c r="DB31" s="307"/>
      <c r="DC31" s="307"/>
      <c r="DD31" s="307"/>
      <c r="DE31" s="307"/>
      <c r="DF31" s="307"/>
      <c r="DG31" s="307"/>
      <c r="DH31" s="307"/>
      <c r="DI31" s="307"/>
      <c r="DJ31" s="307"/>
      <c r="DK31" s="307"/>
      <c r="DL31" s="307"/>
      <c r="DM31" s="307"/>
      <c r="DN31" s="307"/>
      <c r="DO31" s="307"/>
      <c r="DP31" s="307"/>
      <c r="DQ31" s="307"/>
      <c r="DR31" s="307"/>
      <c r="DS31" s="307"/>
      <c r="DT31" s="307"/>
      <c r="DU31" s="307"/>
      <c r="DV31" s="307"/>
      <c r="DW31" s="307"/>
      <c r="DX31" s="307"/>
      <c r="DY31" s="307"/>
      <c r="DZ31" s="307"/>
      <c r="EA31" s="307"/>
      <c r="EB31" s="307"/>
      <c r="EC31" s="307"/>
      <c r="ED31" s="307"/>
      <c r="EE31" s="307"/>
      <c r="EF31" s="307"/>
      <c r="EG31" s="307"/>
      <c r="EH31" s="307"/>
      <c r="EI31" s="307"/>
      <c r="EJ31" s="307"/>
      <c r="EK31" s="307"/>
      <c r="EL31" s="307"/>
      <c r="EM31" s="307"/>
      <c r="EN31" s="307"/>
      <c r="EO31" s="307"/>
      <c r="EP31" s="307"/>
      <c r="EQ31" s="307"/>
      <c r="ER31" s="307"/>
      <c r="ES31" s="307"/>
      <c r="ET31" s="307"/>
      <c r="EU31" s="307"/>
      <c r="EV31" s="307"/>
      <c r="EW31" s="307"/>
      <c r="EX31" s="307"/>
      <c r="EY31" s="307"/>
      <c r="EZ31" s="307"/>
      <c r="FA31" s="307"/>
      <c r="FB31" s="307"/>
      <c r="FC31" s="307"/>
      <c r="FD31" s="307"/>
      <c r="FE31" s="307"/>
      <c r="FF31" s="307"/>
      <c r="FG31" s="307"/>
      <c r="FH31" s="307"/>
      <c r="FI31" s="307"/>
      <c r="FJ31" s="307"/>
      <c r="FK31" s="307"/>
      <c r="FL31" s="307"/>
      <c r="FM31" s="307"/>
      <c r="FN31" s="307"/>
      <c r="FO31" s="307"/>
      <c r="FP31" s="307"/>
      <c r="FQ31" s="307"/>
      <c r="FR31" s="307"/>
      <c r="FS31" s="307"/>
      <c r="FT31" s="307"/>
      <c r="FU31" s="307"/>
      <c r="FV31" s="307"/>
      <c r="FW31" s="307"/>
      <c r="FX31" s="307"/>
      <c r="FY31" s="307"/>
      <c r="FZ31" s="307"/>
      <c r="GA31" s="307"/>
      <c r="GB31" s="307"/>
      <c r="GC31" s="307"/>
      <c r="GD31" s="307"/>
      <c r="GE31" s="307"/>
      <c r="GF31" s="307"/>
      <c r="GG31" s="307"/>
      <c r="GH31" s="307"/>
      <c r="GI31" s="307"/>
      <c r="GJ31" s="307"/>
      <c r="GK31" s="307"/>
      <c r="GL31" s="307"/>
      <c r="GM31" s="307"/>
      <c r="GN31" s="307"/>
      <c r="GO31" s="307"/>
      <c r="GP31" s="307"/>
      <c r="GQ31" s="307"/>
      <c r="GR31" s="307"/>
      <c r="GS31" s="307"/>
      <c r="GT31" s="307"/>
      <c r="GU31" s="307"/>
      <c r="GV31" s="307"/>
      <c r="GW31" s="307"/>
      <c r="GX31" s="307"/>
      <c r="GY31" s="307"/>
      <c r="GZ31" s="307"/>
      <c r="HA31" s="307"/>
      <c r="HB31" s="307"/>
      <c r="HC31" s="307"/>
      <c r="HD31" s="307"/>
      <c r="HE31" s="307"/>
      <c r="HF31" s="307"/>
      <c r="HG31" s="307"/>
      <c r="HH31" s="307"/>
      <c r="HI31" s="307"/>
      <c r="HJ31" s="307"/>
      <c r="HK31" s="307"/>
      <c r="HL31" s="307"/>
      <c r="HM31" s="307"/>
      <c r="HN31" s="307"/>
      <c r="HO31" s="307"/>
      <c r="HP31" s="307"/>
      <c r="HQ31" s="307"/>
      <c r="HR31" s="307"/>
      <c r="HS31" s="307"/>
      <c r="HT31" s="307"/>
      <c r="HU31" s="307"/>
      <c r="HV31" s="307"/>
      <c r="HW31" s="307"/>
      <c r="HX31" s="307"/>
      <c r="HY31" s="307"/>
      <c r="HZ31" s="307"/>
      <c r="IA31" s="307"/>
      <c r="IB31" s="307"/>
      <c r="IC31" s="307"/>
      <c r="ID31" s="307"/>
      <c r="IE31" s="307"/>
      <c r="IF31" s="307"/>
      <c r="IG31" s="307"/>
      <c r="IH31" s="307"/>
      <c r="II31" s="307"/>
      <c r="IJ31" s="307"/>
      <c r="IK31" s="307"/>
      <c r="IL31" s="307"/>
      <c r="IM31" s="307"/>
      <c r="IN31" s="307"/>
      <c r="IO31" s="307"/>
      <c r="IP31" s="307"/>
      <c r="IQ31" s="307"/>
      <c r="IR31" s="307"/>
      <c r="IS31" s="307"/>
      <c r="IT31" s="307"/>
      <c r="IU31" s="307"/>
    </row>
    <row r="32" spans="1:255" ht="15.5">
      <c r="A32" s="324"/>
      <c r="B32" s="307" t="s">
        <v>220</v>
      </c>
      <c r="C32" s="310"/>
      <c r="D32" s="312">
        <f t="shared" si="8"/>
        <v>-0.72199999999999998</v>
      </c>
      <c r="E32" s="321">
        <v>-6.0000000000000001E-3</v>
      </c>
      <c r="F32" s="313">
        <f t="shared" si="7"/>
        <v>119.33333333333333</v>
      </c>
      <c r="G32" s="312"/>
      <c r="H32" s="312"/>
      <c r="I32" s="313"/>
      <c r="J32" s="312"/>
      <c r="K32" s="312"/>
      <c r="L32" s="313"/>
      <c r="M32" s="307"/>
      <c r="N32" s="307"/>
      <c r="O32" s="307"/>
      <c r="P32" s="307"/>
      <c r="Q32" s="307"/>
      <c r="R32" s="308"/>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7"/>
      <c r="CP32" s="307"/>
      <c r="CQ32" s="307"/>
      <c r="CR32" s="307"/>
      <c r="CS32" s="307"/>
      <c r="CT32" s="307"/>
      <c r="CU32" s="307"/>
      <c r="CV32" s="307"/>
      <c r="CW32" s="307"/>
      <c r="CX32" s="307"/>
      <c r="CY32" s="307"/>
      <c r="CZ32" s="307"/>
      <c r="DA32" s="307"/>
      <c r="DB32" s="307"/>
      <c r="DC32" s="307"/>
      <c r="DD32" s="307"/>
      <c r="DE32" s="307"/>
      <c r="DF32" s="307"/>
      <c r="DG32" s="307"/>
      <c r="DH32" s="307"/>
      <c r="DI32" s="307"/>
      <c r="DJ32" s="307"/>
      <c r="DK32" s="307"/>
      <c r="DL32" s="307"/>
      <c r="DM32" s="307"/>
      <c r="DN32" s="307"/>
      <c r="DO32" s="307"/>
      <c r="DP32" s="307"/>
      <c r="DQ32" s="307"/>
      <c r="DR32" s="307"/>
      <c r="DS32" s="307"/>
      <c r="DT32" s="307"/>
      <c r="DU32" s="307"/>
      <c r="DV32" s="307"/>
      <c r="DW32" s="307"/>
      <c r="DX32" s="307"/>
      <c r="DY32" s="307"/>
      <c r="DZ32" s="307"/>
      <c r="EA32" s="307"/>
      <c r="EB32" s="307"/>
      <c r="EC32" s="307"/>
      <c r="ED32" s="307"/>
      <c r="EE32" s="307"/>
      <c r="EF32" s="307"/>
      <c r="EG32" s="307"/>
      <c r="EH32" s="307"/>
      <c r="EI32" s="307"/>
      <c r="EJ32" s="307"/>
      <c r="EK32" s="307"/>
      <c r="EL32" s="307"/>
      <c r="EM32" s="307"/>
      <c r="EN32" s="307"/>
      <c r="EO32" s="307"/>
      <c r="EP32" s="307"/>
      <c r="EQ32" s="307"/>
      <c r="ER32" s="307"/>
      <c r="ES32" s="307"/>
      <c r="ET32" s="307"/>
      <c r="EU32" s="307"/>
      <c r="EV32" s="307"/>
      <c r="EW32" s="307"/>
      <c r="EX32" s="307"/>
      <c r="EY32" s="307"/>
      <c r="EZ32" s="307"/>
      <c r="FA32" s="307"/>
      <c r="FB32" s="307"/>
      <c r="FC32" s="307"/>
      <c r="FD32" s="307"/>
      <c r="FE32" s="307"/>
      <c r="FF32" s="307"/>
      <c r="FG32" s="307"/>
      <c r="FH32" s="307"/>
      <c r="FI32" s="307"/>
      <c r="FJ32" s="307"/>
      <c r="FK32" s="307"/>
      <c r="FL32" s="307"/>
      <c r="FM32" s="307"/>
      <c r="FN32" s="307"/>
      <c r="FO32" s="307"/>
      <c r="FP32" s="307"/>
      <c r="FQ32" s="307"/>
      <c r="FR32" s="307"/>
      <c r="FS32" s="307"/>
      <c r="FT32" s="307"/>
      <c r="FU32" s="307"/>
      <c r="FV32" s="307"/>
      <c r="FW32" s="307"/>
      <c r="FX32" s="307"/>
      <c r="FY32" s="307"/>
      <c r="FZ32" s="307"/>
      <c r="GA32" s="307"/>
      <c r="GB32" s="307"/>
      <c r="GC32" s="307"/>
      <c r="GD32" s="307"/>
      <c r="GE32" s="307"/>
      <c r="GF32" s="307"/>
      <c r="GG32" s="307"/>
      <c r="GH32" s="307"/>
      <c r="GI32" s="307"/>
      <c r="GJ32" s="307"/>
      <c r="GK32" s="307"/>
      <c r="GL32" s="307"/>
      <c r="GM32" s="307"/>
      <c r="GN32" s="307"/>
      <c r="GO32" s="307"/>
      <c r="GP32" s="307"/>
      <c r="GQ32" s="307"/>
      <c r="GR32" s="307"/>
      <c r="GS32" s="307"/>
      <c r="GT32" s="307"/>
      <c r="GU32" s="307"/>
      <c r="GV32" s="307"/>
      <c r="GW32" s="307"/>
      <c r="GX32" s="307"/>
      <c r="GY32" s="307"/>
      <c r="GZ32" s="307"/>
      <c r="HA32" s="307"/>
      <c r="HB32" s="307"/>
      <c r="HC32" s="307"/>
      <c r="HD32" s="307"/>
      <c r="HE32" s="307"/>
      <c r="HF32" s="307"/>
      <c r="HG32" s="307"/>
      <c r="HH32" s="307"/>
      <c r="HI32" s="307"/>
      <c r="HJ32" s="307"/>
      <c r="HK32" s="307"/>
      <c r="HL32" s="307"/>
      <c r="HM32" s="307"/>
      <c r="HN32" s="307"/>
      <c r="HO32" s="307"/>
      <c r="HP32" s="307"/>
      <c r="HQ32" s="307"/>
      <c r="HR32" s="307"/>
      <c r="HS32" s="307"/>
      <c r="HT32" s="307"/>
      <c r="HU32" s="307"/>
      <c r="HV32" s="307"/>
      <c r="HW32" s="307"/>
      <c r="HX32" s="307"/>
      <c r="HY32" s="307"/>
      <c r="HZ32" s="307"/>
      <c r="IA32" s="307"/>
      <c r="IB32" s="307"/>
      <c r="IC32" s="307"/>
      <c r="ID32" s="307"/>
      <c r="IE32" s="307"/>
      <c r="IF32" s="307"/>
      <c r="IG32" s="307"/>
      <c r="IH32" s="307"/>
      <c r="II32" s="307"/>
      <c r="IJ32" s="307"/>
      <c r="IK32" s="307"/>
      <c r="IL32" s="307"/>
      <c r="IM32" s="307"/>
      <c r="IN32" s="307"/>
      <c r="IO32" s="307"/>
      <c r="IP32" s="307"/>
      <c r="IQ32" s="307"/>
      <c r="IR32" s="307"/>
      <c r="IS32" s="307"/>
      <c r="IT32" s="307"/>
      <c r="IU32" s="307"/>
    </row>
    <row r="33" spans="1:255" ht="15.5">
      <c r="A33" s="324"/>
      <c r="B33" s="307" t="s">
        <v>221</v>
      </c>
      <c r="C33" s="310"/>
      <c r="D33" s="312">
        <f t="shared" si="8"/>
        <v>-0.96299999999999997</v>
      </c>
      <c r="E33" s="321">
        <v>-8.0000000000000002E-3</v>
      </c>
      <c r="F33" s="313">
        <f t="shared" si="7"/>
        <v>119.375</v>
      </c>
      <c r="G33" s="312"/>
      <c r="H33" s="312"/>
      <c r="I33" s="313"/>
      <c r="J33" s="312"/>
      <c r="K33" s="312"/>
      <c r="L33" s="313"/>
      <c r="M33" s="307"/>
      <c r="N33" s="307"/>
      <c r="O33" s="307"/>
      <c r="P33" s="307"/>
      <c r="Q33" s="307"/>
      <c r="R33" s="308"/>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7"/>
      <c r="BY33" s="307"/>
      <c r="BZ33" s="307"/>
      <c r="CA33" s="307"/>
      <c r="CB33" s="307"/>
      <c r="CC33" s="307"/>
      <c r="CD33" s="307"/>
      <c r="CE33" s="307"/>
      <c r="CF33" s="307"/>
      <c r="CG33" s="307"/>
      <c r="CH33" s="307"/>
      <c r="CI33" s="307"/>
      <c r="CJ33" s="307"/>
      <c r="CK33" s="307"/>
      <c r="CL33" s="307"/>
      <c r="CM33" s="307"/>
      <c r="CN33" s="307"/>
      <c r="CO33" s="307"/>
      <c r="CP33" s="307"/>
      <c r="CQ33" s="307"/>
      <c r="CR33" s="307"/>
      <c r="CS33" s="307"/>
      <c r="CT33" s="307"/>
      <c r="CU33" s="307"/>
      <c r="CV33" s="307"/>
      <c r="CW33" s="307"/>
      <c r="CX33" s="307"/>
      <c r="CY33" s="307"/>
      <c r="CZ33" s="307"/>
      <c r="DA33" s="307"/>
      <c r="DB33" s="307"/>
      <c r="DC33" s="307"/>
      <c r="DD33" s="307"/>
      <c r="DE33" s="307"/>
      <c r="DF33" s="307"/>
      <c r="DG33" s="307"/>
      <c r="DH33" s="307"/>
      <c r="DI33" s="307"/>
      <c r="DJ33" s="307"/>
      <c r="DK33" s="307"/>
      <c r="DL33" s="307"/>
      <c r="DM33" s="307"/>
      <c r="DN33" s="307"/>
      <c r="DO33" s="307"/>
      <c r="DP33" s="307"/>
      <c r="DQ33" s="307"/>
      <c r="DR33" s="307"/>
      <c r="DS33" s="307"/>
      <c r="DT33" s="307"/>
      <c r="DU33" s="307"/>
      <c r="DV33" s="307"/>
      <c r="DW33" s="307"/>
      <c r="DX33" s="307"/>
      <c r="DY33" s="307"/>
      <c r="DZ33" s="307"/>
      <c r="EA33" s="307"/>
      <c r="EB33" s="307"/>
      <c r="EC33" s="307"/>
      <c r="ED33" s="307"/>
      <c r="EE33" s="307"/>
      <c r="EF33" s="307"/>
      <c r="EG33" s="307"/>
      <c r="EH33" s="307"/>
      <c r="EI33" s="307"/>
      <c r="EJ33" s="307"/>
      <c r="EK33" s="307"/>
      <c r="EL33" s="307"/>
      <c r="EM33" s="307"/>
      <c r="EN33" s="307"/>
      <c r="EO33" s="307"/>
      <c r="EP33" s="307"/>
      <c r="EQ33" s="307"/>
      <c r="ER33" s="307"/>
      <c r="ES33" s="307"/>
      <c r="ET33" s="307"/>
      <c r="EU33" s="307"/>
      <c r="EV33" s="307"/>
      <c r="EW33" s="307"/>
      <c r="EX33" s="307"/>
      <c r="EY33" s="307"/>
      <c r="EZ33" s="307"/>
      <c r="FA33" s="307"/>
      <c r="FB33" s="307"/>
      <c r="FC33" s="307"/>
      <c r="FD33" s="307"/>
      <c r="FE33" s="307"/>
      <c r="FF33" s="307"/>
      <c r="FG33" s="307"/>
      <c r="FH33" s="307"/>
      <c r="FI33" s="307"/>
      <c r="FJ33" s="307"/>
      <c r="FK33" s="307"/>
      <c r="FL33" s="307"/>
      <c r="FM33" s="307"/>
      <c r="FN33" s="307"/>
      <c r="FO33" s="307"/>
      <c r="FP33" s="307"/>
      <c r="FQ33" s="307"/>
      <c r="FR33" s="307"/>
      <c r="FS33" s="307"/>
      <c r="FT33" s="307"/>
      <c r="FU33" s="307"/>
      <c r="FV33" s="307"/>
      <c r="FW33" s="307"/>
      <c r="FX33" s="307"/>
      <c r="FY33" s="307"/>
      <c r="FZ33" s="307"/>
      <c r="GA33" s="307"/>
      <c r="GB33" s="307"/>
      <c r="GC33" s="307"/>
      <c r="GD33" s="307"/>
      <c r="GE33" s="307"/>
      <c r="GF33" s="307"/>
      <c r="GG33" s="307"/>
      <c r="GH33" s="307"/>
      <c r="GI33" s="307"/>
      <c r="GJ33" s="307"/>
      <c r="GK33" s="307"/>
      <c r="GL33" s="307"/>
      <c r="GM33" s="307"/>
      <c r="GN33" s="307"/>
      <c r="GO33" s="307"/>
      <c r="GP33" s="307"/>
      <c r="GQ33" s="307"/>
      <c r="GR33" s="307"/>
      <c r="GS33" s="307"/>
      <c r="GT33" s="307"/>
      <c r="GU33" s="307"/>
      <c r="GV33" s="307"/>
      <c r="GW33" s="307"/>
      <c r="GX33" s="307"/>
      <c r="GY33" s="307"/>
      <c r="GZ33" s="307"/>
      <c r="HA33" s="307"/>
      <c r="HB33" s="307"/>
      <c r="HC33" s="307"/>
      <c r="HD33" s="307"/>
      <c r="HE33" s="307"/>
      <c r="HF33" s="307"/>
      <c r="HG33" s="307"/>
      <c r="HH33" s="307"/>
      <c r="HI33" s="307"/>
      <c r="HJ33" s="307"/>
      <c r="HK33" s="307"/>
      <c r="HL33" s="307"/>
      <c r="HM33" s="307"/>
      <c r="HN33" s="307"/>
      <c r="HO33" s="307"/>
      <c r="HP33" s="307"/>
      <c r="HQ33" s="307"/>
      <c r="HR33" s="307"/>
      <c r="HS33" s="307"/>
      <c r="HT33" s="307"/>
      <c r="HU33" s="307"/>
      <c r="HV33" s="307"/>
      <c r="HW33" s="307"/>
      <c r="HX33" s="307"/>
      <c r="HY33" s="307"/>
      <c r="HZ33" s="307"/>
      <c r="IA33" s="307"/>
      <c r="IB33" s="307"/>
      <c r="IC33" s="307"/>
      <c r="ID33" s="307"/>
      <c r="IE33" s="307"/>
      <c r="IF33" s="307"/>
      <c r="IG33" s="307"/>
      <c r="IH33" s="307"/>
      <c r="II33" s="307"/>
      <c r="IJ33" s="307"/>
      <c r="IK33" s="307"/>
      <c r="IL33" s="307"/>
      <c r="IM33" s="307"/>
      <c r="IN33" s="307"/>
      <c r="IO33" s="307"/>
      <c r="IP33" s="307"/>
      <c r="IQ33" s="307"/>
      <c r="IR33" s="307"/>
      <c r="IS33" s="307"/>
      <c r="IT33" s="307"/>
      <c r="IU33" s="307"/>
    </row>
    <row r="34" spans="1:255" ht="15.5">
      <c r="A34" s="324"/>
      <c r="B34" s="307" t="s">
        <v>222</v>
      </c>
      <c r="C34" s="310"/>
      <c r="D34" s="312">
        <f t="shared" si="8"/>
        <v>-1.444</v>
      </c>
      <c r="E34" s="321">
        <v>-1.2E-2</v>
      </c>
      <c r="F34" s="313">
        <f t="shared" si="7"/>
        <v>119.33333333333333</v>
      </c>
      <c r="G34" s="312"/>
      <c r="H34" s="312"/>
      <c r="I34" s="313"/>
      <c r="J34" s="312"/>
      <c r="K34" s="312"/>
      <c r="L34" s="313"/>
      <c r="M34" s="307"/>
      <c r="N34" s="307"/>
      <c r="O34" s="307"/>
      <c r="P34" s="307"/>
      <c r="Q34" s="307"/>
      <c r="R34" s="308"/>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307"/>
      <c r="BV34" s="307"/>
      <c r="BW34" s="307"/>
      <c r="BX34" s="307"/>
      <c r="BY34" s="307"/>
      <c r="BZ34" s="307"/>
      <c r="CA34" s="307"/>
      <c r="CB34" s="307"/>
      <c r="CC34" s="307"/>
      <c r="CD34" s="307"/>
      <c r="CE34" s="307"/>
      <c r="CF34" s="307"/>
      <c r="CG34" s="307"/>
      <c r="CH34" s="307"/>
      <c r="CI34" s="307"/>
      <c r="CJ34" s="307"/>
      <c r="CK34" s="307"/>
      <c r="CL34" s="307"/>
      <c r="CM34" s="307"/>
      <c r="CN34" s="307"/>
      <c r="CO34" s="307"/>
      <c r="CP34" s="307"/>
      <c r="CQ34" s="307"/>
      <c r="CR34" s="307"/>
      <c r="CS34" s="307"/>
      <c r="CT34" s="307"/>
      <c r="CU34" s="307"/>
      <c r="CV34" s="307"/>
      <c r="CW34" s="307"/>
      <c r="CX34" s="307"/>
      <c r="CY34" s="307"/>
      <c r="CZ34" s="307"/>
      <c r="DA34" s="307"/>
      <c r="DB34" s="307"/>
      <c r="DC34" s="307"/>
      <c r="DD34" s="307"/>
      <c r="DE34" s="307"/>
      <c r="DF34" s="307"/>
      <c r="DG34" s="307"/>
      <c r="DH34" s="307"/>
      <c r="DI34" s="307"/>
      <c r="DJ34" s="307"/>
      <c r="DK34" s="307"/>
      <c r="DL34" s="307"/>
      <c r="DM34" s="307"/>
      <c r="DN34" s="307"/>
      <c r="DO34" s="307"/>
      <c r="DP34" s="307"/>
      <c r="DQ34" s="307"/>
      <c r="DR34" s="307"/>
      <c r="DS34" s="307"/>
      <c r="DT34" s="307"/>
      <c r="DU34" s="307"/>
      <c r="DV34" s="307"/>
      <c r="DW34" s="307"/>
      <c r="DX34" s="307"/>
      <c r="DY34" s="307"/>
      <c r="DZ34" s="307"/>
      <c r="EA34" s="307"/>
      <c r="EB34" s="307"/>
      <c r="EC34" s="307"/>
      <c r="ED34" s="307"/>
      <c r="EE34" s="307"/>
      <c r="EF34" s="307"/>
      <c r="EG34" s="307"/>
      <c r="EH34" s="307"/>
      <c r="EI34" s="307"/>
      <c r="EJ34" s="307"/>
      <c r="EK34" s="307"/>
      <c r="EL34" s="307"/>
      <c r="EM34" s="307"/>
      <c r="EN34" s="307"/>
      <c r="EO34" s="307"/>
      <c r="EP34" s="307"/>
      <c r="EQ34" s="307"/>
      <c r="ER34" s="307"/>
      <c r="ES34" s="307"/>
      <c r="ET34" s="307"/>
      <c r="EU34" s="307"/>
      <c r="EV34" s="307"/>
      <c r="EW34" s="307"/>
      <c r="EX34" s="307"/>
      <c r="EY34" s="307"/>
      <c r="EZ34" s="307"/>
      <c r="FA34" s="307"/>
      <c r="FB34" s="307"/>
      <c r="FC34" s="307"/>
      <c r="FD34" s="307"/>
      <c r="FE34" s="307"/>
      <c r="FF34" s="307"/>
      <c r="FG34" s="307"/>
      <c r="FH34" s="307"/>
      <c r="FI34" s="307"/>
      <c r="FJ34" s="307"/>
      <c r="FK34" s="307"/>
      <c r="FL34" s="307"/>
      <c r="FM34" s="307"/>
      <c r="FN34" s="307"/>
      <c r="FO34" s="307"/>
      <c r="FP34" s="307"/>
      <c r="FQ34" s="307"/>
      <c r="FR34" s="307"/>
      <c r="FS34" s="307"/>
      <c r="FT34" s="307"/>
      <c r="FU34" s="307"/>
      <c r="FV34" s="307"/>
      <c r="FW34" s="307"/>
      <c r="FX34" s="307"/>
      <c r="FY34" s="307"/>
      <c r="FZ34" s="307"/>
      <c r="GA34" s="307"/>
      <c r="GB34" s="307"/>
      <c r="GC34" s="307"/>
      <c r="GD34" s="307"/>
      <c r="GE34" s="307"/>
      <c r="GF34" s="307"/>
      <c r="GG34" s="307"/>
      <c r="GH34" s="307"/>
      <c r="GI34" s="307"/>
      <c r="GJ34" s="307"/>
      <c r="GK34" s="307"/>
      <c r="GL34" s="307"/>
      <c r="GM34" s="307"/>
      <c r="GN34" s="307"/>
      <c r="GO34" s="307"/>
      <c r="GP34" s="307"/>
      <c r="GQ34" s="307"/>
      <c r="GR34" s="307"/>
      <c r="GS34" s="307"/>
      <c r="GT34" s="307"/>
      <c r="GU34" s="307"/>
      <c r="GV34" s="307"/>
      <c r="GW34" s="307"/>
      <c r="GX34" s="307"/>
      <c r="GY34" s="307"/>
      <c r="GZ34" s="307"/>
      <c r="HA34" s="307"/>
      <c r="HB34" s="307"/>
      <c r="HC34" s="307"/>
      <c r="HD34" s="307"/>
      <c r="HE34" s="307"/>
      <c r="HF34" s="307"/>
      <c r="HG34" s="307"/>
      <c r="HH34" s="307"/>
      <c r="HI34" s="307"/>
      <c r="HJ34" s="307"/>
      <c r="HK34" s="307"/>
      <c r="HL34" s="307"/>
      <c r="HM34" s="307"/>
      <c r="HN34" s="307"/>
      <c r="HO34" s="307"/>
      <c r="HP34" s="307"/>
      <c r="HQ34" s="307"/>
      <c r="HR34" s="307"/>
      <c r="HS34" s="307"/>
      <c r="HT34" s="307"/>
      <c r="HU34" s="307"/>
      <c r="HV34" s="307"/>
      <c r="HW34" s="307"/>
      <c r="HX34" s="307"/>
      <c r="HY34" s="307"/>
      <c r="HZ34" s="307"/>
      <c r="IA34" s="307"/>
      <c r="IB34" s="307"/>
      <c r="IC34" s="307"/>
      <c r="ID34" s="307"/>
      <c r="IE34" s="307"/>
      <c r="IF34" s="307"/>
      <c r="IG34" s="307"/>
      <c r="IH34" s="307"/>
      <c r="II34" s="307"/>
      <c r="IJ34" s="307"/>
      <c r="IK34" s="307"/>
      <c r="IL34" s="307"/>
      <c r="IM34" s="307"/>
      <c r="IN34" s="307"/>
      <c r="IO34" s="307"/>
      <c r="IP34" s="307"/>
      <c r="IQ34" s="307"/>
      <c r="IR34" s="307"/>
      <c r="IS34" s="307"/>
      <c r="IT34" s="307"/>
      <c r="IU34" s="307"/>
    </row>
    <row r="35" spans="1:255" ht="15.5">
      <c r="A35" s="324"/>
      <c r="B35" s="307" t="s">
        <v>223</v>
      </c>
      <c r="C35" s="310"/>
      <c r="D35" s="312">
        <f t="shared" si="8"/>
        <v>-2.0459999999999998</v>
      </c>
      <c r="E35" s="321">
        <v>-1.7000000000000001E-2</v>
      </c>
      <c r="F35" s="313">
        <f t="shared" si="7"/>
        <v>119.35294117647057</v>
      </c>
      <c r="G35" s="312"/>
      <c r="H35" s="312"/>
      <c r="I35" s="313"/>
      <c r="J35" s="312"/>
      <c r="K35" s="312"/>
      <c r="L35" s="313"/>
      <c r="M35" s="307"/>
      <c r="N35" s="307"/>
      <c r="O35" s="307"/>
      <c r="P35" s="307"/>
      <c r="Q35" s="307"/>
      <c r="R35" s="308"/>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7"/>
      <c r="CP35" s="307"/>
      <c r="CQ35" s="307"/>
      <c r="CR35" s="307"/>
      <c r="CS35" s="307"/>
      <c r="CT35" s="307"/>
      <c r="CU35" s="307"/>
      <c r="CV35" s="307"/>
      <c r="CW35" s="307"/>
      <c r="CX35" s="307"/>
      <c r="CY35" s="307"/>
      <c r="CZ35" s="307"/>
      <c r="DA35" s="307"/>
      <c r="DB35" s="307"/>
      <c r="DC35" s="307"/>
      <c r="DD35" s="307"/>
      <c r="DE35" s="307"/>
      <c r="DF35" s="307"/>
      <c r="DG35" s="307"/>
      <c r="DH35" s="307"/>
      <c r="DI35" s="307"/>
      <c r="DJ35" s="307"/>
      <c r="DK35" s="307"/>
      <c r="DL35" s="307"/>
      <c r="DM35" s="307"/>
      <c r="DN35" s="307"/>
      <c r="DO35" s="307"/>
      <c r="DP35" s="307"/>
      <c r="DQ35" s="307"/>
      <c r="DR35" s="307"/>
      <c r="DS35" s="307"/>
      <c r="DT35" s="307"/>
      <c r="DU35" s="307"/>
      <c r="DV35" s="307"/>
      <c r="DW35" s="307"/>
      <c r="DX35" s="307"/>
      <c r="DY35" s="307"/>
      <c r="DZ35" s="307"/>
      <c r="EA35" s="307"/>
      <c r="EB35" s="307"/>
      <c r="EC35" s="307"/>
      <c r="ED35" s="307"/>
      <c r="EE35" s="307"/>
      <c r="EF35" s="307"/>
      <c r="EG35" s="307"/>
      <c r="EH35" s="307"/>
      <c r="EI35" s="307"/>
      <c r="EJ35" s="307"/>
      <c r="EK35" s="307"/>
      <c r="EL35" s="307"/>
      <c r="EM35" s="307"/>
      <c r="EN35" s="307"/>
      <c r="EO35" s="307"/>
      <c r="EP35" s="307"/>
      <c r="EQ35" s="307"/>
      <c r="ER35" s="307"/>
      <c r="ES35" s="307"/>
      <c r="ET35" s="307"/>
      <c r="EU35" s="307"/>
      <c r="EV35" s="307"/>
      <c r="EW35" s="307"/>
      <c r="EX35" s="307"/>
      <c r="EY35" s="307"/>
      <c r="EZ35" s="307"/>
      <c r="FA35" s="307"/>
      <c r="FB35" s="307"/>
      <c r="FC35" s="307"/>
      <c r="FD35" s="307"/>
      <c r="FE35" s="307"/>
      <c r="FF35" s="307"/>
      <c r="FG35" s="307"/>
      <c r="FH35" s="307"/>
      <c r="FI35" s="307"/>
      <c r="FJ35" s="307"/>
      <c r="FK35" s="307"/>
      <c r="FL35" s="307"/>
      <c r="FM35" s="307"/>
      <c r="FN35" s="307"/>
      <c r="FO35" s="307"/>
      <c r="FP35" s="307"/>
      <c r="FQ35" s="307"/>
      <c r="FR35" s="307"/>
      <c r="FS35" s="307"/>
      <c r="FT35" s="307"/>
      <c r="FU35" s="307"/>
      <c r="FV35" s="307"/>
      <c r="FW35" s="307"/>
      <c r="FX35" s="307"/>
      <c r="FY35" s="307"/>
      <c r="FZ35" s="307"/>
      <c r="GA35" s="307"/>
      <c r="GB35" s="307"/>
      <c r="GC35" s="307"/>
      <c r="GD35" s="307"/>
      <c r="GE35" s="307"/>
      <c r="GF35" s="307"/>
      <c r="GG35" s="307"/>
      <c r="GH35" s="307"/>
      <c r="GI35" s="307"/>
      <c r="GJ35" s="307"/>
      <c r="GK35" s="307"/>
      <c r="GL35" s="307"/>
      <c r="GM35" s="307"/>
      <c r="GN35" s="307"/>
      <c r="GO35" s="307"/>
      <c r="GP35" s="307"/>
      <c r="GQ35" s="307"/>
      <c r="GR35" s="307"/>
      <c r="GS35" s="307"/>
      <c r="GT35" s="307"/>
      <c r="GU35" s="307"/>
      <c r="GV35" s="307"/>
      <c r="GW35" s="307"/>
      <c r="GX35" s="307"/>
      <c r="GY35" s="307"/>
      <c r="GZ35" s="307"/>
      <c r="HA35" s="307"/>
      <c r="HB35" s="307"/>
      <c r="HC35" s="307"/>
      <c r="HD35" s="307"/>
      <c r="HE35" s="307"/>
      <c r="HF35" s="307"/>
      <c r="HG35" s="307"/>
      <c r="HH35" s="307"/>
      <c r="HI35" s="307"/>
      <c r="HJ35" s="307"/>
      <c r="HK35" s="307"/>
      <c r="HL35" s="307"/>
      <c r="HM35" s="307"/>
      <c r="HN35" s="307"/>
      <c r="HO35" s="307"/>
      <c r="HP35" s="307"/>
      <c r="HQ35" s="307"/>
      <c r="HR35" s="307"/>
      <c r="HS35" s="307"/>
      <c r="HT35" s="307"/>
      <c r="HU35" s="307"/>
      <c r="HV35" s="307"/>
      <c r="HW35" s="307"/>
      <c r="HX35" s="307"/>
      <c r="HY35" s="307"/>
      <c r="HZ35" s="307"/>
      <c r="IA35" s="307"/>
      <c r="IB35" s="307"/>
      <c r="IC35" s="307"/>
      <c r="ID35" s="307"/>
      <c r="IE35" s="307"/>
      <c r="IF35" s="307"/>
      <c r="IG35" s="307"/>
      <c r="IH35" s="307"/>
      <c r="II35" s="307"/>
      <c r="IJ35" s="307"/>
      <c r="IK35" s="307"/>
      <c r="IL35" s="307"/>
      <c r="IM35" s="307"/>
      <c r="IN35" s="307"/>
      <c r="IO35" s="307"/>
      <c r="IP35" s="307"/>
      <c r="IQ35" s="307"/>
      <c r="IR35" s="307"/>
      <c r="IS35" s="307"/>
      <c r="IT35" s="307"/>
      <c r="IU35" s="307"/>
    </row>
    <row r="36" spans="1:255" ht="15.5">
      <c r="A36" s="324"/>
      <c r="B36" s="307"/>
      <c r="C36" s="310"/>
      <c r="D36" s="320"/>
      <c r="E36" s="312"/>
      <c r="F36" s="320"/>
      <c r="G36" s="312"/>
      <c r="H36" s="321"/>
      <c r="I36" s="313"/>
      <c r="J36" s="312"/>
      <c r="K36" s="321"/>
      <c r="L36" s="313"/>
      <c r="M36" s="307"/>
      <c r="N36" s="307"/>
      <c r="O36" s="307"/>
      <c r="P36" s="307"/>
      <c r="Q36" s="307"/>
      <c r="R36" s="308"/>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7"/>
      <c r="BR36" s="307"/>
      <c r="BS36" s="307"/>
      <c r="BT36" s="307"/>
      <c r="BU36" s="307"/>
      <c r="BV36" s="307"/>
      <c r="BW36" s="307"/>
      <c r="BX36" s="307"/>
      <c r="BY36" s="307"/>
      <c r="BZ36" s="307"/>
      <c r="CA36" s="307"/>
      <c r="CB36" s="307"/>
      <c r="CC36" s="307"/>
      <c r="CD36" s="307"/>
      <c r="CE36" s="307"/>
      <c r="CF36" s="307"/>
      <c r="CG36" s="307"/>
      <c r="CH36" s="307"/>
      <c r="CI36" s="307"/>
      <c r="CJ36" s="307"/>
      <c r="CK36" s="307"/>
      <c r="CL36" s="307"/>
      <c r="CM36" s="307"/>
      <c r="CN36" s="307"/>
      <c r="CO36" s="307"/>
      <c r="CP36" s="307"/>
      <c r="CQ36" s="307"/>
      <c r="CR36" s="307"/>
      <c r="CS36" s="307"/>
      <c r="CT36" s="307"/>
      <c r="CU36" s="307"/>
      <c r="CV36" s="307"/>
      <c r="CW36" s="307"/>
      <c r="CX36" s="307"/>
      <c r="CY36" s="307"/>
      <c r="CZ36" s="307"/>
      <c r="DA36" s="307"/>
      <c r="DB36" s="307"/>
      <c r="DC36" s="307"/>
      <c r="DD36" s="307"/>
      <c r="DE36" s="307"/>
      <c r="DF36" s="307"/>
      <c r="DG36" s="307"/>
      <c r="DH36" s="307"/>
      <c r="DI36" s="307"/>
      <c r="DJ36" s="307"/>
      <c r="DK36" s="307"/>
      <c r="DL36" s="307"/>
      <c r="DM36" s="307"/>
      <c r="DN36" s="307"/>
      <c r="DO36" s="307"/>
      <c r="DP36" s="307"/>
      <c r="DQ36" s="307"/>
      <c r="DR36" s="307"/>
      <c r="DS36" s="307"/>
      <c r="DT36" s="307"/>
      <c r="DU36" s="307"/>
      <c r="DV36" s="307"/>
      <c r="DW36" s="307"/>
      <c r="DX36" s="307"/>
      <c r="DY36" s="307"/>
      <c r="DZ36" s="307"/>
      <c r="EA36" s="307"/>
      <c r="EB36" s="307"/>
      <c r="EC36" s="307"/>
      <c r="ED36" s="307"/>
      <c r="EE36" s="307"/>
      <c r="EF36" s="307"/>
      <c r="EG36" s="307"/>
      <c r="EH36" s="307"/>
      <c r="EI36" s="307"/>
      <c r="EJ36" s="307"/>
      <c r="EK36" s="307"/>
      <c r="EL36" s="307"/>
      <c r="EM36" s="307"/>
      <c r="EN36" s="307"/>
      <c r="EO36" s="307"/>
      <c r="EP36" s="307"/>
      <c r="EQ36" s="307"/>
      <c r="ER36" s="307"/>
      <c r="ES36" s="307"/>
      <c r="ET36" s="307"/>
      <c r="EU36" s="307"/>
      <c r="EV36" s="307"/>
      <c r="EW36" s="307"/>
      <c r="EX36" s="307"/>
      <c r="EY36" s="307"/>
      <c r="EZ36" s="307"/>
      <c r="FA36" s="307"/>
      <c r="FB36" s="307"/>
      <c r="FC36" s="307"/>
      <c r="FD36" s="307"/>
      <c r="FE36" s="307"/>
      <c r="FF36" s="307"/>
      <c r="FG36" s="307"/>
      <c r="FH36" s="307"/>
      <c r="FI36" s="307"/>
      <c r="FJ36" s="307"/>
      <c r="FK36" s="307"/>
      <c r="FL36" s="307"/>
      <c r="FM36" s="307"/>
      <c r="FN36" s="307"/>
      <c r="FO36" s="307"/>
      <c r="FP36" s="307"/>
      <c r="FQ36" s="307"/>
      <c r="FR36" s="307"/>
      <c r="FS36" s="307"/>
      <c r="FT36" s="307"/>
      <c r="FU36" s="307"/>
      <c r="FV36" s="307"/>
      <c r="FW36" s="307"/>
      <c r="FX36" s="307"/>
      <c r="FY36" s="307"/>
      <c r="FZ36" s="307"/>
      <c r="GA36" s="307"/>
      <c r="GB36" s="307"/>
      <c r="GC36" s="307"/>
      <c r="GD36" s="307"/>
      <c r="GE36" s="307"/>
      <c r="GF36" s="307"/>
      <c r="GG36" s="307"/>
      <c r="GH36" s="307"/>
      <c r="GI36" s="307"/>
      <c r="GJ36" s="307"/>
      <c r="GK36" s="307"/>
      <c r="GL36" s="307"/>
      <c r="GM36" s="307"/>
      <c r="GN36" s="307"/>
      <c r="GO36" s="307"/>
      <c r="GP36" s="307"/>
      <c r="GQ36" s="307"/>
      <c r="GR36" s="307"/>
      <c r="GS36" s="307"/>
      <c r="GT36" s="307"/>
      <c r="GU36" s="307"/>
      <c r="GV36" s="307"/>
      <c r="GW36" s="307"/>
      <c r="GX36" s="307"/>
      <c r="GY36" s="307"/>
      <c r="GZ36" s="307"/>
      <c r="HA36" s="307"/>
      <c r="HB36" s="307"/>
      <c r="HC36" s="307"/>
      <c r="HD36" s="307"/>
      <c r="HE36" s="307"/>
      <c r="HF36" s="307"/>
      <c r="HG36" s="307"/>
      <c r="HH36" s="307"/>
      <c r="HI36" s="307"/>
      <c r="HJ36" s="307"/>
      <c r="HK36" s="307"/>
      <c r="HL36" s="307"/>
      <c r="HM36" s="307"/>
      <c r="HN36" s="307"/>
      <c r="HO36" s="307"/>
      <c r="HP36" s="307"/>
      <c r="HQ36" s="307"/>
      <c r="HR36" s="307"/>
      <c r="HS36" s="307"/>
      <c r="HT36" s="307"/>
      <c r="HU36" s="307"/>
      <c r="HV36" s="307"/>
      <c r="HW36" s="307"/>
      <c r="HX36" s="307"/>
      <c r="HY36" s="307"/>
      <c r="HZ36" s="307"/>
      <c r="IA36" s="307"/>
      <c r="IB36" s="307"/>
      <c r="IC36" s="307"/>
      <c r="ID36" s="307"/>
      <c r="IE36" s="307"/>
      <c r="IF36" s="307"/>
      <c r="IG36" s="307"/>
      <c r="IH36" s="307"/>
      <c r="II36" s="307"/>
      <c r="IJ36" s="307"/>
      <c r="IK36" s="307"/>
      <c r="IL36" s="307"/>
      <c r="IM36" s="307"/>
      <c r="IN36" s="307"/>
      <c r="IO36" s="307"/>
      <c r="IP36" s="307"/>
      <c r="IQ36" s="307"/>
      <c r="IR36" s="307"/>
      <c r="IS36" s="307"/>
      <c r="IT36" s="307"/>
      <c r="IU36" s="307"/>
    </row>
    <row r="37" spans="1:255" ht="15.5">
      <c r="A37" s="319" t="s">
        <v>225</v>
      </c>
      <c r="B37" s="307"/>
      <c r="C37" s="310"/>
      <c r="D37" s="320"/>
      <c r="E37" s="312"/>
      <c r="F37" s="320"/>
      <c r="G37" s="312"/>
      <c r="H37" s="321"/>
      <c r="I37" s="313"/>
      <c r="J37" s="312"/>
      <c r="K37" s="321"/>
      <c r="L37" s="313"/>
      <c r="M37" s="307"/>
      <c r="N37" s="307"/>
      <c r="O37" s="307"/>
      <c r="P37" s="307"/>
      <c r="Q37" s="307"/>
      <c r="R37" s="308"/>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c r="BY37" s="307"/>
      <c r="BZ37" s="307"/>
      <c r="CA37" s="307"/>
      <c r="CB37" s="307"/>
      <c r="CC37" s="307"/>
      <c r="CD37" s="307"/>
      <c r="CE37" s="307"/>
      <c r="CF37" s="307"/>
      <c r="CG37" s="307"/>
      <c r="CH37" s="307"/>
      <c r="CI37" s="307"/>
      <c r="CJ37" s="307"/>
      <c r="CK37" s="307"/>
      <c r="CL37" s="307"/>
      <c r="CM37" s="307"/>
      <c r="CN37" s="307"/>
      <c r="CO37" s="307"/>
      <c r="CP37" s="307"/>
      <c r="CQ37" s="307"/>
      <c r="CR37" s="307"/>
      <c r="CS37" s="307"/>
      <c r="CT37" s="307"/>
      <c r="CU37" s="307"/>
      <c r="CV37" s="307"/>
      <c r="CW37" s="307"/>
      <c r="CX37" s="307"/>
      <c r="CY37" s="307"/>
      <c r="CZ37" s="307"/>
      <c r="DA37" s="307"/>
      <c r="DB37" s="307"/>
      <c r="DC37" s="307"/>
      <c r="DD37" s="307"/>
      <c r="DE37" s="307"/>
      <c r="DF37" s="307"/>
      <c r="DG37" s="307"/>
      <c r="DH37" s="307"/>
      <c r="DI37" s="307"/>
      <c r="DJ37" s="307"/>
      <c r="DK37" s="307"/>
      <c r="DL37" s="307"/>
      <c r="DM37" s="307"/>
      <c r="DN37" s="307"/>
      <c r="DO37" s="307"/>
      <c r="DP37" s="307"/>
      <c r="DQ37" s="307"/>
      <c r="DR37" s="307"/>
      <c r="DS37" s="307"/>
      <c r="DT37" s="307"/>
      <c r="DU37" s="307"/>
      <c r="DV37" s="307"/>
      <c r="DW37" s="307"/>
      <c r="DX37" s="307"/>
      <c r="DY37" s="307"/>
      <c r="DZ37" s="307"/>
      <c r="EA37" s="307"/>
      <c r="EB37" s="307"/>
      <c r="EC37" s="307"/>
      <c r="ED37" s="307"/>
      <c r="EE37" s="307"/>
      <c r="EF37" s="307"/>
      <c r="EG37" s="307"/>
      <c r="EH37" s="307"/>
      <c r="EI37" s="307"/>
      <c r="EJ37" s="307"/>
      <c r="EK37" s="307"/>
      <c r="EL37" s="307"/>
      <c r="EM37" s="307"/>
      <c r="EN37" s="307"/>
      <c r="EO37" s="307"/>
      <c r="EP37" s="307"/>
      <c r="EQ37" s="307"/>
      <c r="ER37" s="307"/>
      <c r="ES37" s="307"/>
      <c r="ET37" s="307"/>
      <c r="EU37" s="307"/>
      <c r="EV37" s="307"/>
      <c r="EW37" s="307"/>
      <c r="EX37" s="307"/>
      <c r="EY37" s="307"/>
      <c r="EZ37" s="307"/>
      <c r="FA37" s="307"/>
      <c r="FB37" s="307"/>
      <c r="FC37" s="307"/>
      <c r="FD37" s="307"/>
      <c r="FE37" s="307"/>
      <c r="FF37" s="307"/>
      <c r="FG37" s="307"/>
      <c r="FH37" s="307"/>
      <c r="FI37" s="307"/>
      <c r="FJ37" s="307"/>
      <c r="FK37" s="307"/>
      <c r="FL37" s="307"/>
      <c r="FM37" s="307"/>
      <c r="FN37" s="307"/>
      <c r="FO37" s="307"/>
      <c r="FP37" s="307"/>
      <c r="FQ37" s="307"/>
      <c r="FR37" s="307"/>
      <c r="FS37" s="307"/>
      <c r="FT37" s="307"/>
      <c r="FU37" s="307"/>
      <c r="FV37" s="307"/>
      <c r="FW37" s="307"/>
      <c r="FX37" s="307"/>
      <c r="FY37" s="307"/>
      <c r="FZ37" s="307"/>
      <c r="GA37" s="307"/>
      <c r="GB37" s="307"/>
      <c r="GC37" s="307"/>
      <c r="GD37" s="307"/>
      <c r="GE37" s="307"/>
      <c r="GF37" s="307"/>
      <c r="GG37" s="307"/>
      <c r="GH37" s="307"/>
      <c r="GI37" s="307"/>
      <c r="GJ37" s="307"/>
      <c r="GK37" s="307"/>
      <c r="GL37" s="307"/>
      <c r="GM37" s="307"/>
      <c r="GN37" s="307"/>
      <c r="GO37" s="307"/>
      <c r="GP37" s="307"/>
      <c r="GQ37" s="307"/>
      <c r="GR37" s="307"/>
      <c r="GS37" s="307"/>
      <c r="GT37" s="307"/>
      <c r="GU37" s="307"/>
      <c r="GV37" s="307"/>
      <c r="GW37" s="307"/>
      <c r="GX37" s="307"/>
      <c r="GY37" s="307"/>
      <c r="GZ37" s="307"/>
      <c r="HA37" s="307"/>
      <c r="HB37" s="307"/>
      <c r="HC37" s="307"/>
      <c r="HD37" s="307"/>
      <c r="HE37" s="307"/>
      <c r="HF37" s="307"/>
      <c r="HG37" s="307"/>
      <c r="HH37" s="307"/>
      <c r="HI37" s="307"/>
      <c r="HJ37" s="307"/>
      <c r="HK37" s="307"/>
      <c r="HL37" s="307"/>
      <c r="HM37" s="307"/>
      <c r="HN37" s="307"/>
      <c r="HO37" s="307"/>
      <c r="HP37" s="307"/>
      <c r="HQ37" s="307"/>
      <c r="HR37" s="307"/>
      <c r="HS37" s="307"/>
      <c r="HT37" s="307"/>
      <c r="HU37" s="307"/>
      <c r="HV37" s="307"/>
      <c r="HW37" s="307"/>
      <c r="HX37" s="307"/>
      <c r="HY37" s="307"/>
      <c r="HZ37" s="307"/>
      <c r="IA37" s="307"/>
      <c r="IB37" s="307"/>
      <c r="IC37" s="307"/>
      <c r="ID37" s="307"/>
      <c r="IE37" s="307"/>
      <c r="IF37" s="307"/>
      <c r="IG37" s="307"/>
      <c r="IH37" s="307"/>
      <c r="II37" s="307"/>
      <c r="IJ37" s="307"/>
      <c r="IK37" s="307"/>
      <c r="IL37" s="307"/>
      <c r="IM37" s="307"/>
      <c r="IN37" s="307"/>
      <c r="IO37" s="307"/>
      <c r="IP37" s="307"/>
      <c r="IQ37" s="307"/>
      <c r="IR37" s="307"/>
      <c r="IS37" s="307"/>
      <c r="IT37" s="307"/>
      <c r="IU37" s="307"/>
    </row>
    <row r="38" spans="1:255" ht="15.5">
      <c r="A38" s="324"/>
      <c r="B38" s="307" t="s">
        <v>226</v>
      </c>
      <c r="C38" s="310"/>
      <c r="D38" s="320"/>
      <c r="E38" s="312"/>
      <c r="F38" s="320"/>
      <c r="G38" s="312">
        <f t="shared" ref="G38:G39" si="9">ROUND(+H38*(1+$I$6),2)</f>
        <v>-0.05</v>
      </c>
      <c r="H38" s="321">
        <v>0.01</v>
      </c>
      <c r="I38" s="313">
        <f>-1+G38/H38</f>
        <v>-6</v>
      </c>
      <c r="J38" s="312">
        <f>ROUND(+K38*(1+$L$6),2)</f>
        <v>-0.09</v>
      </c>
      <c r="K38" s="312">
        <v>0.01</v>
      </c>
      <c r="L38" s="313">
        <f>-1+J38/K38</f>
        <v>-10</v>
      </c>
      <c r="M38" s="307"/>
      <c r="N38" s="307"/>
      <c r="O38" s="307"/>
      <c r="P38" s="307"/>
      <c r="Q38" s="307"/>
      <c r="R38" s="308"/>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7"/>
      <c r="BS38" s="307"/>
      <c r="BT38" s="307"/>
      <c r="BU38" s="307"/>
      <c r="BV38" s="307"/>
      <c r="BW38" s="307"/>
      <c r="BX38" s="307"/>
      <c r="BY38" s="307"/>
      <c r="BZ38" s="307"/>
      <c r="CA38" s="307"/>
      <c r="CB38" s="307"/>
      <c r="CC38" s="307"/>
      <c r="CD38" s="307"/>
      <c r="CE38" s="307"/>
      <c r="CF38" s="307"/>
      <c r="CG38" s="307"/>
      <c r="CH38" s="307"/>
      <c r="CI38" s="307"/>
      <c r="CJ38" s="307"/>
      <c r="CK38" s="307"/>
      <c r="CL38" s="307"/>
      <c r="CM38" s="307"/>
      <c r="CN38" s="307"/>
      <c r="CO38" s="307"/>
      <c r="CP38" s="307"/>
      <c r="CQ38" s="307"/>
      <c r="CR38" s="307"/>
      <c r="CS38" s="307"/>
      <c r="CT38" s="307"/>
      <c r="CU38" s="307"/>
      <c r="CV38" s="307"/>
      <c r="CW38" s="307"/>
      <c r="CX38" s="307"/>
      <c r="CY38" s="307"/>
      <c r="CZ38" s="307"/>
      <c r="DA38" s="307"/>
      <c r="DB38" s="307"/>
      <c r="DC38" s="307"/>
      <c r="DD38" s="307"/>
      <c r="DE38" s="307"/>
      <c r="DF38" s="307"/>
      <c r="DG38" s="307"/>
      <c r="DH38" s="307"/>
      <c r="DI38" s="307"/>
      <c r="DJ38" s="307"/>
      <c r="DK38" s="307"/>
      <c r="DL38" s="307"/>
      <c r="DM38" s="307"/>
      <c r="DN38" s="307"/>
      <c r="DO38" s="307"/>
      <c r="DP38" s="307"/>
      <c r="DQ38" s="307"/>
      <c r="DR38" s="307"/>
      <c r="DS38" s="307"/>
      <c r="DT38" s="307"/>
      <c r="DU38" s="307"/>
      <c r="DV38" s="307"/>
      <c r="DW38" s="307"/>
      <c r="DX38" s="307"/>
      <c r="DY38" s="307"/>
      <c r="DZ38" s="307"/>
      <c r="EA38" s="307"/>
      <c r="EB38" s="307"/>
      <c r="EC38" s="307"/>
      <c r="ED38" s="307"/>
      <c r="EE38" s="307"/>
      <c r="EF38" s="307"/>
      <c r="EG38" s="307"/>
      <c r="EH38" s="307"/>
      <c r="EI38" s="307"/>
      <c r="EJ38" s="307"/>
      <c r="EK38" s="307"/>
      <c r="EL38" s="307"/>
      <c r="EM38" s="307"/>
      <c r="EN38" s="307"/>
      <c r="EO38" s="307"/>
      <c r="EP38" s="307"/>
      <c r="EQ38" s="307"/>
      <c r="ER38" s="307"/>
      <c r="ES38" s="307"/>
      <c r="ET38" s="307"/>
      <c r="EU38" s="307"/>
      <c r="EV38" s="307"/>
      <c r="EW38" s="307"/>
      <c r="EX38" s="307"/>
      <c r="EY38" s="307"/>
      <c r="EZ38" s="307"/>
      <c r="FA38" s="307"/>
      <c r="FB38" s="307"/>
      <c r="FC38" s="307"/>
      <c r="FD38" s="307"/>
      <c r="FE38" s="307"/>
      <c r="FF38" s="307"/>
      <c r="FG38" s="307"/>
      <c r="FH38" s="307"/>
      <c r="FI38" s="307"/>
      <c r="FJ38" s="307"/>
      <c r="FK38" s="307"/>
      <c r="FL38" s="307"/>
      <c r="FM38" s="307"/>
      <c r="FN38" s="307"/>
      <c r="FO38" s="307"/>
      <c r="FP38" s="307"/>
      <c r="FQ38" s="307"/>
      <c r="FR38" s="307"/>
      <c r="FS38" s="307"/>
      <c r="FT38" s="307"/>
      <c r="FU38" s="307"/>
      <c r="FV38" s="307"/>
      <c r="FW38" s="307"/>
      <c r="FX38" s="307"/>
      <c r="FY38" s="307"/>
      <c r="FZ38" s="307"/>
      <c r="GA38" s="307"/>
      <c r="GB38" s="307"/>
      <c r="GC38" s="307"/>
      <c r="GD38" s="307"/>
      <c r="GE38" s="307"/>
      <c r="GF38" s="307"/>
      <c r="GG38" s="307"/>
      <c r="GH38" s="307"/>
      <c r="GI38" s="307"/>
      <c r="GJ38" s="307"/>
      <c r="GK38" s="307"/>
      <c r="GL38" s="307"/>
      <c r="GM38" s="307"/>
      <c r="GN38" s="307"/>
      <c r="GO38" s="307"/>
      <c r="GP38" s="307"/>
      <c r="GQ38" s="307"/>
      <c r="GR38" s="307"/>
      <c r="GS38" s="307"/>
      <c r="GT38" s="307"/>
      <c r="GU38" s="307"/>
      <c r="GV38" s="307"/>
      <c r="GW38" s="307"/>
      <c r="GX38" s="307"/>
      <c r="GY38" s="307"/>
      <c r="GZ38" s="307"/>
      <c r="HA38" s="307"/>
      <c r="HB38" s="307"/>
      <c r="HC38" s="307"/>
      <c r="HD38" s="307"/>
      <c r="HE38" s="307"/>
      <c r="HF38" s="307"/>
      <c r="HG38" s="307"/>
      <c r="HH38" s="307"/>
      <c r="HI38" s="307"/>
      <c r="HJ38" s="307"/>
      <c r="HK38" s="307"/>
      <c r="HL38" s="307"/>
      <c r="HM38" s="307"/>
      <c r="HN38" s="307"/>
      <c r="HO38" s="307"/>
      <c r="HP38" s="307"/>
      <c r="HQ38" s="307"/>
      <c r="HR38" s="307"/>
      <c r="HS38" s="307"/>
      <c r="HT38" s="307"/>
      <c r="HU38" s="307"/>
      <c r="HV38" s="307"/>
      <c r="HW38" s="307"/>
      <c r="HX38" s="307"/>
      <c r="HY38" s="307"/>
      <c r="HZ38" s="307"/>
      <c r="IA38" s="307"/>
      <c r="IB38" s="307"/>
      <c r="IC38" s="307"/>
      <c r="ID38" s="307"/>
      <c r="IE38" s="307"/>
      <c r="IF38" s="307"/>
      <c r="IG38" s="307"/>
      <c r="IH38" s="307"/>
      <c r="II38" s="307"/>
      <c r="IJ38" s="307"/>
      <c r="IK38" s="307"/>
      <c r="IL38" s="307"/>
      <c r="IM38" s="307"/>
      <c r="IN38" s="307"/>
      <c r="IO38" s="307"/>
      <c r="IP38" s="307"/>
      <c r="IQ38" s="307"/>
      <c r="IR38" s="307"/>
      <c r="IS38" s="307"/>
      <c r="IT38" s="307"/>
      <c r="IU38" s="307"/>
    </row>
    <row r="39" spans="1:255" ht="15.5">
      <c r="A39" s="324"/>
      <c r="B39" s="307" t="s">
        <v>227</v>
      </c>
      <c r="C39" s="310"/>
      <c r="D39" s="320"/>
      <c r="E39" s="312"/>
      <c r="F39" s="320"/>
      <c r="G39" s="312">
        <f t="shared" si="9"/>
        <v>-0.05</v>
      </c>
      <c r="H39" s="321">
        <v>0.01</v>
      </c>
      <c r="I39" s="313">
        <f>-1+G39/H39</f>
        <v>-6</v>
      </c>
      <c r="J39" s="312">
        <f>ROUND(+K39*(1+$L$6),2)</f>
        <v>-0.09</v>
      </c>
      <c r="K39" s="312">
        <v>0.01</v>
      </c>
      <c r="L39" s="313">
        <f>-1+J39/K39</f>
        <v>-10</v>
      </c>
      <c r="M39" s="307"/>
      <c r="N39" s="307"/>
      <c r="O39" s="307"/>
      <c r="P39" s="307"/>
      <c r="Q39" s="307"/>
      <c r="R39" s="308"/>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7"/>
      <c r="BW39" s="307"/>
      <c r="BX39" s="307"/>
      <c r="BY39" s="307"/>
      <c r="BZ39" s="307"/>
      <c r="CA39" s="307"/>
      <c r="CB39" s="307"/>
      <c r="CC39" s="307"/>
      <c r="CD39" s="307"/>
      <c r="CE39" s="307"/>
      <c r="CF39" s="307"/>
      <c r="CG39" s="307"/>
      <c r="CH39" s="307"/>
      <c r="CI39" s="307"/>
      <c r="CJ39" s="307"/>
      <c r="CK39" s="307"/>
      <c r="CL39" s="307"/>
      <c r="CM39" s="307"/>
      <c r="CN39" s="307"/>
      <c r="CO39" s="307"/>
      <c r="CP39" s="307"/>
      <c r="CQ39" s="307"/>
      <c r="CR39" s="307"/>
      <c r="CS39" s="307"/>
      <c r="CT39" s="307"/>
      <c r="CU39" s="307"/>
      <c r="CV39" s="307"/>
      <c r="CW39" s="307"/>
      <c r="CX39" s="307"/>
      <c r="CY39" s="307"/>
      <c r="CZ39" s="307"/>
      <c r="DA39" s="307"/>
      <c r="DB39" s="307"/>
      <c r="DC39" s="307"/>
      <c r="DD39" s="307"/>
      <c r="DE39" s="307"/>
      <c r="DF39" s="307"/>
      <c r="DG39" s="307"/>
      <c r="DH39" s="307"/>
      <c r="DI39" s="307"/>
      <c r="DJ39" s="307"/>
      <c r="DK39" s="307"/>
      <c r="DL39" s="307"/>
      <c r="DM39" s="307"/>
      <c r="DN39" s="307"/>
      <c r="DO39" s="307"/>
      <c r="DP39" s="307"/>
      <c r="DQ39" s="307"/>
      <c r="DR39" s="307"/>
      <c r="DS39" s="307"/>
      <c r="DT39" s="307"/>
      <c r="DU39" s="307"/>
      <c r="DV39" s="307"/>
      <c r="DW39" s="307"/>
      <c r="DX39" s="307"/>
      <c r="DY39" s="307"/>
      <c r="DZ39" s="307"/>
      <c r="EA39" s="307"/>
      <c r="EB39" s="307"/>
      <c r="EC39" s="307"/>
      <c r="ED39" s="307"/>
      <c r="EE39" s="307"/>
      <c r="EF39" s="307"/>
      <c r="EG39" s="307"/>
      <c r="EH39" s="307"/>
      <c r="EI39" s="307"/>
      <c r="EJ39" s="307"/>
      <c r="EK39" s="307"/>
      <c r="EL39" s="307"/>
      <c r="EM39" s="307"/>
      <c r="EN39" s="307"/>
      <c r="EO39" s="307"/>
      <c r="EP39" s="307"/>
      <c r="EQ39" s="307"/>
      <c r="ER39" s="307"/>
      <c r="ES39" s="307"/>
      <c r="ET39" s="307"/>
      <c r="EU39" s="307"/>
      <c r="EV39" s="307"/>
      <c r="EW39" s="307"/>
      <c r="EX39" s="307"/>
      <c r="EY39" s="307"/>
      <c r="EZ39" s="307"/>
      <c r="FA39" s="307"/>
      <c r="FB39" s="307"/>
      <c r="FC39" s="307"/>
      <c r="FD39" s="307"/>
      <c r="FE39" s="307"/>
      <c r="FF39" s="307"/>
      <c r="FG39" s="307"/>
      <c r="FH39" s="307"/>
      <c r="FI39" s="307"/>
      <c r="FJ39" s="307"/>
      <c r="FK39" s="307"/>
      <c r="FL39" s="307"/>
      <c r="FM39" s="307"/>
      <c r="FN39" s="307"/>
      <c r="FO39" s="307"/>
      <c r="FP39" s="307"/>
      <c r="FQ39" s="307"/>
      <c r="FR39" s="307"/>
      <c r="FS39" s="307"/>
      <c r="FT39" s="307"/>
      <c r="FU39" s="307"/>
      <c r="FV39" s="307"/>
      <c r="FW39" s="307"/>
      <c r="FX39" s="307"/>
      <c r="FY39" s="307"/>
      <c r="FZ39" s="307"/>
      <c r="GA39" s="307"/>
      <c r="GB39" s="307"/>
      <c r="GC39" s="307"/>
      <c r="GD39" s="307"/>
      <c r="GE39" s="307"/>
      <c r="GF39" s="307"/>
      <c r="GG39" s="307"/>
      <c r="GH39" s="307"/>
      <c r="GI39" s="307"/>
      <c r="GJ39" s="307"/>
      <c r="GK39" s="307"/>
      <c r="GL39" s="307"/>
      <c r="GM39" s="307"/>
      <c r="GN39" s="307"/>
      <c r="GO39" s="307"/>
      <c r="GP39" s="307"/>
      <c r="GQ39" s="307"/>
      <c r="GR39" s="307"/>
      <c r="GS39" s="307"/>
      <c r="GT39" s="307"/>
      <c r="GU39" s="307"/>
      <c r="GV39" s="307"/>
      <c r="GW39" s="307"/>
      <c r="GX39" s="307"/>
      <c r="GY39" s="307"/>
      <c r="GZ39" s="307"/>
      <c r="HA39" s="307"/>
      <c r="HB39" s="307"/>
      <c r="HC39" s="307"/>
      <c r="HD39" s="307"/>
      <c r="HE39" s="307"/>
      <c r="HF39" s="307"/>
      <c r="HG39" s="307"/>
      <c r="HH39" s="307"/>
      <c r="HI39" s="307"/>
      <c r="HJ39" s="307"/>
      <c r="HK39" s="307"/>
      <c r="HL39" s="307"/>
      <c r="HM39" s="307"/>
      <c r="HN39" s="307"/>
      <c r="HO39" s="307"/>
      <c r="HP39" s="307"/>
      <c r="HQ39" s="307"/>
      <c r="HR39" s="307"/>
      <c r="HS39" s="307"/>
      <c r="HT39" s="307"/>
      <c r="HU39" s="307"/>
      <c r="HV39" s="307"/>
      <c r="HW39" s="307"/>
      <c r="HX39" s="307"/>
      <c r="HY39" s="307"/>
      <c r="HZ39" s="307"/>
      <c r="IA39" s="307"/>
      <c r="IB39" s="307"/>
      <c r="IC39" s="307"/>
      <c r="ID39" s="307"/>
      <c r="IE39" s="307"/>
      <c r="IF39" s="307"/>
      <c r="IG39" s="307"/>
      <c r="IH39" s="307"/>
      <c r="II39" s="307"/>
      <c r="IJ39" s="307"/>
      <c r="IK39" s="307"/>
      <c r="IL39" s="307"/>
      <c r="IM39" s="307"/>
      <c r="IN39" s="307"/>
      <c r="IO39" s="307"/>
      <c r="IP39" s="307"/>
      <c r="IQ39" s="307"/>
      <c r="IR39" s="307"/>
      <c r="IS39" s="307"/>
      <c r="IT39" s="307"/>
      <c r="IU39" s="307"/>
    </row>
    <row r="40" spans="1:255" ht="15.5">
      <c r="A40" s="324"/>
      <c r="B40" s="307"/>
      <c r="C40" s="310"/>
      <c r="D40" s="320"/>
      <c r="E40" s="312"/>
      <c r="F40" s="320"/>
      <c r="G40" s="312"/>
      <c r="H40" s="312"/>
      <c r="I40" s="313"/>
      <c r="J40" s="312"/>
      <c r="K40" s="328"/>
      <c r="L40" s="313"/>
      <c r="M40" s="307"/>
      <c r="N40" s="307"/>
      <c r="O40" s="307"/>
      <c r="P40" s="307"/>
      <c r="Q40" s="307"/>
      <c r="R40" s="308"/>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307"/>
      <c r="BS40" s="307"/>
      <c r="BT40" s="307"/>
      <c r="BU40" s="307"/>
      <c r="BV40" s="307"/>
      <c r="BW40" s="307"/>
      <c r="BX40" s="307"/>
      <c r="BY40" s="307"/>
      <c r="BZ40" s="307"/>
      <c r="CA40" s="307"/>
      <c r="CB40" s="307"/>
      <c r="CC40" s="307"/>
      <c r="CD40" s="307"/>
      <c r="CE40" s="307"/>
      <c r="CF40" s="307"/>
      <c r="CG40" s="307"/>
      <c r="CH40" s="307"/>
      <c r="CI40" s="307"/>
      <c r="CJ40" s="307"/>
      <c r="CK40" s="307"/>
      <c r="CL40" s="307"/>
      <c r="CM40" s="307"/>
      <c r="CN40" s="307"/>
      <c r="CO40" s="307"/>
      <c r="CP40" s="307"/>
      <c r="CQ40" s="307"/>
      <c r="CR40" s="307"/>
      <c r="CS40" s="307"/>
      <c r="CT40" s="307"/>
      <c r="CU40" s="307"/>
      <c r="CV40" s="307"/>
      <c r="CW40" s="307"/>
      <c r="CX40" s="307"/>
      <c r="CY40" s="307"/>
      <c r="CZ40" s="307"/>
      <c r="DA40" s="307"/>
      <c r="DB40" s="307"/>
      <c r="DC40" s="307"/>
      <c r="DD40" s="307"/>
      <c r="DE40" s="307"/>
      <c r="DF40" s="307"/>
      <c r="DG40" s="307"/>
      <c r="DH40" s="307"/>
      <c r="DI40" s="307"/>
      <c r="DJ40" s="307"/>
      <c r="DK40" s="307"/>
      <c r="DL40" s="307"/>
      <c r="DM40" s="307"/>
      <c r="DN40" s="307"/>
      <c r="DO40" s="307"/>
      <c r="DP40" s="307"/>
      <c r="DQ40" s="307"/>
      <c r="DR40" s="307"/>
      <c r="DS40" s="307"/>
      <c r="DT40" s="307"/>
      <c r="DU40" s="307"/>
      <c r="DV40" s="307"/>
      <c r="DW40" s="307"/>
      <c r="DX40" s="307"/>
      <c r="DY40" s="307"/>
      <c r="DZ40" s="307"/>
      <c r="EA40" s="307"/>
      <c r="EB40" s="307"/>
      <c r="EC40" s="307"/>
      <c r="ED40" s="307"/>
      <c r="EE40" s="307"/>
      <c r="EF40" s="307"/>
      <c r="EG40" s="307"/>
      <c r="EH40" s="307"/>
      <c r="EI40" s="307"/>
      <c r="EJ40" s="307"/>
      <c r="EK40" s="307"/>
      <c r="EL40" s="307"/>
      <c r="EM40" s="307"/>
      <c r="EN40" s="307"/>
      <c r="EO40" s="307"/>
      <c r="EP40" s="307"/>
      <c r="EQ40" s="307"/>
      <c r="ER40" s="307"/>
      <c r="ES40" s="307"/>
      <c r="ET40" s="307"/>
      <c r="EU40" s="307"/>
      <c r="EV40" s="307"/>
      <c r="EW40" s="307"/>
      <c r="EX40" s="307"/>
      <c r="EY40" s="307"/>
      <c r="EZ40" s="307"/>
      <c r="FA40" s="307"/>
      <c r="FB40" s="307"/>
      <c r="FC40" s="307"/>
      <c r="FD40" s="307"/>
      <c r="FE40" s="307"/>
      <c r="FF40" s="307"/>
      <c r="FG40" s="307"/>
      <c r="FH40" s="307"/>
      <c r="FI40" s="307"/>
      <c r="FJ40" s="307"/>
      <c r="FK40" s="307"/>
      <c r="FL40" s="307"/>
      <c r="FM40" s="307"/>
      <c r="FN40" s="307"/>
      <c r="FO40" s="307"/>
      <c r="FP40" s="307"/>
      <c r="FQ40" s="307"/>
      <c r="FR40" s="307"/>
      <c r="FS40" s="307"/>
      <c r="FT40" s="307"/>
      <c r="FU40" s="307"/>
      <c r="FV40" s="307"/>
      <c r="FW40" s="307"/>
      <c r="FX40" s="307"/>
      <c r="FY40" s="307"/>
      <c r="FZ40" s="307"/>
      <c r="GA40" s="307"/>
      <c r="GB40" s="307"/>
      <c r="GC40" s="307"/>
      <c r="GD40" s="307"/>
      <c r="GE40" s="307"/>
      <c r="GF40" s="307"/>
      <c r="GG40" s="307"/>
      <c r="GH40" s="307"/>
      <c r="GI40" s="307"/>
      <c r="GJ40" s="307"/>
      <c r="GK40" s="307"/>
      <c r="GL40" s="307"/>
      <c r="GM40" s="307"/>
      <c r="GN40" s="307"/>
      <c r="GO40" s="307"/>
      <c r="GP40" s="307"/>
      <c r="GQ40" s="307"/>
      <c r="GR40" s="307"/>
      <c r="GS40" s="307"/>
      <c r="GT40" s="307"/>
      <c r="GU40" s="307"/>
      <c r="GV40" s="307"/>
      <c r="GW40" s="307"/>
      <c r="GX40" s="307"/>
      <c r="GY40" s="307"/>
      <c r="GZ40" s="307"/>
      <c r="HA40" s="307"/>
      <c r="HB40" s="307"/>
      <c r="HC40" s="307"/>
      <c r="HD40" s="307"/>
      <c r="HE40" s="307"/>
      <c r="HF40" s="307"/>
      <c r="HG40" s="307"/>
      <c r="HH40" s="307"/>
      <c r="HI40" s="307"/>
      <c r="HJ40" s="307"/>
      <c r="HK40" s="307"/>
      <c r="HL40" s="307"/>
      <c r="HM40" s="307"/>
      <c r="HN40" s="307"/>
      <c r="HO40" s="307"/>
      <c r="HP40" s="307"/>
      <c r="HQ40" s="307"/>
      <c r="HR40" s="307"/>
      <c r="HS40" s="307"/>
      <c r="HT40" s="307"/>
      <c r="HU40" s="307"/>
      <c r="HV40" s="307"/>
      <c r="HW40" s="307"/>
      <c r="HX40" s="307"/>
      <c r="HY40" s="307"/>
      <c r="HZ40" s="307"/>
      <c r="IA40" s="307"/>
      <c r="IB40" s="307"/>
      <c r="IC40" s="307"/>
      <c r="ID40" s="307"/>
      <c r="IE40" s="307"/>
      <c r="IF40" s="307"/>
      <c r="IG40" s="307"/>
      <c r="IH40" s="307"/>
      <c r="II40" s="307"/>
      <c r="IJ40" s="307"/>
      <c r="IK40" s="307"/>
      <c r="IL40" s="307"/>
      <c r="IM40" s="307"/>
      <c r="IN40" s="307"/>
      <c r="IO40" s="307"/>
      <c r="IP40" s="307"/>
      <c r="IQ40" s="307"/>
      <c r="IR40" s="307"/>
      <c r="IS40" s="307"/>
      <c r="IT40" s="307"/>
      <c r="IU40" s="307"/>
    </row>
    <row r="41" spans="1:255" ht="15.5">
      <c r="A41" s="324"/>
      <c r="B41" s="307" t="s">
        <v>215</v>
      </c>
      <c r="C41" s="310"/>
      <c r="D41" s="312">
        <f t="shared" ref="D41" si="10">+ROUND(E41*(1+$F$6),3)</f>
        <v>-0.13400000000000001</v>
      </c>
      <c r="E41" s="321">
        <v>3.1E-2</v>
      </c>
      <c r="F41" s="313">
        <f t="shared" ref="F41:F49" si="11">-1+D41/E41</f>
        <v>-5.3225806451612909</v>
      </c>
      <c r="G41" s="312"/>
      <c r="H41" s="312"/>
      <c r="I41" s="313"/>
      <c r="J41" s="312"/>
      <c r="K41" s="328"/>
      <c r="L41" s="313"/>
      <c r="M41" s="307"/>
      <c r="N41" s="307"/>
      <c r="O41" s="307"/>
      <c r="P41" s="307"/>
      <c r="Q41" s="307"/>
      <c r="R41" s="308"/>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7"/>
      <c r="BQ41" s="307"/>
      <c r="BR41" s="307"/>
      <c r="BS41" s="307"/>
      <c r="BT41" s="307"/>
      <c r="BU41" s="307"/>
      <c r="BV41" s="307"/>
      <c r="BW41" s="307"/>
      <c r="BX41" s="307"/>
      <c r="BY41" s="307"/>
      <c r="BZ41" s="307"/>
      <c r="CA41" s="307"/>
      <c r="CB41" s="307"/>
      <c r="CC41" s="307"/>
      <c r="CD41" s="307"/>
      <c r="CE41" s="307"/>
      <c r="CF41" s="307"/>
      <c r="CG41" s="307"/>
      <c r="CH41" s="307"/>
      <c r="CI41" s="307"/>
      <c r="CJ41" s="307"/>
      <c r="CK41" s="307"/>
      <c r="CL41" s="307"/>
      <c r="CM41" s="307"/>
      <c r="CN41" s="307"/>
      <c r="CO41" s="307"/>
      <c r="CP41" s="307"/>
      <c r="CQ41" s="307"/>
      <c r="CR41" s="307"/>
      <c r="CS41" s="307"/>
      <c r="CT41" s="307"/>
      <c r="CU41" s="307"/>
      <c r="CV41" s="307"/>
      <c r="CW41" s="307"/>
      <c r="CX41" s="307"/>
      <c r="CY41" s="307"/>
      <c r="CZ41" s="307"/>
      <c r="DA41" s="307"/>
      <c r="DB41" s="307"/>
      <c r="DC41" s="307"/>
      <c r="DD41" s="307"/>
      <c r="DE41" s="307"/>
      <c r="DF41" s="307"/>
      <c r="DG41" s="307"/>
      <c r="DH41" s="307"/>
      <c r="DI41" s="307"/>
      <c r="DJ41" s="307"/>
      <c r="DK41" s="307"/>
      <c r="DL41" s="307"/>
      <c r="DM41" s="307"/>
      <c r="DN41" s="307"/>
      <c r="DO41" s="307"/>
      <c r="DP41" s="307"/>
      <c r="DQ41" s="307"/>
      <c r="DR41" s="307"/>
      <c r="DS41" s="307"/>
      <c r="DT41" s="307"/>
      <c r="DU41" s="307"/>
      <c r="DV41" s="307"/>
      <c r="DW41" s="307"/>
      <c r="DX41" s="307"/>
      <c r="DY41" s="307"/>
      <c r="DZ41" s="307"/>
      <c r="EA41" s="307"/>
      <c r="EB41" s="307"/>
      <c r="EC41" s="307"/>
      <c r="ED41" s="307"/>
      <c r="EE41" s="307"/>
      <c r="EF41" s="307"/>
      <c r="EG41" s="307"/>
      <c r="EH41" s="307"/>
      <c r="EI41" s="307"/>
      <c r="EJ41" s="307"/>
      <c r="EK41" s="307"/>
      <c r="EL41" s="307"/>
      <c r="EM41" s="307"/>
      <c r="EN41" s="307"/>
      <c r="EO41" s="307"/>
      <c r="EP41" s="307"/>
      <c r="EQ41" s="307"/>
      <c r="ER41" s="307"/>
      <c r="ES41" s="307"/>
      <c r="ET41" s="307"/>
      <c r="EU41" s="307"/>
      <c r="EV41" s="307"/>
      <c r="EW41" s="307"/>
      <c r="EX41" s="307"/>
      <c r="EY41" s="307"/>
      <c r="EZ41" s="307"/>
      <c r="FA41" s="307"/>
      <c r="FB41" s="307"/>
      <c r="FC41" s="307"/>
      <c r="FD41" s="307"/>
      <c r="FE41" s="307"/>
      <c r="FF41" s="307"/>
      <c r="FG41" s="307"/>
      <c r="FH41" s="307"/>
      <c r="FI41" s="307"/>
      <c r="FJ41" s="307"/>
      <c r="FK41" s="307"/>
      <c r="FL41" s="307"/>
      <c r="FM41" s="307"/>
      <c r="FN41" s="307"/>
      <c r="FO41" s="307"/>
      <c r="FP41" s="307"/>
      <c r="FQ41" s="307"/>
      <c r="FR41" s="307"/>
      <c r="FS41" s="307"/>
      <c r="FT41" s="307"/>
      <c r="FU41" s="307"/>
      <c r="FV41" s="307"/>
      <c r="FW41" s="307"/>
      <c r="FX41" s="307"/>
      <c r="FY41" s="307"/>
      <c r="FZ41" s="307"/>
      <c r="GA41" s="307"/>
      <c r="GB41" s="307"/>
      <c r="GC41" s="307"/>
      <c r="GD41" s="307"/>
      <c r="GE41" s="307"/>
      <c r="GF41" s="307"/>
      <c r="GG41" s="307"/>
      <c r="GH41" s="307"/>
      <c r="GI41" s="307"/>
      <c r="GJ41" s="307"/>
      <c r="GK41" s="307"/>
      <c r="GL41" s="307"/>
      <c r="GM41" s="307"/>
      <c r="GN41" s="307"/>
      <c r="GO41" s="307"/>
      <c r="GP41" s="307"/>
      <c r="GQ41" s="307"/>
      <c r="GR41" s="307"/>
      <c r="GS41" s="307"/>
      <c r="GT41" s="307"/>
      <c r="GU41" s="307"/>
      <c r="GV41" s="307"/>
      <c r="GW41" s="307"/>
      <c r="GX41" s="307"/>
      <c r="GY41" s="307"/>
      <c r="GZ41" s="307"/>
      <c r="HA41" s="307"/>
      <c r="HB41" s="307"/>
      <c r="HC41" s="307"/>
      <c r="HD41" s="307"/>
      <c r="HE41" s="307"/>
      <c r="HF41" s="307"/>
      <c r="HG41" s="307"/>
      <c r="HH41" s="307"/>
      <c r="HI41" s="307"/>
      <c r="HJ41" s="307"/>
      <c r="HK41" s="307"/>
      <c r="HL41" s="307"/>
      <c r="HM41" s="307"/>
      <c r="HN41" s="307"/>
      <c r="HO41" s="307"/>
      <c r="HP41" s="307"/>
      <c r="HQ41" s="307"/>
      <c r="HR41" s="307"/>
      <c r="HS41" s="307"/>
      <c r="HT41" s="307"/>
      <c r="HU41" s="307"/>
      <c r="HV41" s="307"/>
      <c r="HW41" s="307"/>
      <c r="HX41" s="307"/>
      <c r="HY41" s="307"/>
      <c r="HZ41" s="307"/>
      <c r="IA41" s="307"/>
      <c r="IB41" s="307"/>
      <c r="IC41" s="307"/>
      <c r="ID41" s="307"/>
      <c r="IE41" s="307"/>
      <c r="IF41" s="307"/>
      <c r="IG41" s="307"/>
      <c r="IH41" s="307"/>
      <c r="II41" s="307"/>
      <c r="IJ41" s="307"/>
      <c r="IK41" s="307"/>
      <c r="IL41" s="307"/>
      <c r="IM41" s="307"/>
      <c r="IN41" s="307"/>
      <c r="IO41" s="307"/>
      <c r="IP41" s="307"/>
      <c r="IQ41" s="307"/>
      <c r="IR41" s="307"/>
      <c r="IS41" s="307"/>
      <c r="IT41" s="307"/>
      <c r="IU41" s="307"/>
    </row>
    <row r="42" spans="1:255" ht="15.5">
      <c r="A42" s="324"/>
      <c r="B42" s="307" t="s">
        <v>216</v>
      </c>
      <c r="C42" s="310"/>
      <c r="D42" s="327">
        <f t="shared" ref="D42:D49" si="12">ROUND(+E42+E42*F$6,3)</f>
        <v>-0.20799999999999999</v>
      </c>
      <c r="E42" s="321">
        <v>4.8000000000000001E-2</v>
      </c>
      <c r="F42" s="313">
        <f t="shared" si="11"/>
        <v>-5.333333333333333</v>
      </c>
      <c r="G42" s="312"/>
      <c r="H42" s="312"/>
      <c r="I42" s="313"/>
      <c r="J42" s="312"/>
      <c r="K42" s="328"/>
      <c r="L42" s="313"/>
      <c r="M42" s="307"/>
      <c r="N42" s="307"/>
      <c r="O42" s="307"/>
      <c r="P42" s="307"/>
      <c r="Q42" s="307"/>
      <c r="R42" s="308"/>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7"/>
      <c r="BQ42" s="307"/>
      <c r="BR42" s="307"/>
      <c r="BS42" s="307"/>
      <c r="BT42" s="307"/>
      <c r="BU42" s="307"/>
      <c r="BV42" s="307"/>
      <c r="BW42" s="307"/>
      <c r="BX42" s="307"/>
      <c r="BY42" s="307"/>
      <c r="BZ42" s="307"/>
      <c r="CA42" s="307"/>
      <c r="CB42" s="307"/>
      <c r="CC42" s="307"/>
      <c r="CD42" s="307"/>
      <c r="CE42" s="307"/>
      <c r="CF42" s="307"/>
      <c r="CG42" s="307"/>
      <c r="CH42" s="307"/>
      <c r="CI42" s="307"/>
      <c r="CJ42" s="307"/>
      <c r="CK42" s="307"/>
      <c r="CL42" s="307"/>
      <c r="CM42" s="307"/>
      <c r="CN42" s="307"/>
      <c r="CO42" s="307"/>
      <c r="CP42" s="307"/>
      <c r="CQ42" s="307"/>
      <c r="CR42" s="307"/>
      <c r="CS42" s="307"/>
      <c r="CT42" s="307"/>
      <c r="CU42" s="307"/>
      <c r="CV42" s="307"/>
      <c r="CW42" s="307"/>
      <c r="CX42" s="307"/>
      <c r="CY42" s="307"/>
      <c r="CZ42" s="307"/>
      <c r="DA42" s="307"/>
      <c r="DB42" s="307"/>
      <c r="DC42" s="307"/>
      <c r="DD42" s="307"/>
      <c r="DE42" s="307"/>
      <c r="DF42" s="307"/>
      <c r="DG42" s="307"/>
      <c r="DH42" s="307"/>
      <c r="DI42" s="307"/>
      <c r="DJ42" s="307"/>
      <c r="DK42" s="307"/>
      <c r="DL42" s="307"/>
      <c r="DM42" s="307"/>
      <c r="DN42" s="307"/>
      <c r="DO42" s="307"/>
      <c r="DP42" s="307"/>
      <c r="DQ42" s="307"/>
      <c r="DR42" s="307"/>
      <c r="DS42" s="307"/>
      <c r="DT42" s="307"/>
      <c r="DU42" s="307"/>
      <c r="DV42" s="307"/>
      <c r="DW42" s="307"/>
      <c r="DX42" s="307"/>
      <c r="DY42" s="307"/>
      <c r="DZ42" s="307"/>
      <c r="EA42" s="307"/>
      <c r="EB42" s="307"/>
      <c r="EC42" s="307"/>
      <c r="ED42" s="307"/>
      <c r="EE42" s="307"/>
      <c r="EF42" s="307"/>
      <c r="EG42" s="307"/>
      <c r="EH42" s="307"/>
      <c r="EI42" s="307"/>
      <c r="EJ42" s="307"/>
      <c r="EK42" s="307"/>
      <c r="EL42" s="307"/>
      <c r="EM42" s="307"/>
      <c r="EN42" s="307"/>
      <c r="EO42" s="307"/>
      <c r="EP42" s="307"/>
      <c r="EQ42" s="307"/>
      <c r="ER42" s="307"/>
      <c r="ES42" s="307"/>
      <c r="ET42" s="307"/>
      <c r="EU42" s="307"/>
      <c r="EV42" s="307"/>
      <c r="EW42" s="307"/>
      <c r="EX42" s="307"/>
      <c r="EY42" s="307"/>
      <c r="EZ42" s="307"/>
      <c r="FA42" s="307"/>
      <c r="FB42" s="307"/>
      <c r="FC42" s="307"/>
      <c r="FD42" s="307"/>
      <c r="FE42" s="307"/>
      <c r="FF42" s="307"/>
      <c r="FG42" s="307"/>
      <c r="FH42" s="307"/>
      <c r="FI42" s="307"/>
      <c r="FJ42" s="307"/>
      <c r="FK42" s="307"/>
      <c r="FL42" s="307"/>
      <c r="FM42" s="307"/>
      <c r="FN42" s="307"/>
      <c r="FO42" s="307"/>
      <c r="FP42" s="307"/>
      <c r="FQ42" s="307"/>
      <c r="FR42" s="307"/>
      <c r="FS42" s="307"/>
      <c r="FT42" s="307"/>
      <c r="FU42" s="307"/>
      <c r="FV42" s="307"/>
      <c r="FW42" s="307"/>
      <c r="FX42" s="307"/>
      <c r="FY42" s="307"/>
      <c r="FZ42" s="307"/>
      <c r="GA42" s="307"/>
      <c r="GB42" s="307"/>
      <c r="GC42" s="307"/>
      <c r="GD42" s="307"/>
      <c r="GE42" s="307"/>
      <c r="GF42" s="307"/>
      <c r="GG42" s="307"/>
      <c r="GH42" s="307"/>
      <c r="GI42" s="307"/>
      <c r="GJ42" s="307"/>
      <c r="GK42" s="307"/>
      <c r="GL42" s="307"/>
      <c r="GM42" s="307"/>
      <c r="GN42" s="307"/>
      <c r="GO42" s="307"/>
      <c r="GP42" s="307"/>
      <c r="GQ42" s="307"/>
      <c r="GR42" s="307"/>
      <c r="GS42" s="307"/>
      <c r="GT42" s="307"/>
      <c r="GU42" s="307"/>
      <c r="GV42" s="307"/>
      <c r="GW42" s="307"/>
      <c r="GX42" s="307"/>
      <c r="GY42" s="307"/>
      <c r="GZ42" s="307"/>
      <c r="HA42" s="307"/>
      <c r="HB42" s="307"/>
      <c r="HC42" s="307"/>
      <c r="HD42" s="307"/>
      <c r="HE42" s="307"/>
      <c r="HF42" s="307"/>
      <c r="HG42" s="307"/>
      <c r="HH42" s="307"/>
      <c r="HI42" s="307"/>
      <c r="HJ42" s="307"/>
      <c r="HK42" s="307"/>
      <c r="HL42" s="307"/>
      <c r="HM42" s="307"/>
      <c r="HN42" s="307"/>
      <c r="HO42" s="307"/>
      <c r="HP42" s="307"/>
      <c r="HQ42" s="307"/>
      <c r="HR42" s="307"/>
      <c r="HS42" s="307"/>
      <c r="HT42" s="307"/>
      <c r="HU42" s="307"/>
      <c r="HV42" s="307"/>
      <c r="HW42" s="307"/>
      <c r="HX42" s="307"/>
      <c r="HY42" s="307"/>
      <c r="HZ42" s="307"/>
      <c r="IA42" s="307"/>
      <c r="IB42" s="307"/>
      <c r="IC42" s="307"/>
      <c r="ID42" s="307"/>
      <c r="IE42" s="307"/>
      <c r="IF42" s="307"/>
      <c r="IG42" s="307"/>
      <c r="IH42" s="307"/>
      <c r="II42" s="307"/>
      <c r="IJ42" s="307"/>
      <c r="IK42" s="307"/>
      <c r="IL42" s="307"/>
      <c r="IM42" s="307"/>
      <c r="IN42" s="307"/>
      <c r="IO42" s="307"/>
      <c r="IP42" s="307"/>
      <c r="IQ42" s="307"/>
      <c r="IR42" s="307"/>
      <c r="IS42" s="307"/>
      <c r="IT42" s="307"/>
      <c r="IU42" s="307"/>
    </row>
    <row r="43" spans="1:255" ht="15.5">
      <c r="A43" s="324"/>
      <c r="B43" s="307" t="s">
        <v>217</v>
      </c>
      <c r="C43" s="310"/>
      <c r="D43" s="327">
        <f t="shared" si="12"/>
        <v>-0.41099999999999998</v>
      </c>
      <c r="E43" s="321">
        <v>9.5000000000000001E-2</v>
      </c>
      <c r="F43" s="313">
        <f t="shared" si="11"/>
        <v>-5.3263157894736839</v>
      </c>
      <c r="G43" s="312"/>
      <c r="H43" s="312"/>
      <c r="I43" s="313"/>
      <c r="J43" s="312"/>
      <c r="K43" s="312"/>
      <c r="L43" s="313"/>
      <c r="M43" s="307"/>
      <c r="N43" s="307"/>
      <c r="O43" s="307"/>
      <c r="P43" s="307"/>
      <c r="Q43" s="307"/>
      <c r="R43" s="308"/>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7"/>
      <c r="BR43" s="307"/>
      <c r="BS43" s="307"/>
      <c r="BT43" s="307"/>
      <c r="BU43" s="307"/>
      <c r="BV43" s="307"/>
      <c r="BW43" s="307"/>
      <c r="BX43" s="307"/>
      <c r="BY43" s="307"/>
      <c r="BZ43" s="307"/>
      <c r="CA43" s="307"/>
      <c r="CB43" s="307"/>
      <c r="CC43" s="307"/>
      <c r="CD43" s="307"/>
      <c r="CE43" s="307"/>
      <c r="CF43" s="307"/>
      <c r="CG43" s="307"/>
      <c r="CH43" s="307"/>
      <c r="CI43" s="307"/>
      <c r="CJ43" s="307"/>
      <c r="CK43" s="307"/>
      <c r="CL43" s="307"/>
      <c r="CM43" s="307"/>
      <c r="CN43" s="307"/>
      <c r="CO43" s="307"/>
      <c r="CP43" s="307"/>
      <c r="CQ43" s="307"/>
      <c r="CR43" s="307"/>
      <c r="CS43" s="307"/>
      <c r="CT43" s="307"/>
      <c r="CU43" s="307"/>
      <c r="CV43" s="307"/>
      <c r="CW43" s="307"/>
      <c r="CX43" s="307"/>
      <c r="CY43" s="307"/>
      <c r="CZ43" s="307"/>
      <c r="DA43" s="307"/>
      <c r="DB43" s="307"/>
      <c r="DC43" s="307"/>
      <c r="DD43" s="307"/>
      <c r="DE43" s="307"/>
      <c r="DF43" s="307"/>
      <c r="DG43" s="307"/>
      <c r="DH43" s="307"/>
      <c r="DI43" s="307"/>
      <c r="DJ43" s="307"/>
      <c r="DK43" s="307"/>
      <c r="DL43" s="307"/>
      <c r="DM43" s="307"/>
      <c r="DN43" s="307"/>
      <c r="DO43" s="307"/>
      <c r="DP43" s="307"/>
      <c r="DQ43" s="307"/>
      <c r="DR43" s="307"/>
      <c r="DS43" s="307"/>
      <c r="DT43" s="307"/>
      <c r="DU43" s="307"/>
      <c r="DV43" s="307"/>
      <c r="DW43" s="307"/>
      <c r="DX43" s="307"/>
      <c r="DY43" s="307"/>
      <c r="DZ43" s="307"/>
      <c r="EA43" s="307"/>
      <c r="EB43" s="307"/>
      <c r="EC43" s="307"/>
      <c r="ED43" s="307"/>
      <c r="EE43" s="307"/>
      <c r="EF43" s="307"/>
      <c r="EG43" s="307"/>
      <c r="EH43" s="307"/>
      <c r="EI43" s="307"/>
      <c r="EJ43" s="307"/>
      <c r="EK43" s="307"/>
      <c r="EL43" s="307"/>
      <c r="EM43" s="307"/>
      <c r="EN43" s="307"/>
      <c r="EO43" s="307"/>
      <c r="EP43" s="307"/>
      <c r="EQ43" s="307"/>
      <c r="ER43" s="307"/>
      <c r="ES43" s="307"/>
      <c r="ET43" s="307"/>
      <c r="EU43" s="307"/>
      <c r="EV43" s="307"/>
      <c r="EW43" s="307"/>
      <c r="EX43" s="307"/>
      <c r="EY43" s="307"/>
      <c r="EZ43" s="307"/>
      <c r="FA43" s="307"/>
      <c r="FB43" s="307"/>
      <c r="FC43" s="307"/>
      <c r="FD43" s="307"/>
      <c r="FE43" s="307"/>
      <c r="FF43" s="307"/>
      <c r="FG43" s="307"/>
      <c r="FH43" s="307"/>
      <c r="FI43" s="307"/>
      <c r="FJ43" s="307"/>
      <c r="FK43" s="307"/>
      <c r="FL43" s="307"/>
      <c r="FM43" s="307"/>
      <c r="FN43" s="307"/>
      <c r="FO43" s="307"/>
      <c r="FP43" s="307"/>
      <c r="FQ43" s="307"/>
      <c r="FR43" s="307"/>
      <c r="FS43" s="307"/>
      <c r="FT43" s="307"/>
      <c r="FU43" s="307"/>
      <c r="FV43" s="307"/>
      <c r="FW43" s="307"/>
      <c r="FX43" s="307"/>
      <c r="FY43" s="307"/>
      <c r="FZ43" s="307"/>
      <c r="GA43" s="307"/>
      <c r="GB43" s="307"/>
      <c r="GC43" s="307"/>
      <c r="GD43" s="307"/>
      <c r="GE43" s="307"/>
      <c r="GF43" s="307"/>
      <c r="GG43" s="307"/>
      <c r="GH43" s="307"/>
      <c r="GI43" s="307"/>
      <c r="GJ43" s="307"/>
      <c r="GK43" s="307"/>
      <c r="GL43" s="307"/>
      <c r="GM43" s="307"/>
      <c r="GN43" s="307"/>
      <c r="GO43" s="307"/>
      <c r="GP43" s="307"/>
      <c r="GQ43" s="307"/>
      <c r="GR43" s="307"/>
      <c r="GS43" s="307"/>
      <c r="GT43" s="307"/>
      <c r="GU43" s="307"/>
      <c r="GV43" s="307"/>
      <c r="GW43" s="307"/>
      <c r="GX43" s="307"/>
      <c r="GY43" s="307"/>
      <c r="GZ43" s="307"/>
      <c r="HA43" s="307"/>
      <c r="HB43" s="307"/>
      <c r="HC43" s="307"/>
      <c r="HD43" s="307"/>
      <c r="HE43" s="307"/>
      <c r="HF43" s="307"/>
      <c r="HG43" s="307"/>
      <c r="HH43" s="307"/>
      <c r="HI43" s="307"/>
      <c r="HJ43" s="307"/>
      <c r="HK43" s="307"/>
      <c r="HL43" s="307"/>
      <c r="HM43" s="307"/>
      <c r="HN43" s="307"/>
      <c r="HO43" s="307"/>
      <c r="HP43" s="307"/>
      <c r="HQ43" s="307"/>
      <c r="HR43" s="307"/>
      <c r="HS43" s="307"/>
      <c r="HT43" s="307"/>
      <c r="HU43" s="307"/>
      <c r="HV43" s="307"/>
      <c r="HW43" s="307"/>
      <c r="HX43" s="307"/>
      <c r="HY43" s="307"/>
      <c r="HZ43" s="307"/>
      <c r="IA43" s="307"/>
      <c r="IB43" s="307"/>
      <c r="IC43" s="307"/>
      <c r="ID43" s="307"/>
      <c r="IE43" s="307"/>
      <c r="IF43" s="307"/>
      <c r="IG43" s="307"/>
      <c r="IH43" s="307"/>
      <c r="II43" s="307"/>
      <c r="IJ43" s="307"/>
      <c r="IK43" s="307"/>
      <c r="IL43" s="307"/>
      <c r="IM43" s="307"/>
      <c r="IN43" s="307"/>
      <c r="IO43" s="307"/>
      <c r="IP43" s="307"/>
      <c r="IQ43" s="307"/>
      <c r="IR43" s="307"/>
      <c r="IS43" s="307"/>
      <c r="IT43" s="307"/>
      <c r="IU43" s="307"/>
    </row>
    <row r="44" spans="1:255" ht="15.5">
      <c r="A44" s="324"/>
      <c r="B44" s="307" t="s">
        <v>218</v>
      </c>
      <c r="C44" s="310"/>
      <c r="D44" s="327">
        <f t="shared" si="12"/>
        <v>-0.48499999999999999</v>
      </c>
      <c r="E44" s="321">
        <v>0.112</v>
      </c>
      <c r="F44" s="313">
        <f t="shared" si="11"/>
        <v>-5.3303571428571423</v>
      </c>
      <c r="G44" s="312"/>
      <c r="H44" s="312"/>
      <c r="I44" s="313"/>
      <c r="J44" s="312"/>
      <c r="K44" s="312"/>
      <c r="L44" s="313"/>
      <c r="M44" s="307"/>
      <c r="N44" s="307"/>
      <c r="O44" s="307"/>
      <c r="P44" s="307"/>
      <c r="Q44" s="307"/>
      <c r="R44" s="308"/>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7"/>
      <c r="BQ44" s="307"/>
      <c r="BR44" s="307"/>
      <c r="BS44" s="307"/>
      <c r="BT44" s="307"/>
      <c r="BU44" s="307"/>
      <c r="BV44" s="307"/>
      <c r="BW44" s="307"/>
      <c r="BX44" s="307"/>
      <c r="BY44" s="307"/>
      <c r="BZ44" s="307"/>
      <c r="CA44" s="307"/>
      <c r="CB44" s="307"/>
      <c r="CC44" s="307"/>
      <c r="CD44" s="307"/>
      <c r="CE44" s="307"/>
      <c r="CF44" s="307"/>
      <c r="CG44" s="307"/>
      <c r="CH44" s="307"/>
      <c r="CI44" s="307"/>
      <c r="CJ44" s="307"/>
      <c r="CK44" s="307"/>
      <c r="CL44" s="307"/>
      <c r="CM44" s="307"/>
      <c r="CN44" s="307"/>
      <c r="CO44" s="307"/>
      <c r="CP44" s="307"/>
      <c r="CQ44" s="307"/>
      <c r="CR44" s="307"/>
      <c r="CS44" s="307"/>
      <c r="CT44" s="307"/>
      <c r="CU44" s="307"/>
      <c r="CV44" s="307"/>
      <c r="CW44" s="307"/>
      <c r="CX44" s="307"/>
      <c r="CY44" s="307"/>
      <c r="CZ44" s="307"/>
      <c r="DA44" s="307"/>
      <c r="DB44" s="307"/>
      <c r="DC44" s="307"/>
      <c r="DD44" s="307"/>
      <c r="DE44" s="307"/>
      <c r="DF44" s="307"/>
      <c r="DG44" s="307"/>
      <c r="DH44" s="307"/>
      <c r="DI44" s="307"/>
      <c r="DJ44" s="307"/>
      <c r="DK44" s="307"/>
      <c r="DL44" s="307"/>
      <c r="DM44" s="307"/>
      <c r="DN44" s="307"/>
      <c r="DO44" s="307"/>
      <c r="DP44" s="307"/>
      <c r="DQ44" s="307"/>
      <c r="DR44" s="307"/>
      <c r="DS44" s="307"/>
      <c r="DT44" s="307"/>
      <c r="DU44" s="307"/>
      <c r="DV44" s="307"/>
      <c r="DW44" s="307"/>
      <c r="DX44" s="307"/>
      <c r="DY44" s="307"/>
      <c r="DZ44" s="307"/>
      <c r="EA44" s="307"/>
      <c r="EB44" s="307"/>
      <c r="EC44" s="307"/>
      <c r="ED44" s="307"/>
      <c r="EE44" s="307"/>
      <c r="EF44" s="307"/>
      <c r="EG44" s="307"/>
      <c r="EH44" s="307"/>
      <c r="EI44" s="307"/>
      <c r="EJ44" s="307"/>
      <c r="EK44" s="307"/>
      <c r="EL44" s="307"/>
      <c r="EM44" s="307"/>
      <c r="EN44" s="307"/>
      <c r="EO44" s="307"/>
      <c r="EP44" s="307"/>
      <c r="EQ44" s="307"/>
      <c r="ER44" s="307"/>
      <c r="ES44" s="307"/>
      <c r="ET44" s="307"/>
      <c r="EU44" s="307"/>
      <c r="EV44" s="307"/>
      <c r="EW44" s="307"/>
      <c r="EX44" s="307"/>
      <c r="EY44" s="307"/>
      <c r="EZ44" s="307"/>
      <c r="FA44" s="307"/>
      <c r="FB44" s="307"/>
      <c r="FC44" s="307"/>
      <c r="FD44" s="307"/>
      <c r="FE44" s="307"/>
      <c r="FF44" s="307"/>
      <c r="FG44" s="307"/>
      <c r="FH44" s="307"/>
      <c r="FI44" s="307"/>
      <c r="FJ44" s="307"/>
      <c r="FK44" s="307"/>
      <c r="FL44" s="307"/>
      <c r="FM44" s="307"/>
      <c r="FN44" s="307"/>
      <c r="FO44" s="307"/>
      <c r="FP44" s="307"/>
      <c r="FQ44" s="307"/>
      <c r="FR44" s="307"/>
      <c r="FS44" s="307"/>
      <c r="FT44" s="307"/>
      <c r="FU44" s="307"/>
      <c r="FV44" s="307"/>
      <c r="FW44" s="307"/>
      <c r="FX44" s="307"/>
      <c r="FY44" s="307"/>
      <c r="FZ44" s="307"/>
      <c r="GA44" s="307"/>
      <c r="GB44" s="307"/>
      <c r="GC44" s="307"/>
      <c r="GD44" s="307"/>
      <c r="GE44" s="307"/>
      <c r="GF44" s="307"/>
      <c r="GG44" s="307"/>
      <c r="GH44" s="307"/>
      <c r="GI44" s="307"/>
      <c r="GJ44" s="307"/>
      <c r="GK44" s="307"/>
      <c r="GL44" s="307"/>
      <c r="GM44" s="307"/>
      <c r="GN44" s="307"/>
      <c r="GO44" s="307"/>
      <c r="GP44" s="307"/>
      <c r="GQ44" s="307"/>
      <c r="GR44" s="307"/>
      <c r="GS44" s="307"/>
      <c r="GT44" s="307"/>
      <c r="GU44" s="307"/>
      <c r="GV44" s="307"/>
      <c r="GW44" s="307"/>
      <c r="GX44" s="307"/>
      <c r="GY44" s="307"/>
      <c r="GZ44" s="307"/>
      <c r="HA44" s="307"/>
      <c r="HB44" s="307"/>
      <c r="HC44" s="307"/>
      <c r="HD44" s="307"/>
      <c r="HE44" s="307"/>
      <c r="HF44" s="307"/>
      <c r="HG44" s="307"/>
      <c r="HH44" s="307"/>
      <c r="HI44" s="307"/>
      <c r="HJ44" s="307"/>
      <c r="HK44" s="307"/>
      <c r="HL44" s="307"/>
      <c r="HM44" s="307"/>
      <c r="HN44" s="307"/>
      <c r="HO44" s="307"/>
      <c r="HP44" s="307"/>
      <c r="HQ44" s="307"/>
      <c r="HR44" s="307"/>
      <c r="HS44" s="307"/>
      <c r="HT44" s="307"/>
      <c r="HU44" s="307"/>
      <c r="HV44" s="307"/>
      <c r="HW44" s="307"/>
      <c r="HX44" s="307"/>
      <c r="HY44" s="307"/>
      <c r="HZ44" s="307"/>
      <c r="IA44" s="307"/>
      <c r="IB44" s="307"/>
      <c r="IC44" s="307"/>
      <c r="ID44" s="307"/>
      <c r="IE44" s="307"/>
      <c r="IF44" s="307"/>
      <c r="IG44" s="307"/>
      <c r="IH44" s="307"/>
      <c r="II44" s="307"/>
      <c r="IJ44" s="307"/>
      <c r="IK44" s="307"/>
      <c r="IL44" s="307"/>
      <c r="IM44" s="307"/>
      <c r="IN44" s="307"/>
      <c r="IO44" s="307"/>
      <c r="IP44" s="307"/>
      <c r="IQ44" s="307"/>
      <c r="IR44" s="307"/>
      <c r="IS44" s="307"/>
      <c r="IT44" s="307"/>
      <c r="IU44" s="307"/>
    </row>
    <row r="45" spans="1:255" ht="15.5">
      <c r="A45" s="324"/>
      <c r="B45" s="307" t="s">
        <v>219</v>
      </c>
      <c r="C45" s="310"/>
      <c r="D45" s="327">
        <f t="shared" si="12"/>
        <v>-0.61899999999999999</v>
      </c>
      <c r="E45" s="321">
        <v>0.14299999999999999</v>
      </c>
      <c r="F45" s="313">
        <f t="shared" si="11"/>
        <v>-5.3286713286713292</v>
      </c>
      <c r="G45" s="312"/>
      <c r="H45" s="328"/>
      <c r="I45" s="313"/>
      <c r="J45" s="312"/>
      <c r="K45" s="312"/>
      <c r="L45" s="313"/>
      <c r="M45" s="307"/>
      <c r="N45" s="307"/>
      <c r="O45" s="307"/>
      <c r="P45" s="307"/>
      <c r="Q45" s="307"/>
      <c r="R45" s="308"/>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7"/>
      <c r="BR45" s="307"/>
      <c r="BS45" s="307"/>
      <c r="BT45" s="307"/>
      <c r="BU45" s="307"/>
      <c r="BV45" s="307"/>
      <c r="BW45" s="307"/>
      <c r="BX45" s="307"/>
      <c r="BY45" s="307"/>
      <c r="BZ45" s="307"/>
      <c r="CA45" s="307"/>
      <c r="CB45" s="307"/>
      <c r="CC45" s="307"/>
      <c r="CD45" s="307"/>
      <c r="CE45" s="307"/>
      <c r="CF45" s="307"/>
      <c r="CG45" s="307"/>
      <c r="CH45" s="307"/>
      <c r="CI45" s="307"/>
      <c r="CJ45" s="307"/>
      <c r="CK45" s="307"/>
      <c r="CL45" s="307"/>
      <c r="CM45" s="307"/>
      <c r="CN45" s="307"/>
      <c r="CO45" s="307"/>
      <c r="CP45" s="307"/>
      <c r="CQ45" s="307"/>
      <c r="CR45" s="307"/>
      <c r="CS45" s="307"/>
      <c r="CT45" s="307"/>
      <c r="CU45" s="307"/>
      <c r="CV45" s="307"/>
      <c r="CW45" s="307"/>
      <c r="CX45" s="307"/>
      <c r="CY45" s="307"/>
      <c r="CZ45" s="307"/>
      <c r="DA45" s="307"/>
      <c r="DB45" s="307"/>
      <c r="DC45" s="307"/>
      <c r="DD45" s="307"/>
      <c r="DE45" s="307"/>
      <c r="DF45" s="307"/>
      <c r="DG45" s="307"/>
      <c r="DH45" s="307"/>
      <c r="DI45" s="307"/>
      <c r="DJ45" s="307"/>
      <c r="DK45" s="307"/>
      <c r="DL45" s="307"/>
      <c r="DM45" s="307"/>
      <c r="DN45" s="307"/>
      <c r="DO45" s="307"/>
      <c r="DP45" s="307"/>
      <c r="DQ45" s="307"/>
      <c r="DR45" s="307"/>
      <c r="DS45" s="307"/>
      <c r="DT45" s="307"/>
      <c r="DU45" s="307"/>
      <c r="DV45" s="307"/>
      <c r="DW45" s="307"/>
      <c r="DX45" s="307"/>
      <c r="DY45" s="307"/>
      <c r="DZ45" s="307"/>
      <c r="EA45" s="307"/>
      <c r="EB45" s="307"/>
      <c r="EC45" s="307"/>
      <c r="ED45" s="307"/>
      <c r="EE45" s="307"/>
      <c r="EF45" s="307"/>
      <c r="EG45" s="307"/>
      <c r="EH45" s="307"/>
      <c r="EI45" s="307"/>
      <c r="EJ45" s="307"/>
      <c r="EK45" s="307"/>
      <c r="EL45" s="307"/>
      <c r="EM45" s="307"/>
      <c r="EN45" s="307"/>
      <c r="EO45" s="307"/>
      <c r="EP45" s="307"/>
      <c r="EQ45" s="307"/>
      <c r="ER45" s="307"/>
      <c r="ES45" s="307"/>
      <c r="ET45" s="307"/>
      <c r="EU45" s="307"/>
      <c r="EV45" s="307"/>
      <c r="EW45" s="307"/>
      <c r="EX45" s="307"/>
      <c r="EY45" s="307"/>
      <c r="EZ45" s="307"/>
      <c r="FA45" s="307"/>
      <c r="FB45" s="307"/>
      <c r="FC45" s="307"/>
      <c r="FD45" s="307"/>
      <c r="FE45" s="307"/>
      <c r="FF45" s="307"/>
      <c r="FG45" s="307"/>
      <c r="FH45" s="307"/>
      <c r="FI45" s="307"/>
      <c r="FJ45" s="307"/>
      <c r="FK45" s="307"/>
      <c r="FL45" s="307"/>
      <c r="FM45" s="307"/>
      <c r="FN45" s="307"/>
      <c r="FO45" s="307"/>
      <c r="FP45" s="307"/>
      <c r="FQ45" s="307"/>
      <c r="FR45" s="307"/>
      <c r="FS45" s="307"/>
      <c r="FT45" s="307"/>
      <c r="FU45" s="307"/>
      <c r="FV45" s="307"/>
      <c r="FW45" s="307"/>
      <c r="FX45" s="307"/>
      <c r="FY45" s="307"/>
      <c r="FZ45" s="307"/>
      <c r="GA45" s="307"/>
      <c r="GB45" s="307"/>
      <c r="GC45" s="307"/>
      <c r="GD45" s="307"/>
      <c r="GE45" s="307"/>
      <c r="GF45" s="307"/>
      <c r="GG45" s="307"/>
      <c r="GH45" s="307"/>
      <c r="GI45" s="307"/>
      <c r="GJ45" s="307"/>
      <c r="GK45" s="307"/>
      <c r="GL45" s="307"/>
      <c r="GM45" s="307"/>
      <c r="GN45" s="307"/>
      <c r="GO45" s="307"/>
      <c r="GP45" s="307"/>
      <c r="GQ45" s="307"/>
      <c r="GR45" s="307"/>
      <c r="GS45" s="307"/>
      <c r="GT45" s="307"/>
      <c r="GU45" s="307"/>
      <c r="GV45" s="307"/>
      <c r="GW45" s="307"/>
      <c r="GX45" s="307"/>
      <c r="GY45" s="307"/>
      <c r="GZ45" s="307"/>
      <c r="HA45" s="307"/>
      <c r="HB45" s="307"/>
      <c r="HC45" s="307"/>
      <c r="HD45" s="307"/>
      <c r="HE45" s="307"/>
      <c r="HF45" s="307"/>
      <c r="HG45" s="307"/>
      <c r="HH45" s="307"/>
      <c r="HI45" s="307"/>
      <c r="HJ45" s="307"/>
      <c r="HK45" s="307"/>
      <c r="HL45" s="307"/>
      <c r="HM45" s="307"/>
      <c r="HN45" s="307"/>
      <c r="HO45" s="307"/>
      <c r="HP45" s="307"/>
      <c r="HQ45" s="307"/>
      <c r="HR45" s="307"/>
      <c r="HS45" s="307"/>
      <c r="HT45" s="307"/>
      <c r="HU45" s="307"/>
      <c r="HV45" s="307"/>
      <c r="HW45" s="307"/>
      <c r="HX45" s="307"/>
      <c r="HY45" s="307"/>
      <c r="HZ45" s="307"/>
      <c r="IA45" s="307"/>
      <c r="IB45" s="307"/>
      <c r="IC45" s="307"/>
      <c r="ID45" s="307"/>
      <c r="IE45" s="307"/>
      <c r="IF45" s="307"/>
      <c r="IG45" s="307"/>
      <c r="IH45" s="307"/>
      <c r="II45" s="307"/>
      <c r="IJ45" s="307"/>
      <c r="IK45" s="307"/>
      <c r="IL45" s="307"/>
      <c r="IM45" s="307"/>
      <c r="IN45" s="307"/>
      <c r="IO45" s="307"/>
      <c r="IP45" s="307"/>
      <c r="IQ45" s="307"/>
      <c r="IR45" s="307"/>
      <c r="IS45" s="307"/>
      <c r="IT45" s="307"/>
      <c r="IU45" s="307"/>
    </row>
    <row r="46" spans="1:255" ht="15.5">
      <c r="A46" s="324"/>
      <c r="B46" s="307" t="s">
        <v>220</v>
      </c>
      <c r="C46" s="310"/>
      <c r="D46" s="327">
        <f t="shared" si="12"/>
        <v>-0.89100000000000001</v>
      </c>
      <c r="E46" s="321">
        <v>0.20599999999999999</v>
      </c>
      <c r="F46" s="313">
        <f t="shared" si="11"/>
        <v>-5.325242718446602</v>
      </c>
      <c r="G46" s="312"/>
      <c r="H46" s="328"/>
      <c r="I46" s="313"/>
      <c r="J46" s="312"/>
      <c r="K46" s="312"/>
      <c r="L46" s="313"/>
      <c r="M46" s="307"/>
      <c r="N46" s="307"/>
      <c r="O46" s="307"/>
      <c r="P46" s="307"/>
      <c r="Q46" s="307"/>
      <c r="R46" s="308"/>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7"/>
      <c r="BR46" s="307"/>
      <c r="BS46" s="307"/>
      <c r="BT46" s="307"/>
      <c r="BU46" s="307"/>
      <c r="BV46" s="307"/>
      <c r="BW46" s="307"/>
      <c r="BX46" s="307"/>
      <c r="BY46" s="307"/>
      <c r="BZ46" s="307"/>
      <c r="CA46" s="307"/>
      <c r="CB46" s="307"/>
      <c r="CC46" s="307"/>
      <c r="CD46" s="307"/>
      <c r="CE46" s="307"/>
      <c r="CF46" s="307"/>
      <c r="CG46" s="307"/>
      <c r="CH46" s="307"/>
      <c r="CI46" s="307"/>
      <c r="CJ46" s="307"/>
      <c r="CK46" s="307"/>
      <c r="CL46" s="307"/>
      <c r="CM46" s="307"/>
      <c r="CN46" s="307"/>
      <c r="CO46" s="307"/>
      <c r="CP46" s="307"/>
      <c r="CQ46" s="307"/>
      <c r="CR46" s="307"/>
      <c r="CS46" s="307"/>
      <c r="CT46" s="307"/>
      <c r="CU46" s="307"/>
      <c r="CV46" s="307"/>
      <c r="CW46" s="307"/>
      <c r="CX46" s="307"/>
      <c r="CY46" s="307"/>
      <c r="CZ46" s="307"/>
      <c r="DA46" s="307"/>
      <c r="DB46" s="307"/>
      <c r="DC46" s="307"/>
      <c r="DD46" s="307"/>
      <c r="DE46" s="307"/>
      <c r="DF46" s="307"/>
      <c r="DG46" s="307"/>
      <c r="DH46" s="307"/>
      <c r="DI46" s="307"/>
      <c r="DJ46" s="307"/>
      <c r="DK46" s="307"/>
      <c r="DL46" s="307"/>
      <c r="DM46" s="307"/>
      <c r="DN46" s="307"/>
      <c r="DO46" s="307"/>
      <c r="DP46" s="307"/>
      <c r="DQ46" s="307"/>
      <c r="DR46" s="307"/>
      <c r="DS46" s="307"/>
      <c r="DT46" s="307"/>
      <c r="DU46" s="307"/>
      <c r="DV46" s="307"/>
      <c r="DW46" s="307"/>
      <c r="DX46" s="307"/>
      <c r="DY46" s="307"/>
      <c r="DZ46" s="307"/>
      <c r="EA46" s="307"/>
      <c r="EB46" s="307"/>
      <c r="EC46" s="307"/>
      <c r="ED46" s="307"/>
      <c r="EE46" s="307"/>
      <c r="EF46" s="307"/>
      <c r="EG46" s="307"/>
      <c r="EH46" s="307"/>
      <c r="EI46" s="307"/>
      <c r="EJ46" s="307"/>
      <c r="EK46" s="307"/>
      <c r="EL46" s="307"/>
      <c r="EM46" s="307"/>
      <c r="EN46" s="307"/>
      <c r="EO46" s="307"/>
      <c r="EP46" s="307"/>
      <c r="EQ46" s="307"/>
      <c r="ER46" s="307"/>
      <c r="ES46" s="307"/>
      <c r="ET46" s="307"/>
      <c r="EU46" s="307"/>
      <c r="EV46" s="307"/>
      <c r="EW46" s="307"/>
      <c r="EX46" s="307"/>
      <c r="EY46" s="307"/>
      <c r="EZ46" s="307"/>
      <c r="FA46" s="307"/>
      <c r="FB46" s="307"/>
      <c r="FC46" s="307"/>
      <c r="FD46" s="307"/>
      <c r="FE46" s="307"/>
      <c r="FF46" s="307"/>
      <c r="FG46" s="307"/>
      <c r="FH46" s="307"/>
      <c r="FI46" s="307"/>
      <c r="FJ46" s="307"/>
      <c r="FK46" s="307"/>
      <c r="FL46" s="307"/>
      <c r="FM46" s="307"/>
      <c r="FN46" s="307"/>
      <c r="FO46" s="307"/>
      <c r="FP46" s="307"/>
      <c r="FQ46" s="307"/>
      <c r="FR46" s="307"/>
      <c r="FS46" s="307"/>
      <c r="FT46" s="307"/>
      <c r="FU46" s="307"/>
      <c r="FV46" s="307"/>
      <c r="FW46" s="307"/>
      <c r="FX46" s="307"/>
      <c r="FY46" s="307"/>
      <c r="FZ46" s="307"/>
      <c r="GA46" s="307"/>
      <c r="GB46" s="307"/>
      <c r="GC46" s="307"/>
      <c r="GD46" s="307"/>
      <c r="GE46" s="307"/>
      <c r="GF46" s="307"/>
      <c r="GG46" s="307"/>
      <c r="GH46" s="307"/>
      <c r="GI46" s="307"/>
      <c r="GJ46" s="307"/>
      <c r="GK46" s="307"/>
      <c r="GL46" s="307"/>
      <c r="GM46" s="307"/>
      <c r="GN46" s="307"/>
      <c r="GO46" s="307"/>
      <c r="GP46" s="307"/>
      <c r="GQ46" s="307"/>
      <c r="GR46" s="307"/>
      <c r="GS46" s="307"/>
      <c r="GT46" s="307"/>
      <c r="GU46" s="307"/>
      <c r="GV46" s="307"/>
      <c r="GW46" s="307"/>
      <c r="GX46" s="307"/>
      <c r="GY46" s="307"/>
      <c r="GZ46" s="307"/>
      <c r="HA46" s="307"/>
      <c r="HB46" s="307"/>
      <c r="HC46" s="307"/>
      <c r="HD46" s="307"/>
      <c r="HE46" s="307"/>
      <c r="HF46" s="307"/>
      <c r="HG46" s="307"/>
      <c r="HH46" s="307"/>
      <c r="HI46" s="307"/>
      <c r="HJ46" s="307"/>
      <c r="HK46" s="307"/>
      <c r="HL46" s="307"/>
      <c r="HM46" s="307"/>
      <c r="HN46" s="307"/>
      <c r="HO46" s="307"/>
      <c r="HP46" s="307"/>
      <c r="HQ46" s="307"/>
      <c r="HR46" s="307"/>
      <c r="HS46" s="307"/>
      <c r="HT46" s="307"/>
      <c r="HU46" s="307"/>
      <c r="HV46" s="307"/>
      <c r="HW46" s="307"/>
      <c r="HX46" s="307"/>
      <c r="HY46" s="307"/>
      <c r="HZ46" s="307"/>
      <c r="IA46" s="307"/>
      <c r="IB46" s="307"/>
      <c r="IC46" s="307"/>
      <c r="ID46" s="307"/>
      <c r="IE46" s="307"/>
      <c r="IF46" s="307"/>
      <c r="IG46" s="307"/>
      <c r="IH46" s="307"/>
      <c r="II46" s="307"/>
      <c r="IJ46" s="307"/>
      <c r="IK46" s="307"/>
      <c r="IL46" s="307"/>
      <c r="IM46" s="307"/>
      <c r="IN46" s="307"/>
      <c r="IO46" s="307"/>
      <c r="IP46" s="307"/>
      <c r="IQ46" s="307"/>
      <c r="IR46" s="307"/>
      <c r="IS46" s="307"/>
      <c r="IT46" s="307"/>
      <c r="IU46" s="307"/>
    </row>
    <row r="47" spans="1:255" ht="15.5">
      <c r="A47" s="324"/>
      <c r="B47" s="307" t="s">
        <v>221</v>
      </c>
      <c r="C47" s="310"/>
      <c r="D47" s="327">
        <f t="shared" si="12"/>
        <v>-1.026</v>
      </c>
      <c r="E47" s="321">
        <v>0.23699999999999999</v>
      </c>
      <c r="F47" s="313">
        <f t="shared" si="11"/>
        <v>-5.3291139240506329</v>
      </c>
      <c r="G47" s="312"/>
      <c r="H47" s="312"/>
      <c r="I47" s="313"/>
      <c r="J47" s="312"/>
      <c r="K47" s="312"/>
      <c r="L47" s="313"/>
      <c r="M47" s="307"/>
      <c r="N47" s="307"/>
      <c r="O47" s="307"/>
      <c r="P47" s="307"/>
      <c r="Q47" s="307"/>
      <c r="R47" s="308"/>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c r="BV47" s="307"/>
      <c r="BW47" s="307"/>
      <c r="BX47" s="307"/>
      <c r="BY47" s="307"/>
      <c r="BZ47" s="307"/>
      <c r="CA47" s="307"/>
      <c r="CB47" s="307"/>
      <c r="CC47" s="307"/>
      <c r="CD47" s="307"/>
      <c r="CE47" s="307"/>
      <c r="CF47" s="307"/>
      <c r="CG47" s="307"/>
      <c r="CH47" s="307"/>
      <c r="CI47" s="307"/>
      <c r="CJ47" s="307"/>
      <c r="CK47" s="307"/>
      <c r="CL47" s="307"/>
      <c r="CM47" s="307"/>
      <c r="CN47" s="307"/>
      <c r="CO47" s="307"/>
      <c r="CP47" s="307"/>
      <c r="CQ47" s="307"/>
      <c r="CR47" s="307"/>
      <c r="CS47" s="307"/>
      <c r="CT47" s="307"/>
      <c r="CU47" s="307"/>
      <c r="CV47" s="307"/>
      <c r="CW47" s="307"/>
      <c r="CX47" s="307"/>
      <c r="CY47" s="307"/>
      <c r="CZ47" s="307"/>
      <c r="DA47" s="307"/>
      <c r="DB47" s="307"/>
      <c r="DC47" s="307"/>
      <c r="DD47" s="307"/>
      <c r="DE47" s="307"/>
      <c r="DF47" s="307"/>
      <c r="DG47" s="307"/>
      <c r="DH47" s="307"/>
      <c r="DI47" s="307"/>
      <c r="DJ47" s="307"/>
      <c r="DK47" s="307"/>
      <c r="DL47" s="307"/>
      <c r="DM47" s="307"/>
      <c r="DN47" s="307"/>
      <c r="DO47" s="307"/>
      <c r="DP47" s="307"/>
      <c r="DQ47" s="307"/>
      <c r="DR47" s="307"/>
      <c r="DS47" s="307"/>
      <c r="DT47" s="307"/>
      <c r="DU47" s="307"/>
      <c r="DV47" s="307"/>
      <c r="DW47" s="307"/>
      <c r="DX47" s="307"/>
      <c r="DY47" s="307"/>
      <c r="DZ47" s="307"/>
      <c r="EA47" s="307"/>
      <c r="EB47" s="307"/>
      <c r="EC47" s="307"/>
      <c r="ED47" s="307"/>
      <c r="EE47" s="307"/>
      <c r="EF47" s="307"/>
      <c r="EG47" s="307"/>
      <c r="EH47" s="307"/>
      <c r="EI47" s="307"/>
      <c r="EJ47" s="307"/>
      <c r="EK47" s="307"/>
      <c r="EL47" s="307"/>
      <c r="EM47" s="307"/>
      <c r="EN47" s="307"/>
      <c r="EO47" s="307"/>
      <c r="EP47" s="307"/>
      <c r="EQ47" s="307"/>
      <c r="ER47" s="307"/>
      <c r="ES47" s="307"/>
      <c r="ET47" s="307"/>
      <c r="EU47" s="307"/>
      <c r="EV47" s="307"/>
      <c r="EW47" s="307"/>
      <c r="EX47" s="307"/>
      <c r="EY47" s="307"/>
      <c r="EZ47" s="307"/>
      <c r="FA47" s="307"/>
      <c r="FB47" s="307"/>
      <c r="FC47" s="307"/>
      <c r="FD47" s="307"/>
      <c r="FE47" s="307"/>
      <c r="FF47" s="307"/>
      <c r="FG47" s="307"/>
      <c r="FH47" s="307"/>
      <c r="FI47" s="307"/>
      <c r="FJ47" s="307"/>
      <c r="FK47" s="307"/>
      <c r="FL47" s="307"/>
      <c r="FM47" s="307"/>
      <c r="FN47" s="307"/>
      <c r="FO47" s="307"/>
      <c r="FP47" s="307"/>
      <c r="FQ47" s="307"/>
      <c r="FR47" s="307"/>
      <c r="FS47" s="307"/>
      <c r="FT47" s="307"/>
      <c r="FU47" s="307"/>
      <c r="FV47" s="307"/>
      <c r="FW47" s="307"/>
      <c r="FX47" s="307"/>
      <c r="FY47" s="307"/>
      <c r="FZ47" s="307"/>
      <c r="GA47" s="307"/>
      <c r="GB47" s="307"/>
      <c r="GC47" s="307"/>
      <c r="GD47" s="307"/>
      <c r="GE47" s="307"/>
      <c r="GF47" s="307"/>
      <c r="GG47" s="307"/>
      <c r="GH47" s="307"/>
      <c r="GI47" s="307"/>
      <c r="GJ47" s="307"/>
      <c r="GK47" s="307"/>
      <c r="GL47" s="307"/>
      <c r="GM47" s="307"/>
      <c r="GN47" s="307"/>
      <c r="GO47" s="307"/>
      <c r="GP47" s="307"/>
      <c r="GQ47" s="307"/>
      <c r="GR47" s="307"/>
      <c r="GS47" s="307"/>
      <c r="GT47" s="307"/>
      <c r="GU47" s="307"/>
      <c r="GV47" s="307"/>
      <c r="GW47" s="307"/>
      <c r="GX47" s="307"/>
      <c r="GY47" s="307"/>
      <c r="GZ47" s="307"/>
      <c r="HA47" s="307"/>
      <c r="HB47" s="307"/>
      <c r="HC47" s="307"/>
      <c r="HD47" s="307"/>
      <c r="HE47" s="307"/>
      <c r="HF47" s="307"/>
      <c r="HG47" s="307"/>
      <c r="HH47" s="307"/>
      <c r="HI47" s="307"/>
      <c r="HJ47" s="307"/>
      <c r="HK47" s="307"/>
      <c r="HL47" s="307"/>
      <c r="HM47" s="307"/>
      <c r="HN47" s="307"/>
      <c r="HO47" s="307"/>
      <c r="HP47" s="307"/>
      <c r="HQ47" s="307"/>
      <c r="HR47" s="307"/>
      <c r="HS47" s="307"/>
      <c r="HT47" s="307"/>
      <c r="HU47" s="307"/>
      <c r="HV47" s="307"/>
      <c r="HW47" s="307"/>
      <c r="HX47" s="307"/>
      <c r="HY47" s="307"/>
      <c r="HZ47" s="307"/>
      <c r="IA47" s="307"/>
      <c r="IB47" s="307"/>
      <c r="IC47" s="307"/>
      <c r="ID47" s="307"/>
      <c r="IE47" s="307"/>
      <c r="IF47" s="307"/>
      <c r="IG47" s="307"/>
      <c r="IH47" s="307"/>
      <c r="II47" s="307"/>
      <c r="IJ47" s="307"/>
      <c r="IK47" s="307"/>
      <c r="IL47" s="307"/>
      <c r="IM47" s="307"/>
      <c r="IN47" s="307"/>
      <c r="IO47" s="307"/>
      <c r="IP47" s="307"/>
      <c r="IQ47" s="307"/>
      <c r="IR47" s="307"/>
      <c r="IS47" s="307"/>
      <c r="IT47" s="307"/>
      <c r="IU47" s="307"/>
    </row>
    <row r="48" spans="1:255" ht="15.5">
      <c r="A48" s="324"/>
      <c r="B48" s="307" t="s">
        <v>222</v>
      </c>
      <c r="C48" s="310"/>
      <c r="D48" s="327">
        <f t="shared" si="12"/>
        <v>-1.1679999999999999</v>
      </c>
      <c r="E48" s="321">
        <v>0.27</v>
      </c>
      <c r="F48" s="313">
        <f t="shared" si="11"/>
        <v>-5.3259259259259251</v>
      </c>
      <c r="G48" s="312"/>
      <c r="H48" s="312"/>
      <c r="I48" s="313"/>
      <c r="J48" s="312"/>
      <c r="K48" s="312"/>
      <c r="L48" s="313"/>
      <c r="M48" s="307"/>
      <c r="N48" s="307"/>
      <c r="O48" s="307"/>
      <c r="P48" s="307"/>
      <c r="Q48" s="307"/>
      <c r="R48" s="308"/>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307"/>
      <c r="BS48" s="307"/>
      <c r="BT48" s="307"/>
      <c r="BU48" s="307"/>
      <c r="BV48" s="307"/>
      <c r="BW48" s="307"/>
      <c r="BX48" s="307"/>
      <c r="BY48" s="307"/>
      <c r="BZ48" s="307"/>
      <c r="CA48" s="307"/>
      <c r="CB48" s="307"/>
      <c r="CC48" s="307"/>
      <c r="CD48" s="307"/>
      <c r="CE48" s="307"/>
      <c r="CF48" s="307"/>
      <c r="CG48" s="307"/>
      <c r="CH48" s="307"/>
      <c r="CI48" s="307"/>
      <c r="CJ48" s="307"/>
      <c r="CK48" s="307"/>
      <c r="CL48" s="307"/>
      <c r="CM48" s="307"/>
      <c r="CN48" s="307"/>
      <c r="CO48" s="307"/>
      <c r="CP48" s="307"/>
      <c r="CQ48" s="307"/>
      <c r="CR48" s="307"/>
      <c r="CS48" s="307"/>
      <c r="CT48" s="307"/>
      <c r="CU48" s="307"/>
      <c r="CV48" s="307"/>
      <c r="CW48" s="307"/>
      <c r="CX48" s="307"/>
      <c r="CY48" s="307"/>
      <c r="CZ48" s="307"/>
      <c r="DA48" s="307"/>
      <c r="DB48" s="307"/>
      <c r="DC48" s="307"/>
      <c r="DD48" s="307"/>
      <c r="DE48" s="307"/>
      <c r="DF48" s="307"/>
      <c r="DG48" s="307"/>
      <c r="DH48" s="307"/>
      <c r="DI48" s="307"/>
      <c r="DJ48" s="307"/>
      <c r="DK48" s="307"/>
      <c r="DL48" s="307"/>
      <c r="DM48" s="307"/>
      <c r="DN48" s="307"/>
      <c r="DO48" s="307"/>
      <c r="DP48" s="307"/>
      <c r="DQ48" s="307"/>
      <c r="DR48" s="307"/>
      <c r="DS48" s="307"/>
      <c r="DT48" s="307"/>
      <c r="DU48" s="307"/>
      <c r="DV48" s="307"/>
      <c r="DW48" s="307"/>
      <c r="DX48" s="307"/>
      <c r="DY48" s="307"/>
      <c r="DZ48" s="307"/>
      <c r="EA48" s="307"/>
      <c r="EB48" s="307"/>
      <c r="EC48" s="307"/>
      <c r="ED48" s="307"/>
      <c r="EE48" s="307"/>
      <c r="EF48" s="307"/>
      <c r="EG48" s="307"/>
      <c r="EH48" s="307"/>
      <c r="EI48" s="307"/>
      <c r="EJ48" s="307"/>
      <c r="EK48" s="307"/>
      <c r="EL48" s="307"/>
      <c r="EM48" s="307"/>
      <c r="EN48" s="307"/>
      <c r="EO48" s="307"/>
      <c r="EP48" s="307"/>
      <c r="EQ48" s="307"/>
      <c r="ER48" s="307"/>
      <c r="ES48" s="307"/>
      <c r="ET48" s="307"/>
      <c r="EU48" s="307"/>
      <c r="EV48" s="307"/>
      <c r="EW48" s="307"/>
      <c r="EX48" s="307"/>
      <c r="EY48" s="307"/>
      <c r="EZ48" s="307"/>
      <c r="FA48" s="307"/>
      <c r="FB48" s="307"/>
      <c r="FC48" s="307"/>
      <c r="FD48" s="307"/>
      <c r="FE48" s="307"/>
      <c r="FF48" s="307"/>
      <c r="FG48" s="307"/>
      <c r="FH48" s="307"/>
      <c r="FI48" s="307"/>
      <c r="FJ48" s="307"/>
      <c r="FK48" s="307"/>
      <c r="FL48" s="307"/>
      <c r="FM48" s="307"/>
      <c r="FN48" s="307"/>
      <c r="FO48" s="307"/>
      <c r="FP48" s="307"/>
      <c r="FQ48" s="307"/>
      <c r="FR48" s="307"/>
      <c r="FS48" s="307"/>
      <c r="FT48" s="307"/>
      <c r="FU48" s="307"/>
      <c r="FV48" s="307"/>
      <c r="FW48" s="307"/>
      <c r="FX48" s="307"/>
      <c r="FY48" s="307"/>
      <c r="FZ48" s="307"/>
      <c r="GA48" s="307"/>
      <c r="GB48" s="307"/>
      <c r="GC48" s="307"/>
      <c r="GD48" s="307"/>
      <c r="GE48" s="307"/>
      <c r="GF48" s="307"/>
      <c r="GG48" s="307"/>
      <c r="GH48" s="307"/>
      <c r="GI48" s="307"/>
      <c r="GJ48" s="307"/>
      <c r="GK48" s="307"/>
      <c r="GL48" s="307"/>
      <c r="GM48" s="307"/>
      <c r="GN48" s="307"/>
      <c r="GO48" s="307"/>
      <c r="GP48" s="307"/>
      <c r="GQ48" s="307"/>
      <c r="GR48" s="307"/>
      <c r="GS48" s="307"/>
      <c r="GT48" s="307"/>
      <c r="GU48" s="307"/>
      <c r="GV48" s="307"/>
      <c r="GW48" s="307"/>
      <c r="GX48" s="307"/>
      <c r="GY48" s="307"/>
      <c r="GZ48" s="307"/>
      <c r="HA48" s="307"/>
      <c r="HB48" s="307"/>
      <c r="HC48" s="307"/>
      <c r="HD48" s="307"/>
      <c r="HE48" s="307"/>
      <c r="HF48" s="307"/>
      <c r="HG48" s="307"/>
      <c r="HH48" s="307"/>
      <c r="HI48" s="307"/>
      <c r="HJ48" s="307"/>
      <c r="HK48" s="307"/>
      <c r="HL48" s="307"/>
      <c r="HM48" s="307"/>
      <c r="HN48" s="307"/>
      <c r="HO48" s="307"/>
      <c r="HP48" s="307"/>
      <c r="HQ48" s="307"/>
      <c r="HR48" s="307"/>
      <c r="HS48" s="307"/>
      <c r="HT48" s="307"/>
      <c r="HU48" s="307"/>
      <c r="HV48" s="307"/>
      <c r="HW48" s="307"/>
      <c r="HX48" s="307"/>
      <c r="HY48" s="307"/>
      <c r="HZ48" s="307"/>
      <c r="IA48" s="307"/>
      <c r="IB48" s="307"/>
      <c r="IC48" s="307"/>
      <c r="ID48" s="307"/>
      <c r="IE48" s="307"/>
      <c r="IF48" s="307"/>
      <c r="IG48" s="307"/>
      <c r="IH48" s="307"/>
      <c r="II48" s="307"/>
      <c r="IJ48" s="307"/>
      <c r="IK48" s="307"/>
      <c r="IL48" s="307"/>
      <c r="IM48" s="307"/>
      <c r="IN48" s="307"/>
      <c r="IO48" s="307"/>
      <c r="IP48" s="307"/>
      <c r="IQ48" s="307"/>
      <c r="IR48" s="307"/>
      <c r="IS48" s="307"/>
      <c r="IT48" s="307"/>
      <c r="IU48" s="307"/>
    </row>
    <row r="49" spans="1:255" ht="15.5">
      <c r="A49" s="324"/>
      <c r="B49" s="307" t="s">
        <v>223</v>
      </c>
      <c r="C49" s="310"/>
      <c r="D49" s="327">
        <f t="shared" si="12"/>
        <v>-1.3029999999999999</v>
      </c>
      <c r="E49" s="321">
        <v>0.30099999999999999</v>
      </c>
      <c r="F49" s="313">
        <f t="shared" si="11"/>
        <v>-5.3289036544850497</v>
      </c>
      <c r="G49" s="312"/>
      <c r="H49" s="312"/>
      <c r="I49" s="313"/>
      <c r="J49" s="312"/>
      <c r="K49" s="312"/>
      <c r="L49" s="313"/>
      <c r="M49" s="307"/>
      <c r="N49" s="307"/>
      <c r="O49" s="307"/>
      <c r="P49" s="307"/>
      <c r="Q49" s="307"/>
      <c r="R49" s="308"/>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7"/>
      <c r="BR49" s="307"/>
      <c r="BS49" s="307"/>
      <c r="BT49" s="307"/>
      <c r="BU49" s="307"/>
      <c r="BV49" s="307"/>
      <c r="BW49" s="307"/>
      <c r="BX49" s="307"/>
      <c r="BY49" s="307"/>
      <c r="BZ49" s="307"/>
      <c r="CA49" s="307"/>
      <c r="CB49" s="307"/>
      <c r="CC49" s="307"/>
      <c r="CD49" s="307"/>
      <c r="CE49" s="307"/>
      <c r="CF49" s="307"/>
      <c r="CG49" s="307"/>
      <c r="CH49" s="307"/>
      <c r="CI49" s="307"/>
      <c r="CJ49" s="307"/>
      <c r="CK49" s="307"/>
      <c r="CL49" s="307"/>
      <c r="CM49" s="307"/>
      <c r="CN49" s="307"/>
      <c r="CO49" s="307"/>
      <c r="CP49" s="307"/>
      <c r="CQ49" s="307"/>
      <c r="CR49" s="307"/>
      <c r="CS49" s="307"/>
      <c r="CT49" s="307"/>
      <c r="CU49" s="307"/>
      <c r="CV49" s="307"/>
      <c r="CW49" s="307"/>
      <c r="CX49" s="307"/>
      <c r="CY49" s="307"/>
      <c r="CZ49" s="307"/>
      <c r="DA49" s="307"/>
      <c r="DB49" s="307"/>
      <c r="DC49" s="307"/>
      <c r="DD49" s="307"/>
      <c r="DE49" s="307"/>
      <c r="DF49" s="307"/>
      <c r="DG49" s="307"/>
      <c r="DH49" s="307"/>
      <c r="DI49" s="307"/>
      <c r="DJ49" s="307"/>
      <c r="DK49" s="307"/>
      <c r="DL49" s="307"/>
      <c r="DM49" s="307"/>
      <c r="DN49" s="307"/>
      <c r="DO49" s="307"/>
      <c r="DP49" s="307"/>
      <c r="DQ49" s="307"/>
      <c r="DR49" s="307"/>
      <c r="DS49" s="307"/>
      <c r="DT49" s="307"/>
      <c r="DU49" s="307"/>
      <c r="DV49" s="307"/>
      <c r="DW49" s="307"/>
      <c r="DX49" s="307"/>
      <c r="DY49" s="307"/>
      <c r="DZ49" s="307"/>
      <c r="EA49" s="307"/>
      <c r="EB49" s="307"/>
      <c r="EC49" s="307"/>
      <c r="ED49" s="307"/>
      <c r="EE49" s="307"/>
      <c r="EF49" s="307"/>
      <c r="EG49" s="307"/>
      <c r="EH49" s="307"/>
      <c r="EI49" s="307"/>
      <c r="EJ49" s="307"/>
      <c r="EK49" s="307"/>
      <c r="EL49" s="307"/>
      <c r="EM49" s="307"/>
      <c r="EN49" s="307"/>
      <c r="EO49" s="307"/>
      <c r="EP49" s="307"/>
      <c r="EQ49" s="307"/>
      <c r="ER49" s="307"/>
      <c r="ES49" s="307"/>
      <c r="ET49" s="307"/>
      <c r="EU49" s="307"/>
      <c r="EV49" s="307"/>
      <c r="EW49" s="307"/>
      <c r="EX49" s="307"/>
      <c r="EY49" s="307"/>
      <c r="EZ49" s="307"/>
      <c r="FA49" s="307"/>
      <c r="FB49" s="307"/>
      <c r="FC49" s="307"/>
      <c r="FD49" s="307"/>
      <c r="FE49" s="307"/>
      <c r="FF49" s="307"/>
      <c r="FG49" s="307"/>
      <c r="FH49" s="307"/>
      <c r="FI49" s="307"/>
      <c r="FJ49" s="307"/>
      <c r="FK49" s="307"/>
      <c r="FL49" s="307"/>
      <c r="FM49" s="307"/>
      <c r="FN49" s="307"/>
      <c r="FO49" s="307"/>
      <c r="FP49" s="307"/>
      <c r="FQ49" s="307"/>
      <c r="FR49" s="307"/>
      <c r="FS49" s="307"/>
      <c r="FT49" s="307"/>
      <c r="FU49" s="307"/>
      <c r="FV49" s="307"/>
      <c r="FW49" s="307"/>
      <c r="FX49" s="307"/>
      <c r="FY49" s="307"/>
      <c r="FZ49" s="307"/>
      <c r="GA49" s="307"/>
      <c r="GB49" s="307"/>
      <c r="GC49" s="307"/>
      <c r="GD49" s="307"/>
      <c r="GE49" s="307"/>
      <c r="GF49" s="307"/>
      <c r="GG49" s="307"/>
      <c r="GH49" s="307"/>
      <c r="GI49" s="307"/>
      <c r="GJ49" s="307"/>
      <c r="GK49" s="307"/>
      <c r="GL49" s="307"/>
      <c r="GM49" s="307"/>
      <c r="GN49" s="307"/>
      <c r="GO49" s="307"/>
      <c r="GP49" s="307"/>
      <c r="GQ49" s="307"/>
      <c r="GR49" s="307"/>
      <c r="GS49" s="307"/>
      <c r="GT49" s="307"/>
      <c r="GU49" s="307"/>
      <c r="GV49" s="307"/>
      <c r="GW49" s="307"/>
      <c r="GX49" s="307"/>
      <c r="GY49" s="307"/>
      <c r="GZ49" s="307"/>
      <c r="HA49" s="307"/>
      <c r="HB49" s="307"/>
      <c r="HC49" s="307"/>
      <c r="HD49" s="307"/>
      <c r="HE49" s="307"/>
      <c r="HF49" s="307"/>
      <c r="HG49" s="307"/>
      <c r="HH49" s="307"/>
      <c r="HI49" s="307"/>
      <c r="HJ49" s="307"/>
      <c r="HK49" s="307"/>
      <c r="HL49" s="307"/>
      <c r="HM49" s="307"/>
      <c r="HN49" s="307"/>
      <c r="HO49" s="307"/>
      <c r="HP49" s="307"/>
      <c r="HQ49" s="307"/>
      <c r="HR49" s="307"/>
      <c r="HS49" s="307"/>
      <c r="HT49" s="307"/>
      <c r="HU49" s="307"/>
      <c r="HV49" s="307"/>
      <c r="HW49" s="307"/>
      <c r="HX49" s="307"/>
      <c r="HY49" s="307"/>
      <c r="HZ49" s="307"/>
      <c r="IA49" s="307"/>
      <c r="IB49" s="307"/>
      <c r="IC49" s="307"/>
      <c r="ID49" s="307"/>
      <c r="IE49" s="307"/>
      <c r="IF49" s="307"/>
      <c r="IG49" s="307"/>
      <c r="IH49" s="307"/>
      <c r="II49" s="307"/>
      <c r="IJ49" s="307"/>
      <c r="IK49" s="307"/>
      <c r="IL49" s="307"/>
      <c r="IM49" s="307"/>
      <c r="IN49" s="307"/>
      <c r="IO49" s="307"/>
      <c r="IP49" s="307"/>
      <c r="IQ49" s="307"/>
      <c r="IR49" s="307"/>
      <c r="IS49" s="307"/>
      <c r="IT49" s="307"/>
      <c r="IU49" s="307"/>
    </row>
    <row r="50" spans="1:255" ht="15.5">
      <c r="A50" s="324"/>
      <c r="B50" s="307"/>
      <c r="C50" s="310"/>
      <c r="D50" s="312"/>
      <c r="E50" s="321"/>
      <c r="F50" s="313"/>
      <c r="G50" s="312"/>
      <c r="H50" s="312"/>
      <c r="I50" s="313"/>
      <c r="J50" s="312"/>
      <c r="K50" s="312"/>
      <c r="L50" s="313"/>
      <c r="M50" s="307"/>
      <c r="N50" s="307"/>
      <c r="O50" s="307"/>
      <c r="P50" s="307"/>
      <c r="Q50" s="307"/>
      <c r="R50" s="308"/>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7"/>
      <c r="BQ50" s="307"/>
      <c r="BR50" s="307"/>
      <c r="BS50" s="307"/>
      <c r="BT50" s="307"/>
      <c r="BU50" s="307"/>
      <c r="BV50" s="307"/>
      <c r="BW50" s="307"/>
      <c r="BX50" s="307"/>
      <c r="BY50" s="307"/>
      <c r="BZ50" s="307"/>
      <c r="CA50" s="307"/>
      <c r="CB50" s="307"/>
      <c r="CC50" s="307"/>
      <c r="CD50" s="307"/>
      <c r="CE50" s="307"/>
      <c r="CF50" s="307"/>
      <c r="CG50" s="307"/>
      <c r="CH50" s="307"/>
      <c r="CI50" s="307"/>
      <c r="CJ50" s="307"/>
      <c r="CK50" s="307"/>
      <c r="CL50" s="307"/>
      <c r="CM50" s="307"/>
      <c r="CN50" s="307"/>
      <c r="CO50" s="307"/>
      <c r="CP50" s="307"/>
      <c r="CQ50" s="307"/>
      <c r="CR50" s="307"/>
      <c r="CS50" s="307"/>
      <c r="CT50" s="307"/>
      <c r="CU50" s="307"/>
      <c r="CV50" s="307"/>
      <c r="CW50" s="307"/>
      <c r="CX50" s="307"/>
      <c r="CY50" s="307"/>
      <c r="CZ50" s="307"/>
      <c r="DA50" s="307"/>
      <c r="DB50" s="307"/>
      <c r="DC50" s="307"/>
      <c r="DD50" s="307"/>
      <c r="DE50" s="307"/>
      <c r="DF50" s="307"/>
      <c r="DG50" s="307"/>
      <c r="DH50" s="307"/>
      <c r="DI50" s="307"/>
      <c r="DJ50" s="307"/>
      <c r="DK50" s="307"/>
      <c r="DL50" s="307"/>
      <c r="DM50" s="307"/>
      <c r="DN50" s="307"/>
      <c r="DO50" s="307"/>
      <c r="DP50" s="307"/>
      <c r="DQ50" s="307"/>
      <c r="DR50" s="307"/>
      <c r="DS50" s="307"/>
      <c r="DT50" s="307"/>
      <c r="DU50" s="307"/>
      <c r="DV50" s="307"/>
      <c r="DW50" s="307"/>
      <c r="DX50" s="307"/>
      <c r="DY50" s="307"/>
      <c r="DZ50" s="307"/>
      <c r="EA50" s="307"/>
      <c r="EB50" s="307"/>
      <c r="EC50" s="307"/>
      <c r="ED50" s="307"/>
      <c r="EE50" s="307"/>
      <c r="EF50" s="307"/>
      <c r="EG50" s="307"/>
      <c r="EH50" s="307"/>
      <c r="EI50" s="307"/>
      <c r="EJ50" s="307"/>
      <c r="EK50" s="307"/>
      <c r="EL50" s="307"/>
      <c r="EM50" s="307"/>
      <c r="EN50" s="307"/>
      <c r="EO50" s="307"/>
      <c r="EP50" s="307"/>
      <c r="EQ50" s="307"/>
      <c r="ER50" s="307"/>
      <c r="ES50" s="307"/>
      <c r="ET50" s="307"/>
      <c r="EU50" s="307"/>
      <c r="EV50" s="307"/>
      <c r="EW50" s="307"/>
      <c r="EX50" s="307"/>
      <c r="EY50" s="307"/>
      <c r="EZ50" s="307"/>
      <c r="FA50" s="307"/>
      <c r="FB50" s="307"/>
      <c r="FC50" s="307"/>
      <c r="FD50" s="307"/>
      <c r="FE50" s="307"/>
      <c r="FF50" s="307"/>
      <c r="FG50" s="307"/>
      <c r="FH50" s="307"/>
      <c r="FI50" s="307"/>
      <c r="FJ50" s="307"/>
      <c r="FK50" s="307"/>
      <c r="FL50" s="307"/>
      <c r="FM50" s="307"/>
      <c r="FN50" s="307"/>
      <c r="FO50" s="307"/>
      <c r="FP50" s="307"/>
      <c r="FQ50" s="307"/>
      <c r="FR50" s="307"/>
      <c r="FS50" s="307"/>
      <c r="FT50" s="307"/>
      <c r="FU50" s="307"/>
      <c r="FV50" s="307"/>
      <c r="FW50" s="307"/>
      <c r="FX50" s="307"/>
      <c r="FY50" s="307"/>
      <c r="FZ50" s="307"/>
      <c r="GA50" s="307"/>
      <c r="GB50" s="307"/>
      <c r="GC50" s="307"/>
      <c r="GD50" s="307"/>
      <c r="GE50" s="307"/>
      <c r="GF50" s="307"/>
      <c r="GG50" s="307"/>
      <c r="GH50" s="307"/>
      <c r="GI50" s="307"/>
      <c r="GJ50" s="307"/>
      <c r="GK50" s="307"/>
      <c r="GL50" s="307"/>
      <c r="GM50" s="307"/>
      <c r="GN50" s="307"/>
      <c r="GO50" s="307"/>
      <c r="GP50" s="307"/>
      <c r="GQ50" s="307"/>
      <c r="GR50" s="307"/>
      <c r="GS50" s="307"/>
      <c r="GT50" s="307"/>
      <c r="GU50" s="307"/>
      <c r="GV50" s="307"/>
      <c r="GW50" s="307"/>
      <c r="GX50" s="307"/>
      <c r="GY50" s="307"/>
      <c r="GZ50" s="307"/>
      <c r="HA50" s="307"/>
      <c r="HB50" s="307"/>
      <c r="HC50" s="307"/>
      <c r="HD50" s="307"/>
      <c r="HE50" s="307"/>
      <c r="HF50" s="307"/>
      <c r="HG50" s="307"/>
      <c r="HH50" s="307"/>
      <c r="HI50" s="307"/>
      <c r="HJ50" s="307"/>
      <c r="HK50" s="307"/>
      <c r="HL50" s="307"/>
      <c r="HM50" s="307"/>
      <c r="HN50" s="307"/>
      <c r="HO50" s="307"/>
      <c r="HP50" s="307"/>
      <c r="HQ50" s="307"/>
      <c r="HR50" s="307"/>
      <c r="HS50" s="307"/>
      <c r="HT50" s="307"/>
      <c r="HU50" s="307"/>
      <c r="HV50" s="307"/>
      <c r="HW50" s="307"/>
      <c r="HX50" s="307"/>
      <c r="HY50" s="307"/>
      <c r="HZ50" s="307"/>
      <c r="IA50" s="307"/>
      <c r="IB50" s="307"/>
      <c r="IC50" s="307"/>
      <c r="ID50" s="307"/>
      <c r="IE50" s="307"/>
      <c r="IF50" s="307"/>
      <c r="IG50" s="307"/>
      <c r="IH50" s="307"/>
      <c r="II50" s="307"/>
      <c r="IJ50" s="307"/>
      <c r="IK50" s="307"/>
      <c r="IL50" s="307"/>
      <c r="IM50" s="307"/>
      <c r="IN50" s="307"/>
      <c r="IO50" s="307"/>
      <c r="IP50" s="307"/>
      <c r="IQ50" s="307"/>
      <c r="IR50" s="307"/>
      <c r="IS50" s="307"/>
      <c r="IT50" s="307"/>
      <c r="IU50" s="307"/>
    </row>
    <row r="51" spans="1:255" ht="15.5">
      <c r="A51" s="324"/>
      <c r="B51" s="307"/>
      <c r="C51" s="310"/>
      <c r="D51" s="312"/>
      <c r="E51" s="321"/>
      <c r="F51" s="313"/>
      <c r="G51" s="312"/>
      <c r="H51" s="312"/>
      <c r="I51" s="313"/>
      <c r="J51" s="312"/>
      <c r="K51" s="312"/>
      <c r="L51" s="313"/>
      <c r="M51" s="307"/>
      <c r="N51" s="307"/>
      <c r="O51" s="307"/>
      <c r="P51" s="307"/>
      <c r="Q51" s="307"/>
      <c r="R51" s="308"/>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7"/>
      <c r="BQ51" s="307"/>
      <c r="BR51" s="307"/>
      <c r="BS51" s="307"/>
      <c r="BT51" s="307"/>
      <c r="BU51" s="307"/>
      <c r="BV51" s="307"/>
      <c r="BW51" s="307"/>
      <c r="BX51" s="307"/>
      <c r="BY51" s="307"/>
      <c r="BZ51" s="307"/>
      <c r="CA51" s="307"/>
      <c r="CB51" s="307"/>
      <c r="CC51" s="307"/>
      <c r="CD51" s="307"/>
      <c r="CE51" s="307"/>
      <c r="CF51" s="307"/>
      <c r="CG51" s="307"/>
      <c r="CH51" s="307"/>
      <c r="CI51" s="307"/>
      <c r="CJ51" s="307"/>
      <c r="CK51" s="307"/>
      <c r="CL51" s="307"/>
      <c r="CM51" s="307"/>
      <c r="CN51" s="307"/>
      <c r="CO51" s="307"/>
      <c r="CP51" s="307"/>
      <c r="CQ51" s="307"/>
      <c r="CR51" s="307"/>
      <c r="CS51" s="307"/>
      <c r="CT51" s="307"/>
      <c r="CU51" s="307"/>
      <c r="CV51" s="307"/>
      <c r="CW51" s="307"/>
      <c r="CX51" s="307"/>
      <c r="CY51" s="307"/>
      <c r="CZ51" s="307"/>
      <c r="DA51" s="307"/>
      <c r="DB51" s="307"/>
      <c r="DC51" s="307"/>
      <c r="DD51" s="307"/>
      <c r="DE51" s="307"/>
      <c r="DF51" s="307"/>
      <c r="DG51" s="307"/>
      <c r="DH51" s="307"/>
      <c r="DI51" s="307"/>
      <c r="DJ51" s="307"/>
      <c r="DK51" s="307"/>
      <c r="DL51" s="307"/>
      <c r="DM51" s="307"/>
      <c r="DN51" s="307"/>
      <c r="DO51" s="307"/>
      <c r="DP51" s="307"/>
      <c r="DQ51" s="307"/>
      <c r="DR51" s="307"/>
      <c r="DS51" s="307"/>
      <c r="DT51" s="307"/>
      <c r="DU51" s="307"/>
      <c r="DV51" s="307"/>
      <c r="DW51" s="307"/>
      <c r="DX51" s="307"/>
      <c r="DY51" s="307"/>
      <c r="DZ51" s="307"/>
      <c r="EA51" s="307"/>
      <c r="EB51" s="307"/>
      <c r="EC51" s="307"/>
      <c r="ED51" s="307"/>
      <c r="EE51" s="307"/>
      <c r="EF51" s="307"/>
      <c r="EG51" s="307"/>
      <c r="EH51" s="307"/>
      <c r="EI51" s="307"/>
      <c r="EJ51" s="307"/>
      <c r="EK51" s="307"/>
      <c r="EL51" s="307"/>
      <c r="EM51" s="307"/>
      <c r="EN51" s="307"/>
      <c r="EO51" s="307"/>
      <c r="EP51" s="307"/>
      <c r="EQ51" s="307"/>
      <c r="ER51" s="307"/>
      <c r="ES51" s="307"/>
      <c r="ET51" s="307"/>
      <c r="EU51" s="307"/>
      <c r="EV51" s="307"/>
      <c r="EW51" s="307"/>
      <c r="EX51" s="307"/>
      <c r="EY51" s="307"/>
      <c r="EZ51" s="307"/>
      <c r="FA51" s="307"/>
      <c r="FB51" s="307"/>
      <c r="FC51" s="307"/>
      <c r="FD51" s="307"/>
      <c r="FE51" s="307"/>
      <c r="FF51" s="307"/>
      <c r="FG51" s="307"/>
      <c r="FH51" s="307"/>
      <c r="FI51" s="307"/>
      <c r="FJ51" s="307"/>
      <c r="FK51" s="307"/>
      <c r="FL51" s="307"/>
      <c r="FM51" s="307"/>
      <c r="FN51" s="307"/>
      <c r="FO51" s="307"/>
      <c r="FP51" s="307"/>
      <c r="FQ51" s="307"/>
      <c r="FR51" s="307"/>
      <c r="FS51" s="307"/>
      <c r="FT51" s="307"/>
      <c r="FU51" s="307"/>
      <c r="FV51" s="307"/>
      <c r="FW51" s="307"/>
      <c r="FX51" s="307"/>
      <c r="FY51" s="307"/>
      <c r="FZ51" s="307"/>
      <c r="GA51" s="307"/>
      <c r="GB51" s="307"/>
      <c r="GC51" s="307"/>
      <c r="GD51" s="307"/>
      <c r="GE51" s="307"/>
      <c r="GF51" s="307"/>
      <c r="GG51" s="307"/>
      <c r="GH51" s="307"/>
      <c r="GI51" s="307"/>
      <c r="GJ51" s="307"/>
      <c r="GK51" s="307"/>
      <c r="GL51" s="307"/>
      <c r="GM51" s="307"/>
      <c r="GN51" s="307"/>
      <c r="GO51" s="307"/>
      <c r="GP51" s="307"/>
      <c r="GQ51" s="307"/>
      <c r="GR51" s="307"/>
      <c r="GS51" s="307"/>
      <c r="GT51" s="307"/>
      <c r="GU51" s="307"/>
      <c r="GV51" s="307"/>
      <c r="GW51" s="307"/>
      <c r="GX51" s="307"/>
      <c r="GY51" s="307"/>
      <c r="GZ51" s="307"/>
      <c r="HA51" s="307"/>
      <c r="HB51" s="307"/>
      <c r="HC51" s="307"/>
      <c r="HD51" s="307"/>
      <c r="HE51" s="307"/>
      <c r="HF51" s="307"/>
      <c r="HG51" s="307"/>
      <c r="HH51" s="307"/>
      <c r="HI51" s="307"/>
      <c r="HJ51" s="307"/>
      <c r="HK51" s="307"/>
      <c r="HL51" s="307"/>
      <c r="HM51" s="307"/>
      <c r="HN51" s="307"/>
      <c r="HO51" s="307"/>
      <c r="HP51" s="307"/>
      <c r="HQ51" s="307"/>
      <c r="HR51" s="307"/>
      <c r="HS51" s="307"/>
      <c r="HT51" s="307"/>
      <c r="HU51" s="307"/>
      <c r="HV51" s="307"/>
      <c r="HW51" s="307"/>
      <c r="HX51" s="307"/>
      <c r="HY51" s="307"/>
      <c r="HZ51" s="307"/>
      <c r="IA51" s="307"/>
      <c r="IB51" s="307"/>
      <c r="IC51" s="307"/>
      <c r="ID51" s="307"/>
      <c r="IE51" s="307"/>
      <c r="IF51" s="307"/>
      <c r="IG51" s="307"/>
      <c r="IH51" s="307"/>
      <c r="II51" s="307"/>
      <c r="IJ51" s="307"/>
      <c r="IK51" s="307"/>
      <c r="IL51" s="307"/>
      <c r="IM51" s="307"/>
      <c r="IN51" s="307"/>
      <c r="IO51" s="307"/>
      <c r="IP51" s="307"/>
      <c r="IQ51" s="307"/>
      <c r="IR51" s="307"/>
      <c r="IS51" s="307"/>
      <c r="IT51" s="307"/>
      <c r="IU51" s="307"/>
    </row>
    <row r="52" spans="1:255" ht="15.5">
      <c r="A52" s="319" t="s">
        <v>228</v>
      </c>
      <c r="B52" s="307"/>
      <c r="C52" s="310"/>
      <c r="D52" s="312"/>
      <c r="E52" s="321"/>
      <c r="F52" s="313"/>
      <c r="G52" s="312"/>
      <c r="H52" s="312"/>
      <c r="I52" s="313"/>
      <c r="J52" s="312"/>
      <c r="K52" s="312"/>
      <c r="L52" s="313"/>
      <c r="M52" s="307"/>
      <c r="N52" s="307"/>
      <c r="O52" s="307"/>
      <c r="P52" s="307"/>
      <c r="Q52" s="307"/>
      <c r="R52" s="308"/>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7"/>
      <c r="BR52" s="307"/>
      <c r="BS52" s="307"/>
      <c r="BT52" s="307"/>
      <c r="BU52" s="307"/>
      <c r="BV52" s="307"/>
      <c r="BW52" s="307"/>
      <c r="BX52" s="307"/>
      <c r="BY52" s="307"/>
      <c r="BZ52" s="307"/>
      <c r="CA52" s="307"/>
      <c r="CB52" s="307"/>
      <c r="CC52" s="307"/>
      <c r="CD52" s="307"/>
      <c r="CE52" s="307"/>
      <c r="CF52" s="307"/>
      <c r="CG52" s="307"/>
      <c r="CH52" s="307"/>
      <c r="CI52" s="307"/>
      <c r="CJ52" s="307"/>
      <c r="CK52" s="307"/>
      <c r="CL52" s="307"/>
      <c r="CM52" s="307"/>
      <c r="CN52" s="307"/>
      <c r="CO52" s="307"/>
      <c r="CP52" s="307"/>
      <c r="CQ52" s="307"/>
      <c r="CR52" s="307"/>
      <c r="CS52" s="307"/>
      <c r="CT52" s="307"/>
      <c r="CU52" s="307"/>
      <c r="CV52" s="307"/>
      <c r="CW52" s="307"/>
      <c r="CX52" s="307"/>
      <c r="CY52" s="307"/>
      <c r="CZ52" s="307"/>
      <c r="DA52" s="307"/>
      <c r="DB52" s="307"/>
      <c r="DC52" s="307"/>
      <c r="DD52" s="307"/>
      <c r="DE52" s="307"/>
      <c r="DF52" s="307"/>
      <c r="DG52" s="307"/>
      <c r="DH52" s="307"/>
      <c r="DI52" s="307"/>
      <c r="DJ52" s="307"/>
      <c r="DK52" s="307"/>
      <c r="DL52" s="307"/>
      <c r="DM52" s="307"/>
      <c r="DN52" s="307"/>
      <c r="DO52" s="307"/>
      <c r="DP52" s="307"/>
      <c r="DQ52" s="307"/>
      <c r="DR52" s="307"/>
      <c r="DS52" s="307"/>
      <c r="DT52" s="307"/>
      <c r="DU52" s="307"/>
      <c r="DV52" s="307"/>
      <c r="DW52" s="307"/>
      <c r="DX52" s="307"/>
      <c r="DY52" s="307"/>
      <c r="DZ52" s="307"/>
      <c r="EA52" s="307"/>
      <c r="EB52" s="307"/>
      <c r="EC52" s="307"/>
      <c r="ED52" s="307"/>
      <c r="EE52" s="307"/>
      <c r="EF52" s="307"/>
      <c r="EG52" s="307"/>
      <c r="EH52" s="307"/>
      <c r="EI52" s="307"/>
      <c r="EJ52" s="307"/>
      <c r="EK52" s="307"/>
      <c r="EL52" s="307"/>
      <c r="EM52" s="307"/>
      <c r="EN52" s="307"/>
      <c r="EO52" s="307"/>
      <c r="EP52" s="307"/>
      <c r="EQ52" s="307"/>
      <c r="ER52" s="307"/>
      <c r="ES52" s="307"/>
      <c r="ET52" s="307"/>
      <c r="EU52" s="307"/>
      <c r="EV52" s="307"/>
      <c r="EW52" s="307"/>
      <c r="EX52" s="307"/>
      <c r="EY52" s="307"/>
      <c r="EZ52" s="307"/>
      <c r="FA52" s="307"/>
      <c r="FB52" s="307"/>
      <c r="FC52" s="307"/>
      <c r="FD52" s="307"/>
      <c r="FE52" s="307"/>
      <c r="FF52" s="307"/>
      <c r="FG52" s="307"/>
      <c r="FH52" s="307"/>
      <c r="FI52" s="307"/>
      <c r="FJ52" s="307"/>
      <c r="FK52" s="307"/>
      <c r="FL52" s="307"/>
      <c r="FM52" s="307"/>
      <c r="FN52" s="307"/>
      <c r="FO52" s="307"/>
      <c r="FP52" s="307"/>
      <c r="FQ52" s="307"/>
      <c r="FR52" s="307"/>
      <c r="FS52" s="307"/>
      <c r="FT52" s="307"/>
      <c r="FU52" s="307"/>
      <c r="FV52" s="307"/>
      <c r="FW52" s="307"/>
      <c r="FX52" s="307"/>
      <c r="FY52" s="307"/>
      <c r="FZ52" s="307"/>
      <c r="GA52" s="307"/>
      <c r="GB52" s="307"/>
      <c r="GC52" s="307"/>
      <c r="GD52" s="307"/>
      <c r="GE52" s="307"/>
      <c r="GF52" s="307"/>
      <c r="GG52" s="307"/>
      <c r="GH52" s="307"/>
      <c r="GI52" s="307"/>
      <c r="GJ52" s="307"/>
      <c r="GK52" s="307"/>
      <c r="GL52" s="307"/>
      <c r="GM52" s="307"/>
      <c r="GN52" s="307"/>
      <c r="GO52" s="307"/>
      <c r="GP52" s="307"/>
      <c r="GQ52" s="307"/>
      <c r="GR52" s="307"/>
      <c r="GS52" s="307"/>
      <c r="GT52" s="307"/>
      <c r="GU52" s="307"/>
      <c r="GV52" s="307"/>
      <c r="GW52" s="307"/>
      <c r="GX52" s="307"/>
      <c r="GY52" s="307"/>
      <c r="GZ52" s="307"/>
      <c r="HA52" s="307"/>
      <c r="HB52" s="307"/>
      <c r="HC52" s="307"/>
      <c r="HD52" s="307"/>
      <c r="HE52" s="307"/>
      <c r="HF52" s="307"/>
      <c r="HG52" s="307"/>
      <c r="HH52" s="307"/>
      <c r="HI52" s="307"/>
      <c r="HJ52" s="307"/>
      <c r="HK52" s="307"/>
      <c r="HL52" s="307"/>
      <c r="HM52" s="307"/>
      <c r="HN52" s="307"/>
      <c r="HO52" s="307"/>
      <c r="HP52" s="307"/>
      <c r="HQ52" s="307"/>
      <c r="HR52" s="307"/>
      <c r="HS52" s="307"/>
      <c r="HT52" s="307"/>
      <c r="HU52" s="307"/>
      <c r="HV52" s="307"/>
      <c r="HW52" s="307"/>
      <c r="HX52" s="307"/>
      <c r="HY52" s="307"/>
      <c r="HZ52" s="307"/>
      <c r="IA52" s="307"/>
      <c r="IB52" s="307"/>
      <c r="IC52" s="307"/>
      <c r="ID52" s="307"/>
      <c r="IE52" s="307"/>
      <c r="IF52" s="307"/>
      <c r="IG52" s="307"/>
      <c r="IH52" s="307"/>
      <c r="II52" s="307"/>
      <c r="IJ52" s="307"/>
      <c r="IK52" s="307"/>
      <c r="IL52" s="307"/>
      <c r="IM52" s="307"/>
      <c r="IN52" s="307"/>
      <c r="IO52" s="307"/>
      <c r="IP52" s="307"/>
      <c r="IQ52" s="307"/>
      <c r="IR52" s="307"/>
      <c r="IS52" s="307"/>
      <c r="IT52" s="307"/>
      <c r="IU52" s="307"/>
    </row>
    <row r="53" spans="1:255" ht="15.5">
      <c r="A53" s="324"/>
      <c r="B53" s="307" t="s">
        <v>215</v>
      </c>
      <c r="C53" s="310"/>
      <c r="D53" s="312">
        <f>+ROUND(E53*(1+$F$7),3)</f>
        <v>-0.12</v>
      </c>
      <c r="E53" s="321">
        <v>-1E-3</v>
      </c>
      <c r="F53" s="313">
        <f t="shared" ref="F53:F61" si="13">-1+D53/E53</f>
        <v>119</v>
      </c>
      <c r="G53" s="312"/>
      <c r="H53" s="312"/>
      <c r="I53" s="313"/>
      <c r="J53" s="312"/>
      <c r="K53" s="312"/>
      <c r="L53" s="313"/>
      <c r="M53" s="307"/>
      <c r="N53" s="307"/>
      <c r="O53" s="307"/>
      <c r="P53" s="307"/>
      <c r="Q53" s="307"/>
      <c r="R53" s="308"/>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7"/>
      <c r="BR53" s="307"/>
      <c r="BS53" s="307"/>
      <c r="BT53" s="307"/>
      <c r="BU53" s="307"/>
      <c r="BV53" s="307"/>
      <c r="BW53" s="307"/>
      <c r="BX53" s="307"/>
      <c r="BY53" s="307"/>
      <c r="BZ53" s="307"/>
      <c r="CA53" s="307"/>
      <c r="CB53" s="307"/>
      <c r="CC53" s="307"/>
      <c r="CD53" s="307"/>
      <c r="CE53" s="307"/>
      <c r="CF53" s="307"/>
      <c r="CG53" s="307"/>
      <c r="CH53" s="307"/>
      <c r="CI53" s="307"/>
      <c r="CJ53" s="307"/>
      <c r="CK53" s="307"/>
      <c r="CL53" s="307"/>
      <c r="CM53" s="307"/>
      <c r="CN53" s="307"/>
      <c r="CO53" s="307"/>
      <c r="CP53" s="307"/>
      <c r="CQ53" s="307"/>
      <c r="CR53" s="307"/>
      <c r="CS53" s="307"/>
      <c r="CT53" s="307"/>
      <c r="CU53" s="307"/>
      <c r="CV53" s="307"/>
      <c r="CW53" s="307"/>
      <c r="CX53" s="307"/>
      <c r="CY53" s="307"/>
      <c r="CZ53" s="307"/>
      <c r="DA53" s="307"/>
      <c r="DB53" s="307"/>
      <c r="DC53" s="307"/>
      <c r="DD53" s="307"/>
      <c r="DE53" s="307"/>
      <c r="DF53" s="307"/>
      <c r="DG53" s="307"/>
      <c r="DH53" s="307"/>
      <c r="DI53" s="307"/>
      <c r="DJ53" s="307"/>
      <c r="DK53" s="307"/>
      <c r="DL53" s="307"/>
      <c r="DM53" s="307"/>
      <c r="DN53" s="307"/>
      <c r="DO53" s="307"/>
      <c r="DP53" s="307"/>
      <c r="DQ53" s="307"/>
      <c r="DR53" s="307"/>
      <c r="DS53" s="307"/>
      <c r="DT53" s="307"/>
      <c r="DU53" s="307"/>
      <c r="DV53" s="307"/>
      <c r="DW53" s="307"/>
      <c r="DX53" s="307"/>
      <c r="DY53" s="307"/>
      <c r="DZ53" s="307"/>
      <c r="EA53" s="307"/>
      <c r="EB53" s="307"/>
      <c r="EC53" s="307"/>
      <c r="ED53" s="307"/>
      <c r="EE53" s="307"/>
      <c r="EF53" s="307"/>
      <c r="EG53" s="307"/>
      <c r="EH53" s="307"/>
      <c r="EI53" s="307"/>
      <c r="EJ53" s="307"/>
      <c r="EK53" s="307"/>
      <c r="EL53" s="307"/>
      <c r="EM53" s="307"/>
      <c r="EN53" s="307"/>
      <c r="EO53" s="307"/>
      <c r="EP53" s="307"/>
      <c r="EQ53" s="307"/>
      <c r="ER53" s="307"/>
      <c r="ES53" s="307"/>
      <c r="ET53" s="307"/>
      <c r="EU53" s="307"/>
      <c r="EV53" s="307"/>
      <c r="EW53" s="307"/>
      <c r="EX53" s="307"/>
      <c r="EY53" s="307"/>
      <c r="EZ53" s="307"/>
      <c r="FA53" s="307"/>
      <c r="FB53" s="307"/>
      <c r="FC53" s="307"/>
      <c r="FD53" s="307"/>
      <c r="FE53" s="307"/>
      <c r="FF53" s="307"/>
      <c r="FG53" s="307"/>
      <c r="FH53" s="307"/>
      <c r="FI53" s="307"/>
      <c r="FJ53" s="307"/>
      <c r="FK53" s="307"/>
      <c r="FL53" s="307"/>
      <c r="FM53" s="307"/>
      <c r="FN53" s="307"/>
      <c r="FO53" s="307"/>
      <c r="FP53" s="307"/>
      <c r="FQ53" s="307"/>
      <c r="FR53" s="307"/>
      <c r="FS53" s="307"/>
      <c r="FT53" s="307"/>
      <c r="FU53" s="307"/>
      <c r="FV53" s="307"/>
      <c r="FW53" s="307"/>
      <c r="FX53" s="307"/>
      <c r="FY53" s="307"/>
      <c r="FZ53" s="307"/>
      <c r="GA53" s="307"/>
      <c r="GB53" s="307"/>
      <c r="GC53" s="307"/>
      <c r="GD53" s="307"/>
      <c r="GE53" s="307"/>
      <c r="GF53" s="307"/>
      <c r="GG53" s="307"/>
      <c r="GH53" s="307"/>
      <c r="GI53" s="307"/>
      <c r="GJ53" s="307"/>
      <c r="GK53" s="307"/>
      <c r="GL53" s="307"/>
      <c r="GM53" s="307"/>
      <c r="GN53" s="307"/>
      <c r="GO53" s="307"/>
      <c r="GP53" s="307"/>
      <c r="GQ53" s="307"/>
      <c r="GR53" s="307"/>
      <c r="GS53" s="307"/>
      <c r="GT53" s="307"/>
      <c r="GU53" s="307"/>
      <c r="GV53" s="307"/>
      <c r="GW53" s="307"/>
      <c r="GX53" s="307"/>
      <c r="GY53" s="307"/>
      <c r="GZ53" s="307"/>
      <c r="HA53" s="307"/>
      <c r="HB53" s="307"/>
      <c r="HC53" s="307"/>
      <c r="HD53" s="307"/>
      <c r="HE53" s="307"/>
      <c r="HF53" s="307"/>
      <c r="HG53" s="307"/>
      <c r="HH53" s="307"/>
      <c r="HI53" s="307"/>
      <c r="HJ53" s="307"/>
      <c r="HK53" s="307"/>
      <c r="HL53" s="307"/>
      <c r="HM53" s="307"/>
      <c r="HN53" s="307"/>
      <c r="HO53" s="307"/>
      <c r="HP53" s="307"/>
      <c r="HQ53" s="307"/>
      <c r="HR53" s="307"/>
      <c r="HS53" s="307"/>
      <c r="HT53" s="307"/>
      <c r="HU53" s="307"/>
      <c r="HV53" s="307"/>
      <c r="HW53" s="307"/>
      <c r="HX53" s="307"/>
      <c r="HY53" s="307"/>
      <c r="HZ53" s="307"/>
      <c r="IA53" s="307"/>
      <c r="IB53" s="307"/>
      <c r="IC53" s="307"/>
      <c r="ID53" s="307"/>
      <c r="IE53" s="307"/>
      <c r="IF53" s="307"/>
      <c r="IG53" s="307"/>
      <c r="IH53" s="307"/>
      <c r="II53" s="307"/>
      <c r="IJ53" s="307"/>
      <c r="IK53" s="307"/>
      <c r="IL53" s="307"/>
      <c r="IM53" s="307"/>
      <c r="IN53" s="307"/>
      <c r="IO53" s="307"/>
      <c r="IP53" s="307"/>
      <c r="IQ53" s="307"/>
      <c r="IR53" s="307"/>
      <c r="IS53" s="307"/>
      <c r="IT53" s="307"/>
      <c r="IU53" s="307"/>
    </row>
    <row r="54" spans="1:255" ht="15.5">
      <c r="A54" s="324"/>
      <c r="B54" s="307" t="s">
        <v>216</v>
      </c>
      <c r="C54" s="310"/>
      <c r="D54" s="312">
        <f t="shared" ref="D54:D61" si="14">+ROUND(E54*(1+$F$7),3)</f>
        <v>-0.24099999999999999</v>
      </c>
      <c r="E54" s="321">
        <v>-2E-3</v>
      </c>
      <c r="F54" s="313">
        <f t="shared" si="13"/>
        <v>119.5</v>
      </c>
      <c r="G54" s="312"/>
      <c r="H54" s="312"/>
      <c r="I54" s="313"/>
      <c r="J54" s="312"/>
      <c r="K54" s="312"/>
      <c r="L54" s="313"/>
      <c r="M54" s="307"/>
      <c r="N54" s="307"/>
      <c r="O54" s="307"/>
      <c r="P54" s="307"/>
      <c r="Q54" s="307"/>
      <c r="R54" s="308"/>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307"/>
      <c r="BS54" s="307"/>
      <c r="BT54" s="307"/>
      <c r="BU54" s="307"/>
      <c r="BV54" s="307"/>
      <c r="BW54" s="307"/>
      <c r="BX54" s="307"/>
      <c r="BY54" s="307"/>
      <c r="BZ54" s="307"/>
      <c r="CA54" s="307"/>
      <c r="CB54" s="307"/>
      <c r="CC54" s="307"/>
      <c r="CD54" s="307"/>
      <c r="CE54" s="307"/>
      <c r="CF54" s="307"/>
      <c r="CG54" s="307"/>
      <c r="CH54" s="307"/>
      <c r="CI54" s="307"/>
      <c r="CJ54" s="307"/>
      <c r="CK54" s="307"/>
      <c r="CL54" s="307"/>
      <c r="CM54" s="307"/>
      <c r="CN54" s="307"/>
      <c r="CO54" s="307"/>
      <c r="CP54" s="307"/>
      <c r="CQ54" s="307"/>
      <c r="CR54" s="307"/>
      <c r="CS54" s="307"/>
      <c r="CT54" s="307"/>
      <c r="CU54" s="307"/>
      <c r="CV54" s="307"/>
      <c r="CW54" s="307"/>
      <c r="CX54" s="307"/>
      <c r="CY54" s="307"/>
      <c r="CZ54" s="307"/>
      <c r="DA54" s="307"/>
      <c r="DB54" s="307"/>
      <c r="DC54" s="307"/>
      <c r="DD54" s="307"/>
      <c r="DE54" s="307"/>
      <c r="DF54" s="307"/>
      <c r="DG54" s="307"/>
      <c r="DH54" s="307"/>
      <c r="DI54" s="307"/>
      <c r="DJ54" s="307"/>
      <c r="DK54" s="307"/>
      <c r="DL54" s="307"/>
      <c r="DM54" s="307"/>
      <c r="DN54" s="307"/>
      <c r="DO54" s="307"/>
      <c r="DP54" s="307"/>
      <c r="DQ54" s="307"/>
      <c r="DR54" s="307"/>
      <c r="DS54" s="307"/>
      <c r="DT54" s="307"/>
      <c r="DU54" s="307"/>
      <c r="DV54" s="307"/>
      <c r="DW54" s="307"/>
      <c r="DX54" s="307"/>
      <c r="DY54" s="307"/>
      <c r="DZ54" s="307"/>
      <c r="EA54" s="307"/>
      <c r="EB54" s="307"/>
      <c r="EC54" s="307"/>
      <c r="ED54" s="307"/>
      <c r="EE54" s="307"/>
      <c r="EF54" s="307"/>
      <c r="EG54" s="307"/>
      <c r="EH54" s="307"/>
      <c r="EI54" s="307"/>
      <c r="EJ54" s="307"/>
      <c r="EK54" s="307"/>
      <c r="EL54" s="307"/>
      <c r="EM54" s="307"/>
      <c r="EN54" s="307"/>
      <c r="EO54" s="307"/>
      <c r="EP54" s="307"/>
      <c r="EQ54" s="307"/>
      <c r="ER54" s="307"/>
      <c r="ES54" s="307"/>
      <c r="ET54" s="307"/>
      <c r="EU54" s="307"/>
      <c r="EV54" s="307"/>
      <c r="EW54" s="307"/>
      <c r="EX54" s="307"/>
      <c r="EY54" s="307"/>
      <c r="EZ54" s="307"/>
      <c r="FA54" s="307"/>
      <c r="FB54" s="307"/>
      <c r="FC54" s="307"/>
      <c r="FD54" s="307"/>
      <c r="FE54" s="307"/>
      <c r="FF54" s="307"/>
      <c r="FG54" s="307"/>
      <c r="FH54" s="307"/>
      <c r="FI54" s="307"/>
      <c r="FJ54" s="307"/>
      <c r="FK54" s="307"/>
      <c r="FL54" s="307"/>
      <c r="FM54" s="307"/>
      <c r="FN54" s="307"/>
      <c r="FO54" s="307"/>
      <c r="FP54" s="307"/>
      <c r="FQ54" s="307"/>
      <c r="FR54" s="307"/>
      <c r="FS54" s="307"/>
      <c r="FT54" s="307"/>
      <c r="FU54" s="307"/>
      <c r="FV54" s="307"/>
      <c r="FW54" s="307"/>
      <c r="FX54" s="307"/>
      <c r="FY54" s="307"/>
      <c r="FZ54" s="307"/>
      <c r="GA54" s="307"/>
      <c r="GB54" s="307"/>
      <c r="GC54" s="307"/>
      <c r="GD54" s="307"/>
      <c r="GE54" s="307"/>
      <c r="GF54" s="307"/>
      <c r="GG54" s="307"/>
      <c r="GH54" s="307"/>
      <c r="GI54" s="307"/>
      <c r="GJ54" s="307"/>
      <c r="GK54" s="307"/>
      <c r="GL54" s="307"/>
      <c r="GM54" s="307"/>
      <c r="GN54" s="307"/>
      <c r="GO54" s="307"/>
      <c r="GP54" s="307"/>
      <c r="GQ54" s="307"/>
      <c r="GR54" s="307"/>
      <c r="GS54" s="307"/>
      <c r="GT54" s="307"/>
      <c r="GU54" s="307"/>
      <c r="GV54" s="307"/>
      <c r="GW54" s="307"/>
      <c r="GX54" s="307"/>
      <c r="GY54" s="307"/>
      <c r="GZ54" s="307"/>
      <c r="HA54" s="307"/>
      <c r="HB54" s="307"/>
      <c r="HC54" s="307"/>
      <c r="HD54" s="307"/>
      <c r="HE54" s="307"/>
      <c r="HF54" s="307"/>
      <c r="HG54" s="307"/>
      <c r="HH54" s="307"/>
      <c r="HI54" s="307"/>
      <c r="HJ54" s="307"/>
      <c r="HK54" s="307"/>
      <c r="HL54" s="307"/>
      <c r="HM54" s="307"/>
      <c r="HN54" s="307"/>
      <c r="HO54" s="307"/>
      <c r="HP54" s="307"/>
      <c r="HQ54" s="307"/>
      <c r="HR54" s="307"/>
      <c r="HS54" s="307"/>
      <c r="HT54" s="307"/>
      <c r="HU54" s="307"/>
      <c r="HV54" s="307"/>
      <c r="HW54" s="307"/>
      <c r="HX54" s="307"/>
      <c r="HY54" s="307"/>
      <c r="HZ54" s="307"/>
      <c r="IA54" s="307"/>
      <c r="IB54" s="307"/>
      <c r="IC54" s="307"/>
      <c r="ID54" s="307"/>
      <c r="IE54" s="307"/>
      <c r="IF54" s="307"/>
      <c r="IG54" s="307"/>
      <c r="IH54" s="307"/>
      <c r="II54" s="307"/>
      <c r="IJ54" s="307"/>
      <c r="IK54" s="307"/>
      <c r="IL54" s="307"/>
      <c r="IM54" s="307"/>
      <c r="IN54" s="307"/>
      <c r="IO54" s="307"/>
      <c r="IP54" s="307"/>
      <c r="IQ54" s="307"/>
      <c r="IR54" s="307"/>
      <c r="IS54" s="307"/>
      <c r="IT54" s="307"/>
      <c r="IU54" s="307"/>
    </row>
    <row r="55" spans="1:255" ht="15.5">
      <c r="A55" s="324"/>
      <c r="B55" s="307" t="s">
        <v>217</v>
      </c>
      <c r="C55" s="310"/>
      <c r="D55" s="312">
        <f t="shared" si="14"/>
        <v>-0.36099999999999999</v>
      </c>
      <c r="E55" s="321">
        <v>-3.0000000000000001E-3</v>
      </c>
      <c r="F55" s="313">
        <f t="shared" si="13"/>
        <v>119.33333333333333</v>
      </c>
      <c r="G55" s="312"/>
      <c r="H55" s="312"/>
      <c r="I55" s="313"/>
      <c r="J55" s="312"/>
      <c r="K55" s="312"/>
      <c r="L55" s="313"/>
      <c r="M55" s="307"/>
      <c r="N55" s="307"/>
      <c r="O55" s="307"/>
      <c r="P55" s="307"/>
      <c r="Q55" s="307"/>
      <c r="R55" s="308"/>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c r="BI55" s="307"/>
      <c r="BJ55" s="307"/>
      <c r="BK55" s="307"/>
      <c r="BL55" s="307"/>
      <c r="BM55" s="307"/>
      <c r="BN55" s="307"/>
      <c r="BO55" s="307"/>
      <c r="BP55" s="307"/>
      <c r="BQ55" s="307"/>
      <c r="BR55" s="307"/>
      <c r="BS55" s="307"/>
      <c r="BT55" s="307"/>
      <c r="BU55" s="307"/>
      <c r="BV55" s="307"/>
      <c r="BW55" s="307"/>
      <c r="BX55" s="307"/>
      <c r="BY55" s="307"/>
      <c r="BZ55" s="307"/>
      <c r="CA55" s="307"/>
      <c r="CB55" s="307"/>
      <c r="CC55" s="307"/>
      <c r="CD55" s="307"/>
      <c r="CE55" s="307"/>
      <c r="CF55" s="307"/>
      <c r="CG55" s="307"/>
      <c r="CH55" s="307"/>
      <c r="CI55" s="307"/>
      <c r="CJ55" s="307"/>
      <c r="CK55" s="307"/>
      <c r="CL55" s="307"/>
      <c r="CM55" s="307"/>
      <c r="CN55" s="307"/>
      <c r="CO55" s="307"/>
      <c r="CP55" s="307"/>
      <c r="CQ55" s="307"/>
      <c r="CR55" s="307"/>
      <c r="CS55" s="307"/>
      <c r="CT55" s="307"/>
      <c r="CU55" s="307"/>
      <c r="CV55" s="307"/>
      <c r="CW55" s="307"/>
      <c r="CX55" s="307"/>
      <c r="CY55" s="307"/>
      <c r="CZ55" s="307"/>
      <c r="DA55" s="307"/>
      <c r="DB55" s="307"/>
      <c r="DC55" s="307"/>
      <c r="DD55" s="307"/>
      <c r="DE55" s="307"/>
      <c r="DF55" s="307"/>
      <c r="DG55" s="307"/>
      <c r="DH55" s="307"/>
      <c r="DI55" s="307"/>
      <c r="DJ55" s="307"/>
      <c r="DK55" s="307"/>
      <c r="DL55" s="307"/>
      <c r="DM55" s="307"/>
      <c r="DN55" s="307"/>
      <c r="DO55" s="307"/>
      <c r="DP55" s="307"/>
      <c r="DQ55" s="307"/>
      <c r="DR55" s="307"/>
      <c r="DS55" s="307"/>
      <c r="DT55" s="307"/>
      <c r="DU55" s="307"/>
      <c r="DV55" s="307"/>
      <c r="DW55" s="307"/>
      <c r="DX55" s="307"/>
      <c r="DY55" s="307"/>
      <c r="DZ55" s="307"/>
      <c r="EA55" s="307"/>
      <c r="EB55" s="307"/>
      <c r="EC55" s="307"/>
      <c r="ED55" s="307"/>
      <c r="EE55" s="307"/>
      <c r="EF55" s="307"/>
      <c r="EG55" s="307"/>
      <c r="EH55" s="307"/>
      <c r="EI55" s="307"/>
      <c r="EJ55" s="307"/>
      <c r="EK55" s="307"/>
      <c r="EL55" s="307"/>
      <c r="EM55" s="307"/>
      <c r="EN55" s="307"/>
      <c r="EO55" s="307"/>
      <c r="EP55" s="307"/>
      <c r="EQ55" s="307"/>
      <c r="ER55" s="307"/>
      <c r="ES55" s="307"/>
      <c r="ET55" s="307"/>
      <c r="EU55" s="307"/>
      <c r="EV55" s="307"/>
      <c r="EW55" s="307"/>
      <c r="EX55" s="307"/>
      <c r="EY55" s="307"/>
      <c r="EZ55" s="307"/>
      <c r="FA55" s="307"/>
      <c r="FB55" s="307"/>
      <c r="FC55" s="307"/>
      <c r="FD55" s="307"/>
      <c r="FE55" s="307"/>
      <c r="FF55" s="307"/>
      <c r="FG55" s="307"/>
      <c r="FH55" s="307"/>
      <c r="FI55" s="307"/>
      <c r="FJ55" s="307"/>
      <c r="FK55" s="307"/>
      <c r="FL55" s="307"/>
      <c r="FM55" s="307"/>
      <c r="FN55" s="307"/>
      <c r="FO55" s="307"/>
      <c r="FP55" s="307"/>
      <c r="FQ55" s="307"/>
      <c r="FR55" s="307"/>
      <c r="FS55" s="307"/>
      <c r="FT55" s="307"/>
      <c r="FU55" s="307"/>
      <c r="FV55" s="307"/>
      <c r="FW55" s="307"/>
      <c r="FX55" s="307"/>
      <c r="FY55" s="307"/>
      <c r="FZ55" s="307"/>
      <c r="GA55" s="307"/>
      <c r="GB55" s="307"/>
      <c r="GC55" s="307"/>
      <c r="GD55" s="307"/>
      <c r="GE55" s="307"/>
      <c r="GF55" s="307"/>
      <c r="GG55" s="307"/>
      <c r="GH55" s="307"/>
      <c r="GI55" s="307"/>
      <c r="GJ55" s="307"/>
      <c r="GK55" s="307"/>
      <c r="GL55" s="307"/>
      <c r="GM55" s="307"/>
      <c r="GN55" s="307"/>
      <c r="GO55" s="307"/>
      <c r="GP55" s="307"/>
      <c r="GQ55" s="307"/>
      <c r="GR55" s="307"/>
      <c r="GS55" s="307"/>
      <c r="GT55" s="307"/>
      <c r="GU55" s="307"/>
      <c r="GV55" s="307"/>
      <c r="GW55" s="307"/>
      <c r="GX55" s="307"/>
      <c r="GY55" s="307"/>
      <c r="GZ55" s="307"/>
      <c r="HA55" s="307"/>
      <c r="HB55" s="307"/>
      <c r="HC55" s="307"/>
      <c r="HD55" s="307"/>
      <c r="HE55" s="307"/>
      <c r="HF55" s="307"/>
      <c r="HG55" s="307"/>
      <c r="HH55" s="307"/>
      <c r="HI55" s="307"/>
      <c r="HJ55" s="307"/>
      <c r="HK55" s="307"/>
      <c r="HL55" s="307"/>
      <c r="HM55" s="307"/>
      <c r="HN55" s="307"/>
      <c r="HO55" s="307"/>
      <c r="HP55" s="307"/>
      <c r="HQ55" s="307"/>
      <c r="HR55" s="307"/>
      <c r="HS55" s="307"/>
      <c r="HT55" s="307"/>
      <c r="HU55" s="307"/>
      <c r="HV55" s="307"/>
      <c r="HW55" s="307"/>
      <c r="HX55" s="307"/>
      <c r="HY55" s="307"/>
      <c r="HZ55" s="307"/>
      <c r="IA55" s="307"/>
      <c r="IB55" s="307"/>
      <c r="IC55" s="307"/>
      <c r="ID55" s="307"/>
      <c r="IE55" s="307"/>
      <c r="IF55" s="307"/>
      <c r="IG55" s="307"/>
      <c r="IH55" s="307"/>
      <c r="II55" s="307"/>
      <c r="IJ55" s="307"/>
      <c r="IK55" s="307"/>
      <c r="IL55" s="307"/>
      <c r="IM55" s="307"/>
      <c r="IN55" s="307"/>
      <c r="IO55" s="307"/>
      <c r="IP55" s="307"/>
      <c r="IQ55" s="307"/>
      <c r="IR55" s="307"/>
      <c r="IS55" s="307"/>
      <c r="IT55" s="307"/>
      <c r="IU55" s="307"/>
    </row>
    <row r="56" spans="1:255" ht="15.5">
      <c r="A56" s="324"/>
      <c r="B56" s="307" t="s">
        <v>218</v>
      </c>
      <c r="C56" s="310"/>
      <c r="D56" s="312">
        <f t="shared" si="14"/>
        <v>-0.48099999999999998</v>
      </c>
      <c r="E56" s="321">
        <v>-4.0000000000000001E-3</v>
      </c>
      <c r="F56" s="313">
        <f t="shared" si="13"/>
        <v>119.25</v>
      </c>
      <c r="G56" s="312"/>
      <c r="H56" s="312"/>
      <c r="I56" s="313"/>
      <c r="J56" s="312"/>
      <c r="K56" s="312"/>
      <c r="L56" s="313"/>
      <c r="M56" s="307"/>
      <c r="N56" s="307"/>
      <c r="O56" s="307"/>
      <c r="P56" s="307"/>
      <c r="Q56" s="307"/>
      <c r="R56" s="308"/>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c r="BE56" s="307"/>
      <c r="BF56" s="307"/>
      <c r="BG56" s="307"/>
      <c r="BH56" s="307"/>
      <c r="BI56" s="307"/>
      <c r="BJ56" s="307"/>
      <c r="BK56" s="307"/>
      <c r="BL56" s="307"/>
      <c r="BM56" s="307"/>
      <c r="BN56" s="307"/>
      <c r="BO56" s="307"/>
      <c r="BP56" s="307"/>
      <c r="BQ56" s="307"/>
      <c r="BR56" s="307"/>
      <c r="BS56" s="307"/>
      <c r="BT56" s="307"/>
      <c r="BU56" s="307"/>
      <c r="BV56" s="307"/>
      <c r="BW56" s="307"/>
      <c r="BX56" s="307"/>
      <c r="BY56" s="307"/>
      <c r="BZ56" s="307"/>
      <c r="CA56" s="307"/>
      <c r="CB56" s="307"/>
      <c r="CC56" s="307"/>
      <c r="CD56" s="307"/>
      <c r="CE56" s="307"/>
      <c r="CF56" s="307"/>
      <c r="CG56" s="307"/>
      <c r="CH56" s="307"/>
      <c r="CI56" s="307"/>
      <c r="CJ56" s="307"/>
      <c r="CK56" s="307"/>
      <c r="CL56" s="307"/>
      <c r="CM56" s="307"/>
      <c r="CN56" s="307"/>
      <c r="CO56" s="307"/>
      <c r="CP56" s="307"/>
      <c r="CQ56" s="307"/>
      <c r="CR56" s="307"/>
      <c r="CS56" s="307"/>
      <c r="CT56" s="307"/>
      <c r="CU56" s="307"/>
      <c r="CV56" s="307"/>
      <c r="CW56" s="307"/>
      <c r="CX56" s="307"/>
      <c r="CY56" s="307"/>
      <c r="CZ56" s="307"/>
      <c r="DA56" s="307"/>
      <c r="DB56" s="307"/>
      <c r="DC56" s="307"/>
      <c r="DD56" s="307"/>
      <c r="DE56" s="307"/>
      <c r="DF56" s="307"/>
      <c r="DG56" s="307"/>
      <c r="DH56" s="307"/>
      <c r="DI56" s="307"/>
      <c r="DJ56" s="307"/>
      <c r="DK56" s="307"/>
      <c r="DL56" s="307"/>
      <c r="DM56" s="307"/>
      <c r="DN56" s="307"/>
      <c r="DO56" s="307"/>
      <c r="DP56" s="307"/>
      <c r="DQ56" s="307"/>
      <c r="DR56" s="307"/>
      <c r="DS56" s="307"/>
      <c r="DT56" s="307"/>
      <c r="DU56" s="307"/>
      <c r="DV56" s="307"/>
      <c r="DW56" s="307"/>
      <c r="DX56" s="307"/>
      <c r="DY56" s="307"/>
      <c r="DZ56" s="307"/>
      <c r="EA56" s="307"/>
      <c r="EB56" s="307"/>
      <c r="EC56" s="307"/>
      <c r="ED56" s="307"/>
      <c r="EE56" s="307"/>
      <c r="EF56" s="307"/>
      <c r="EG56" s="307"/>
      <c r="EH56" s="307"/>
      <c r="EI56" s="307"/>
      <c r="EJ56" s="307"/>
      <c r="EK56" s="307"/>
      <c r="EL56" s="307"/>
      <c r="EM56" s="307"/>
      <c r="EN56" s="307"/>
      <c r="EO56" s="307"/>
      <c r="EP56" s="307"/>
      <c r="EQ56" s="307"/>
      <c r="ER56" s="307"/>
      <c r="ES56" s="307"/>
      <c r="ET56" s="307"/>
      <c r="EU56" s="307"/>
      <c r="EV56" s="307"/>
      <c r="EW56" s="307"/>
      <c r="EX56" s="307"/>
      <c r="EY56" s="307"/>
      <c r="EZ56" s="307"/>
      <c r="FA56" s="307"/>
      <c r="FB56" s="307"/>
      <c r="FC56" s="307"/>
      <c r="FD56" s="307"/>
      <c r="FE56" s="307"/>
      <c r="FF56" s="307"/>
      <c r="FG56" s="307"/>
      <c r="FH56" s="307"/>
      <c r="FI56" s="307"/>
      <c r="FJ56" s="307"/>
      <c r="FK56" s="307"/>
      <c r="FL56" s="307"/>
      <c r="FM56" s="307"/>
      <c r="FN56" s="307"/>
      <c r="FO56" s="307"/>
      <c r="FP56" s="307"/>
      <c r="FQ56" s="307"/>
      <c r="FR56" s="307"/>
      <c r="FS56" s="307"/>
      <c r="FT56" s="307"/>
      <c r="FU56" s="307"/>
      <c r="FV56" s="307"/>
      <c r="FW56" s="307"/>
      <c r="FX56" s="307"/>
      <c r="FY56" s="307"/>
      <c r="FZ56" s="307"/>
      <c r="GA56" s="307"/>
      <c r="GB56" s="307"/>
      <c r="GC56" s="307"/>
      <c r="GD56" s="307"/>
      <c r="GE56" s="307"/>
      <c r="GF56" s="307"/>
      <c r="GG56" s="307"/>
      <c r="GH56" s="307"/>
      <c r="GI56" s="307"/>
      <c r="GJ56" s="307"/>
      <c r="GK56" s="307"/>
      <c r="GL56" s="307"/>
      <c r="GM56" s="307"/>
      <c r="GN56" s="307"/>
      <c r="GO56" s="307"/>
      <c r="GP56" s="307"/>
      <c r="GQ56" s="307"/>
      <c r="GR56" s="307"/>
      <c r="GS56" s="307"/>
      <c r="GT56" s="307"/>
      <c r="GU56" s="307"/>
      <c r="GV56" s="307"/>
      <c r="GW56" s="307"/>
      <c r="GX56" s="307"/>
      <c r="GY56" s="307"/>
      <c r="GZ56" s="307"/>
      <c r="HA56" s="307"/>
      <c r="HB56" s="307"/>
      <c r="HC56" s="307"/>
      <c r="HD56" s="307"/>
      <c r="HE56" s="307"/>
      <c r="HF56" s="307"/>
      <c r="HG56" s="307"/>
      <c r="HH56" s="307"/>
      <c r="HI56" s="307"/>
      <c r="HJ56" s="307"/>
      <c r="HK56" s="307"/>
      <c r="HL56" s="307"/>
      <c r="HM56" s="307"/>
      <c r="HN56" s="307"/>
      <c r="HO56" s="307"/>
      <c r="HP56" s="307"/>
      <c r="HQ56" s="307"/>
      <c r="HR56" s="307"/>
      <c r="HS56" s="307"/>
      <c r="HT56" s="307"/>
      <c r="HU56" s="307"/>
      <c r="HV56" s="307"/>
      <c r="HW56" s="307"/>
      <c r="HX56" s="307"/>
      <c r="HY56" s="307"/>
      <c r="HZ56" s="307"/>
      <c r="IA56" s="307"/>
      <c r="IB56" s="307"/>
      <c r="IC56" s="307"/>
      <c r="ID56" s="307"/>
      <c r="IE56" s="307"/>
      <c r="IF56" s="307"/>
      <c r="IG56" s="307"/>
      <c r="IH56" s="307"/>
      <c r="II56" s="307"/>
      <c r="IJ56" s="307"/>
      <c r="IK56" s="307"/>
      <c r="IL56" s="307"/>
      <c r="IM56" s="307"/>
      <c r="IN56" s="307"/>
      <c r="IO56" s="307"/>
      <c r="IP56" s="307"/>
      <c r="IQ56" s="307"/>
      <c r="IR56" s="307"/>
      <c r="IS56" s="307"/>
      <c r="IT56" s="307"/>
      <c r="IU56" s="307"/>
    </row>
    <row r="57" spans="1:255" ht="15.5">
      <c r="A57" s="324"/>
      <c r="B57" s="307" t="s">
        <v>219</v>
      </c>
      <c r="C57" s="310"/>
      <c r="D57" s="312">
        <f t="shared" si="14"/>
        <v>-0.60199999999999998</v>
      </c>
      <c r="E57" s="321">
        <v>-5.0000000000000001E-3</v>
      </c>
      <c r="F57" s="313">
        <f t="shared" si="13"/>
        <v>119.39999999999999</v>
      </c>
      <c r="G57" s="312"/>
      <c r="H57" s="312"/>
      <c r="I57" s="313"/>
      <c r="J57" s="312"/>
      <c r="K57" s="312"/>
      <c r="L57" s="313"/>
      <c r="M57" s="307"/>
      <c r="N57" s="307"/>
      <c r="O57" s="307"/>
      <c r="P57" s="307"/>
      <c r="Q57" s="307"/>
      <c r="R57" s="308"/>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c r="BE57" s="307"/>
      <c r="BF57" s="307"/>
      <c r="BG57" s="307"/>
      <c r="BH57" s="307"/>
      <c r="BI57" s="307"/>
      <c r="BJ57" s="307"/>
      <c r="BK57" s="307"/>
      <c r="BL57" s="307"/>
      <c r="BM57" s="307"/>
      <c r="BN57" s="307"/>
      <c r="BO57" s="307"/>
      <c r="BP57" s="307"/>
      <c r="BQ57" s="307"/>
      <c r="BR57" s="307"/>
      <c r="BS57" s="307"/>
      <c r="BT57" s="307"/>
      <c r="BU57" s="307"/>
      <c r="BV57" s="307"/>
      <c r="BW57" s="307"/>
      <c r="BX57" s="307"/>
      <c r="BY57" s="307"/>
      <c r="BZ57" s="307"/>
      <c r="CA57" s="307"/>
      <c r="CB57" s="307"/>
      <c r="CC57" s="307"/>
      <c r="CD57" s="307"/>
      <c r="CE57" s="307"/>
      <c r="CF57" s="307"/>
      <c r="CG57" s="307"/>
      <c r="CH57" s="307"/>
      <c r="CI57" s="307"/>
      <c r="CJ57" s="307"/>
      <c r="CK57" s="307"/>
      <c r="CL57" s="307"/>
      <c r="CM57" s="307"/>
      <c r="CN57" s="307"/>
      <c r="CO57" s="307"/>
      <c r="CP57" s="307"/>
      <c r="CQ57" s="307"/>
      <c r="CR57" s="307"/>
      <c r="CS57" s="307"/>
      <c r="CT57" s="307"/>
      <c r="CU57" s="307"/>
      <c r="CV57" s="307"/>
      <c r="CW57" s="307"/>
      <c r="CX57" s="307"/>
      <c r="CY57" s="307"/>
      <c r="CZ57" s="307"/>
      <c r="DA57" s="307"/>
      <c r="DB57" s="307"/>
      <c r="DC57" s="307"/>
      <c r="DD57" s="307"/>
      <c r="DE57" s="307"/>
      <c r="DF57" s="307"/>
      <c r="DG57" s="307"/>
      <c r="DH57" s="307"/>
      <c r="DI57" s="307"/>
      <c r="DJ57" s="307"/>
      <c r="DK57" s="307"/>
      <c r="DL57" s="307"/>
      <c r="DM57" s="307"/>
      <c r="DN57" s="307"/>
      <c r="DO57" s="307"/>
      <c r="DP57" s="307"/>
      <c r="DQ57" s="307"/>
      <c r="DR57" s="307"/>
      <c r="DS57" s="307"/>
      <c r="DT57" s="307"/>
      <c r="DU57" s="307"/>
      <c r="DV57" s="307"/>
      <c r="DW57" s="307"/>
      <c r="DX57" s="307"/>
      <c r="DY57" s="307"/>
      <c r="DZ57" s="307"/>
      <c r="EA57" s="307"/>
      <c r="EB57" s="307"/>
      <c r="EC57" s="307"/>
      <c r="ED57" s="307"/>
      <c r="EE57" s="307"/>
      <c r="EF57" s="307"/>
      <c r="EG57" s="307"/>
      <c r="EH57" s="307"/>
      <c r="EI57" s="307"/>
      <c r="EJ57" s="307"/>
      <c r="EK57" s="307"/>
      <c r="EL57" s="307"/>
      <c r="EM57" s="307"/>
      <c r="EN57" s="307"/>
      <c r="EO57" s="307"/>
      <c r="EP57" s="307"/>
      <c r="EQ57" s="307"/>
      <c r="ER57" s="307"/>
      <c r="ES57" s="307"/>
      <c r="ET57" s="307"/>
      <c r="EU57" s="307"/>
      <c r="EV57" s="307"/>
      <c r="EW57" s="307"/>
      <c r="EX57" s="307"/>
      <c r="EY57" s="307"/>
      <c r="EZ57" s="307"/>
      <c r="FA57" s="307"/>
      <c r="FB57" s="307"/>
      <c r="FC57" s="307"/>
      <c r="FD57" s="307"/>
      <c r="FE57" s="307"/>
      <c r="FF57" s="307"/>
      <c r="FG57" s="307"/>
      <c r="FH57" s="307"/>
      <c r="FI57" s="307"/>
      <c r="FJ57" s="307"/>
      <c r="FK57" s="307"/>
      <c r="FL57" s="307"/>
      <c r="FM57" s="307"/>
      <c r="FN57" s="307"/>
      <c r="FO57" s="307"/>
      <c r="FP57" s="307"/>
      <c r="FQ57" s="307"/>
      <c r="FR57" s="307"/>
      <c r="FS57" s="307"/>
      <c r="FT57" s="307"/>
      <c r="FU57" s="307"/>
      <c r="FV57" s="307"/>
      <c r="FW57" s="307"/>
      <c r="FX57" s="307"/>
      <c r="FY57" s="307"/>
      <c r="FZ57" s="307"/>
      <c r="GA57" s="307"/>
      <c r="GB57" s="307"/>
      <c r="GC57" s="307"/>
      <c r="GD57" s="307"/>
      <c r="GE57" s="307"/>
      <c r="GF57" s="307"/>
      <c r="GG57" s="307"/>
      <c r="GH57" s="307"/>
      <c r="GI57" s="307"/>
      <c r="GJ57" s="307"/>
      <c r="GK57" s="307"/>
      <c r="GL57" s="307"/>
      <c r="GM57" s="307"/>
      <c r="GN57" s="307"/>
      <c r="GO57" s="307"/>
      <c r="GP57" s="307"/>
      <c r="GQ57" s="307"/>
      <c r="GR57" s="307"/>
      <c r="GS57" s="307"/>
      <c r="GT57" s="307"/>
      <c r="GU57" s="307"/>
      <c r="GV57" s="307"/>
      <c r="GW57" s="307"/>
      <c r="GX57" s="307"/>
      <c r="GY57" s="307"/>
      <c r="GZ57" s="307"/>
      <c r="HA57" s="307"/>
      <c r="HB57" s="307"/>
      <c r="HC57" s="307"/>
      <c r="HD57" s="307"/>
      <c r="HE57" s="307"/>
      <c r="HF57" s="307"/>
      <c r="HG57" s="307"/>
      <c r="HH57" s="307"/>
      <c r="HI57" s="307"/>
      <c r="HJ57" s="307"/>
      <c r="HK57" s="307"/>
      <c r="HL57" s="307"/>
      <c r="HM57" s="307"/>
      <c r="HN57" s="307"/>
      <c r="HO57" s="307"/>
      <c r="HP57" s="307"/>
      <c r="HQ57" s="307"/>
      <c r="HR57" s="307"/>
      <c r="HS57" s="307"/>
      <c r="HT57" s="307"/>
      <c r="HU57" s="307"/>
      <c r="HV57" s="307"/>
      <c r="HW57" s="307"/>
      <c r="HX57" s="307"/>
      <c r="HY57" s="307"/>
      <c r="HZ57" s="307"/>
      <c r="IA57" s="307"/>
      <c r="IB57" s="307"/>
      <c r="IC57" s="307"/>
      <c r="ID57" s="307"/>
      <c r="IE57" s="307"/>
      <c r="IF57" s="307"/>
      <c r="IG57" s="307"/>
      <c r="IH57" s="307"/>
      <c r="II57" s="307"/>
      <c r="IJ57" s="307"/>
      <c r="IK57" s="307"/>
      <c r="IL57" s="307"/>
      <c r="IM57" s="307"/>
      <c r="IN57" s="307"/>
      <c r="IO57" s="307"/>
      <c r="IP57" s="307"/>
      <c r="IQ57" s="307"/>
      <c r="IR57" s="307"/>
      <c r="IS57" s="307"/>
      <c r="IT57" s="307"/>
      <c r="IU57" s="307"/>
    </row>
    <row r="58" spans="1:255" ht="15.5">
      <c r="A58" s="324"/>
      <c r="B58" s="307" t="s">
        <v>220</v>
      </c>
      <c r="C58" s="310"/>
      <c r="D58" s="312">
        <f t="shared" si="14"/>
        <v>-0.72199999999999998</v>
      </c>
      <c r="E58" s="321">
        <v>-6.0000000000000001E-3</v>
      </c>
      <c r="F58" s="313">
        <f t="shared" si="13"/>
        <v>119.33333333333333</v>
      </c>
      <c r="G58" s="312"/>
      <c r="H58" s="312"/>
      <c r="I58" s="313"/>
      <c r="J58" s="312"/>
      <c r="K58" s="312"/>
      <c r="L58" s="313"/>
      <c r="M58" s="307"/>
      <c r="N58" s="307"/>
      <c r="O58" s="307"/>
      <c r="P58" s="307"/>
      <c r="Q58" s="307"/>
      <c r="R58" s="308"/>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7"/>
      <c r="BM58" s="307"/>
      <c r="BN58" s="307"/>
      <c r="BO58" s="307"/>
      <c r="BP58" s="307"/>
      <c r="BQ58" s="307"/>
      <c r="BR58" s="307"/>
      <c r="BS58" s="307"/>
      <c r="BT58" s="307"/>
      <c r="BU58" s="307"/>
      <c r="BV58" s="307"/>
      <c r="BW58" s="307"/>
      <c r="BX58" s="307"/>
      <c r="BY58" s="307"/>
      <c r="BZ58" s="307"/>
      <c r="CA58" s="307"/>
      <c r="CB58" s="307"/>
      <c r="CC58" s="307"/>
      <c r="CD58" s="307"/>
      <c r="CE58" s="307"/>
      <c r="CF58" s="307"/>
      <c r="CG58" s="307"/>
      <c r="CH58" s="307"/>
      <c r="CI58" s="307"/>
      <c r="CJ58" s="307"/>
      <c r="CK58" s="307"/>
      <c r="CL58" s="307"/>
      <c r="CM58" s="307"/>
      <c r="CN58" s="307"/>
      <c r="CO58" s="307"/>
      <c r="CP58" s="307"/>
      <c r="CQ58" s="307"/>
      <c r="CR58" s="307"/>
      <c r="CS58" s="307"/>
      <c r="CT58" s="307"/>
      <c r="CU58" s="307"/>
      <c r="CV58" s="307"/>
      <c r="CW58" s="307"/>
      <c r="CX58" s="307"/>
      <c r="CY58" s="307"/>
      <c r="CZ58" s="307"/>
      <c r="DA58" s="307"/>
      <c r="DB58" s="307"/>
      <c r="DC58" s="307"/>
      <c r="DD58" s="307"/>
      <c r="DE58" s="307"/>
      <c r="DF58" s="307"/>
      <c r="DG58" s="307"/>
      <c r="DH58" s="307"/>
      <c r="DI58" s="307"/>
      <c r="DJ58" s="307"/>
      <c r="DK58" s="307"/>
      <c r="DL58" s="307"/>
      <c r="DM58" s="307"/>
      <c r="DN58" s="307"/>
      <c r="DO58" s="307"/>
      <c r="DP58" s="307"/>
      <c r="DQ58" s="307"/>
      <c r="DR58" s="307"/>
      <c r="DS58" s="307"/>
      <c r="DT58" s="307"/>
      <c r="DU58" s="307"/>
      <c r="DV58" s="307"/>
      <c r="DW58" s="307"/>
      <c r="DX58" s="307"/>
      <c r="DY58" s="307"/>
      <c r="DZ58" s="307"/>
      <c r="EA58" s="307"/>
      <c r="EB58" s="307"/>
      <c r="EC58" s="307"/>
      <c r="ED58" s="307"/>
      <c r="EE58" s="307"/>
      <c r="EF58" s="307"/>
      <c r="EG58" s="307"/>
      <c r="EH58" s="307"/>
      <c r="EI58" s="307"/>
      <c r="EJ58" s="307"/>
      <c r="EK58" s="307"/>
      <c r="EL58" s="307"/>
      <c r="EM58" s="307"/>
      <c r="EN58" s="307"/>
      <c r="EO58" s="307"/>
      <c r="EP58" s="307"/>
      <c r="EQ58" s="307"/>
      <c r="ER58" s="307"/>
      <c r="ES58" s="307"/>
      <c r="ET58" s="307"/>
      <c r="EU58" s="307"/>
      <c r="EV58" s="307"/>
      <c r="EW58" s="307"/>
      <c r="EX58" s="307"/>
      <c r="EY58" s="307"/>
      <c r="EZ58" s="307"/>
      <c r="FA58" s="307"/>
      <c r="FB58" s="307"/>
      <c r="FC58" s="307"/>
      <c r="FD58" s="307"/>
      <c r="FE58" s="307"/>
      <c r="FF58" s="307"/>
      <c r="FG58" s="307"/>
      <c r="FH58" s="307"/>
      <c r="FI58" s="307"/>
      <c r="FJ58" s="307"/>
      <c r="FK58" s="307"/>
      <c r="FL58" s="307"/>
      <c r="FM58" s="307"/>
      <c r="FN58" s="307"/>
      <c r="FO58" s="307"/>
      <c r="FP58" s="307"/>
      <c r="FQ58" s="307"/>
      <c r="FR58" s="307"/>
      <c r="FS58" s="307"/>
      <c r="FT58" s="307"/>
      <c r="FU58" s="307"/>
      <c r="FV58" s="307"/>
      <c r="FW58" s="307"/>
      <c r="FX58" s="307"/>
      <c r="FY58" s="307"/>
      <c r="FZ58" s="307"/>
      <c r="GA58" s="307"/>
      <c r="GB58" s="307"/>
      <c r="GC58" s="307"/>
      <c r="GD58" s="307"/>
      <c r="GE58" s="307"/>
      <c r="GF58" s="307"/>
      <c r="GG58" s="307"/>
      <c r="GH58" s="307"/>
      <c r="GI58" s="307"/>
      <c r="GJ58" s="307"/>
      <c r="GK58" s="307"/>
      <c r="GL58" s="307"/>
      <c r="GM58" s="307"/>
      <c r="GN58" s="307"/>
      <c r="GO58" s="307"/>
      <c r="GP58" s="307"/>
      <c r="GQ58" s="307"/>
      <c r="GR58" s="307"/>
      <c r="GS58" s="307"/>
      <c r="GT58" s="307"/>
      <c r="GU58" s="307"/>
      <c r="GV58" s="307"/>
      <c r="GW58" s="307"/>
      <c r="GX58" s="307"/>
      <c r="GY58" s="307"/>
      <c r="GZ58" s="307"/>
      <c r="HA58" s="307"/>
      <c r="HB58" s="307"/>
      <c r="HC58" s="307"/>
      <c r="HD58" s="307"/>
      <c r="HE58" s="307"/>
      <c r="HF58" s="307"/>
      <c r="HG58" s="307"/>
      <c r="HH58" s="307"/>
      <c r="HI58" s="307"/>
      <c r="HJ58" s="307"/>
      <c r="HK58" s="307"/>
      <c r="HL58" s="307"/>
      <c r="HM58" s="307"/>
      <c r="HN58" s="307"/>
      <c r="HO58" s="307"/>
      <c r="HP58" s="307"/>
      <c r="HQ58" s="307"/>
      <c r="HR58" s="307"/>
      <c r="HS58" s="307"/>
      <c r="HT58" s="307"/>
      <c r="HU58" s="307"/>
      <c r="HV58" s="307"/>
      <c r="HW58" s="307"/>
      <c r="HX58" s="307"/>
      <c r="HY58" s="307"/>
      <c r="HZ58" s="307"/>
      <c r="IA58" s="307"/>
      <c r="IB58" s="307"/>
      <c r="IC58" s="307"/>
      <c r="ID58" s="307"/>
      <c r="IE58" s="307"/>
      <c r="IF58" s="307"/>
      <c r="IG58" s="307"/>
      <c r="IH58" s="307"/>
      <c r="II58" s="307"/>
      <c r="IJ58" s="307"/>
      <c r="IK58" s="307"/>
      <c r="IL58" s="307"/>
      <c r="IM58" s="307"/>
      <c r="IN58" s="307"/>
      <c r="IO58" s="307"/>
      <c r="IP58" s="307"/>
      <c r="IQ58" s="307"/>
      <c r="IR58" s="307"/>
      <c r="IS58" s="307"/>
      <c r="IT58" s="307"/>
      <c r="IU58" s="307"/>
    </row>
    <row r="59" spans="1:255" ht="15.5">
      <c r="A59" s="324"/>
      <c r="B59" s="307" t="s">
        <v>221</v>
      </c>
      <c r="C59" s="310"/>
      <c r="D59" s="312">
        <f t="shared" si="14"/>
        <v>-0.96299999999999997</v>
      </c>
      <c r="E59" s="321">
        <v>-8.0000000000000002E-3</v>
      </c>
      <c r="F59" s="313">
        <f t="shared" si="13"/>
        <v>119.375</v>
      </c>
      <c r="G59" s="312"/>
      <c r="H59" s="312"/>
      <c r="I59" s="313"/>
      <c r="J59" s="312"/>
      <c r="K59" s="312"/>
      <c r="L59" s="313"/>
      <c r="M59" s="307"/>
      <c r="N59" s="307"/>
      <c r="O59" s="307"/>
      <c r="P59" s="307"/>
      <c r="Q59" s="307"/>
      <c r="R59" s="308"/>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7"/>
      <c r="BR59" s="307"/>
      <c r="BS59" s="307"/>
      <c r="BT59" s="307"/>
      <c r="BU59" s="307"/>
      <c r="BV59" s="307"/>
      <c r="BW59" s="307"/>
      <c r="BX59" s="307"/>
      <c r="BY59" s="307"/>
      <c r="BZ59" s="307"/>
      <c r="CA59" s="307"/>
      <c r="CB59" s="307"/>
      <c r="CC59" s="307"/>
      <c r="CD59" s="307"/>
      <c r="CE59" s="307"/>
      <c r="CF59" s="307"/>
      <c r="CG59" s="307"/>
      <c r="CH59" s="307"/>
      <c r="CI59" s="307"/>
      <c r="CJ59" s="307"/>
      <c r="CK59" s="307"/>
      <c r="CL59" s="307"/>
      <c r="CM59" s="307"/>
      <c r="CN59" s="307"/>
      <c r="CO59" s="307"/>
      <c r="CP59" s="307"/>
      <c r="CQ59" s="307"/>
      <c r="CR59" s="307"/>
      <c r="CS59" s="307"/>
      <c r="CT59" s="307"/>
      <c r="CU59" s="307"/>
      <c r="CV59" s="307"/>
      <c r="CW59" s="307"/>
      <c r="CX59" s="307"/>
      <c r="CY59" s="307"/>
      <c r="CZ59" s="307"/>
      <c r="DA59" s="307"/>
      <c r="DB59" s="307"/>
      <c r="DC59" s="307"/>
      <c r="DD59" s="307"/>
      <c r="DE59" s="307"/>
      <c r="DF59" s="307"/>
      <c r="DG59" s="307"/>
      <c r="DH59" s="307"/>
      <c r="DI59" s="307"/>
      <c r="DJ59" s="307"/>
      <c r="DK59" s="307"/>
      <c r="DL59" s="307"/>
      <c r="DM59" s="307"/>
      <c r="DN59" s="307"/>
      <c r="DO59" s="307"/>
      <c r="DP59" s="307"/>
      <c r="DQ59" s="307"/>
      <c r="DR59" s="307"/>
      <c r="DS59" s="307"/>
      <c r="DT59" s="307"/>
      <c r="DU59" s="307"/>
      <c r="DV59" s="307"/>
      <c r="DW59" s="307"/>
      <c r="DX59" s="307"/>
      <c r="DY59" s="307"/>
      <c r="DZ59" s="307"/>
      <c r="EA59" s="307"/>
      <c r="EB59" s="307"/>
      <c r="EC59" s="307"/>
      <c r="ED59" s="307"/>
      <c r="EE59" s="307"/>
      <c r="EF59" s="307"/>
      <c r="EG59" s="307"/>
      <c r="EH59" s="307"/>
      <c r="EI59" s="307"/>
      <c r="EJ59" s="307"/>
      <c r="EK59" s="307"/>
      <c r="EL59" s="307"/>
      <c r="EM59" s="307"/>
      <c r="EN59" s="307"/>
      <c r="EO59" s="307"/>
      <c r="EP59" s="307"/>
      <c r="EQ59" s="307"/>
      <c r="ER59" s="307"/>
      <c r="ES59" s="307"/>
      <c r="ET59" s="307"/>
      <c r="EU59" s="307"/>
      <c r="EV59" s="307"/>
      <c r="EW59" s="307"/>
      <c r="EX59" s="307"/>
      <c r="EY59" s="307"/>
      <c r="EZ59" s="307"/>
      <c r="FA59" s="307"/>
      <c r="FB59" s="307"/>
      <c r="FC59" s="307"/>
      <c r="FD59" s="307"/>
      <c r="FE59" s="307"/>
      <c r="FF59" s="307"/>
      <c r="FG59" s="307"/>
      <c r="FH59" s="307"/>
      <c r="FI59" s="307"/>
      <c r="FJ59" s="307"/>
      <c r="FK59" s="307"/>
      <c r="FL59" s="307"/>
      <c r="FM59" s="307"/>
      <c r="FN59" s="307"/>
      <c r="FO59" s="307"/>
      <c r="FP59" s="307"/>
      <c r="FQ59" s="307"/>
      <c r="FR59" s="307"/>
      <c r="FS59" s="307"/>
      <c r="FT59" s="307"/>
      <c r="FU59" s="307"/>
      <c r="FV59" s="307"/>
      <c r="FW59" s="307"/>
      <c r="FX59" s="307"/>
      <c r="FY59" s="307"/>
      <c r="FZ59" s="307"/>
      <c r="GA59" s="307"/>
      <c r="GB59" s="307"/>
      <c r="GC59" s="307"/>
      <c r="GD59" s="307"/>
      <c r="GE59" s="307"/>
      <c r="GF59" s="307"/>
      <c r="GG59" s="307"/>
      <c r="GH59" s="307"/>
      <c r="GI59" s="307"/>
      <c r="GJ59" s="307"/>
      <c r="GK59" s="307"/>
      <c r="GL59" s="307"/>
      <c r="GM59" s="307"/>
      <c r="GN59" s="307"/>
      <c r="GO59" s="307"/>
      <c r="GP59" s="307"/>
      <c r="GQ59" s="307"/>
      <c r="GR59" s="307"/>
      <c r="GS59" s="307"/>
      <c r="GT59" s="307"/>
      <c r="GU59" s="307"/>
      <c r="GV59" s="307"/>
      <c r="GW59" s="307"/>
      <c r="GX59" s="307"/>
      <c r="GY59" s="307"/>
      <c r="GZ59" s="307"/>
      <c r="HA59" s="307"/>
      <c r="HB59" s="307"/>
      <c r="HC59" s="307"/>
      <c r="HD59" s="307"/>
      <c r="HE59" s="307"/>
      <c r="HF59" s="307"/>
      <c r="HG59" s="307"/>
      <c r="HH59" s="307"/>
      <c r="HI59" s="307"/>
      <c r="HJ59" s="307"/>
      <c r="HK59" s="307"/>
      <c r="HL59" s="307"/>
      <c r="HM59" s="307"/>
      <c r="HN59" s="307"/>
      <c r="HO59" s="307"/>
      <c r="HP59" s="307"/>
      <c r="HQ59" s="307"/>
      <c r="HR59" s="307"/>
      <c r="HS59" s="307"/>
      <c r="HT59" s="307"/>
      <c r="HU59" s="307"/>
      <c r="HV59" s="307"/>
      <c r="HW59" s="307"/>
      <c r="HX59" s="307"/>
      <c r="HY59" s="307"/>
      <c r="HZ59" s="307"/>
      <c r="IA59" s="307"/>
      <c r="IB59" s="307"/>
      <c r="IC59" s="307"/>
      <c r="ID59" s="307"/>
      <c r="IE59" s="307"/>
      <c r="IF59" s="307"/>
      <c r="IG59" s="307"/>
      <c r="IH59" s="307"/>
      <c r="II59" s="307"/>
      <c r="IJ59" s="307"/>
      <c r="IK59" s="307"/>
      <c r="IL59" s="307"/>
      <c r="IM59" s="307"/>
      <c r="IN59" s="307"/>
      <c r="IO59" s="307"/>
      <c r="IP59" s="307"/>
      <c r="IQ59" s="307"/>
      <c r="IR59" s="307"/>
      <c r="IS59" s="307"/>
      <c r="IT59" s="307"/>
      <c r="IU59" s="307"/>
    </row>
    <row r="60" spans="1:255" ht="15.5">
      <c r="A60" s="324"/>
      <c r="B60" s="307" t="s">
        <v>222</v>
      </c>
      <c r="C60" s="310"/>
      <c r="D60" s="312">
        <f t="shared" si="14"/>
        <v>-1.083</v>
      </c>
      <c r="E60" s="321">
        <v>-8.9999999999999993E-3</v>
      </c>
      <c r="F60" s="313">
        <f t="shared" si="13"/>
        <v>119.33333333333334</v>
      </c>
      <c r="G60" s="312"/>
      <c r="H60" s="312"/>
      <c r="I60" s="313"/>
      <c r="J60" s="312"/>
      <c r="K60" s="312"/>
      <c r="L60" s="313"/>
      <c r="M60" s="307"/>
      <c r="N60" s="307"/>
      <c r="O60" s="307"/>
      <c r="P60" s="307"/>
      <c r="Q60" s="307"/>
      <c r="R60" s="308"/>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7"/>
      <c r="BR60" s="307"/>
      <c r="BS60" s="307"/>
      <c r="BT60" s="307"/>
      <c r="BU60" s="307"/>
      <c r="BV60" s="307"/>
      <c r="BW60" s="307"/>
      <c r="BX60" s="307"/>
      <c r="BY60" s="307"/>
      <c r="BZ60" s="307"/>
      <c r="CA60" s="307"/>
      <c r="CB60" s="307"/>
      <c r="CC60" s="307"/>
      <c r="CD60" s="307"/>
      <c r="CE60" s="307"/>
      <c r="CF60" s="307"/>
      <c r="CG60" s="307"/>
      <c r="CH60" s="307"/>
      <c r="CI60" s="307"/>
      <c r="CJ60" s="307"/>
      <c r="CK60" s="307"/>
      <c r="CL60" s="307"/>
      <c r="CM60" s="307"/>
      <c r="CN60" s="307"/>
      <c r="CO60" s="307"/>
      <c r="CP60" s="307"/>
      <c r="CQ60" s="307"/>
      <c r="CR60" s="307"/>
      <c r="CS60" s="307"/>
      <c r="CT60" s="307"/>
      <c r="CU60" s="307"/>
      <c r="CV60" s="307"/>
      <c r="CW60" s="307"/>
      <c r="CX60" s="307"/>
      <c r="CY60" s="307"/>
      <c r="CZ60" s="307"/>
      <c r="DA60" s="307"/>
      <c r="DB60" s="307"/>
      <c r="DC60" s="307"/>
      <c r="DD60" s="307"/>
      <c r="DE60" s="307"/>
      <c r="DF60" s="307"/>
      <c r="DG60" s="307"/>
      <c r="DH60" s="307"/>
      <c r="DI60" s="307"/>
      <c r="DJ60" s="307"/>
      <c r="DK60" s="307"/>
      <c r="DL60" s="307"/>
      <c r="DM60" s="307"/>
      <c r="DN60" s="307"/>
      <c r="DO60" s="307"/>
      <c r="DP60" s="307"/>
      <c r="DQ60" s="307"/>
      <c r="DR60" s="307"/>
      <c r="DS60" s="307"/>
      <c r="DT60" s="307"/>
      <c r="DU60" s="307"/>
      <c r="DV60" s="307"/>
      <c r="DW60" s="307"/>
      <c r="DX60" s="307"/>
      <c r="DY60" s="307"/>
      <c r="DZ60" s="307"/>
      <c r="EA60" s="307"/>
      <c r="EB60" s="307"/>
      <c r="EC60" s="307"/>
      <c r="ED60" s="307"/>
      <c r="EE60" s="307"/>
      <c r="EF60" s="307"/>
      <c r="EG60" s="307"/>
      <c r="EH60" s="307"/>
      <c r="EI60" s="307"/>
      <c r="EJ60" s="307"/>
      <c r="EK60" s="307"/>
      <c r="EL60" s="307"/>
      <c r="EM60" s="307"/>
      <c r="EN60" s="307"/>
      <c r="EO60" s="307"/>
      <c r="EP60" s="307"/>
      <c r="EQ60" s="307"/>
      <c r="ER60" s="307"/>
      <c r="ES60" s="307"/>
      <c r="ET60" s="307"/>
      <c r="EU60" s="307"/>
      <c r="EV60" s="307"/>
      <c r="EW60" s="307"/>
      <c r="EX60" s="307"/>
      <c r="EY60" s="307"/>
      <c r="EZ60" s="307"/>
      <c r="FA60" s="307"/>
      <c r="FB60" s="307"/>
      <c r="FC60" s="307"/>
      <c r="FD60" s="307"/>
      <c r="FE60" s="307"/>
      <c r="FF60" s="307"/>
      <c r="FG60" s="307"/>
      <c r="FH60" s="307"/>
      <c r="FI60" s="307"/>
      <c r="FJ60" s="307"/>
      <c r="FK60" s="307"/>
      <c r="FL60" s="307"/>
      <c r="FM60" s="307"/>
      <c r="FN60" s="307"/>
      <c r="FO60" s="307"/>
      <c r="FP60" s="307"/>
      <c r="FQ60" s="307"/>
      <c r="FR60" s="307"/>
      <c r="FS60" s="307"/>
      <c r="FT60" s="307"/>
      <c r="FU60" s="307"/>
      <c r="FV60" s="307"/>
      <c r="FW60" s="307"/>
      <c r="FX60" s="307"/>
      <c r="FY60" s="307"/>
      <c r="FZ60" s="307"/>
      <c r="GA60" s="307"/>
      <c r="GB60" s="307"/>
      <c r="GC60" s="307"/>
      <c r="GD60" s="307"/>
      <c r="GE60" s="307"/>
      <c r="GF60" s="307"/>
      <c r="GG60" s="307"/>
      <c r="GH60" s="307"/>
      <c r="GI60" s="307"/>
      <c r="GJ60" s="307"/>
      <c r="GK60" s="307"/>
      <c r="GL60" s="307"/>
      <c r="GM60" s="307"/>
      <c r="GN60" s="307"/>
      <c r="GO60" s="307"/>
      <c r="GP60" s="307"/>
      <c r="GQ60" s="307"/>
      <c r="GR60" s="307"/>
      <c r="GS60" s="307"/>
      <c r="GT60" s="307"/>
      <c r="GU60" s="307"/>
      <c r="GV60" s="307"/>
      <c r="GW60" s="307"/>
      <c r="GX60" s="307"/>
      <c r="GY60" s="307"/>
      <c r="GZ60" s="307"/>
      <c r="HA60" s="307"/>
      <c r="HB60" s="307"/>
      <c r="HC60" s="307"/>
      <c r="HD60" s="307"/>
      <c r="HE60" s="307"/>
      <c r="HF60" s="307"/>
      <c r="HG60" s="307"/>
      <c r="HH60" s="307"/>
      <c r="HI60" s="307"/>
      <c r="HJ60" s="307"/>
      <c r="HK60" s="307"/>
      <c r="HL60" s="307"/>
      <c r="HM60" s="307"/>
      <c r="HN60" s="307"/>
      <c r="HO60" s="307"/>
      <c r="HP60" s="307"/>
      <c r="HQ60" s="307"/>
      <c r="HR60" s="307"/>
      <c r="HS60" s="307"/>
      <c r="HT60" s="307"/>
      <c r="HU60" s="307"/>
      <c r="HV60" s="307"/>
      <c r="HW60" s="307"/>
      <c r="HX60" s="307"/>
      <c r="HY60" s="307"/>
      <c r="HZ60" s="307"/>
      <c r="IA60" s="307"/>
      <c r="IB60" s="307"/>
      <c r="IC60" s="307"/>
      <c r="ID60" s="307"/>
      <c r="IE60" s="307"/>
      <c r="IF60" s="307"/>
      <c r="IG60" s="307"/>
      <c r="IH60" s="307"/>
      <c r="II60" s="307"/>
      <c r="IJ60" s="307"/>
      <c r="IK60" s="307"/>
      <c r="IL60" s="307"/>
      <c r="IM60" s="307"/>
      <c r="IN60" s="307"/>
      <c r="IO60" s="307"/>
      <c r="IP60" s="307"/>
      <c r="IQ60" s="307"/>
      <c r="IR60" s="307"/>
      <c r="IS60" s="307"/>
      <c r="IT60" s="307"/>
      <c r="IU60" s="307"/>
    </row>
    <row r="61" spans="1:255" ht="15.5">
      <c r="A61" s="324"/>
      <c r="B61" s="307" t="s">
        <v>223</v>
      </c>
      <c r="C61" s="310"/>
      <c r="D61" s="312">
        <f t="shared" si="14"/>
        <v>-1.2030000000000001</v>
      </c>
      <c r="E61" s="321">
        <v>-0.01</v>
      </c>
      <c r="F61" s="313">
        <f t="shared" si="13"/>
        <v>119.30000000000001</v>
      </c>
      <c r="G61" s="312"/>
      <c r="H61" s="312"/>
      <c r="I61" s="313"/>
      <c r="J61" s="312"/>
      <c r="K61" s="312"/>
      <c r="L61" s="313"/>
      <c r="M61" s="307"/>
      <c r="N61" s="307"/>
      <c r="O61" s="307"/>
      <c r="P61" s="307"/>
      <c r="Q61" s="307"/>
      <c r="R61" s="308"/>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07"/>
      <c r="AP61" s="307"/>
      <c r="AQ61" s="307"/>
      <c r="AR61" s="307"/>
      <c r="AS61" s="307"/>
      <c r="AT61" s="307"/>
      <c r="AU61" s="307"/>
      <c r="AV61" s="307"/>
      <c r="AW61" s="307"/>
      <c r="AX61" s="307"/>
      <c r="AY61" s="307"/>
      <c r="AZ61" s="307"/>
      <c r="BA61" s="307"/>
      <c r="BB61" s="307"/>
      <c r="BC61" s="307"/>
      <c r="BD61" s="307"/>
      <c r="BE61" s="307"/>
      <c r="BF61" s="307"/>
      <c r="BG61" s="307"/>
      <c r="BH61" s="307"/>
      <c r="BI61" s="307"/>
      <c r="BJ61" s="307"/>
      <c r="BK61" s="307"/>
      <c r="BL61" s="307"/>
      <c r="BM61" s="307"/>
      <c r="BN61" s="307"/>
      <c r="BO61" s="307"/>
      <c r="BP61" s="307"/>
      <c r="BQ61" s="307"/>
      <c r="BR61" s="307"/>
      <c r="BS61" s="307"/>
      <c r="BT61" s="307"/>
      <c r="BU61" s="307"/>
      <c r="BV61" s="307"/>
      <c r="BW61" s="307"/>
      <c r="BX61" s="307"/>
      <c r="BY61" s="307"/>
      <c r="BZ61" s="307"/>
      <c r="CA61" s="307"/>
      <c r="CB61" s="307"/>
      <c r="CC61" s="307"/>
      <c r="CD61" s="307"/>
      <c r="CE61" s="307"/>
      <c r="CF61" s="307"/>
      <c r="CG61" s="307"/>
      <c r="CH61" s="307"/>
      <c r="CI61" s="307"/>
      <c r="CJ61" s="307"/>
      <c r="CK61" s="307"/>
      <c r="CL61" s="307"/>
      <c r="CM61" s="307"/>
      <c r="CN61" s="307"/>
      <c r="CO61" s="307"/>
      <c r="CP61" s="307"/>
      <c r="CQ61" s="307"/>
      <c r="CR61" s="307"/>
      <c r="CS61" s="307"/>
      <c r="CT61" s="307"/>
      <c r="CU61" s="307"/>
      <c r="CV61" s="307"/>
      <c r="CW61" s="307"/>
      <c r="CX61" s="307"/>
      <c r="CY61" s="307"/>
      <c r="CZ61" s="307"/>
      <c r="DA61" s="307"/>
      <c r="DB61" s="307"/>
      <c r="DC61" s="307"/>
      <c r="DD61" s="307"/>
      <c r="DE61" s="307"/>
      <c r="DF61" s="307"/>
      <c r="DG61" s="307"/>
      <c r="DH61" s="307"/>
      <c r="DI61" s="307"/>
      <c r="DJ61" s="307"/>
      <c r="DK61" s="307"/>
      <c r="DL61" s="307"/>
      <c r="DM61" s="307"/>
      <c r="DN61" s="307"/>
      <c r="DO61" s="307"/>
      <c r="DP61" s="307"/>
      <c r="DQ61" s="307"/>
      <c r="DR61" s="307"/>
      <c r="DS61" s="307"/>
      <c r="DT61" s="307"/>
      <c r="DU61" s="307"/>
      <c r="DV61" s="307"/>
      <c r="DW61" s="307"/>
      <c r="DX61" s="307"/>
      <c r="DY61" s="307"/>
      <c r="DZ61" s="307"/>
      <c r="EA61" s="307"/>
      <c r="EB61" s="307"/>
      <c r="EC61" s="307"/>
      <c r="ED61" s="307"/>
      <c r="EE61" s="307"/>
      <c r="EF61" s="307"/>
      <c r="EG61" s="307"/>
      <c r="EH61" s="307"/>
      <c r="EI61" s="307"/>
      <c r="EJ61" s="307"/>
      <c r="EK61" s="307"/>
      <c r="EL61" s="307"/>
      <c r="EM61" s="307"/>
      <c r="EN61" s="307"/>
      <c r="EO61" s="307"/>
      <c r="EP61" s="307"/>
      <c r="EQ61" s="307"/>
      <c r="ER61" s="307"/>
      <c r="ES61" s="307"/>
      <c r="ET61" s="307"/>
      <c r="EU61" s="307"/>
      <c r="EV61" s="307"/>
      <c r="EW61" s="307"/>
      <c r="EX61" s="307"/>
      <c r="EY61" s="307"/>
      <c r="EZ61" s="307"/>
      <c r="FA61" s="307"/>
      <c r="FB61" s="307"/>
      <c r="FC61" s="307"/>
      <c r="FD61" s="307"/>
      <c r="FE61" s="307"/>
      <c r="FF61" s="307"/>
      <c r="FG61" s="307"/>
      <c r="FH61" s="307"/>
      <c r="FI61" s="307"/>
      <c r="FJ61" s="307"/>
      <c r="FK61" s="307"/>
      <c r="FL61" s="307"/>
      <c r="FM61" s="307"/>
      <c r="FN61" s="307"/>
      <c r="FO61" s="307"/>
      <c r="FP61" s="307"/>
      <c r="FQ61" s="307"/>
      <c r="FR61" s="307"/>
      <c r="FS61" s="307"/>
      <c r="FT61" s="307"/>
      <c r="FU61" s="307"/>
      <c r="FV61" s="307"/>
      <c r="FW61" s="307"/>
      <c r="FX61" s="307"/>
      <c r="FY61" s="307"/>
      <c r="FZ61" s="307"/>
      <c r="GA61" s="307"/>
      <c r="GB61" s="307"/>
      <c r="GC61" s="307"/>
      <c r="GD61" s="307"/>
      <c r="GE61" s="307"/>
      <c r="GF61" s="307"/>
      <c r="GG61" s="307"/>
      <c r="GH61" s="307"/>
      <c r="GI61" s="307"/>
      <c r="GJ61" s="307"/>
      <c r="GK61" s="307"/>
      <c r="GL61" s="307"/>
      <c r="GM61" s="307"/>
      <c r="GN61" s="307"/>
      <c r="GO61" s="307"/>
      <c r="GP61" s="307"/>
      <c r="GQ61" s="307"/>
      <c r="GR61" s="307"/>
      <c r="GS61" s="307"/>
      <c r="GT61" s="307"/>
      <c r="GU61" s="307"/>
      <c r="GV61" s="307"/>
      <c r="GW61" s="307"/>
      <c r="GX61" s="307"/>
      <c r="GY61" s="307"/>
      <c r="GZ61" s="307"/>
      <c r="HA61" s="307"/>
      <c r="HB61" s="307"/>
      <c r="HC61" s="307"/>
      <c r="HD61" s="307"/>
      <c r="HE61" s="307"/>
      <c r="HF61" s="307"/>
      <c r="HG61" s="307"/>
      <c r="HH61" s="307"/>
      <c r="HI61" s="307"/>
      <c r="HJ61" s="307"/>
      <c r="HK61" s="307"/>
      <c r="HL61" s="307"/>
      <c r="HM61" s="307"/>
      <c r="HN61" s="307"/>
      <c r="HO61" s="307"/>
      <c r="HP61" s="307"/>
      <c r="HQ61" s="307"/>
      <c r="HR61" s="307"/>
      <c r="HS61" s="307"/>
      <c r="HT61" s="307"/>
      <c r="HU61" s="307"/>
      <c r="HV61" s="307"/>
      <c r="HW61" s="307"/>
      <c r="HX61" s="307"/>
      <c r="HY61" s="307"/>
      <c r="HZ61" s="307"/>
      <c r="IA61" s="307"/>
      <c r="IB61" s="307"/>
      <c r="IC61" s="307"/>
      <c r="ID61" s="307"/>
      <c r="IE61" s="307"/>
      <c r="IF61" s="307"/>
      <c r="IG61" s="307"/>
      <c r="IH61" s="307"/>
      <c r="II61" s="307"/>
      <c r="IJ61" s="307"/>
      <c r="IK61" s="307"/>
      <c r="IL61" s="307"/>
      <c r="IM61" s="307"/>
      <c r="IN61" s="307"/>
      <c r="IO61" s="307"/>
      <c r="IP61" s="307"/>
      <c r="IQ61" s="307"/>
      <c r="IR61" s="307"/>
      <c r="IS61" s="307"/>
      <c r="IT61" s="307"/>
      <c r="IU61" s="307"/>
    </row>
    <row r="62" spans="1:255" ht="16" thickBot="1">
      <c r="A62" s="329"/>
      <c r="B62" s="330"/>
      <c r="C62" s="331"/>
      <c r="D62" s="332"/>
      <c r="E62" s="333"/>
      <c r="F62" s="332"/>
      <c r="G62" s="334"/>
      <c r="H62" s="334"/>
      <c r="I62" s="335"/>
      <c r="J62" s="334"/>
      <c r="K62" s="334"/>
      <c r="L62" s="335"/>
      <c r="M62" s="307"/>
      <c r="N62" s="307"/>
      <c r="O62" s="307"/>
      <c r="P62" s="307"/>
      <c r="Q62" s="307"/>
      <c r="R62" s="308"/>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c r="IQ62" s="307"/>
      <c r="IR62" s="307"/>
      <c r="IS62" s="307"/>
      <c r="IT62" s="307"/>
      <c r="IU62" s="307"/>
    </row>
    <row r="63" spans="1:255" ht="15.5">
      <c r="A63" s="307"/>
      <c r="B63" s="307"/>
      <c r="C63" s="307"/>
      <c r="D63" s="307"/>
      <c r="E63" s="336"/>
      <c r="F63" s="307"/>
      <c r="G63" s="307"/>
      <c r="H63" s="336"/>
      <c r="I63" s="307"/>
      <c r="J63" s="307"/>
      <c r="K63" s="307"/>
      <c r="L63" s="323"/>
      <c r="M63" s="307"/>
      <c r="N63" s="307"/>
      <c r="O63" s="307"/>
      <c r="P63" s="307"/>
      <c r="Q63" s="307"/>
      <c r="R63" s="308"/>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07"/>
      <c r="AS63" s="307"/>
      <c r="AT63" s="307"/>
      <c r="AU63" s="307"/>
      <c r="AV63" s="307"/>
      <c r="AW63" s="307"/>
      <c r="AX63" s="307"/>
      <c r="AY63" s="307"/>
      <c r="AZ63" s="307"/>
      <c r="BA63" s="307"/>
      <c r="BB63" s="307"/>
      <c r="BC63" s="307"/>
      <c r="BD63" s="307"/>
      <c r="BE63" s="307"/>
      <c r="BF63" s="307"/>
      <c r="BG63" s="307"/>
      <c r="BH63" s="307"/>
      <c r="BI63" s="307"/>
      <c r="BJ63" s="307"/>
      <c r="BK63" s="307"/>
      <c r="BL63" s="307"/>
      <c r="BM63" s="307"/>
      <c r="BN63" s="307"/>
      <c r="BO63" s="307"/>
      <c r="BP63" s="307"/>
      <c r="BQ63" s="307"/>
      <c r="BR63" s="307"/>
      <c r="BS63" s="307"/>
      <c r="BT63" s="307"/>
      <c r="BU63" s="307"/>
      <c r="BV63" s="307"/>
      <c r="BW63" s="307"/>
      <c r="BX63" s="307"/>
      <c r="BY63" s="307"/>
      <c r="BZ63" s="307"/>
      <c r="CA63" s="307"/>
      <c r="CB63" s="307"/>
      <c r="CC63" s="307"/>
      <c r="CD63" s="307"/>
      <c r="CE63" s="307"/>
      <c r="CF63" s="307"/>
      <c r="CG63" s="307"/>
      <c r="CH63" s="307"/>
      <c r="CI63" s="307"/>
      <c r="CJ63" s="307"/>
      <c r="CK63" s="307"/>
      <c r="CL63" s="307"/>
      <c r="CM63" s="307"/>
      <c r="CN63" s="307"/>
      <c r="CO63" s="307"/>
      <c r="CP63" s="307"/>
      <c r="CQ63" s="307"/>
      <c r="CR63" s="307"/>
      <c r="CS63" s="307"/>
      <c r="CT63" s="307"/>
      <c r="CU63" s="307"/>
      <c r="CV63" s="307"/>
      <c r="CW63" s="307"/>
      <c r="CX63" s="307"/>
      <c r="CY63" s="307"/>
      <c r="CZ63" s="307"/>
      <c r="DA63" s="307"/>
      <c r="DB63" s="307"/>
      <c r="DC63" s="307"/>
      <c r="DD63" s="307"/>
      <c r="DE63" s="307"/>
      <c r="DF63" s="307"/>
      <c r="DG63" s="307"/>
      <c r="DH63" s="307"/>
      <c r="DI63" s="307"/>
      <c r="DJ63" s="307"/>
      <c r="DK63" s="307"/>
      <c r="DL63" s="307"/>
      <c r="DM63" s="307"/>
      <c r="DN63" s="307"/>
      <c r="DO63" s="307"/>
      <c r="DP63" s="307"/>
      <c r="DQ63" s="307"/>
      <c r="DR63" s="307"/>
      <c r="DS63" s="307"/>
      <c r="DT63" s="307"/>
      <c r="DU63" s="307"/>
      <c r="DV63" s="307"/>
      <c r="DW63" s="307"/>
      <c r="DX63" s="307"/>
      <c r="DY63" s="307"/>
      <c r="DZ63" s="307"/>
      <c r="EA63" s="307"/>
      <c r="EB63" s="307"/>
      <c r="EC63" s="307"/>
      <c r="ED63" s="307"/>
      <c r="EE63" s="307"/>
      <c r="EF63" s="307"/>
      <c r="EG63" s="307"/>
      <c r="EH63" s="307"/>
      <c r="EI63" s="307"/>
      <c r="EJ63" s="307"/>
      <c r="EK63" s="307"/>
      <c r="EL63" s="307"/>
      <c r="EM63" s="307"/>
      <c r="EN63" s="307"/>
      <c r="EO63" s="307"/>
      <c r="EP63" s="307"/>
      <c r="EQ63" s="307"/>
      <c r="ER63" s="307"/>
      <c r="ES63" s="307"/>
      <c r="ET63" s="307"/>
      <c r="EU63" s="307"/>
      <c r="EV63" s="307"/>
      <c r="EW63" s="307"/>
      <c r="EX63" s="307"/>
      <c r="EY63" s="307"/>
      <c r="EZ63" s="307"/>
      <c r="FA63" s="307"/>
      <c r="FB63" s="307"/>
      <c r="FC63" s="307"/>
      <c r="FD63" s="307"/>
      <c r="FE63" s="307"/>
      <c r="FF63" s="307"/>
      <c r="FG63" s="307"/>
      <c r="FH63" s="307"/>
      <c r="FI63" s="307"/>
      <c r="FJ63" s="307"/>
      <c r="FK63" s="307"/>
      <c r="FL63" s="307"/>
      <c r="FM63" s="307"/>
      <c r="FN63" s="307"/>
      <c r="FO63" s="307"/>
      <c r="FP63" s="307"/>
      <c r="FQ63" s="307"/>
      <c r="FR63" s="307"/>
      <c r="FS63" s="307"/>
      <c r="FT63" s="307"/>
      <c r="FU63" s="307"/>
      <c r="FV63" s="307"/>
      <c r="FW63" s="307"/>
      <c r="FX63" s="307"/>
      <c r="FY63" s="307"/>
      <c r="FZ63" s="307"/>
      <c r="GA63" s="307"/>
      <c r="GB63" s="307"/>
      <c r="GC63" s="307"/>
      <c r="GD63" s="307"/>
      <c r="GE63" s="307"/>
      <c r="GF63" s="307"/>
      <c r="GG63" s="307"/>
      <c r="GH63" s="307"/>
      <c r="GI63" s="307"/>
      <c r="GJ63" s="307"/>
      <c r="GK63" s="307"/>
      <c r="GL63" s="307"/>
      <c r="GM63" s="307"/>
      <c r="GN63" s="307"/>
      <c r="GO63" s="307"/>
      <c r="GP63" s="307"/>
      <c r="GQ63" s="307"/>
      <c r="GR63" s="307"/>
      <c r="GS63" s="307"/>
      <c r="GT63" s="307"/>
      <c r="GU63" s="307"/>
      <c r="GV63" s="307"/>
      <c r="GW63" s="307"/>
      <c r="GX63" s="307"/>
      <c r="GY63" s="307"/>
      <c r="GZ63" s="307"/>
      <c r="HA63" s="307"/>
      <c r="HB63" s="307"/>
      <c r="HC63" s="307"/>
      <c r="HD63" s="307"/>
      <c r="HE63" s="307"/>
      <c r="HF63" s="307"/>
      <c r="HG63" s="307"/>
      <c r="HH63" s="307"/>
      <c r="HI63" s="307"/>
      <c r="HJ63" s="307"/>
      <c r="HK63" s="307"/>
      <c r="HL63" s="307"/>
      <c r="HM63" s="307"/>
      <c r="HN63" s="307"/>
      <c r="HO63" s="307"/>
      <c r="HP63" s="307"/>
      <c r="HQ63" s="307"/>
      <c r="HR63" s="307"/>
      <c r="HS63" s="307"/>
      <c r="HT63" s="307"/>
      <c r="HU63" s="307"/>
      <c r="HV63" s="307"/>
      <c r="HW63" s="307"/>
      <c r="HX63" s="307"/>
      <c r="HY63" s="307"/>
      <c r="HZ63" s="307"/>
      <c r="IA63" s="307"/>
      <c r="IB63" s="307"/>
      <c r="IC63" s="307"/>
      <c r="ID63" s="307"/>
      <c r="IE63" s="307"/>
      <c r="IF63" s="307"/>
      <c r="IG63" s="307"/>
      <c r="IH63" s="307"/>
      <c r="II63" s="307"/>
      <c r="IJ63" s="307"/>
      <c r="IK63" s="307"/>
      <c r="IL63" s="307"/>
      <c r="IM63" s="307"/>
      <c r="IN63" s="307"/>
      <c r="IO63" s="307"/>
      <c r="IP63" s="307"/>
      <c r="IQ63" s="307"/>
      <c r="IR63" s="307"/>
      <c r="IS63" s="307"/>
      <c r="IT63" s="307"/>
      <c r="IU63" s="307"/>
    </row>
    <row r="64" spans="1:255" ht="15.5">
      <c r="A64" s="337" t="s">
        <v>229</v>
      </c>
      <c r="B64" s="522" t="s">
        <v>230</v>
      </c>
      <c r="C64" s="523"/>
      <c r="D64" s="523"/>
      <c r="E64" s="523"/>
      <c r="F64" s="523"/>
      <c r="G64" s="523"/>
      <c r="H64" s="523"/>
      <c r="I64" s="523"/>
      <c r="J64" s="523"/>
      <c r="K64" s="523"/>
      <c r="L64" s="523"/>
      <c r="M64" s="307"/>
      <c r="N64" s="307"/>
      <c r="O64" s="307"/>
      <c r="P64" s="307"/>
      <c r="Q64" s="307"/>
      <c r="R64" s="308"/>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c r="BA64" s="307"/>
      <c r="BB64" s="307"/>
      <c r="BC64" s="307"/>
      <c r="BD64" s="307"/>
      <c r="BE64" s="307"/>
      <c r="BF64" s="307"/>
      <c r="BG64" s="307"/>
      <c r="BH64" s="307"/>
      <c r="BI64" s="307"/>
      <c r="BJ64" s="307"/>
      <c r="BK64" s="307"/>
      <c r="BL64" s="307"/>
      <c r="BM64" s="307"/>
      <c r="BN64" s="307"/>
      <c r="BO64" s="307"/>
      <c r="BP64" s="307"/>
      <c r="BQ64" s="307"/>
      <c r="BR64" s="307"/>
      <c r="BS64" s="307"/>
      <c r="BT64" s="307"/>
      <c r="BU64" s="307"/>
      <c r="BV64" s="307"/>
      <c r="BW64" s="307"/>
      <c r="BX64" s="307"/>
      <c r="BY64" s="307"/>
      <c r="BZ64" s="307"/>
      <c r="CA64" s="307"/>
      <c r="CB64" s="307"/>
      <c r="CC64" s="307"/>
      <c r="CD64" s="307"/>
      <c r="CE64" s="307"/>
      <c r="CF64" s="307"/>
      <c r="CG64" s="307"/>
      <c r="CH64" s="307"/>
      <c r="CI64" s="307"/>
      <c r="CJ64" s="307"/>
      <c r="CK64" s="307"/>
      <c r="CL64" s="307"/>
      <c r="CM64" s="307"/>
      <c r="CN64" s="307"/>
      <c r="CO64" s="307"/>
      <c r="CP64" s="307"/>
      <c r="CQ64" s="307"/>
      <c r="CR64" s="307"/>
      <c r="CS64" s="307"/>
      <c r="CT64" s="307"/>
      <c r="CU64" s="307"/>
      <c r="CV64" s="307"/>
      <c r="CW64" s="307"/>
      <c r="CX64" s="307"/>
      <c r="CY64" s="307"/>
      <c r="CZ64" s="307"/>
      <c r="DA64" s="307"/>
      <c r="DB64" s="307"/>
      <c r="DC64" s="307"/>
      <c r="DD64" s="307"/>
      <c r="DE64" s="307"/>
      <c r="DF64" s="307"/>
      <c r="DG64" s="307"/>
      <c r="DH64" s="307"/>
      <c r="DI64" s="307"/>
      <c r="DJ64" s="307"/>
      <c r="DK64" s="307"/>
      <c r="DL64" s="307"/>
      <c r="DM64" s="307"/>
      <c r="DN64" s="307"/>
      <c r="DO64" s="307"/>
      <c r="DP64" s="307"/>
      <c r="DQ64" s="307"/>
      <c r="DR64" s="307"/>
      <c r="DS64" s="307"/>
      <c r="DT64" s="307"/>
      <c r="DU64" s="307"/>
      <c r="DV64" s="307"/>
      <c r="DW64" s="307"/>
      <c r="DX64" s="307"/>
      <c r="DY64" s="307"/>
      <c r="DZ64" s="307"/>
      <c r="EA64" s="307"/>
      <c r="EB64" s="307"/>
      <c r="EC64" s="307"/>
      <c r="ED64" s="307"/>
      <c r="EE64" s="307"/>
      <c r="EF64" s="307"/>
      <c r="EG64" s="307"/>
      <c r="EH64" s="307"/>
      <c r="EI64" s="307"/>
      <c r="EJ64" s="307"/>
      <c r="EK64" s="307"/>
      <c r="EL64" s="307"/>
      <c r="EM64" s="307"/>
      <c r="EN64" s="307"/>
      <c r="EO64" s="307"/>
      <c r="EP64" s="307"/>
      <c r="EQ64" s="307"/>
      <c r="ER64" s="307"/>
      <c r="ES64" s="307"/>
      <c r="ET64" s="307"/>
      <c r="EU64" s="307"/>
      <c r="EV64" s="307"/>
      <c r="EW64" s="307"/>
      <c r="EX64" s="307"/>
      <c r="EY64" s="307"/>
      <c r="EZ64" s="307"/>
      <c r="FA64" s="307"/>
      <c r="FB64" s="307"/>
      <c r="FC64" s="307"/>
      <c r="FD64" s="307"/>
      <c r="FE64" s="307"/>
      <c r="FF64" s="307"/>
      <c r="FG64" s="307"/>
      <c r="FH64" s="307"/>
      <c r="FI64" s="307"/>
      <c r="FJ64" s="307"/>
      <c r="FK64" s="307"/>
      <c r="FL64" s="307"/>
      <c r="FM64" s="307"/>
      <c r="FN64" s="307"/>
      <c r="FO64" s="307"/>
      <c r="FP64" s="307"/>
      <c r="FQ64" s="307"/>
      <c r="FR64" s="307"/>
      <c r="FS64" s="307"/>
      <c r="FT64" s="307"/>
      <c r="FU64" s="307"/>
      <c r="FV64" s="307"/>
      <c r="FW64" s="307"/>
      <c r="FX64" s="307"/>
      <c r="FY64" s="307"/>
      <c r="FZ64" s="307"/>
      <c r="GA64" s="307"/>
      <c r="GB64" s="307"/>
      <c r="GC64" s="307"/>
      <c r="GD64" s="307"/>
      <c r="GE64" s="307"/>
      <c r="GF64" s="307"/>
      <c r="GG64" s="307"/>
      <c r="GH64" s="307"/>
      <c r="GI64" s="307"/>
      <c r="GJ64" s="307"/>
      <c r="GK64" s="307"/>
      <c r="GL64" s="307"/>
      <c r="GM64" s="307"/>
      <c r="GN64" s="307"/>
      <c r="GO64" s="307"/>
      <c r="GP64" s="307"/>
      <c r="GQ64" s="307"/>
      <c r="GR64" s="307"/>
      <c r="GS64" s="307"/>
      <c r="GT64" s="307"/>
      <c r="GU64" s="307"/>
      <c r="GV64" s="307"/>
      <c r="GW64" s="307"/>
      <c r="GX64" s="307"/>
      <c r="GY64" s="307"/>
      <c r="GZ64" s="307"/>
      <c r="HA64" s="307"/>
      <c r="HB64" s="307"/>
      <c r="HC64" s="307"/>
      <c r="HD64" s="307"/>
      <c r="HE64" s="307"/>
      <c r="HF64" s="307"/>
      <c r="HG64" s="307"/>
      <c r="HH64" s="307"/>
      <c r="HI64" s="307"/>
      <c r="HJ64" s="307"/>
      <c r="HK64" s="307"/>
      <c r="HL64" s="307"/>
      <c r="HM64" s="307"/>
      <c r="HN64" s="307"/>
      <c r="HO64" s="307"/>
      <c r="HP64" s="307"/>
      <c r="HQ64" s="307"/>
      <c r="HR64" s="307"/>
      <c r="HS64" s="307"/>
      <c r="HT64" s="307"/>
      <c r="HU64" s="307"/>
      <c r="HV64" s="307"/>
      <c r="HW64" s="307"/>
      <c r="HX64" s="307"/>
      <c r="HY64" s="307"/>
      <c r="HZ64" s="307"/>
      <c r="IA64" s="307"/>
      <c r="IB64" s="307"/>
      <c r="IC64" s="307"/>
      <c r="ID64" s="307"/>
      <c r="IE64" s="307"/>
      <c r="IF64" s="307"/>
      <c r="IG64" s="307"/>
      <c r="IH64" s="307"/>
      <c r="II64" s="307"/>
      <c r="IJ64" s="307"/>
      <c r="IK64" s="307"/>
      <c r="IL64" s="307"/>
      <c r="IM64" s="307"/>
      <c r="IN64" s="307"/>
      <c r="IO64" s="307"/>
      <c r="IP64" s="307"/>
      <c r="IQ64" s="307"/>
      <c r="IR64" s="307"/>
      <c r="IS64" s="307"/>
      <c r="IT64" s="307"/>
      <c r="IU64" s="307"/>
    </row>
    <row r="65" spans="1:255" ht="15.5">
      <c r="A65" s="307"/>
      <c r="B65" s="523"/>
      <c r="C65" s="523"/>
      <c r="D65" s="523"/>
      <c r="E65" s="523"/>
      <c r="F65" s="523"/>
      <c r="G65" s="523"/>
      <c r="H65" s="523"/>
      <c r="I65" s="523"/>
      <c r="J65" s="523"/>
      <c r="K65" s="523"/>
      <c r="L65" s="523"/>
      <c r="M65" s="307"/>
      <c r="N65" s="307"/>
      <c r="O65" s="307"/>
      <c r="P65" s="307"/>
      <c r="Q65" s="307"/>
      <c r="R65" s="308"/>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307"/>
      <c r="AV65" s="307"/>
      <c r="AW65" s="307"/>
      <c r="AX65" s="307"/>
      <c r="AY65" s="307"/>
      <c r="AZ65" s="307"/>
      <c r="BA65" s="307"/>
      <c r="BB65" s="307"/>
      <c r="BC65" s="307"/>
      <c r="BD65" s="307"/>
      <c r="BE65" s="307"/>
      <c r="BF65" s="307"/>
      <c r="BG65" s="307"/>
      <c r="BH65" s="307"/>
      <c r="BI65" s="307"/>
      <c r="BJ65" s="307"/>
      <c r="BK65" s="307"/>
      <c r="BL65" s="307"/>
      <c r="BM65" s="307"/>
      <c r="BN65" s="307"/>
      <c r="BO65" s="307"/>
      <c r="BP65" s="307"/>
      <c r="BQ65" s="307"/>
      <c r="BR65" s="307"/>
      <c r="BS65" s="307"/>
      <c r="BT65" s="307"/>
      <c r="BU65" s="307"/>
      <c r="BV65" s="307"/>
      <c r="BW65" s="307"/>
      <c r="BX65" s="307"/>
      <c r="BY65" s="307"/>
      <c r="BZ65" s="307"/>
      <c r="CA65" s="307"/>
      <c r="CB65" s="307"/>
      <c r="CC65" s="307"/>
      <c r="CD65" s="307"/>
      <c r="CE65" s="307"/>
      <c r="CF65" s="307"/>
      <c r="CG65" s="307"/>
      <c r="CH65" s="307"/>
      <c r="CI65" s="307"/>
      <c r="CJ65" s="307"/>
      <c r="CK65" s="307"/>
      <c r="CL65" s="307"/>
      <c r="CM65" s="307"/>
      <c r="CN65" s="307"/>
      <c r="CO65" s="307"/>
      <c r="CP65" s="307"/>
      <c r="CQ65" s="307"/>
      <c r="CR65" s="307"/>
      <c r="CS65" s="307"/>
      <c r="CT65" s="307"/>
      <c r="CU65" s="307"/>
      <c r="CV65" s="307"/>
      <c r="CW65" s="307"/>
      <c r="CX65" s="307"/>
      <c r="CY65" s="307"/>
      <c r="CZ65" s="307"/>
      <c r="DA65" s="307"/>
      <c r="DB65" s="307"/>
      <c r="DC65" s="307"/>
      <c r="DD65" s="307"/>
      <c r="DE65" s="307"/>
      <c r="DF65" s="307"/>
      <c r="DG65" s="307"/>
      <c r="DH65" s="307"/>
      <c r="DI65" s="307"/>
      <c r="DJ65" s="307"/>
      <c r="DK65" s="307"/>
      <c r="DL65" s="307"/>
      <c r="DM65" s="307"/>
      <c r="DN65" s="307"/>
      <c r="DO65" s="307"/>
      <c r="DP65" s="307"/>
      <c r="DQ65" s="307"/>
      <c r="DR65" s="307"/>
      <c r="DS65" s="307"/>
      <c r="DT65" s="307"/>
      <c r="DU65" s="307"/>
      <c r="DV65" s="307"/>
      <c r="DW65" s="307"/>
      <c r="DX65" s="307"/>
      <c r="DY65" s="307"/>
      <c r="DZ65" s="307"/>
      <c r="EA65" s="307"/>
      <c r="EB65" s="307"/>
      <c r="EC65" s="307"/>
      <c r="ED65" s="307"/>
      <c r="EE65" s="307"/>
      <c r="EF65" s="307"/>
      <c r="EG65" s="307"/>
      <c r="EH65" s="307"/>
      <c r="EI65" s="307"/>
      <c r="EJ65" s="307"/>
      <c r="EK65" s="307"/>
      <c r="EL65" s="307"/>
      <c r="EM65" s="307"/>
      <c r="EN65" s="307"/>
      <c r="EO65" s="307"/>
      <c r="EP65" s="307"/>
      <c r="EQ65" s="307"/>
      <c r="ER65" s="307"/>
      <c r="ES65" s="307"/>
      <c r="ET65" s="307"/>
      <c r="EU65" s="307"/>
      <c r="EV65" s="307"/>
      <c r="EW65" s="307"/>
      <c r="EX65" s="307"/>
      <c r="EY65" s="307"/>
      <c r="EZ65" s="307"/>
      <c r="FA65" s="307"/>
      <c r="FB65" s="307"/>
      <c r="FC65" s="307"/>
      <c r="FD65" s="307"/>
      <c r="FE65" s="307"/>
      <c r="FF65" s="307"/>
      <c r="FG65" s="307"/>
      <c r="FH65" s="307"/>
      <c r="FI65" s="307"/>
      <c r="FJ65" s="307"/>
      <c r="FK65" s="307"/>
      <c r="FL65" s="307"/>
      <c r="FM65" s="307"/>
      <c r="FN65" s="307"/>
      <c r="FO65" s="307"/>
      <c r="FP65" s="307"/>
      <c r="FQ65" s="307"/>
      <c r="FR65" s="307"/>
      <c r="FS65" s="307"/>
      <c r="FT65" s="307"/>
      <c r="FU65" s="307"/>
      <c r="FV65" s="307"/>
      <c r="FW65" s="307"/>
      <c r="FX65" s="307"/>
      <c r="FY65" s="307"/>
      <c r="FZ65" s="307"/>
      <c r="GA65" s="307"/>
      <c r="GB65" s="307"/>
      <c r="GC65" s="307"/>
      <c r="GD65" s="307"/>
      <c r="GE65" s="307"/>
      <c r="GF65" s="307"/>
      <c r="GG65" s="307"/>
      <c r="GH65" s="307"/>
      <c r="GI65" s="307"/>
      <c r="GJ65" s="307"/>
      <c r="GK65" s="307"/>
      <c r="GL65" s="307"/>
      <c r="GM65" s="307"/>
      <c r="GN65" s="307"/>
      <c r="GO65" s="307"/>
      <c r="GP65" s="307"/>
      <c r="GQ65" s="307"/>
      <c r="GR65" s="307"/>
      <c r="GS65" s="307"/>
      <c r="GT65" s="307"/>
      <c r="GU65" s="307"/>
      <c r="GV65" s="307"/>
      <c r="GW65" s="307"/>
      <c r="GX65" s="307"/>
      <c r="GY65" s="307"/>
      <c r="GZ65" s="307"/>
      <c r="HA65" s="307"/>
      <c r="HB65" s="307"/>
      <c r="HC65" s="307"/>
      <c r="HD65" s="307"/>
      <c r="HE65" s="307"/>
      <c r="HF65" s="307"/>
      <c r="HG65" s="307"/>
      <c r="HH65" s="307"/>
      <c r="HI65" s="307"/>
      <c r="HJ65" s="307"/>
      <c r="HK65" s="307"/>
      <c r="HL65" s="307"/>
      <c r="HM65" s="307"/>
      <c r="HN65" s="307"/>
      <c r="HO65" s="307"/>
      <c r="HP65" s="307"/>
      <c r="HQ65" s="307"/>
      <c r="HR65" s="307"/>
      <c r="HS65" s="307"/>
      <c r="HT65" s="307"/>
      <c r="HU65" s="307"/>
      <c r="HV65" s="307"/>
      <c r="HW65" s="307"/>
      <c r="HX65" s="307"/>
      <c r="HY65" s="307"/>
      <c r="HZ65" s="307"/>
      <c r="IA65" s="307"/>
      <c r="IB65" s="307"/>
      <c r="IC65" s="307"/>
      <c r="ID65" s="307"/>
      <c r="IE65" s="307"/>
      <c r="IF65" s="307"/>
      <c r="IG65" s="307"/>
      <c r="IH65" s="307"/>
      <c r="II65" s="307"/>
      <c r="IJ65" s="307"/>
      <c r="IK65" s="307"/>
      <c r="IL65" s="307"/>
      <c r="IM65" s="307"/>
      <c r="IN65" s="307"/>
      <c r="IO65" s="307"/>
      <c r="IP65" s="307"/>
      <c r="IQ65" s="307"/>
      <c r="IR65" s="307"/>
      <c r="IS65" s="307"/>
      <c r="IT65" s="307"/>
      <c r="IU65" s="307"/>
    </row>
    <row r="66" spans="1:255" ht="15.5">
      <c r="A66" s="307"/>
      <c r="B66" s="307"/>
      <c r="C66" s="307"/>
      <c r="D66" s="307"/>
      <c r="E66" s="336"/>
      <c r="F66" s="307"/>
      <c r="G66" s="307"/>
      <c r="H66" s="336"/>
      <c r="I66" s="307"/>
      <c r="J66" s="307"/>
      <c r="K66" s="307"/>
      <c r="L66" s="307"/>
      <c r="M66" s="307"/>
      <c r="N66" s="307"/>
      <c r="O66" s="307"/>
      <c r="P66" s="307"/>
      <c r="Q66" s="307"/>
      <c r="R66" s="308"/>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07"/>
      <c r="CP66" s="307"/>
      <c r="CQ66" s="307"/>
      <c r="CR66" s="307"/>
      <c r="CS66" s="307"/>
      <c r="CT66" s="307"/>
      <c r="CU66" s="307"/>
      <c r="CV66" s="307"/>
      <c r="CW66" s="307"/>
      <c r="CX66" s="307"/>
      <c r="CY66" s="307"/>
      <c r="CZ66" s="307"/>
      <c r="DA66" s="307"/>
      <c r="DB66" s="307"/>
      <c r="DC66" s="307"/>
      <c r="DD66" s="307"/>
      <c r="DE66" s="307"/>
      <c r="DF66" s="307"/>
      <c r="DG66" s="307"/>
      <c r="DH66" s="307"/>
      <c r="DI66" s="307"/>
      <c r="DJ66" s="307"/>
      <c r="DK66" s="307"/>
      <c r="DL66" s="307"/>
      <c r="DM66" s="307"/>
      <c r="DN66" s="307"/>
      <c r="DO66" s="307"/>
      <c r="DP66" s="307"/>
      <c r="DQ66" s="307"/>
      <c r="DR66" s="307"/>
      <c r="DS66" s="307"/>
      <c r="DT66" s="307"/>
      <c r="DU66" s="307"/>
      <c r="DV66" s="307"/>
      <c r="DW66" s="307"/>
      <c r="DX66" s="307"/>
      <c r="DY66" s="307"/>
      <c r="DZ66" s="307"/>
      <c r="EA66" s="307"/>
      <c r="EB66" s="307"/>
      <c r="EC66" s="307"/>
      <c r="ED66" s="307"/>
      <c r="EE66" s="307"/>
      <c r="EF66" s="307"/>
      <c r="EG66" s="307"/>
      <c r="EH66" s="307"/>
      <c r="EI66" s="307"/>
      <c r="EJ66" s="307"/>
      <c r="EK66" s="307"/>
      <c r="EL66" s="307"/>
      <c r="EM66" s="307"/>
      <c r="EN66" s="307"/>
      <c r="EO66" s="307"/>
      <c r="EP66" s="307"/>
      <c r="EQ66" s="307"/>
      <c r="ER66" s="307"/>
      <c r="ES66" s="307"/>
      <c r="ET66" s="307"/>
      <c r="EU66" s="307"/>
      <c r="EV66" s="307"/>
      <c r="EW66" s="307"/>
      <c r="EX66" s="307"/>
      <c r="EY66" s="307"/>
      <c r="EZ66" s="307"/>
      <c r="FA66" s="307"/>
      <c r="FB66" s="307"/>
      <c r="FC66" s="307"/>
      <c r="FD66" s="307"/>
      <c r="FE66" s="307"/>
      <c r="FF66" s="307"/>
      <c r="FG66" s="307"/>
      <c r="FH66" s="307"/>
      <c r="FI66" s="307"/>
      <c r="FJ66" s="307"/>
      <c r="FK66" s="307"/>
      <c r="FL66" s="307"/>
      <c r="FM66" s="307"/>
      <c r="FN66" s="307"/>
      <c r="FO66" s="307"/>
      <c r="FP66" s="307"/>
      <c r="FQ66" s="307"/>
      <c r="FR66" s="307"/>
      <c r="FS66" s="307"/>
      <c r="FT66" s="307"/>
      <c r="FU66" s="307"/>
      <c r="FV66" s="307"/>
      <c r="FW66" s="307"/>
      <c r="FX66" s="307"/>
      <c r="FY66" s="307"/>
      <c r="FZ66" s="307"/>
      <c r="GA66" s="307"/>
      <c r="GB66" s="307"/>
      <c r="GC66" s="307"/>
      <c r="GD66" s="307"/>
      <c r="GE66" s="307"/>
      <c r="GF66" s="307"/>
      <c r="GG66" s="307"/>
      <c r="GH66" s="307"/>
      <c r="GI66" s="307"/>
      <c r="GJ66" s="307"/>
      <c r="GK66" s="307"/>
      <c r="GL66" s="307"/>
      <c r="GM66" s="307"/>
      <c r="GN66" s="307"/>
      <c r="GO66" s="307"/>
      <c r="GP66" s="307"/>
      <c r="GQ66" s="307"/>
      <c r="GR66" s="307"/>
      <c r="GS66" s="307"/>
      <c r="GT66" s="307"/>
      <c r="GU66" s="307"/>
      <c r="GV66" s="307"/>
      <c r="GW66" s="307"/>
      <c r="GX66" s="307"/>
      <c r="GY66" s="307"/>
      <c r="GZ66" s="307"/>
      <c r="HA66" s="307"/>
      <c r="HB66" s="307"/>
      <c r="HC66" s="307"/>
      <c r="HD66" s="307"/>
      <c r="HE66" s="307"/>
      <c r="HF66" s="307"/>
      <c r="HG66" s="307"/>
      <c r="HH66" s="307"/>
      <c r="HI66" s="307"/>
      <c r="HJ66" s="307"/>
      <c r="HK66" s="307"/>
      <c r="HL66" s="307"/>
      <c r="HM66" s="307"/>
      <c r="HN66" s="307"/>
      <c r="HO66" s="307"/>
      <c r="HP66" s="307"/>
      <c r="HQ66" s="307"/>
      <c r="HR66" s="307"/>
      <c r="HS66" s="307"/>
      <c r="HT66" s="307"/>
      <c r="HU66" s="307"/>
      <c r="HV66" s="307"/>
      <c r="HW66" s="307"/>
      <c r="HX66" s="307"/>
      <c r="HY66" s="307"/>
      <c r="HZ66" s="307"/>
      <c r="IA66" s="307"/>
      <c r="IB66" s="307"/>
      <c r="IC66" s="307"/>
      <c r="ID66" s="307"/>
      <c r="IE66" s="307"/>
      <c r="IF66" s="307"/>
      <c r="IG66" s="307"/>
      <c r="IH66" s="307"/>
      <c r="II66" s="307"/>
      <c r="IJ66" s="307"/>
      <c r="IK66" s="307"/>
      <c r="IL66" s="307"/>
      <c r="IM66" s="307"/>
      <c r="IN66" s="307"/>
      <c r="IO66" s="307"/>
      <c r="IP66" s="307"/>
      <c r="IQ66" s="307"/>
      <c r="IR66" s="307"/>
      <c r="IS66" s="307"/>
      <c r="IT66" s="307"/>
      <c r="IU66" s="307"/>
    </row>
    <row r="67" spans="1:255" ht="15.5">
      <c r="A67" s="307"/>
      <c r="B67" s="307"/>
      <c r="C67" s="307"/>
      <c r="D67" s="307"/>
      <c r="E67" s="336"/>
      <c r="F67" s="307"/>
      <c r="G67" s="307"/>
      <c r="H67" s="336"/>
      <c r="I67" s="307"/>
      <c r="J67" s="307"/>
      <c r="K67" s="307"/>
      <c r="L67" s="307"/>
      <c r="M67" s="307"/>
      <c r="N67" s="307"/>
      <c r="O67" s="307"/>
      <c r="P67" s="307"/>
      <c r="Q67" s="307"/>
      <c r="R67" s="308"/>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307"/>
      <c r="AX67" s="307"/>
      <c r="AY67" s="307"/>
      <c r="AZ67" s="307"/>
      <c r="BA67" s="307"/>
      <c r="BB67" s="307"/>
      <c r="BC67" s="307"/>
      <c r="BD67" s="307"/>
      <c r="BE67" s="307"/>
      <c r="BF67" s="307"/>
      <c r="BG67" s="307"/>
      <c r="BH67" s="307"/>
      <c r="BI67" s="307"/>
      <c r="BJ67" s="307"/>
      <c r="BK67" s="307"/>
      <c r="BL67" s="307"/>
      <c r="BM67" s="307"/>
      <c r="BN67" s="307"/>
      <c r="BO67" s="307"/>
      <c r="BP67" s="307"/>
      <c r="BQ67" s="307"/>
      <c r="BR67" s="307"/>
      <c r="BS67" s="307"/>
      <c r="BT67" s="307"/>
      <c r="BU67" s="307"/>
      <c r="BV67" s="307"/>
      <c r="BW67" s="307"/>
      <c r="BX67" s="307"/>
      <c r="BY67" s="307"/>
      <c r="BZ67" s="307"/>
      <c r="CA67" s="307"/>
      <c r="CB67" s="307"/>
      <c r="CC67" s="307"/>
      <c r="CD67" s="307"/>
      <c r="CE67" s="307"/>
      <c r="CF67" s="307"/>
      <c r="CG67" s="307"/>
      <c r="CH67" s="307"/>
      <c r="CI67" s="307"/>
      <c r="CJ67" s="307"/>
      <c r="CK67" s="307"/>
      <c r="CL67" s="307"/>
      <c r="CM67" s="307"/>
      <c r="CN67" s="307"/>
      <c r="CO67" s="307"/>
      <c r="CP67" s="307"/>
      <c r="CQ67" s="307"/>
      <c r="CR67" s="307"/>
      <c r="CS67" s="307"/>
      <c r="CT67" s="307"/>
      <c r="CU67" s="307"/>
      <c r="CV67" s="307"/>
      <c r="CW67" s="307"/>
      <c r="CX67" s="307"/>
      <c r="CY67" s="307"/>
      <c r="CZ67" s="307"/>
      <c r="DA67" s="307"/>
      <c r="DB67" s="307"/>
      <c r="DC67" s="307"/>
      <c r="DD67" s="307"/>
      <c r="DE67" s="307"/>
      <c r="DF67" s="307"/>
      <c r="DG67" s="307"/>
      <c r="DH67" s="307"/>
      <c r="DI67" s="307"/>
      <c r="DJ67" s="307"/>
      <c r="DK67" s="307"/>
      <c r="DL67" s="307"/>
      <c r="DM67" s="307"/>
      <c r="DN67" s="307"/>
      <c r="DO67" s="307"/>
      <c r="DP67" s="307"/>
      <c r="DQ67" s="307"/>
      <c r="DR67" s="307"/>
      <c r="DS67" s="307"/>
      <c r="DT67" s="307"/>
      <c r="DU67" s="307"/>
      <c r="DV67" s="307"/>
      <c r="DW67" s="307"/>
      <c r="DX67" s="307"/>
      <c r="DY67" s="307"/>
      <c r="DZ67" s="307"/>
      <c r="EA67" s="307"/>
      <c r="EB67" s="307"/>
      <c r="EC67" s="307"/>
      <c r="ED67" s="307"/>
      <c r="EE67" s="307"/>
      <c r="EF67" s="307"/>
      <c r="EG67" s="307"/>
      <c r="EH67" s="307"/>
      <c r="EI67" s="307"/>
      <c r="EJ67" s="307"/>
      <c r="EK67" s="307"/>
      <c r="EL67" s="307"/>
      <c r="EM67" s="307"/>
      <c r="EN67" s="307"/>
      <c r="EO67" s="307"/>
      <c r="EP67" s="307"/>
      <c r="EQ67" s="307"/>
      <c r="ER67" s="307"/>
      <c r="ES67" s="307"/>
      <c r="ET67" s="307"/>
      <c r="EU67" s="307"/>
      <c r="EV67" s="307"/>
      <c r="EW67" s="307"/>
      <c r="EX67" s="307"/>
      <c r="EY67" s="307"/>
      <c r="EZ67" s="307"/>
      <c r="FA67" s="307"/>
      <c r="FB67" s="307"/>
      <c r="FC67" s="307"/>
      <c r="FD67" s="307"/>
      <c r="FE67" s="307"/>
      <c r="FF67" s="307"/>
      <c r="FG67" s="307"/>
      <c r="FH67" s="307"/>
      <c r="FI67" s="307"/>
      <c r="FJ67" s="307"/>
      <c r="FK67" s="307"/>
      <c r="FL67" s="307"/>
      <c r="FM67" s="307"/>
      <c r="FN67" s="307"/>
      <c r="FO67" s="307"/>
      <c r="FP67" s="307"/>
      <c r="FQ67" s="307"/>
      <c r="FR67" s="307"/>
      <c r="FS67" s="307"/>
      <c r="FT67" s="307"/>
      <c r="FU67" s="307"/>
      <c r="FV67" s="307"/>
      <c r="FW67" s="307"/>
      <c r="FX67" s="307"/>
      <c r="FY67" s="307"/>
      <c r="FZ67" s="307"/>
      <c r="GA67" s="307"/>
      <c r="GB67" s="307"/>
      <c r="GC67" s="307"/>
      <c r="GD67" s="307"/>
      <c r="GE67" s="307"/>
      <c r="GF67" s="307"/>
      <c r="GG67" s="307"/>
      <c r="GH67" s="307"/>
      <c r="GI67" s="307"/>
      <c r="GJ67" s="307"/>
      <c r="GK67" s="307"/>
      <c r="GL67" s="307"/>
      <c r="GM67" s="307"/>
      <c r="GN67" s="307"/>
      <c r="GO67" s="307"/>
      <c r="GP67" s="307"/>
      <c r="GQ67" s="307"/>
      <c r="GR67" s="307"/>
      <c r="GS67" s="307"/>
      <c r="GT67" s="307"/>
      <c r="GU67" s="307"/>
      <c r="GV67" s="307"/>
      <c r="GW67" s="307"/>
      <c r="GX67" s="307"/>
      <c r="GY67" s="307"/>
      <c r="GZ67" s="307"/>
      <c r="HA67" s="307"/>
      <c r="HB67" s="307"/>
      <c r="HC67" s="307"/>
      <c r="HD67" s="307"/>
      <c r="HE67" s="307"/>
      <c r="HF67" s="307"/>
      <c r="HG67" s="307"/>
      <c r="HH67" s="307"/>
      <c r="HI67" s="307"/>
      <c r="HJ67" s="307"/>
      <c r="HK67" s="307"/>
      <c r="HL67" s="307"/>
      <c r="HM67" s="307"/>
      <c r="HN67" s="307"/>
      <c r="HO67" s="307"/>
      <c r="HP67" s="307"/>
      <c r="HQ67" s="307"/>
      <c r="HR67" s="307"/>
      <c r="HS67" s="307"/>
      <c r="HT67" s="307"/>
      <c r="HU67" s="307"/>
      <c r="HV67" s="307"/>
      <c r="HW67" s="307"/>
      <c r="HX67" s="307"/>
      <c r="HY67" s="307"/>
      <c r="HZ67" s="307"/>
      <c r="IA67" s="307"/>
      <c r="IB67" s="307"/>
      <c r="IC67" s="307"/>
      <c r="ID67" s="307"/>
      <c r="IE67" s="307"/>
      <c r="IF67" s="307"/>
      <c r="IG67" s="307"/>
      <c r="IH67" s="307"/>
      <c r="II67" s="307"/>
      <c r="IJ67" s="307"/>
      <c r="IK67" s="307"/>
      <c r="IL67" s="307"/>
      <c r="IM67" s="307"/>
      <c r="IN67" s="307"/>
      <c r="IO67" s="307"/>
      <c r="IP67" s="307"/>
      <c r="IQ67" s="307"/>
      <c r="IR67" s="307"/>
      <c r="IS67" s="307"/>
      <c r="IT67" s="307"/>
      <c r="IU67" s="307"/>
    </row>
    <row r="68" spans="1:255" ht="15.5">
      <c r="A68" s="307"/>
      <c r="B68" s="307"/>
      <c r="C68" s="307"/>
      <c r="D68" s="307"/>
      <c r="E68" s="336"/>
      <c r="F68" s="307"/>
      <c r="G68" s="307"/>
      <c r="H68" s="336"/>
      <c r="I68" s="307"/>
      <c r="J68" s="307"/>
      <c r="K68" s="307"/>
      <c r="L68" s="307"/>
      <c r="M68" s="307"/>
      <c r="N68" s="307"/>
      <c r="O68" s="307"/>
      <c r="P68" s="307"/>
      <c r="Q68" s="307"/>
      <c r="R68" s="308"/>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307"/>
      <c r="AR68" s="307"/>
      <c r="AS68" s="307"/>
      <c r="AT68" s="307"/>
      <c r="AU68" s="307"/>
      <c r="AV68" s="307"/>
      <c r="AW68" s="307"/>
      <c r="AX68" s="307"/>
      <c r="AY68" s="307"/>
      <c r="AZ68" s="307"/>
      <c r="BA68" s="307"/>
      <c r="BB68" s="307"/>
      <c r="BC68" s="307"/>
      <c r="BD68" s="307"/>
      <c r="BE68" s="307"/>
      <c r="BF68" s="307"/>
      <c r="BG68" s="307"/>
      <c r="BH68" s="307"/>
      <c r="BI68" s="307"/>
      <c r="BJ68" s="307"/>
      <c r="BK68" s="307"/>
      <c r="BL68" s="307"/>
      <c r="BM68" s="307"/>
      <c r="BN68" s="307"/>
      <c r="BO68" s="307"/>
      <c r="BP68" s="307"/>
      <c r="BQ68" s="307"/>
      <c r="BR68" s="307"/>
      <c r="BS68" s="307"/>
      <c r="BT68" s="307"/>
      <c r="BU68" s="307"/>
      <c r="BV68" s="307"/>
      <c r="BW68" s="307"/>
      <c r="BX68" s="307"/>
      <c r="BY68" s="307"/>
      <c r="BZ68" s="307"/>
      <c r="CA68" s="307"/>
      <c r="CB68" s="307"/>
      <c r="CC68" s="307"/>
      <c r="CD68" s="307"/>
      <c r="CE68" s="307"/>
      <c r="CF68" s="307"/>
      <c r="CG68" s="307"/>
      <c r="CH68" s="307"/>
      <c r="CI68" s="307"/>
      <c r="CJ68" s="307"/>
      <c r="CK68" s="307"/>
      <c r="CL68" s="307"/>
      <c r="CM68" s="307"/>
      <c r="CN68" s="307"/>
      <c r="CO68" s="307"/>
      <c r="CP68" s="307"/>
      <c r="CQ68" s="307"/>
      <c r="CR68" s="307"/>
      <c r="CS68" s="307"/>
      <c r="CT68" s="307"/>
      <c r="CU68" s="307"/>
      <c r="CV68" s="307"/>
      <c r="CW68" s="307"/>
      <c r="CX68" s="307"/>
      <c r="CY68" s="307"/>
      <c r="CZ68" s="307"/>
      <c r="DA68" s="307"/>
      <c r="DB68" s="307"/>
      <c r="DC68" s="307"/>
      <c r="DD68" s="307"/>
      <c r="DE68" s="307"/>
      <c r="DF68" s="307"/>
      <c r="DG68" s="307"/>
      <c r="DH68" s="307"/>
      <c r="DI68" s="307"/>
      <c r="DJ68" s="307"/>
      <c r="DK68" s="307"/>
      <c r="DL68" s="307"/>
      <c r="DM68" s="307"/>
      <c r="DN68" s="307"/>
      <c r="DO68" s="307"/>
      <c r="DP68" s="307"/>
      <c r="DQ68" s="307"/>
      <c r="DR68" s="307"/>
      <c r="DS68" s="307"/>
      <c r="DT68" s="307"/>
      <c r="DU68" s="307"/>
      <c r="DV68" s="307"/>
      <c r="DW68" s="307"/>
      <c r="DX68" s="307"/>
      <c r="DY68" s="307"/>
      <c r="DZ68" s="307"/>
      <c r="EA68" s="307"/>
      <c r="EB68" s="307"/>
      <c r="EC68" s="307"/>
      <c r="ED68" s="307"/>
      <c r="EE68" s="307"/>
      <c r="EF68" s="307"/>
      <c r="EG68" s="307"/>
      <c r="EH68" s="307"/>
      <c r="EI68" s="307"/>
      <c r="EJ68" s="307"/>
      <c r="EK68" s="307"/>
      <c r="EL68" s="307"/>
      <c r="EM68" s="307"/>
      <c r="EN68" s="307"/>
      <c r="EO68" s="307"/>
      <c r="EP68" s="307"/>
      <c r="EQ68" s="307"/>
      <c r="ER68" s="307"/>
      <c r="ES68" s="307"/>
      <c r="ET68" s="307"/>
      <c r="EU68" s="307"/>
      <c r="EV68" s="307"/>
      <c r="EW68" s="307"/>
      <c r="EX68" s="307"/>
      <c r="EY68" s="307"/>
      <c r="EZ68" s="307"/>
      <c r="FA68" s="307"/>
      <c r="FB68" s="307"/>
      <c r="FC68" s="307"/>
      <c r="FD68" s="307"/>
      <c r="FE68" s="307"/>
      <c r="FF68" s="307"/>
      <c r="FG68" s="307"/>
      <c r="FH68" s="307"/>
      <c r="FI68" s="307"/>
      <c r="FJ68" s="307"/>
      <c r="FK68" s="307"/>
      <c r="FL68" s="307"/>
      <c r="FM68" s="307"/>
      <c r="FN68" s="307"/>
      <c r="FO68" s="307"/>
      <c r="FP68" s="307"/>
      <c r="FQ68" s="307"/>
      <c r="FR68" s="307"/>
      <c r="FS68" s="307"/>
      <c r="FT68" s="307"/>
      <c r="FU68" s="307"/>
      <c r="FV68" s="307"/>
      <c r="FW68" s="307"/>
      <c r="FX68" s="307"/>
      <c r="FY68" s="307"/>
      <c r="FZ68" s="307"/>
      <c r="GA68" s="307"/>
      <c r="GB68" s="307"/>
      <c r="GC68" s="307"/>
      <c r="GD68" s="307"/>
      <c r="GE68" s="307"/>
      <c r="GF68" s="307"/>
      <c r="GG68" s="307"/>
      <c r="GH68" s="307"/>
      <c r="GI68" s="307"/>
      <c r="GJ68" s="307"/>
      <c r="GK68" s="307"/>
      <c r="GL68" s="307"/>
      <c r="GM68" s="307"/>
      <c r="GN68" s="307"/>
      <c r="GO68" s="307"/>
      <c r="GP68" s="307"/>
      <c r="GQ68" s="307"/>
      <c r="GR68" s="307"/>
      <c r="GS68" s="307"/>
      <c r="GT68" s="307"/>
      <c r="GU68" s="307"/>
      <c r="GV68" s="307"/>
      <c r="GW68" s="307"/>
      <c r="GX68" s="307"/>
      <c r="GY68" s="307"/>
      <c r="GZ68" s="307"/>
      <c r="HA68" s="307"/>
      <c r="HB68" s="307"/>
      <c r="HC68" s="307"/>
      <c r="HD68" s="307"/>
      <c r="HE68" s="307"/>
      <c r="HF68" s="307"/>
      <c r="HG68" s="307"/>
      <c r="HH68" s="307"/>
      <c r="HI68" s="307"/>
      <c r="HJ68" s="307"/>
      <c r="HK68" s="307"/>
      <c r="HL68" s="307"/>
      <c r="HM68" s="307"/>
      <c r="HN68" s="307"/>
      <c r="HO68" s="307"/>
      <c r="HP68" s="307"/>
      <c r="HQ68" s="307"/>
      <c r="HR68" s="307"/>
      <c r="HS68" s="307"/>
      <c r="HT68" s="307"/>
      <c r="HU68" s="307"/>
      <c r="HV68" s="307"/>
      <c r="HW68" s="307"/>
      <c r="HX68" s="307"/>
      <c r="HY68" s="307"/>
      <c r="HZ68" s="307"/>
      <c r="IA68" s="307"/>
      <c r="IB68" s="307"/>
      <c r="IC68" s="307"/>
      <c r="ID68" s="307"/>
      <c r="IE68" s="307"/>
      <c r="IF68" s="307"/>
      <c r="IG68" s="307"/>
      <c r="IH68" s="307"/>
      <c r="II68" s="307"/>
      <c r="IJ68" s="307"/>
      <c r="IK68" s="307"/>
      <c r="IL68" s="307"/>
      <c r="IM68" s="307"/>
      <c r="IN68" s="307"/>
      <c r="IO68" s="307"/>
      <c r="IP68" s="307"/>
      <c r="IQ68" s="307"/>
      <c r="IR68" s="307"/>
      <c r="IS68" s="307"/>
      <c r="IT68" s="307"/>
      <c r="IU68" s="307"/>
    </row>
    <row r="69" spans="1:255" ht="15.5">
      <c r="A69" s="338"/>
      <c r="B69" s="338"/>
      <c r="C69" s="338"/>
      <c r="D69" s="336"/>
      <c r="E69" s="336"/>
      <c r="F69" s="338"/>
      <c r="G69" s="338"/>
      <c r="H69" s="338"/>
      <c r="I69" s="338"/>
      <c r="J69" s="338"/>
      <c r="K69" s="338"/>
      <c r="L69" s="338"/>
      <c r="M69" s="338"/>
      <c r="N69" s="338"/>
      <c r="O69" s="338"/>
      <c r="P69" s="338"/>
      <c r="Q69" s="338"/>
      <c r="R69" s="30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c r="BA69" s="338"/>
      <c r="BB69" s="338"/>
      <c r="BC69" s="338"/>
      <c r="BD69" s="338"/>
      <c r="BE69" s="338"/>
      <c r="BF69" s="338"/>
      <c r="BG69" s="338"/>
      <c r="BH69" s="338"/>
      <c r="BI69" s="338"/>
      <c r="BJ69" s="338"/>
      <c r="BK69" s="338"/>
      <c r="BL69" s="338"/>
      <c r="BM69" s="338"/>
      <c r="BN69" s="338"/>
      <c r="BO69" s="338"/>
      <c r="BP69" s="338"/>
      <c r="BQ69" s="338"/>
      <c r="BR69" s="338"/>
      <c r="BS69" s="338"/>
      <c r="BT69" s="338"/>
      <c r="BU69" s="338"/>
      <c r="BV69" s="338"/>
      <c r="BW69" s="338"/>
      <c r="BX69" s="338"/>
      <c r="BY69" s="338"/>
      <c r="BZ69" s="338"/>
      <c r="CA69" s="338"/>
      <c r="CB69" s="338"/>
      <c r="CC69" s="338"/>
      <c r="CD69" s="338"/>
      <c r="CE69" s="338"/>
      <c r="CF69" s="338"/>
      <c r="CG69" s="338"/>
      <c r="CH69" s="338"/>
      <c r="CI69" s="338"/>
      <c r="CJ69" s="338"/>
      <c r="CK69" s="338"/>
      <c r="CL69" s="338"/>
      <c r="CM69" s="338"/>
      <c r="CN69" s="338"/>
      <c r="CO69" s="338"/>
      <c r="CP69" s="338"/>
      <c r="CQ69" s="338"/>
      <c r="CR69" s="338"/>
      <c r="CS69" s="338"/>
      <c r="CT69" s="338"/>
      <c r="CU69" s="338"/>
      <c r="CV69" s="338"/>
      <c r="CW69" s="338"/>
      <c r="CX69" s="338"/>
      <c r="CY69" s="338"/>
      <c r="CZ69" s="338"/>
      <c r="DA69" s="338"/>
      <c r="DB69" s="338"/>
      <c r="DC69" s="338"/>
      <c r="DD69" s="338"/>
      <c r="DE69" s="338"/>
      <c r="DF69" s="338"/>
      <c r="DG69" s="338"/>
      <c r="DH69" s="338"/>
      <c r="DI69" s="338"/>
      <c r="DJ69" s="338"/>
      <c r="DK69" s="338"/>
      <c r="DL69" s="338"/>
      <c r="DM69" s="338"/>
      <c r="DN69" s="338"/>
      <c r="DO69" s="338"/>
      <c r="DP69" s="338"/>
      <c r="DQ69" s="338"/>
      <c r="DR69" s="338"/>
      <c r="DS69" s="338"/>
      <c r="DT69" s="338"/>
      <c r="DU69" s="338"/>
      <c r="DV69" s="338"/>
      <c r="DW69" s="338"/>
      <c r="DX69" s="338"/>
      <c r="DY69" s="338"/>
      <c r="DZ69" s="338"/>
      <c r="EA69" s="338"/>
      <c r="EB69" s="338"/>
      <c r="EC69" s="338"/>
      <c r="ED69" s="338"/>
      <c r="EE69" s="338"/>
      <c r="EF69" s="338"/>
      <c r="EG69" s="338"/>
      <c r="EH69" s="338"/>
      <c r="EI69" s="338"/>
      <c r="EJ69" s="338"/>
      <c r="EK69" s="338"/>
      <c r="EL69" s="338"/>
      <c r="EM69" s="338"/>
      <c r="EN69" s="338"/>
      <c r="EO69" s="338"/>
      <c r="EP69" s="338"/>
      <c r="EQ69" s="338"/>
      <c r="ER69" s="338"/>
      <c r="ES69" s="338"/>
      <c r="ET69" s="338"/>
      <c r="EU69" s="338"/>
      <c r="EV69" s="338"/>
      <c r="EW69" s="338"/>
      <c r="EX69" s="338"/>
      <c r="EY69" s="338"/>
      <c r="EZ69" s="338"/>
      <c r="FA69" s="338"/>
      <c r="FB69" s="338"/>
      <c r="FC69" s="338"/>
      <c r="FD69" s="338"/>
      <c r="FE69" s="338"/>
      <c r="FF69" s="338"/>
      <c r="FG69" s="338"/>
      <c r="FH69" s="338"/>
      <c r="FI69" s="338"/>
      <c r="FJ69" s="338"/>
      <c r="FK69" s="338"/>
      <c r="FL69" s="338"/>
      <c r="FM69" s="338"/>
      <c r="FN69" s="338"/>
      <c r="FO69" s="338"/>
      <c r="FP69" s="338"/>
      <c r="FQ69" s="338"/>
      <c r="FR69" s="338"/>
      <c r="FS69" s="338"/>
      <c r="FT69" s="338"/>
      <c r="FU69" s="338"/>
      <c r="FV69" s="338"/>
      <c r="FW69" s="338"/>
      <c r="FX69" s="338"/>
      <c r="FY69" s="338"/>
      <c r="FZ69" s="338"/>
      <c r="GA69" s="338"/>
      <c r="GB69" s="338"/>
      <c r="GC69" s="338"/>
      <c r="GD69" s="338"/>
      <c r="GE69" s="338"/>
      <c r="GF69" s="338"/>
      <c r="GG69" s="338"/>
      <c r="GH69" s="338"/>
      <c r="GI69" s="338"/>
      <c r="GJ69" s="338"/>
      <c r="GK69" s="338"/>
      <c r="GL69" s="338"/>
      <c r="GM69" s="338"/>
      <c r="GN69" s="338"/>
      <c r="GO69" s="338"/>
      <c r="GP69" s="338"/>
      <c r="GQ69" s="338"/>
      <c r="GR69" s="338"/>
      <c r="GS69" s="338"/>
      <c r="GT69" s="338"/>
      <c r="GU69" s="338"/>
      <c r="GV69" s="338"/>
      <c r="GW69" s="338"/>
      <c r="GX69" s="338"/>
      <c r="GY69" s="338"/>
      <c r="GZ69" s="338"/>
      <c r="HA69" s="338"/>
      <c r="HB69" s="338"/>
      <c r="HC69" s="338"/>
      <c r="HD69" s="338"/>
      <c r="HE69" s="338"/>
      <c r="HF69" s="338"/>
      <c r="HG69" s="338"/>
      <c r="HH69" s="338"/>
      <c r="HI69" s="338"/>
      <c r="HJ69" s="338"/>
      <c r="HK69" s="338"/>
      <c r="HL69" s="338"/>
      <c r="HM69" s="338"/>
      <c r="HN69" s="338"/>
      <c r="HO69" s="338"/>
      <c r="HP69" s="338"/>
      <c r="HQ69" s="338"/>
      <c r="HR69" s="338"/>
      <c r="HS69" s="338"/>
      <c r="HT69" s="338"/>
      <c r="HU69" s="338"/>
      <c r="HV69" s="338"/>
      <c r="HW69" s="338"/>
      <c r="HX69" s="338"/>
      <c r="HY69" s="338"/>
      <c r="HZ69" s="338"/>
      <c r="IA69" s="338"/>
      <c r="IB69" s="338"/>
      <c r="IC69" s="338"/>
      <c r="ID69" s="338"/>
      <c r="IE69" s="338"/>
      <c r="IF69" s="338"/>
      <c r="IG69" s="338"/>
      <c r="IH69" s="338"/>
      <c r="II69" s="338"/>
      <c r="IJ69" s="338"/>
      <c r="IK69" s="338"/>
      <c r="IL69" s="338"/>
      <c r="IM69" s="338"/>
      <c r="IN69" s="338"/>
      <c r="IO69" s="338"/>
      <c r="IP69" s="338"/>
      <c r="IQ69" s="338"/>
      <c r="IR69" s="338"/>
      <c r="IS69" s="338"/>
      <c r="IT69" s="338"/>
      <c r="IU69" s="338"/>
    </row>
    <row r="70" spans="1:255" ht="15.5">
      <c r="A70" s="307"/>
      <c r="B70" s="307"/>
      <c r="C70" s="307"/>
      <c r="D70" s="307"/>
      <c r="E70" s="336"/>
      <c r="F70" s="307"/>
      <c r="G70" s="307"/>
      <c r="H70" s="336"/>
      <c r="I70" s="307"/>
      <c r="J70" s="307"/>
      <c r="K70" s="307"/>
      <c r="L70" s="307"/>
      <c r="M70" s="307"/>
      <c r="N70" s="307"/>
      <c r="O70" s="307"/>
      <c r="P70" s="307"/>
      <c r="Q70" s="307"/>
      <c r="R70" s="308"/>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c r="AS70" s="307"/>
      <c r="AT70" s="307"/>
      <c r="AU70" s="307"/>
      <c r="AV70" s="307"/>
      <c r="AW70" s="307"/>
      <c r="AX70" s="307"/>
      <c r="AY70" s="307"/>
      <c r="AZ70" s="307"/>
      <c r="BA70" s="307"/>
      <c r="BB70" s="307"/>
      <c r="BC70" s="307"/>
      <c r="BD70" s="307"/>
      <c r="BE70" s="307"/>
      <c r="BF70" s="307"/>
      <c r="BG70" s="307"/>
      <c r="BH70" s="307"/>
      <c r="BI70" s="307"/>
      <c r="BJ70" s="307"/>
      <c r="BK70" s="307"/>
      <c r="BL70" s="307"/>
      <c r="BM70" s="307"/>
      <c r="BN70" s="307"/>
      <c r="BO70" s="307"/>
      <c r="BP70" s="307"/>
      <c r="BQ70" s="307"/>
      <c r="BR70" s="307"/>
      <c r="BS70" s="307"/>
      <c r="BT70" s="307"/>
      <c r="BU70" s="307"/>
      <c r="BV70" s="307"/>
      <c r="BW70" s="307"/>
      <c r="BX70" s="307"/>
      <c r="BY70" s="307"/>
      <c r="BZ70" s="307"/>
      <c r="CA70" s="307"/>
      <c r="CB70" s="307"/>
      <c r="CC70" s="307"/>
      <c r="CD70" s="307"/>
      <c r="CE70" s="307"/>
      <c r="CF70" s="307"/>
      <c r="CG70" s="307"/>
      <c r="CH70" s="307"/>
      <c r="CI70" s="307"/>
      <c r="CJ70" s="307"/>
      <c r="CK70" s="307"/>
      <c r="CL70" s="307"/>
      <c r="CM70" s="307"/>
      <c r="CN70" s="307"/>
      <c r="CO70" s="307"/>
      <c r="CP70" s="307"/>
      <c r="CQ70" s="307"/>
      <c r="CR70" s="307"/>
      <c r="CS70" s="307"/>
      <c r="CT70" s="307"/>
      <c r="CU70" s="307"/>
      <c r="CV70" s="307"/>
      <c r="CW70" s="307"/>
      <c r="CX70" s="307"/>
      <c r="CY70" s="307"/>
      <c r="CZ70" s="307"/>
      <c r="DA70" s="307"/>
      <c r="DB70" s="307"/>
      <c r="DC70" s="307"/>
      <c r="DD70" s="307"/>
      <c r="DE70" s="307"/>
      <c r="DF70" s="307"/>
      <c r="DG70" s="307"/>
      <c r="DH70" s="307"/>
      <c r="DI70" s="307"/>
      <c r="DJ70" s="307"/>
      <c r="DK70" s="307"/>
      <c r="DL70" s="307"/>
      <c r="DM70" s="307"/>
      <c r="DN70" s="307"/>
      <c r="DO70" s="307"/>
      <c r="DP70" s="307"/>
      <c r="DQ70" s="307"/>
      <c r="DR70" s="307"/>
      <c r="DS70" s="307"/>
      <c r="DT70" s="307"/>
      <c r="DU70" s="307"/>
      <c r="DV70" s="307"/>
      <c r="DW70" s="307"/>
      <c r="DX70" s="307"/>
      <c r="DY70" s="307"/>
      <c r="DZ70" s="307"/>
      <c r="EA70" s="307"/>
      <c r="EB70" s="307"/>
      <c r="EC70" s="307"/>
      <c r="ED70" s="307"/>
      <c r="EE70" s="307"/>
      <c r="EF70" s="307"/>
      <c r="EG70" s="307"/>
      <c r="EH70" s="307"/>
      <c r="EI70" s="307"/>
      <c r="EJ70" s="307"/>
      <c r="EK70" s="307"/>
      <c r="EL70" s="307"/>
      <c r="EM70" s="307"/>
      <c r="EN70" s="307"/>
      <c r="EO70" s="307"/>
      <c r="EP70" s="307"/>
      <c r="EQ70" s="307"/>
      <c r="ER70" s="307"/>
      <c r="ES70" s="307"/>
      <c r="ET70" s="307"/>
      <c r="EU70" s="307"/>
      <c r="EV70" s="307"/>
      <c r="EW70" s="307"/>
      <c r="EX70" s="307"/>
      <c r="EY70" s="307"/>
      <c r="EZ70" s="307"/>
      <c r="FA70" s="307"/>
      <c r="FB70" s="307"/>
      <c r="FC70" s="307"/>
      <c r="FD70" s="307"/>
      <c r="FE70" s="307"/>
      <c r="FF70" s="307"/>
      <c r="FG70" s="307"/>
      <c r="FH70" s="307"/>
      <c r="FI70" s="307"/>
      <c r="FJ70" s="307"/>
      <c r="FK70" s="307"/>
      <c r="FL70" s="307"/>
      <c r="FM70" s="307"/>
      <c r="FN70" s="307"/>
      <c r="FO70" s="307"/>
      <c r="FP70" s="307"/>
      <c r="FQ70" s="307"/>
      <c r="FR70" s="307"/>
      <c r="FS70" s="307"/>
      <c r="FT70" s="307"/>
      <c r="FU70" s="307"/>
      <c r="FV70" s="307"/>
      <c r="FW70" s="307"/>
      <c r="FX70" s="307"/>
      <c r="FY70" s="307"/>
      <c r="FZ70" s="307"/>
      <c r="GA70" s="307"/>
      <c r="GB70" s="307"/>
      <c r="GC70" s="307"/>
      <c r="GD70" s="307"/>
      <c r="GE70" s="307"/>
      <c r="GF70" s="307"/>
      <c r="GG70" s="307"/>
      <c r="GH70" s="307"/>
      <c r="GI70" s="307"/>
      <c r="GJ70" s="307"/>
      <c r="GK70" s="307"/>
      <c r="GL70" s="307"/>
      <c r="GM70" s="307"/>
      <c r="GN70" s="307"/>
      <c r="GO70" s="307"/>
      <c r="GP70" s="307"/>
      <c r="GQ70" s="307"/>
      <c r="GR70" s="307"/>
      <c r="GS70" s="307"/>
      <c r="GT70" s="307"/>
      <c r="GU70" s="307"/>
      <c r="GV70" s="307"/>
      <c r="GW70" s="307"/>
      <c r="GX70" s="307"/>
      <c r="GY70" s="307"/>
      <c r="GZ70" s="307"/>
      <c r="HA70" s="307"/>
      <c r="HB70" s="307"/>
      <c r="HC70" s="307"/>
      <c r="HD70" s="307"/>
      <c r="HE70" s="307"/>
      <c r="HF70" s="307"/>
      <c r="HG70" s="307"/>
      <c r="HH70" s="307"/>
      <c r="HI70" s="307"/>
      <c r="HJ70" s="307"/>
      <c r="HK70" s="307"/>
      <c r="HL70" s="307"/>
      <c r="HM70" s="307"/>
      <c r="HN70" s="307"/>
      <c r="HO70" s="307"/>
      <c r="HP70" s="307"/>
      <c r="HQ70" s="307"/>
      <c r="HR70" s="307"/>
      <c r="HS70" s="307"/>
      <c r="HT70" s="307"/>
      <c r="HU70" s="307"/>
      <c r="HV70" s="307"/>
      <c r="HW70" s="307"/>
      <c r="HX70" s="307"/>
      <c r="HY70" s="307"/>
      <c r="HZ70" s="307"/>
      <c r="IA70" s="307"/>
      <c r="IB70" s="307"/>
      <c r="IC70" s="307"/>
      <c r="ID70" s="307"/>
      <c r="IE70" s="307"/>
      <c r="IF70" s="307"/>
      <c r="IG70" s="307"/>
      <c r="IH70" s="307"/>
      <c r="II70" s="307"/>
      <c r="IJ70" s="307"/>
      <c r="IK70" s="307"/>
      <c r="IL70" s="307"/>
      <c r="IM70" s="307"/>
      <c r="IN70" s="307"/>
      <c r="IO70" s="307"/>
      <c r="IP70" s="307"/>
      <c r="IQ70" s="307"/>
      <c r="IR70" s="307"/>
      <c r="IS70" s="307"/>
      <c r="IT70" s="307"/>
      <c r="IU70" s="307"/>
    </row>
    <row r="71" spans="1:255" ht="15.5">
      <c r="A71" s="308"/>
      <c r="B71" s="308"/>
      <c r="C71" s="308"/>
      <c r="D71" s="308"/>
      <c r="E71" s="336"/>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8"/>
      <c r="AU71" s="308"/>
      <c r="AV71" s="308"/>
      <c r="AW71" s="308"/>
      <c r="AX71" s="308"/>
      <c r="AY71" s="308"/>
      <c r="AZ71" s="308"/>
      <c r="BA71" s="308"/>
      <c r="BB71" s="308"/>
      <c r="BC71" s="308"/>
      <c r="BD71" s="308"/>
      <c r="BE71" s="308"/>
      <c r="BF71" s="308"/>
      <c r="BG71" s="308"/>
      <c r="BH71" s="308"/>
      <c r="BI71" s="308"/>
      <c r="BJ71" s="308"/>
      <c r="BK71" s="308"/>
      <c r="BL71" s="308"/>
      <c r="BM71" s="308"/>
      <c r="BN71" s="308"/>
      <c r="BO71" s="308"/>
      <c r="BP71" s="308"/>
      <c r="BQ71" s="308"/>
      <c r="BR71" s="308"/>
      <c r="BS71" s="308"/>
      <c r="BT71" s="308"/>
      <c r="BU71" s="308"/>
      <c r="BV71" s="308"/>
      <c r="BW71" s="308"/>
      <c r="BX71" s="308"/>
      <c r="BY71" s="308"/>
      <c r="BZ71" s="308"/>
      <c r="CA71" s="308"/>
      <c r="CB71" s="308"/>
      <c r="CC71" s="308"/>
      <c r="CD71" s="308"/>
      <c r="CE71" s="308"/>
      <c r="CF71" s="308"/>
      <c r="CG71" s="308"/>
      <c r="CH71" s="308"/>
      <c r="CI71" s="308"/>
      <c r="CJ71" s="308"/>
      <c r="CK71" s="308"/>
      <c r="CL71" s="308"/>
      <c r="CM71" s="308"/>
      <c r="CN71" s="308"/>
      <c r="CO71" s="308"/>
      <c r="CP71" s="308"/>
      <c r="CQ71" s="308"/>
      <c r="CR71" s="308"/>
      <c r="CS71" s="308"/>
      <c r="CT71" s="308"/>
      <c r="CU71" s="308"/>
      <c r="CV71" s="308"/>
      <c r="CW71" s="308"/>
      <c r="CX71" s="308"/>
      <c r="CY71" s="308"/>
      <c r="CZ71" s="308"/>
      <c r="DA71" s="308"/>
      <c r="DB71" s="308"/>
      <c r="DC71" s="308"/>
      <c r="DD71" s="308"/>
      <c r="DE71" s="308"/>
      <c r="DF71" s="308"/>
      <c r="DG71" s="308"/>
      <c r="DH71" s="308"/>
      <c r="DI71" s="308"/>
      <c r="DJ71" s="308"/>
      <c r="DK71" s="308"/>
      <c r="DL71" s="308"/>
      <c r="DM71" s="308"/>
      <c r="DN71" s="308"/>
      <c r="DO71" s="308"/>
      <c r="DP71" s="308"/>
      <c r="DQ71" s="308"/>
      <c r="DR71" s="308"/>
      <c r="DS71" s="308"/>
      <c r="DT71" s="308"/>
      <c r="DU71" s="308"/>
      <c r="DV71" s="308"/>
      <c r="DW71" s="308"/>
      <c r="DX71" s="308"/>
      <c r="DY71" s="308"/>
      <c r="DZ71" s="308"/>
      <c r="EA71" s="308"/>
      <c r="EB71" s="308"/>
      <c r="EC71" s="308"/>
      <c r="ED71" s="308"/>
      <c r="EE71" s="308"/>
      <c r="EF71" s="308"/>
      <c r="EG71" s="308"/>
      <c r="EH71" s="308"/>
      <c r="EI71" s="308"/>
      <c r="EJ71" s="308"/>
      <c r="EK71" s="308"/>
      <c r="EL71" s="308"/>
      <c r="EM71" s="308"/>
      <c r="EN71" s="308"/>
      <c r="EO71" s="308"/>
      <c r="EP71" s="308"/>
      <c r="EQ71" s="308"/>
      <c r="ER71" s="308"/>
      <c r="ES71" s="308"/>
      <c r="ET71" s="308"/>
      <c r="EU71" s="308"/>
      <c r="EV71" s="308"/>
      <c r="EW71" s="308"/>
      <c r="EX71" s="308"/>
      <c r="EY71" s="308"/>
      <c r="EZ71" s="308"/>
      <c r="FA71" s="308"/>
      <c r="FB71" s="308"/>
      <c r="FC71" s="308"/>
      <c r="FD71" s="308"/>
      <c r="FE71" s="308"/>
      <c r="FF71" s="308"/>
      <c r="FG71" s="308"/>
      <c r="FH71" s="308"/>
      <c r="FI71" s="308"/>
      <c r="FJ71" s="308"/>
      <c r="FK71" s="308"/>
      <c r="FL71" s="308"/>
      <c r="FM71" s="308"/>
      <c r="FN71" s="308"/>
      <c r="FO71" s="308"/>
      <c r="FP71" s="308"/>
      <c r="FQ71" s="308"/>
      <c r="FR71" s="308"/>
      <c r="FS71" s="308"/>
      <c r="FT71" s="308"/>
      <c r="FU71" s="308"/>
      <c r="FV71" s="308"/>
      <c r="FW71" s="308"/>
      <c r="FX71" s="308"/>
      <c r="FY71" s="308"/>
      <c r="FZ71" s="308"/>
      <c r="GA71" s="308"/>
      <c r="GB71" s="308"/>
      <c r="GC71" s="308"/>
      <c r="GD71" s="308"/>
      <c r="GE71" s="308"/>
      <c r="GF71" s="308"/>
      <c r="GG71" s="308"/>
      <c r="GH71" s="308"/>
      <c r="GI71" s="308"/>
      <c r="GJ71" s="308"/>
      <c r="GK71" s="308"/>
      <c r="GL71" s="308"/>
      <c r="GM71" s="308"/>
      <c r="GN71" s="308"/>
      <c r="GO71" s="308"/>
      <c r="GP71" s="308"/>
      <c r="GQ71" s="308"/>
      <c r="GR71" s="308"/>
      <c r="GS71" s="308"/>
      <c r="GT71" s="308"/>
      <c r="GU71" s="308"/>
      <c r="GV71" s="308"/>
      <c r="GW71" s="308"/>
      <c r="GX71" s="308"/>
      <c r="GY71" s="308"/>
      <c r="GZ71" s="308"/>
      <c r="HA71" s="308"/>
      <c r="HB71" s="308"/>
      <c r="HC71" s="308"/>
      <c r="HD71" s="308"/>
      <c r="HE71" s="308"/>
      <c r="HF71" s="308"/>
      <c r="HG71" s="308"/>
      <c r="HH71" s="308"/>
      <c r="HI71" s="308"/>
      <c r="HJ71" s="308"/>
      <c r="HK71" s="308"/>
      <c r="HL71" s="308"/>
      <c r="HM71" s="308"/>
      <c r="HN71" s="308"/>
      <c r="HO71" s="308"/>
      <c r="HP71" s="308"/>
      <c r="HQ71" s="308"/>
      <c r="HR71" s="308"/>
      <c r="HS71" s="308"/>
      <c r="HT71" s="308"/>
      <c r="HU71" s="308"/>
      <c r="HV71" s="308"/>
      <c r="HW71" s="308"/>
      <c r="HX71" s="308"/>
      <c r="HY71" s="308"/>
      <c r="HZ71" s="308"/>
      <c r="IA71" s="308"/>
      <c r="IB71" s="308"/>
      <c r="IC71" s="308"/>
      <c r="ID71" s="308"/>
      <c r="IE71" s="308"/>
      <c r="IF71" s="308"/>
      <c r="IG71" s="308"/>
      <c r="IH71" s="308"/>
      <c r="II71" s="308"/>
      <c r="IJ71" s="308"/>
      <c r="IK71" s="308"/>
      <c r="IL71" s="308"/>
      <c r="IM71" s="308"/>
      <c r="IN71" s="308"/>
      <c r="IO71" s="308"/>
      <c r="IP71" s="308"/>
      <c r="IQ71" s="308"/>
      <c r="IR71" s="308"/>
      <c r="IS71" s="308"/>
      <c r="IT71" s="308"/>
      <c r="IU71" s="308"/>
    </row>
    <row r="72" spans="1:255" ht="15.5">
      <c r="A72" s="307"/>
      <c r="B72" s="307"/>
      <c r="C72" s="307"/>
      <c r="D72" s="307"/>
      <c r="E72" s="336"/>
      <c r="F72" s="307"/>
      <c r="G72" s="307"/>
      <c r="H72" s="307"/>
      <c r="I72" s="307"/>
      <c r="J72" s="307"/>
      <c r="K72" s="307"/>
      <c r="L72" s="307"/>
      <c r="M72" s="307"/>
      <c r="N72" s="307"/>
      <c r="O72" s="307"/>
      <c r="P72" s="307"/>
      <c r="Q72" s="307"/>
      <c r="R72" s="308"/>
      <c r="S72" s="307"/>
      <c r="T72" s="307"/>
      <c r="U72" s="307"/>
      <c r="V72" s="307"/>
      <c r="W72" s="307"/>
      <c r="X72" s="307"/>
      <c r="Y72" s="307"/>
      <c r="Z72" s="307"/>
      <c r="AA72" s="307"/>
      <c r="AB72" s="307"/>
      <c r="AC72" s="307"/>
      <c r="AD72" s="307"/>
      <c r="AE72" s="307"/>
      <c r="AF72" s="307"/>
      <c r="AG72" s="307"/>
      <c r="AH72" s="307"/>
      <c r="AI72" s="307"/>
      <c r="AJ72" s="307"/>
      <c r="AK72" s="307"/>
      <c r="AL72" s="307"/>
      <c r="AM72" s="307"/>
      <c r="AN72" s="307"/>
      <c r="AO72" s="307"/>
      <c r="AP72" s="307"/>
      <c r="AQ72" s="307"/>
      <c r="AR72" s="307"/>
      <c r="AS72" s="307"/>
      <c r="AT72" s="307"/>
      <c r="AU72" s="307"/>
      <c r="AV72" s="307"/>
      <c r="AW72" s="307"/>
      <c r="AX72" s="307"/>
      <c r="AY72" s="307"/>
      <c r="AZ72" s="307"/>
      <c r="BA72" s="307"/>
      <c r="BB72" s="307"/>
      <c r="BC72" s="307"/>
      <c r="BD72" s="307"/>
      <c r="BE72" s="307"/>
      <c r="BF72" s="307"/>
      <c r="BG72" s="307"/>
      <c r="BH72" s="307"/>
      <c r="BI72" s="307"/>
      <c r="BJ72" s="307"/>
      <c r="BK72" s="307"/>
      <c r="BL72" s="307"/>
      <c r="BM72" s="307"/>
      <c r="BN72" s="307"/>
      <c r="BO72" s="307"/>
      <c r="BP72" s="307"/>
      <c r="BQ72" s="307"/>
      <c r="BR72" s="307"/>
      <c r="BS72" s="307"/>
      <c r="BT72" s="307"/>
      <c r="BU72" s="307"/>
      <c r="BV72" s="307"/>
      <c r="BW72" s="307"/>
      <c r="BX72" s="307"/>
      <c r="BY72" s="307"/>
      <c r="BZ72" s="307"/>
      <c r="CA72" s="307"/>
      <c r="CB72" s="307"/>
      <c r="CC72" s="307"/>
      <c r="CD72" s="307"/>
      <c r="CE72" s="307"/>
      <c r="CF72" s="307"/>
      <c r="CG72" s="307"/>
      <c r="CH72" s="307"/>
      <c r="CI72" s="307"/>
      <c r="CJ72" s="307"/>
      <c r="CK72" s="307"/>
      <c r="CL72" s="307"/>
      <c r="CM72" s="307"/>
      <c r="CN72" s="307"/>
      <c r="CO72" s="307"/>
      <c r="CP72" s="307"/>
      <c r="CQ72" s="307"/>
      <c r="CR72" s="307"/>
      <c r="CS72" s="307"/>
      <c r="CT72" s="307"/>
      <c r="CU72" s="307"/>
      <c r="CV72" s="307"/>
      <c r="CW72" s="307"/>
      <c r="CX72" s="307"/>
      <c r="CY72" s="307"/>
      <c r="CZ72" s="307"/>
      <c r="DA72" s="307"/>
      <c r="DB72" s="307"/>
      <c r="DC72" s="307"/>
      <c r="DD72" s="307"/>
      <c r="DE72" s="307"/>
      <c r="DF72" s="307"/>
      <c r="DG72" s="307"/>
      <c r="DH72" s="307"/>
      <c r="DI72" s="307"/>
      <c r="DJ72" s="307"/>
      <c r="DK72" s="307"/>
      <c r="DL72" s="307"/>
      <c r="DM72" s="307"/>
      <c r="DN72" s="307"/>
      <c r="DO72" s="307"/>
      <c r="DP72" s="307"/>
      <c r="DQ72" s="307"/>
      <c r="DR72" s="307"/>
      <c r="DS72" s="307"/>
      <c r="DT72" s="307"/>
      <c r="DU72" s="307"/>
      <c r="DV72" s="307"/>
      <c r="DW72" s="307"/>
      <c r="DX72" s="307"/>
      <c r="DY72" s="307"/>
      <c r="DZ72" s="307"/>
      <c r="EA72" s="307"/>
      <c r="EB72" s="307"/>
      <c r="EC72" s="307"/>
      <c r="ED72" s="307"/>
      <c r="EE72" s="307"/>
      <c r="EF72" s="307"/>
      <c r="EG72" s="307"/>
      <c r="EH72" s="307"/>
      <c r="EI72" s="307"/>
      <c r="EJ72" s="307"/>
      <c r="EK72" s="307"/>
      <c r="EL72" s="307"/>
      <c r="EM72" s="307"/>
      <c r="EN72" s="307"/>
      <c r="EO72" s="307"/>
      <c r="EP72" s="307"/>
      <c r="EQ72" s="307"/>
      <c r="ER72" s="307"/>
      <c r="ES72" s="307"/>
      <c r="ET72" s="307"/>
      <c r="EU72" s="307"/>
      <c r="EV72" s="307"/>
      <c r="EW72" s="307"/>
      <c r="EX72" s="307"/>
      <c r="EY72" s="307"/>
      <c r="EZ72" s="307"/>
      <c r="FA72" s="307"/>
      <c r="FB72" s="307"/>
      <c r="FC72" s="307"/>
      <c r="FD72" s="307"/>
      <c r="FE72" s="307"/>
      <c r="FF72" s="307"/>
      <c r="FG72" s="307"/>
      <c r="FH72" s="307"/>
      <c r="FI72" s="307"/>
      <c r="FJ72" s="307"/>
      <c r="FK72" s="307"/>
      <c r="FL72" s="307"/>
      <c r="FM72" s="307"/>
      <c r="FN72" s="307"/>
      <c r="FO72" s="307"/>
      <c r="FP72" s="307"/>
      <c r="FQ72" s="307"/>
      <c r="FR72" s="307"/>
      <c r="FS72" s="307"/>
      <c r="FT72" s="307"/>
      <c r="FU72" s="307"/>
      <c r="FV72" s="307"/>
      <c r="FW72" s="307"/>
      <c r="FX72" s="307"/>
      <c r="FY72" s="307"/>
      <c r="FZ72" s="307"/>
      <c r="GA72" s="307"/>
      <c r="GB72" s="307"/>
      <c r="GC72" s="307"/>
      <c r="GD72" s="307"/>
      <c r="GE72" s="307"/>
      <c r="GF72" s="307"/>
      <c r="GG72" s="307"/>
      <c r="GH72" s="307"/>
      <c r="GI72" s="307"/>
      <c r="GJ72" s="307"/>
      <c r="GK72" s="307"/>
      <c r="GL72" s="307"/>
      <c r="GM72" s="307"/>
      <c r="GN72" s="307"/>
      <c r="GO72" s="307"/>
      <c r="GP72" s="307"/>
      <c r="GQ72" s="307"/>
      <c r="GR72" s="307"/>
      <c r="GS72" s="307"/>
      <c r="GT72" s="307"/>
      <c r="GU72" s="307"/>
      <c r="GV72" s="307"/>
      <c r="GW72" s="307"/>
      <c r="GX72" s="307"/>
      <c r="GY72" s="307"/>
      <c r="GZ72" s="307"/>
      <c r="HA72" s="307"/>
      <c r="HB72" s="307"/>
      <c r="HC72" s="307"/>
      <c r="HD72" s="307"/>
      <c r="HE72" s="307"/>
      <c r="HF72" s="307"/>
      <c r="HG72" s="307"/>
      <c r="HH72" s="307"/>
      <c r="HI72" s="307"/>
      <c r="HJ72" s="307"/>
      <c r="HK72" s="307"/>
      <c r="HL72" s="307"/>
      <c r="HM72" s="307"/>
      <c r="HN72" s="307"/>
      <c r="HO72" s="307"/>
      <c r="HP72" s="307"/>
      <c r="HQ72" s="307"/>
      <c r="HR72" s="307"/>
      <c r="HS72" s="307"/>
      <c r="HT72" s="307"/>
      <c r="HU72" s="307"/>
      <c r="HV72" s="307"/>
      <c r="HW72" s="307"/>
      <c r="HX72" s="307"/>
      <c r="HY72" s="307"/>
      <c r="HZ72" s="307"/>
      <c r="IA72" s="307"/>
      <c r="IB72" s="307"/>
      <c r="IC72" s="307"/>
      <c r="ID72" s="307"/>
      <c r="IE72" s="307"/>
      <c r="IF72" s="307"/>
      <c r="IG72" s="307"/>
      <c r="IH72" s="307"/>
      <c r="II72" s="307"/>
      <c r="IJ72" s="307"/>
      <c r="IK72" s="307"/>
      <c r="IL72" s="307"/>
      <c r="IM72" s="307"/>
      <c r="IN72" s="307"/>
      <c r="IO72" s="307"/>
      <c r="IP72" s="307"/>
      <c r="IQ72" s="307"/>
      <c r="IR72" s="307"/>
      <c r="IS72" s="307"/>
      <c r="IT72" s="307"/>
      <c r="IU72" s="307"/>
    </row>
    <row r="73" spans="1:255" ht="15.5">
      <c r="A73" s="307"/>
      <c r="B73" s="307"/>
      <c r="C73" s="307"/>
      <c r="D73" s="307"/>
      <c r="E73" s="336"/>
      <c r="F73" s="307"/>
      <c r="G73" s="307"/>
      <c r="H73" s="307"/>
      <c r="I73" s="307"/>
      <c r="J73" s="307"/>
      <c r="K73" s="307"/>
      <c r="L73" s="307"/>
      <c r="M73" s="307"/>
      <c r="N73" s="307"/>
      <c r="O73" s="307"/>
      <c r="P73" s="307"/>
      <c r="Q73" s="307"/>
      <c r="R73" s="308"/>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307"/>
      <c r="AP73" s="307"/>
      <c r="AQ73" s="307"/>
      <c r="AR73" s="307"/>
      <c r="AS73" s="307"/>
      <c r="AT73" s="307"/>
      <c r="AU73" s="307"/>
      <c r="AV73" s="307"/>
      <c r="AW73" s="307"/>
      <c r="AX73" s="307"/>
      <c r="AY73" s="307"/>
      <c r="AZ73" s="307"/>
      <c r="BA73" s="307"/>
      <c r="BB73" s="307"/>
      <c r="BC73" s="307"/>
      <c r="BD73" s="307"/>
      <c r="BE73" s="307"/>
      <c r="BF73" s="307"/>
      <c r="BG73" s="307"/>
      <c r="BH73" s="307"/>
      <c r="BI73" s="307"/>
      <c r="BJ73" s="307"/>
      <c r="BK73" s="307"/>
      <c r="BL73" s="307"/>
      <c r="BM73" s="307"/>
      <c r="BN73" s="307"/>
      <c r="BO73" s="307"/>
      <c r="BP73" s="307"/>
      <c r="BQ73" s="307"/>
      <c r="BR73" s="307"/>
      <c r="BS73" s="307"/>
      <c r="BT73" s="307"/>
      <c r="BU73" s="307"/>
      <c r="BV73" s="307"/>
      <c r="BW73" s="307"/>
      <c r="BX73" s="307"/>
      <c r="BY73" s="307"/>
      <c r="BZ73" s="307"/>
      <c r="CA73" s="307"/>
      <c r="CB73" s="307"/>
      <c r="CC73" s="307"/>
      <c r="CD73" s="307"/>
      <c r="CE73" s="307"/>
      <c r="CF73" s="307"/>
      <c r="CG73" s="307"/>
      <c r="CH73" s="307"/>
      <c r="CI73" s="307"/>
      <c r="CJ73" s="307"/>
      <c r="CK73" s="307"/>
      <c r="CL73" s="307"/>
      <c r="CM73" s="307"/>
      <c r="CN73" s="307"/>
      <c r="CO73" s="307"/>
      <c r="CP73" s="307"/>
      <c r="CQ73" s="307"/>
      <c r="CR73" s="307"/>
      <c r="CS73" s="307"/>
      <c r="CT73" s="307"/>
      <c r="CU73" s="307"/>
      <c r="CV73" s="307"/>
      <c r="CW73" s="307"/>
      <c r="CX73" s="307"/>
      <c r="CY73" s="307"/>
      <c r="CZ73" s="307"/>
      <c r="DA73" s="307"/>
      <c r="DB73" s="307"/>
      <c r="DC73" s="307"/>
      <c r="DD73" s="307"/>
      <c r="DE73" s="307"/>
      <c r="DF73" s="307"/>
      <c r="DG73" s="307"/>
      <c r="DH73" s="307"/>
      <c r="DI73" s="307"/>
      <c r="DJ73" s="307"/>
      <c r="DK73" s="307"/>
      <c r="DL73" s="307"/>
      <c r="DM73" s="307"/>
      <c r="DN73" s="307"/>
      <c r="DO73" s="307"/>
      <c r="DP73" s="307"/>
      <c r="DQ73" s="307"/>
      <c r="DR73" s="307"/>
      <c r="DS73" s="307"/>
      <c r="DT73" s="307"/>
      <c r="DU73" s="307"/>
      <c r="DV73" s="307"/>
      <c r="DW73" s="307"/>
      <c r="DX73" s="307"/>
      <c r="DY73" s="307"/>
      <c r="DZ73" s="307"/>
      <c r="EA73" s="307"/>
      <c r="EB73" s="307"/>
      <c r="EC73" s="307"/>
      <c r="ED73" s="307"/>
      <c r="EE73" s="307"/>
      <c r="EF73" s="307"/>
      <c r="EG73" s="307"/>
      <c r="EH73" s="307"/>
      <c r="EI73" s="307"/>
      <c r="EJ73" s="307"/>
      <c r="EK73" s="307"/>
      <c r="EL73" s="307"/>
      <c r="EM73" s="307"/>
      <c r="EN73" s="307"/>
      <c r="EO73" s="307"/>
      <c r="EP73" s="307"/>
      <c r="EQ73" s="307"/>
      <c r="ER73" s="307"/>
      <c r="ES73" s="307"/>
      <c r="ET73" s="307"/>
      <c r="EU73" s="307"/>
      <c r="EV73" s="307"/>
      <c r="EW73" s="307"/>
      <c r="EX73" s="307"/>
      <c r="EY73" s="307"/>
      <c r="EZ73" s="307"/>
      <c r="FA73" s="307"/>
      <c r="FB73" s="307"/>
      <c r="FC73" s="307"/>
      <c r="FD73" s="307"/>
      <c r="FE73" s="307"/>
      <c r="FF73" s="307"/>
      <c r="FG73" s="307"/>
      <c r="FH73" s="307"/>
      <c r="FI73" s="307"/>
      <c r="FJ73" s="307"/>
      <c r="FK73" s="307"/>
      <c r="FL73" s="307"/>
      <c r="FM73" s="307"/>
      <c r="FN73" s="307"/>
      <c r="FO73" s="307"/>
      <c r="FP73" s="307"/>
      <c r="FQ73" s="307"/>
      <c r="FR73" s="307"/>
      <c r="FS73" s="307"/>
      <c r="FT73" s="307"/>
      <c r="FU73" s="307"/>
      <c r="FV73" s="307"/>
      <c r="FW73" s="307"/>
      <c r="FX73" s="307"/>
      <c r="FY73" s="307"/>
      <c r="FZ73" s="307"/>
      <c r="GA73" s="307"/>
      <c r="GB73" s="307"/>
      <c r="GC73" s="307"/>
      <c r="GD73" s="307"/>
      <c r="GE73" s="307"/>
      <c r="GF73" s="307"/>
      <c r="GG73" s="307"/>
      <c r="GH73" s="307"/>
      <c r="GI73" s="307"/>
      <c r="GJ73" s="307"/>
      <c r="GK73" s="307"/>
      <c r="GL73" s="307"/>
      <c r="GM73" s="307"/>
      <c r="GN73" s="307"/>
      <c r="GO73" s="307"/>
      <c r="GP73" s="307"/>
      <c r="GQ73" s="307"/>
      <c r="GR73" s="307"/>
      <c r="GS73" s="307"/>
      <c r="GT73" s="307"/>
      <c r="GU73" s="307"/>
      <c r="GV73" s="307"/>
      <c r="GW73" s="307"/>
      <c r="GX73" s="307"/>
      <c r="GY73" s="307"/>
      <c r="GZ73" s="307"/>
      <c r="HA73" s="307"/>
      <c r="HB73" s="307"/>
      <c r="HC73" s="307"/>
      <c r="HD73" s="307"/>
      <c r="HE73" s="307"/>
      <c r="HF73" s="307"/>
      <c r="HG73" s="307"/>
      <c r="HH73" s="307"/>
      <c r="HI73" s="307"/>
      <c r="HJ73" s="307"/>
      <c r="HK73" s="307"/>
      <c r="HL73" s="307"/>
      <c r="HM73" s="307"/>
      <c r="HN73" s="307"/>
      <c r="HO73" s="307"/>
      <c r="HP73" s="307"/>
      <c r="HQ73" s="307"/>
      <c r="HR73" s="307"/>
      <c r="HS73" s="307"/>
      <c r="HT73" s="307"/>
      <c r="HU73" s="307"/>
      <c r="HV73" s="307"/>
      <c r="HW73" s="307"/>
      <c r="HX73" s="307"/>
      <c r="HY73" s="307"/>
      <c r="HZ73" s="307"/>
      <c r="IA73" s="307"/>
      <c r="IB73" s="307"/>
      <c r="IC73" s="307"/>
      <c r="ID73" s="307"/>
      <c r="IE73" s="307"/>
      <c r="IF73" s="307"/>
      <c r="IG73" s="307"/>
      <c r="IH73" s="307"/>
      <c r="II73" s="307"/>
      <c r="IJ73" s="307"/>
      <c r="IK73" s="307"/>
      <c r="IL73" s="307"/>
      <c r="IM73" s="307"/>
      <c r="IN73" s="307"/>
      <c r="IO73" s="307"/>
      <c r="IP73" s="307"/>
      <c r="IQ73" s="307"/>
      <c r="IR73" s="307"/>
      <c r="IS73" s="307"/>
      <c r="IT73" s="307"/>
      <c r="IU73" s="307"/>
    </row>
    <row r="74" spans="1:255" ht="15.5">
      <c r="A74" s="307"/>
      <c r="B74" s="307"/>
      <c r="C74" s="307"/>
      <c r="D74" s="307"/>
      <c r="E74" s="336"/>
      <c r="F74" s="307"/>
      <c r="G74" s="307"/>
      <c r="H74" s="307"/>
      <c r="I74" s="307"/>
      <c r="J74" s="307"/>
      <c r="K74" s="307"/>
      <c r="L74" s="307"/>
      <c r="M74" s="307"/>
      <c r="N74" s="307"/>
      <c r="O74" s="307"/>
      <c r="P74" s="307"/>
      <c r="Q74" s="307"/>
      <c r="R74" s="308"/>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c r="BA74" s="307"/>
      <c r="BB74" s="307"/>
      <c r="BC74" s="307"/>
      <c r="BD74" s="307"/>
      <c r="BE74" s="307"/>
      <c r="BF74" s="307"/>
      <c r="BG74" s="307"/>
      <c r="BH74" s="307"/>
      <c r="BI74" s="307"/>
      <c r="BJ74" s="307"/>
      <c r="BK74" s="307"/>
      <c r="BL74" s="307"/>
      <c r="BM74" s="307"/>
      <c r="BN74" s="307"/>
      <c r="BO74" s="307"/>
      <c r="BP74" s="307"/>
      <c r="BQ74" s="307"/>
      <c r="BR74" s="307"/>
      <c r="BS74" s="307"/>
      <c r="BT74" s="307"/>
      <c r="BU74" s="307"/>
      <c r="BV74" s="307"/>
      <c r="BW74" s="307"/>
      <c r="BX74" s="307"/>
      <c r="BY74" s="307"/>
      <c r="BZ74" s="307"/>
      <c r="CA74" s="307"/>
      <c r="CB74" s="307"/>
      <c r="CC74" s="307"/>
      <c r="CD74" s="307"/>
      <c r="CE74" s="307"/>
      <c r="CF74" s="307"/>
      <c r="CG74" s="307"/>
      <c r="CH74" s="307"/>
      <c r="CI74" s="307"/>
      <c r="CJ74" s="307"/>
      <c r="CK74" s="307"/>
      <c r="CL74" s="307"/>
      <c r="CM74" s="307"/>
      <c r="CN74" s="307"/>
      <c r="CO74" s="307"/>
      <c r="CP74" s="307"/>
      <c r="CQ74" s="307"/>
      <c r="CR74" s="307"/>
      <c r="CS74" s="307"/>
      <c r="CT74" s="307"/>
      <c r="CU74" s="307"/>
      <c r="CV74" s="307"/>
      <c r="CW74" s="307"/>
      <c r="CX74" s="307"/>
      <c r="CY74" s="307"/>
      <c r="CZ74" s="307"/>
      <c r="DA74" s="307"/>
      <c r="DB74" s="307"/>
      <c r="DC74" s="307"/>
      <c r="DD74" s="307"/>
      <c r="DE74" s="307"/>
      <c r="DF74" s="307"/>
      <c r="DG74" s="307"/>
      <c r="DH74" s="307"/>
      <c r="DI74" s="307"/>
      <c r="DJ74" s="307"/>
      <c r="DK74" s="307"/>
      <c r="DL74" s="307"/>
      <c r="DM74" s="307"/>
      <c r="DN74" s="307"/>
      <c r="DO74" s="307"/>
      <c r="DP74" s="307"/>
      <c r="DQ74" s="307"/>
      <c r="DR74" s="307"/>
      <c r="DS74" s="307"/>
      <c r="DT74" s="307"/>
      <c r="DU74" s="307"/>
      <c r="DV74" s="307"/>
      <c r="DW74" s="307"/>
      <c r="DX74" s="307"/>
      <c r="DY74" s="307"/>
      <c r="DZ74" s="307"/>
      <c r="EA74" s="307"/>
      <c r="EB74" s="307"/>
      <c r="EC74" s="307"/>
      <c r="ED74" s="307"/>
      <c r="EE74" s="307"/>
      <c r="EF74" s="307"/>
      <c r="EG74" s="307"/>
      <c r="EH74" s="307"/>
      <c r="EI74" s="307"/>
      <c r="EJ74" s="307"/>
      <c r="EK74" s="307"/>
      <c r="EL74" s="307"/>
      <c r="EM74" s="307"/>
      <c r="EN74" s="307"/>
      <c r="EO74" s="307"/>
      <c r="EP74" s="307"/>
      <c r="EQ74" s="307"/>
      <c r="ER74" s="307"/>
      <c r="ES74" s="307"/>
      <c r="ET74" s="307"/>
      <c r="EU74" s="307"/>
      <c r="EV74" s="307"/>
      <c r="EW74" s="307"/>
      <c r="EX74" s="307"/>
      <c r="EY74" s="307"/>
      <c r="EZ74" s="307"/>
      <c r="FA74" s="307"/>
      <c r="FB74" s="307"/>
      <c r="FC74" s="307"/>
      <c r="FD74" s="307"/>
      <c r="FE74" s="307"/>
      <c r="FF74" s="307"/>
      <c r="FG74" s="307"/>
      <c r="FH74" s="307"/>
      <c r="FI74" s="307"/>
      <c r="FJ74" s="307"/>
      <c r="FK74" s="307"/>
      <c r="FL74" s="307"/>
      <c r="FM74" s="307"/>
      <c r="FN74" s="307"/>
      <c r="FO74" s="307"/>
      <c r="FP74" s="307"/>
      <c r="FQ74" s="307"/>
      <c r="FR74" s="307"/>
      <c r="FS74" s="307"/>
      <c r="FT74" s="307"/>
      <c r="FU74" s="307"/>
      <c r="FV74" s="307"/>
      <c r="FW74" s="307"/>
      <c r="FX74" s="307"/>
      <c r="FY74" s="307"/>
      <c r="FZ74" s="307"/>
      <c r="GA74" s="307"/>
      <c r="GB74" s="307"/>
      <c r="GC74" s="307"/>
      <c r="GD74" s="307"/>
      <c r="GE74" s="307"/>
      <c r="GF74" s="307"/>
      <c r="GG74" s="307"/>
      <c r="GH74" s="307"/>
      <c r="GI74" s="307"/>
      <c r="GJ74" s="307"/>
      <c r="GK74" s="307"/>
      <c r="GL74" s="307"/>
      <c r="GM74" s="307"/>
      <c r="GN74" s="307"/>
      <c r="GO74" s="307"/>
      <c r="GP74" s="307"/>
      <c r="GQ74" s="307"/>
      <c r="GR74" s="307"/>
      <c r="GS74" s="307"/>
      <c r="GT74" s="307"/>
      <c r="GU74" s="307"/>
      <c r="GV74" s="307"/>
      <c r="GW74" s="307"/>
      <c r="GX74" s="307"/>
      <c r="GY74" s="307"/>
      <c r="GZ74" s="307"/>
      <c r="HA74" s="307"/>
      <c r="HB74" s="307"/>
      <c r="HC74" s="307"/>
      <c r="HD74" s="307"/>
      <c r="HE74" s="307"/>
      <c r="HF74" s="307"/>
      <c r="HG74" s="307"/>
      <c r="HH74" s="307"/>
      <c r="HI74" s="307"/>
      <c r="HJ74" s="307"/>
      <c r="HK74" s="307"/>
      <c r="HL74" s="307"/>
      <c r="HM74" s="307"/>
      <c r="HN74" s="307"/>
      <c r="HO74" s="307"/>
      <c r="HP74" s="307"/>
      <c r="HQ74" s="307"/>
      <c r="HR74" s="307"/>
      <c r="HS74" s="307"/>
      <c r="HT74" s="307"/>
      <c r="HU74" s="307"/>
      <c r="HV74" s="307"/>
      <c r="HW74" s="307"/>
      <c r="HX74" s="307"/>
      <c r="HY74" s="307"/>
      <c r="HZ74" s="307"/>
      <c r="IA74" s="307"/>
      <c r="IB74" s="307"/>
      <c r="IC74" s="307"/>
      <c r="ID74" s="307"/>
      <c r="IE74" s="307"/>
      <c r="IF74" s="307"/>
      <c r="IG74" s="307"/>
      <c r="IH74" s="307"/>
      <c r="II74" s="307"/>
      <c r="IJ74" s="307"/>
      <c r="IK74" s="307"/>
      <c r="IL74" s="307"/>
      <c r="IM74" s="307"/>
      <c r="IN74" s="307"/>
      <c r="IO74" s="307"/>
      <c r="IP74" s="307"/>
      <c r="IQ74" s="307"/>
      <c r="IR74" s="307"/>
      <c r="IS74" s="307"/>
      <c r="IT74" s="307"/>
      <c r="IU74" s="307"/>
    </row>
    <row r="75" spans="1:255" ht="15.5">
      <c r="A75" s="307"/>
      <c r="B75" s="307"/>
      <c r="C75" s="307"/>
      <c r="D75" s="307"/>
      <c r="E75" s="336"/>
      <c r="F75" s="307"/>
      <c r="G75" s="307"/>
      <c r="H75" s="307"/>
      <c r="I75" s="307"/>
      <c r="J75" s="307"/>
      <c r="K75" s="307"/>
      <c r="L75" s="307"/>
      <c r="M75" s="307"/>
      <c r="N75" s="307"/>
      <c r="O75" s="307"/>
      <c r="P75" s="307"/>
      <c r="Q75" s="307"/>
      <c r="R75" s="308"/>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7"/>
      <c r="BH75" s="307"/>
      <c r="BI75" s="307"/>
      <c r="BJ75" s="307"/>
      <c r="BK75" s="307"/>
      <c r="BL75" s="307"/>
      <c r="BM75" s="307"/>
      <c r="BN75" s="307"/>
      <c r="BO75" s="307"/>
      <c r="BP75" s="307"/>
      <c r="BQ75" s="307"/>
      <c r="BR75" s="307"/>
      <c r="BS75" s="307"/>
      <c r="BT75" s="307"/>
      <c r="BU75" s="307"/>
      <c r="BV75" s="307"/>
      <c r="BW75" s="307"/>
      <c r="BX75" s="307"/>
      <c r="BY75" s="307"/>
      <c r="BZ75" s="307"/>
      <c r="CA75" s="307"/>
      <c r="CB75" s="307"/>
      <c r="CC75" s="307"/>
      <c r="CD75" s="307"/>
      <c r="CE75" s="307"/>
      <c r="CF75" s="307"/>
      <c r="CG75" s="307"/>
      <c r="CH75" s="307"/>
      <c r="CI75" s="307"/>
      <c r="CJ75" s="307"/>
      <c r="CK75" s="307"/>
      <c r="CL75" s="307"/>
      <c r="CM75" s="307"/>
      <c r="CN75" s="307"/>
      <c r="CO75" s="307"/>
      <c r="CP75" s="307"/>
      <c r="CQ75" s="307"/>
      <c r="CR75" s="307"/>
      <c r="CS75" s="307"/>
      <c r="CT75" s="307"/>
      <c r="CU75" s="307"/>
      <c r="CV75" s="307"/>
      <c r="CW75" s="307"/>
      <c r="CX75" s="307"/>
      <c r="CY75" s="307"/>
      <c r="CZ75" s="307"/>
      <c r="DA75" s="307"/>
      <c r="DB75" s="307"/>
      <c r="DC75" s="307"/>
      <c r="DD75" s="307"/>
      <c r="DE75" s="307"/>
      <c r="DF75" s="307"/>
      <c r="DG75" s="307"/>
      <c r="DH75" s="307"/>
      <c r="DI75" s="307"/>
      <c r="DJ75" s="307"/>
      <c r="DK75" s="307"/>
      <c r="DL75" s="307"/>
      <c r="DM75" s="307"/>
      <c r="DN75" s="307"/>
      <c r="DO75" s="307"/>
      <c r="DP75" s="307"/>
      <c r="DQ75" s="307"/>
      <c r="DR75" s="307"/>
      <c r="DS75" s="307"/>
      <c r="DT75" s="307"/>
      <c r="DU75" s="307"/>
      <c r="DV75" s="307"/>
      <c r="DW75" s="307"/>
      <c r="DX75" s="307"/>
      <c r="DY75" s="307"/>
      <c r="DZ75" s="307"/>
      <c r="EA75" s="307"/>
      <c r="EB75" s="307"/>
      <c r="EC75" s="307"/>
      <c r="ED75" s="307"/>
      <c r="EE75" s="307"/>
      <c r="EF75" s="307"/>
      <c r="EG75" s="307"/>
      <c r="EH75" s="307"/>
      <c r="EI75" s="307"/>
      <c r="EJ75" s="307"/>
      <c r="EK75" s="307"/>
      <c r="EL75" s="307"/>
      <c r="EM75" s="307"/>
      <c r="EN75" s="307"/>
      <c r="EO75" s="307"/>
      <c r="EP75" s="307"/>
      <c r="EQ75" s="307"/>
      <c r="ER75" s="307"/>
      <c r="ES75" s="307"/>
      <c r="ET75" s="307"/>
      <c r="EU75" s="307"/>
      <c r="EV75" s="307"/>
      <c r="EW75" s="307"/>
      <c r="EX75" s="307"/>
      <c r="EY75" s="307"/>
      <c r="EZ75" s="307"/>
      <c r="FA75" s="307"/>
      <c r="FB75" s="307"/>
      <c r="FC75" s="307"/>
      <c r="FD75" s="307"/>
      <c r="FE75" s="307"/>
      <c r="FF75" s="307"/>
      <c r="FG75" s="307"/>
      <c r="FH75" s="307"/>
      <c r="FI75" s="307"/>
      <c r="FJ75" s="307"/>
      <c r="FK75" s="307"/>
      <c r="FL75" s="307"/>
      <c r="FM75" s="307"/>
      <c r="FN75" s="307"/>
      <c r="FO75" s="307"/>
      <c r="FP75" s="307"/>
      <c r="FQ75" s="307"/>
      <c r="FR75" s="307"/>
      <c r="FS75" s="307"/>
      <c r="FT75" s="307"/>
      <c r="FU75" s="307"/>
      <c r="FV75" s="307"/>
      <c r="FW75" s="307"/>
      <c r="FX75" s="307"/>
      <c r="FY75" s="307"/>
      <c r="FZ75" s="307"/>
      <c r="GA75" s="307"/>
      <c r="GB75" s="307"/>
      <c r="GC75" s="307"/>
      <c r="GD75" s="307"/>
      <c r="GE75" s="307"/>
      <c r="GF75" s="307"/>
      <c r="GG75" s="307"/>
      <c r="GH75" s="307"/>
      <c r="GI75" s="307"/>
      <c r="GJ75" s="307"/>
      <c r="GK75" s="307"/>
      <c r="GL75" s="307"/>
      <c r="GM75" s="307"/>
      <c r="GN75" s="307"/>
      <c r="GO75" s="307"/>
      <c r="GP75" s="307"/>
      <c r="GQ75" s="307"/>
      <c r="GR75" s="307"/>
      <c r="GS75" s="307"/>
      <c r="GT75" s="307"/>
      <c r="GU75" s="307"/>
      <c r="GV75" s="307"/>
      <c r="GW75" s="307"/>
      <c r="GX75" s="307"/>
      <c r="GY75" s="307"/>
      <c r="GZ75" s="307"/>
      <c r="HA75" s="307"/>
      <c r="HB75" s="307"/>
      <c r="HC75" s="307"/>
      <c r="HD75" s="307"/>
      <c r="HE75" s="307"/>
      <c r="HF75" s="307"/>
      <c r="HG75" s="307"/>
      <c r="HH75" s="307"/>
      <c r="HI75" s="307"/>
      <c r="HJ75" s="307"/>
      <c r="HK75" s="307"/>
      <c r="HL75" s="307"/>
      <c r="HM75" s="307"/>
      <c r="HN75" s="307"/>
      <c r="HO75" s="307"/>
      <c r="HP75" s="307"/>
      <c r="HQ75" s="307"/>
      <c r="HR75" s="307"/>
      <c r="HS75" s="307"/>
      <c r="HT75" s="307"/>
      <c r="HU75" s="307"/>
      <c r="HV75" s="307"/>
      <c r="HW75" s="307"/>
      <c r="HX75" s="307"/>
      <c r="HY75" s="307"/>
      <c r="HZ75" s="307"/>
      <c r="IA75" s="307"/>
      <c r="IB75" s="307"/>
      <c r="IC75" s="307"/>
      <c r="ID75" s="307"/>
      <c r="IE75" s="307"/>
      <c r="IF75" s="307"/>
      <c r="IG75" s="307"/>
      <c r="IH75" s="307"/>
      <c r="II75" s="307"/>
      <c r="IJ75" s="307"/>
      <c r="IK75" s="307"/>
      <c r="IL75" s="307"/>
      <c r="IM75" s="307"/>
      <c r="IN75" s="307"/>
      <c r="IO75" s="307"/>
      <c r="IP75" s="307"/>
      <c r="IQ75" s="307"/>
      <c r="IR75" s="307"/>
      <c r="IS75" s="307"/>
      <c r="IT75" s="307"/>
      <c r="IU75" s="307"/>
    </row>
    <row r="76" spans="1:255" ht="15.5">
      <c r="A76" s="307"/>
      <c r="B76" s="307"/>
      <c r="C76" s="307"/>
      <c r="D76" s="307"/>
      <c r="E76" s="336"/>
      <c r="F76" s="307"/>
      <c r="G76" s="307"/>
      <c r="H76" s="307"/>
      <c r="I76" s="307"/>
      <c r="J76" s="307"/>
      <c r="K76" s="307"/>
      <c r="L76" s="307"/>
      <c r="M76" s="307"/>
      <c r="N76" s="307"/>
      <c r="O76" s="307"/>
      <c r="P76" s="307"/>
      <c r="Q76" s="307"/>
      <c r="R76" s="308"/>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7"/>
      <c r="AY76" s="307"/>
      <c r="AZ76" s="307"/>
      <c r="BA76" s="307"/>
      <c r="BB76" s="307"/>
      <c r="BC76" s="307"/>
      <c r="BD76" s="307"/>
      <c r="BE76" s="307"/>
      <c r="BF76" s="307"/>
      <c r="BG76" s="307"/>
      <c r="BH76" s="307"/>
      <c r="BI76" s="307"/>
      <c r="BJ76" s="307"/>
      <c r="BK76" s="307"/>
      <c r="BL76" s="307"/>
      <c r="BM76" s="307"/>
      <c r="BN76" s="307"/>
      <c r="BO76" s="307"/>
      <c r="BP76" s="307"/>
      <c r="BQ76" s="307"/>
      <c r="BR76" s="307"/>
      <c r="BS76" s="307"/>
      <c r="BT76" s="307"/>
      <c r="BU76" s="307"/>
      <c r="BV76" s="307"/>
      <c r="BW76" s="307"/>
      <c r="BX76" s="307"/>
      <c r="BY76" s="307"/>
      <c r="BZ76" s="307"/>
      <c r="CA76" s="307"/>
      <c r="CB76" s="307"/>
      <c r="CC76" s="307"/>
      <c r="CD76" s="307"/>
      <c r="CE76" s="307"/>
      <c r="CF76" s="307"/>
      <c r="CG76" s="307"/>
      <c r="CH76" s="307"/>
      <c r="CI76" s="307"/>
      <c r="CJ76" s="307"/>
      <c r="CK76" s="307"/>
      <c r="CL76" s="307"/>
      <c r="CM76" s="307"/>
      <c r="CN76" s="307"/>
      <c r="CO76" s="307"/>
      <c r="CP76" s="307"/>
      <c r="CQ76" s="307"/>
      <c r="CR76" s="307"/>
      <c r="CS76" s="307"/>
      <c r="CT76" s="307"/>
      <c r="CU76" s="307"/>
      <c r="CV76" s="307"/>
      <c r="CW76" s="307"/>
      <c r="CX76" s="307"/>
      <c r="CY76" s="307"/>
      <c r="CZ76" s="307"/>
      <c r="DA76" s="307"/>
      <c r="DB76" s="307"/>
      <c r="DC76" s="307"/>
      <c r="DD76" s="307"/>
      <c r="DE76" s="307"/>
      <c r="DF76" s="307"/>
      <c r="DG76" s="307"/>
      <c r="DH76" s="307"/>
      <c r="DI76" s="307"/>
      <c r="DJ76" s="307"/>
      <c r="DK76" s="307"/>
      <c r="DL76" s="307"/>
      <c r="DM76" s="307"/>
      <c r="DN76" s="307"/>
      <c r="DO76" s="307"/>
      <c r="DP76" s="307"/>
      <c r="DQ76" s="307"/>
      <c r="DR76" s="307"/>
      <c r="DS76" s="307"/>
      <c r="DT76" s="307"/>
      <c r="DU76" s="307"/>
      <c r="DV76" s="307"/>
      <c r="DW76" s="307"/>
      <c r="DX76" s="307"/>
      <c r="DY76" s="307"/>
      <c r="DZ76" s="307"/>
      <c r="EA76" s="307"/>
      <c r="EB76" s="307"/>
      <c r="EC76" s="307"/>
      <c r="ED76" s="307"/>
      <c r="EE76" s="307"/>
      <c r="EF76" s="307"/>
      <c r="EG76" s="307"/>
      <c r="EH76" s="307"/>
      <c r="EI76" s="307"/>
      <c r="EJ76" s="307"/>
      <c r="EK76" s="307"/>
      <c r="EL76" s="307"/>
      <c r="EM76" s="307"/>
      <c r="EN76" s="307"/>
      <c r="EO76" s="307"/>
      <c r="EP76" s="307"/>
      <c r="EQ76" s="307"/>
      <c r="ER76" s="307"/>
      <c r="ES76" s="307"/>
      <c r="ET76" s="307"/>
      <c r="EU76" s="307"/>
      <c r="EV76" s="307"/>
      <c r="EW76" s="307"/>
      <c r="EX76" s="307"/>
      <c r="EY76" s="307"/>
      <c r="EZ76" s="307"/>
      <c r="FA76" s="307"/>
      <c r="FB76" s="307"/>
      <c r="FC76" s="307"/>
      <c r="FD76" s="307"/>
      <c r="FE76" s="307"/>
      <c r="FF76" s="307"/>
      <c r="FG76" s="307"/>
      <c r="FH76" s="307"/>
      <c r="FI76" s="307"/>
      <c r="FJ76" s="307"/>
      <c r="FK76" s="307"/>
      <c r="FL76" s="307"/>
      <c r="FM76" s="307"/>
      <c r="FN76" s="307"/>
      <c r="FO76" s="307"/>
      <c r="FP76" s="307"/>
      <c r="FQ76" s="307"/>
      <c r="FR76" s="307"/>
      <c r="FS76" s="307"/>
      <c r="FT76" s="307"/>
      <c r="FU76" s="307"/>
      <c r="FV76" s="307"/>
      <c r="FW76" s="307"/>
      <c r="FX76" s="307"/>
      <c r="FY76" s="307"/>
      <c r="FZ76" s="307"/>
      <c r="GA76" s="307"/>
      <c r="GB76" s="307"/>
      <c r="GC76" s="307"/>
      <c r="GD76" s="307"/>
      <c r="GE76" s="307"/>
      <c r="GF76" s="307"/>
      <c r="GG76" s="307"/>
      <c r="GH76" s="307"/>
      <c r="GI76" s="307"/>
      <c r="GJ76" s="307"/>
      <c r="GK76" s="307"/>
      <c r="GL76" s="307"/>
      <c r="GM76" s="307"/>
      <c r="GN76" s="307"/>
      <c r="GO76" s="307"/>
      <c r="GP76" s="307"/>
      <c r="GQ76" s="307"/>
      <c r="GR76" s="307"/>
      <c r="GS76" s="307"/>
      <c r="GT76" s="307"/>
      <c r="GU76" s="307"/>
      <c r="GV76" s="307"/>
      <c r="GW76" s="307"/>
      <c r="GX76" s="307"/>
      <c r="GY76" s="307"/>
      <c r="GZ76" s="307"/>
      <c r="HA76" s="307"/>
      <c r="HB76" s="307"/>
      <c r="HC76" s="307"/>
      <c r="HD76" s="307"/>
      <c r="HE76" s="307"/>
      <c r="HF76" s="307"/>
      <c r="HG76" s="307"/>
      <c r="HH76" s="307"/>
      <c r="HI76" s="307"/>
      <c r="HJ76" s="307"/>
      <c r="HK76" s="307"/>
      <c r="HL76" s="307"/>
      <c r="HM76" s="307"/>
      <c r="HN76" s="307"/>
      <c r="HO76" s="307"/>
      <c r="HP76" s="307"/>
      <c r="HQ76" s="307"/>
      <c r="HR76" s="307"/>
      <c r="HS76" s="307"/>
      <c r="HT76" s="307"/>
      <c r="HU76" s="307"/>
      <c r="HV76" s="307"/>
      <c r="HW76" s="307"/>
      <c r="HX76" s="307"/>
      <c r="HY76" s="307"/>
      <c r="HZ76" s="307"/>
      <c r="IA76" s="307"/>
      <c r="IB76" s="307"/>
      <c r="IC76" s="307"/>
      <c r="ID76" s="307"/>
      <c r="IE76" s="307"/>
      <c r="IF76" s="307"/>
      <c r="IG76" s="307"/>
      <c r="IH76" s="307"/>
      <c r="II76" s="307"/>
      <c r="IJ76" s="307"/>
      <c r="IK76" s="307"/>
      <c r="IL76" s="307"/>
      <c r="IM76" s="307"/>
      <c r="IN76" s="307"/>
      <c r="IO76" s="307"/>
      <c r="IP76" s="307"/>
      <c r="IQ76" s="307"/>
      <c r="IR76" s="307"/>
      <c r="IS76" s="307"/>
      <c r="IT76" s="307"/>
      <c r="IU76" s="307"/>
    </row>
    <row r="77" spans="1:255" ht="15.5">
      <c r="A77" s="307"/>
      <c r="B77" s="307"/>
      <c r="C77" s="307"/>
      <c r="D77" s="307"/>
      <c r="E77" s="336"/>
      <c r="F77" s="307"/>
      <c r="G77" s="307"/>
      <c r="H77" s="307"/>
      <c r="I77" s="307"/>
      <c r="J77" s="307"/>
      <c r="K77" s="307"/>
      <c r="L77" s="307"/>
      <c r="M77" s="307"/>
      <c r="N77" s="307"/>
      <c r="O77" s="307"/>
      <c r="P77" s="307"/>
      <c r="Q77" s="307"/>
      <c r="R77" s="308"/>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c r="BA77" s="307"/>
      <c r="BB77" s="307"/>
      <c r="BC77" s="307"/>
      <c r="BD77" s="307"/>
      <c r="BE77" s="307"/>
      <c r="BF77" s="307"/>
      <c r="BG77" s="307"/>
      <c r="BH77" s="307"/>
      <c r="BI77" s="307"/>
      <c r="BJ77" s="307"/>
      <c r="BK77" s="307"/>
      <c r="BL77" s="307"/>
      <c r="BM77" s="307"/>
      <c r="BN77" s="307"/>
      <c r="BO77" s="307"/>
      <c r="BP77" s="307"/>
      <c r="BQ77" s="307"/>
      <c r="BR77" s="307"/>
      <c r="BS77" s="307"/>
      <c r="BT77" s="307"/>
      <c r="BU77" s="307"/>
      <c r="BV77" s="307"/>
      <c r="BW77" s="307"/>
      <c r="BX77" s="307"/>
      <c r="BY77" s="307"/>
      <c r="BZ77" s="307"/>
      <c r="CA77" s="307"/>
      <c r="CB77" s="307"/>
      <c r="CC77" s="307"/>
      <c r="CD77" s="307"/>
      <c r="CE77" s="307"/>
      <c r="CF77" s="307"/>
      <c r="CG77" s="307"/>
      <c r="CH77" s="307"/>
      <c r="CI77" s="307"/>
      <c r="CJ77" s="307"/>
      <c r="CK77" s="307"/>
      <c r="CL77" s="307"/>
      <c r="CM77" s="307"/>
      <c r="CN77" s="307"/>
      <c r="CO77" s="307"/>
      <c r="CP77" s="307"/>
      <c r="CQ77" s="307"/>
      <c r="CR77" s="307"/>
      <c r="CS77" s="307"/>
      <c r="CT77" s="307"/>
      <c r="CU77" s="307"/>
      <c r="CV77" s="307"/>
      <c r="CW77" s="307"/>
      <c r="CX77" s="307"/>
      <c r="CY77" s="307"/>
      <c r="CZ77" s="307"/>
      <c r="DA77" s="307"/>
      <c r="DB77" s="307"/>
      <c r="DC77" s="307"/>
      <c r="DD77" s="307"/>
      <c r="DE77" s="307"/>
      <c r="DF77" s="307"/>
      <c r="DG77" s="307"/>
      <c r="DH77" s="307"/>
      <c r="DI77" s="307"/>
      <c r="DJ77" s="307"/>
      <c r="DK77" s="307"/>
      <c r="DL77" s="307"/>
      <c r="DM77" s="307"/>
      <c r="DN77" s="307"/>
      <c r="DO77" s="307"/>
      <c r="DP77" s="307"/>
      <c r="DQ77" s="307"/>
      <c r="DR77" s="307"/>
      <c r="DS77" s="307"/>
      <c r="DT77" s="307"/>
      <c r="DU77" s="307"/>
      <c r="DV77" s="307"/>
      <c r="DW77" s="307"/>
      <c r="DX77" s="307"/>
      <c r="DY77" s="307"/>
      <c r="DZ77" s="307"/>
      <c r="EA77" s="307"/>
      <c r="EB77" s="307"/>
      <c r="EC77" s="307"/>
      <c r="ED77" s="307"/>
      <c r="EE77" s="307"/>
      <c r="EF77" s="307"/>
      <c r="EG77" s="307"/>
      <c r="EH77" s="307"/>
      <c r="EI77" s="307"/>
      <c r="EJ77" s="307"/>
      <c r="EK77" s="307"/>
      <c r="EL77" s="307"/>
      <c r="EM77" s="307"/>
      <c r="EN77" s="307"/>
      <c r="EO77" s="307"/>
      <c r="EP77" s="307"/>
      <c r="EQ77" s="307"/>
      <c r="ER77" s="307"/>
      <c r="ES77" s="307"/>
      <c r="ET77" s="307"/>
      <c r="EU77" s="307"/>
      <c r="EV77" s="307"/>
      <c r="EW77" s="307"/>
      <c r="EX77" s="307"/>
      <c r="EY77" s="307"/>
      <c r="EZ77" s="307"/>
      <c r="FA77" s="307"/>
      <c r="FB77" s="307"/>
      <c r="FC77" s="307"/>
      <c r="FD77" s="307"/>
      <c r="FE77" s="307"/>
      <c r="FF77" s="307"/>
      <c r="FG77" s="307"/>
      <c r="FH77" s="307"/>
      <c r="FI77" s="307"/>
      <c r="FJ77" s="307"/>
      <c r="FK77" s="307"/>
      <c r="FL77" s="307"/>
      <c r="FM77" s="307"/>
      <c r="FN77" s="307"/>
      <c r="FO77" s="307"/>
      <c r="FP77" s="307"/>
      <c r="FQ77" s="307"/>
      <c r="FR77" s="307"/>
      <c r="FS77" s="307"/>
      <c r="FT77" s="307"/>
      <c r="FU77" s="307"/>
      <c r="FV77" s="307"/>
      <c r="FW77" s="307"/>
      <c r="FX77" s="307"/>
      <c r="FY77" s="307"/>
      <c r="FZ77" s="307"/>
      <c r="GA77" s="307"/>
      <c r="GB77" s="307"/>
      <c r="GC77" s="307"/>
      <c r="GD77" s="307"/>
      <c r="GE77" s="307"/>
      <c r="GF77" s="307"/>
      <c r="GG77" s="307"/>
      <c r="GH77" s="307"/>
      <c r="GI77" s="307"/>
      <c r="GJ77" s="307"/>
      <c r="GK77" s="307"/>
      <c r="GL77" s="307"/>
      <c r="GM77" s="307"/>
      <c r="GN77" s="307"/>
      <c r="GO77" s="307"/>
      <c r="GP77" s="307"/>
      <c r="GQ77" s="307"/>
      <c r="GR77" s="307"/>
      <c r="GS77" s="307"/>
      <c r="GT77" s="307"/>
      <c r="GU77" s="307"/>
      <c r="GV77" s="307"/>
      <c r="GW77" s="307"/>
      <c r="GX77" s="307"/>
      <c r="GY77" s="307"/>
      <c r="GZ77" s="307"/>
      <c r="HA77" s="307"/>
      <c r="HB77" s="307"/>
      <c r="HC77" s="307"/>
      <c r="HD77" s="307"/>
      <c r="HE77" s="307"/>
      <c r="HF77" s="307"/>
      <c r="HG77" s="307"/>
      <c r="HH77" s="307"/>
      <c r="HI77" s="307"/>
      <c r="HJ77" s="307"/>
      <c r="HK77" s="307"/>
      <c r="HL77" s="307"/>
      <c r="HM77" s="307"/>
      <c r="HN77" s="307"/>
      <c r="HO77" s="307"/>
      <c r="HP77" s="307"/>
      <c r="HQ77" s="307"/>
      <c r="HR77" s="307"/>
      <c r="HS77" s="307"/>
      <c r="HT77" s="307"/>
      <c r="HU77" s="307"/>
      <c r="HV77" s="307"/>
      <c r="HW77" s="307"/>
      <c r="HX77" s="307"/>
      <c r="HY77" s="307"/>
      <c r="HZ77" s="307"/>
      <c r="IA77" s="307"/>
      <c r="IB77" s="307"/>
      <c r="IC77" s="307"/>
      <c r="ID77" s="307"/>
      <c r="IE77" s="307"/>
      <c r="IF77" s="307"/>
      <c r="IG77" s="307"/>
      <c r="IH77" s="307"/>
      <c r="II77" s="307"/>
      <c r="IJ77" s="307"/>
      <c r="IK77" s="307"/>
      <c r="IL77" s="307"/>
      <c r="IM77" s="307"/>
      <c r="IN77" s="307"/>
      <c r="IO77" s="307"/>
      <c r="IP77" s="307"/>
      <c r="IQ77" s="307"/>
      <c r="IR77" s="307"/>
      <c r="IS77" s="307"/>
      <c r="IT77" s="307"/>
      <c r="IU77" s="307"/>
    </row>
    <row r="78" spans="1:255" ht="15.5">
      <c r="A78" s="307"/>
      <c r="B78" s="307"/>
      <c r="C78" s="307"/>
      <c r="D78" s="307"/>
      <c r="E78" s="336"/>
      <c r="F78" s="307"/>
      <c r="G78" s="307"/>
      <c r="H78" s="307"/>
      <c r="I78" s="307"/>
      <c r="J78" s="307"/>
      <c r="K78" s="307"/>
      <c r="L78" s="307"/>
      <c r="M78" s="307"/>
      <c r="N78" s="307"/>
      <c r="O78" s="307"/>
      <c r="P78" s="307"/>
      <c r="Q78" s="307"/>
      <c r="R78" s="308"/>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307"/>
      <c r="AP78" s="307"/>
      <c r="AQ78" s="307"/>
      <c r="AR78" s="307"/>
      <c r="AS78" s="307"/>
      <c r="AT78" s="307"/>
      <c r="AU78" s="307"/>
      <c r="AV78" s="307"/>
      <c r="AW78" s="307"/>
      <c r="AX78" s="307"/>
      <c r="AY78" s="307"/>
      <c r="AZ78" s="307"/>
      <c r="BA78" s="307"/>
      <c r="BB78" s="307"/>
      <c r="BC78" s="307"/>
      <c r="BD78" s="307"/>
      <c r="BE78" s="307"/>
      <c r="BF78" s="307"/>
      <c r="BG78" s="307"/>
      <c r="BH78" s="307"/>
      <c r="BI78" s="307"/>
      <c r="BJ78" s="307"/>
      <c r="BK78" s="307"/>
      <c r="BL78" s="307"/>
      <c r="BM78" s="307"/>
      <c r="BN78" s="307"/>
      <c r="BO78" s="307"/>
      <c r="BP78" s="307"/>
      <c r="BQ78" s="307"/>
      <c r="BR78" s="307"/>
      <c r="BS78" s="307"/>
      <c r="BT78" s="307"/>
      <c r="BU78" s="307"/>
      <c r="BV78" s="307"/>
      <c r="BW78" s="307"/>
      <c r="BX78" s="307"/>
      <c r="BY78" s="307"/>
      <c r="BZ78" s="307"/>
      <c r="CA78" s="307"/>
      <c r="CB78" s="307"/>
      <c r="CC78" s="307"/>
      <c r="CD78" s="307"/>
      <c r="CE78" s="307"/>
      <c r="CF78" s="307"/>
      <c r="CG78" s="307"/>
      <c r="CH78" s="307"/>
      <c r="CI78" s="307"/>
      <c r="CJ78" s="307"/>
      <c r="CK78" s="307"/>
      <c r="CL78" s="307"/>
      <c r="CM78" s="307"/>
      <c r="CN78" s="307"/>
      <c r="CO78" s="307"/>
      <c r="CP78" s="307"/>
      <c r="CQ78" s="307"/>
      <c r="CR78" s="307"/>
      <c r="CS78" s="307"/>
      <c r="CT78" s="307"/>
      <c r="CU78" s="307"/>
      <c r="CV78" s="307"/>
      <c r="CW78" s="307"/>
      <c r="CX78" s="307"/>
      <c r="CY78" s="307"/>
      <c r="CZ78" s="307"/>
      <c r="DA78" s="307"/>
      <c r="DB78" s="307"/>
      <c r="DC78" s="307"/>
      <c r="DD78" s="307"/>
      <c r="DE78" s="307"/>
      <c r="DF78" s="307"/>
      <c r="DG78" s="307"/>
      <c r="DH78" s="307"/>
      <c r="DI78" s="307"/>
      <c r="DJ78" s="307"/>
      <c r="DK78" s="307"/>
      <c r="DL78" s="307"/>
      <c r="DM78" s="307"/>
      <c r="DN78" s="307"/>
      <c r="DO78" s="307"/>
      <c r="DP78" s="307"/>
      <c r="DQ78" s="307"/>
      <c r="DR78" s="307"/>
      <c r="DS78" s="307"/>
      <c r="DT78" s="307"/>
      <c r="DU78" s="307"/>
      <c r="DV78" s="307"/>
      <c r="DW78" s="307"/>
      <c r="DX78" s="307"/>
      <c r="DY78" s="307"/>
      <c r="DZ78" s="307"/>
      <c r="EA78" s="307"/>
      <c r="EB78" s="307"/>
      <c r="EC78" s="307"/>
      <c r="ED78" s="307"/>
      <c r="EE78" s="307"/>
      <c r="EF78" s="307"/>
      <c r="EG78" s="307"/>
      <c r="EH78" s="307"/>
      <c r="EI78" s="307"/>
      <c r="EJ78" s="307"/>
      <c r="EK78" s="307"/>
      <c r="EL78" s="307"/>
      <c r="EM78" s="307"/>
      <c r="EN78" s="307"/>
      <c r="EO78" s="307"/>
      <c r="EP78" s="307"/>
      <c r="EQ78" s="307"/>
      <c r="ER78" s="307"/>
      <c r="ES78" s="307"/>
      <c r="ET78" s="307"/>
      <c r="EU78" s="307"/>
      <c r="EV78" s="307"/>
      <c r="EW78" s="307"/>
      <c r="EX78" s="307"/>
      <c r="EY78" s="307"/>
      <c r="EZ78" s="307"/>
      <c r="FA78" s="307"/>
      <c r="FB78" s="307"/>
      <c r="FC78" s="307"/>
      <c r="FD78" s="307"/>
      <c r="FE78" s="307"/>
      <c r="FF78" s="307"/>
      <c r="FG78" s="307"/>
      <c r="FH78" s="307"/>
      <c r="FI78" s="307"/>
      <c r="FJ78" s="307"/>
      <c r="FK78" s="307"/>
      <c r="FL78" s="307"/>
      <c r="FM78" s="307"/>
      <c r="FN78" s="307"/>
      <c r="FO78" s="307"/>
      <c r="FP78" s="307"/>
      <c r="FQ78" s="307"/>
      <c r="FR78" s="307"/>
      <c r="FS78" s="307"/>
      <c r="FT78" s="307"/>
      <c r="FU78" s="307"/>
      <c r="FV78" s="307"/>
      <c r="FW78" s="307"/>
      <c r="FX78" s="307"/>
      <c r="FY78" s="307"/>
      <c r="FZ78" s="307"/>
      <c r="GA78" s="307"/>
      <c r="GB78" s="307"/>
      <c r="GC78" s="307"/>
      <c r="GD78" s="307"/>
      <c r="GE78" s="307"/>
      <c r="GF78" s="307"/>
      <c r="GG78" s="307"/>
      <c r="GH78" s="307"/>
      <c r="GI78" s="307"/>
      <c r="GJ78" s="307"/>
      <c r="GK78" s="307"/>
      <c r="GL78" s="307"/>
      <c r="GM78" s="307"/>
      <c r="GN78" s="307"/>
      <c r="GO78" s="307"/>
      <c r="GP78" s="307"/>
      <c r="GQ78" s="307"/>
      <c r="GR78" s="307"/>
      <c r="GS78" s="307"/>
      <c r="GT78" s="307"/>
      <c r="GU78" s="307"/>
      <c r="GV78" s="307"/>
      <c r="GW78" s="307"/>
      <c r="GX78" s="307"/>
      <c r="GY78" s="307"/>
      <c r="GZ78" s="307"/>
      <c r="HA78" s="307"/>
      <c r="HB78" s="307"/>
      <c r="HC78" s="307"/>
      <c r="HD78" s="307"/>
      <c r="HE78" s="307"/>
      <c r="HF78" s="307"/>
      <c r="HG78" s="307"/>
      <c r="HH78" s="307"/>
      <c r="HI78" s="307"/>
      <c r="HJ78" s="307"/>
      <c r="HK78" s="307"/>
      <c r="HL78" s="307"/>
      <c r="HM78" s="307"/>
      <c r="HN78" s="307"/>
      <c r="HO78" s="307"/>
      <c r="HP78" s="307"/>
      <c r="HQ78" s="307"/>
      <c r="HR78" s="307"/>
      <c r="HS78" s="307"/>
      <c r="HT78" s="307"/>
      <c r="HU78" s="307"/>
      <c r="HV78" s="307"/>
      <c r="HW78" s="307"/>
      <c r="HX78" s="307"/>
      <c r="HY78" s="307"/>
      <c r="HZ78" s="307"/>
      <c r="IA78" s="307"/>
      <c r="IB78" s="307"/>
      <c r="IC78" s="307"/>
      <c r="ID78" s="307"/>
      <c r="IE78" s="307"/>
      <c r="IF78" s="307"/>
      <c r="IG78" s="307"/>
      <c r="IH78" s="307"/>
      <c r="II78" s="307"/>
      <c r="IJ78" s="307"/>
      <c r="IK78" s="307"/>
      <c r="IL78" s="307"/>
      <c r="IM78" s="307"/>
      <c r="IN78" s="307"/>
      <c r="IO78" s="307"/>
      <c r="IP78" s="307"/>
      <c r="IQ78" s="307"/>
      <c r="IR78" s="307"/>
      <c r="IS78" s="307"/>
      <c r="IT78" s="307"/>
      <c r="IU78" s="307"/>
    </row>
    <row r="79" spans="1:255" ht="15.5">
      <c r="A79" s="307"/>
      <c r="B79" s="307"/>
      <c r="C79" s="307"/>
      <c r="D79" s="307"/>
      <c r="E79" s="336"/>
      <c r="F79" s="307"/>
      <c r="G79" s="307"/>
      <c r="H79" s="307"/>
      <c r="I79" s="307"/>
      <c r="J79" s="307"/>
      <c r="K79" s="307"/>
      <c r="L79" s="307"/>
      <c r="M79" s="307"/>
      <c r="N79" s="307"/>
      <c r="O79" s="307"/>
      <c r="P79" s="307"/>
      <c r="Q79" s="307"/>
      <c r="R79" s="308"/>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307"/>
      <c r="AP79" s="307"/>
      <c r="AQ79" s="307"/>
      <c r="AR79" s="307"/>
      <c r="AS79" s="307"/>
      <c r="AT79" s="307"/>
      <c r="AU79" s="307"/>
      <c r="AV79" s="307"/>
      <c r="AW79" s="307"/>
      <c r="AX79" s="307"/>
      <c r="AY79" s="307"/>
      <c r="AZ79" s="307"/>
      <c r="BA79" s="307"/>
      <c r="BB79" s="307"/>
      <c r="BC79" s="307"/>
      <c r="BD79" s="307"/>
      <c r="BE79" s="307"/>
      <c r="BF79" s="307"/>
      <c r="BG79" s="307"/>
      <c r="BH79" s="307"/>
      <c r="BI79" s="307"/>
      <c r="BJ79" s="307"/>
      <c r="BK79" s="307"/>
      <c r="BL79" s="307"/>
      <c r="BM79" s="307"/>
      <c r="BN79" s="307"/>
      <c r="BO79" s="307"/>
      <c r="BP79" s="307"/>
      <c r="BQ79" s="307"/>
      <c r="BR79" s="307"/>
      <c r="BS79" s="307"/>
      <c r="BT79" s="307"/>
      <c r="BU79" s="307"/>
      <c r="BV79" s="307"/>
      <c r="BW79" s="307"/>
      <c r="BX79" s="307"/>
      <c r="BY79" s="307"/>
      <c r="BZ79" s="307"/>
      <c r="CA79" s="307"/>
      <c r="CB79" s="307"/>
      <c r="CC79" s="307"/>
      <c r="CD79" s="307"/>
      <c r="CE79" s="307"/>
      <c r="CF79" s="307"/>
      <c r="CG79" s="307"/>
      <c r="CH79" s="307"/>
      <c r="CI79" s="307"/>
      <c r="CJ79" s="307"/>
      <c r="CK79" s="307"/>
      <c r="CL79" s="307"/>
      <c r="CM79" s="307"/>
      <c r="CN79" s="307"/>
      <c r="CO79" s="307"/>
      <c r="CP79" s="307"/>
      <c r="CQ79" s="307"/>
      <c r="CR79" s="307"/>
      <c r="CS79" s="307"/>
      <c r="CT79" s="307"/>
      <c r="CU79" s="307"/>
      <c r="CV79" s="307"/>
      <c r="CW79" s="307"/>
      <c r="CX79" s="307"/>
      <c r="CY79" s="307"/>
      <c r="CZ79" s="307"/>
      <c r="DA79" s="307"/>
      <c r="DB79" s="307"/>
      <c r="DC79" s="307"/>
      <c r="DD79" s="307"/>
      <c r="DE79" s="307"/>
      <c r="DF79" s="307"/>
      <c r="DG79" s="307"/>
      <c r="DH79" s="307"/>
      <c r="DI79" s="307"/>
      <c r="DJ79" s="307"/>
      <c r="DK79" s="307"/>
      <c r="DL79" s="307"/>
      <c r="DM79" s="307"/>
      <c r="DN79" s="307"/>
      <c r="DO79" s="307"/>
      <c r="DP79" s="307"/>
      <c r="DQ79" s="307"/>
      <c r="DR79" s="307"/>
      <c r="DS79" s="307"/>
      <c r="DT79" s="307"/>
      <c r="DU79" s="307"/>
      <c r="DV79" s="307"/>
      <c r="DW79" s="307"/>
      <c r="DX79" s="307"/>
      <c r="DY79" s="307"/>
      <c r="DZ79" s="307"/>
      <c r="EA79" s="307"/>
      <c r="EB79" s="307"/>
      <c r="EC79" s="307"/>
      <c r="ED79" s="307"/>
      <c r="EE79" s="307"/>
      <c r="EF79" s="307"/>
      <c r="EG79" s="307"/>
      <c r="EH79" s="307"/>
      <c r="EI79" s="307"/>
      <c r="EJ79" s="307"/>
      <c r="EK79" s="307"/>
      <c r="EL79" s="307"/>
      <c r="EM79" s="307"/>
      <c r="EN79" s="307"/>
      <c r="EO79" s="307"/>
      <c r="EP79" s="307"/>
      <c r="EQ79" s="307"/>
      <c r="ER79" s="307"/>
      <c r="ES79" s="307"/>
      <c r="ET79" s="307"/>
      <c r="EU79" s="307"/>
      <c r="EV79" s="307"/>
      <c r="EW79" s="307"/>
      <c r="EX79" s="307"/>
      <c r="EY79" s="307"/>
      <c r="EZ79" s="307"/>
      <c r="FA79" s="307"/>
      <c r="FB79" s="307"/>
      <c r="FC79" s="307"/>
      <c r="FD79" s="307"/>
      <c r="FE79" s="307"/>
      <c r="FF79" s="307"/>
      <c r="FG79" s="307"/>
      <c r="FH79" s="307"/>
      <c r="FI79" s="307"/>
      <c r="FJ79" s="307"/>
      <c r="FK79" s="307"/>
      <c r="FL79" s="307"/>
      <c r="FM79" s="307"/>
      <c r="FN79" s="307"/>
      <c r="FO79" s="307"/>
      <c r="FP79" s="307"/>
      <c r="FQ79" s="307"/>
      <c r="FR79" s="307"/>
      <c r="FS79" s="307"/>
      <c r="FT79" s="307"/>
      <c r="FU79" s="307"/>
      <c r="FV79" s="307"/>
      <c r="FW79" s="307"/>
      <c r="FX79" s="307"/>
      <c r="FY79" s="307"/>
      <c r="FZ79" s="307"/>
      <c r="GA79" s="307"/>
      <c r="GB79" s="307"/>
      <c r="GC79" s="307"/>
      <c r="GD79" s="307"/>
      <c r="GE79" s="307"/>
      <c r="GF79" s="307"/>
      <c r="GG79" s="307"/>
      <c r="GH79" s="307"/>
      <c r="GI79" s="307"/>
      <c r="GJ79" s="307"/>
      <c r="GK79" s="307"/>
      <c r="GL79" s="307"/>
      <c r="GM79" s="307"/>
      <c r="GN79" s="307"/>
      <c r="GO79" s="307"/>
      <c r="GP79" s="307"/>
      <c r="GQ79" s="307"/>
      <c r="GR79" s="307"/>
      <c r="GS79" s="307"/>
      <c r="GT79" s="307"/>
      <c r="GU79" s="307"/>
      <c r="GV79" s="307"/>
      <c r="GW79" s="307"/>
      <c r="GX79" s="307"/>
      <c r="GY79" s="307"/>
      <c r="GZ79" s="307"/>
      <c r="HA79" s="307"/>
      <c r="HB79" s="307"/>
      <c r="HC79" s="307"/>
      <c r="HD79" s="307"/>
      <c r="HE79" s="307"/>
      <c r="HF79" s="307"/>
      <c r="HG79" s="307"/>
      <c r="HH79" s="307"/>
      <c r="HI79" s="307"/>
      <c r="HJ79" s="307"/>
      <c r="HK79" s="307"/>
      <c r="HL79" s="307"/>
      <c r="HM79" s="307"/>
      <c r="HN79" s="307"/>
      <c r="HO79" s="307"/>
      <c r="HP79" s="307"/>
      <c r="HQ79" s="307"/>
      <c r="HR79" s="307"/>
      <c r="HS79" s="307"/>
      <c r="HT79" s="307"/>
      <c r="HU79" s="307"/>
      <c r="HV79" s="307"/>
      <c r="HW79" s="307"/>
      <c r="HX79" s="307"/>
      <c r="HY79" s="307"/>
      <c r="HZ79" s="307"/>
      <c r="IA79" s="307"/>
      <c r="IB79" s="307"/>
      <c r="IC79" s="307"/>
      <c r="ID79" s="307"/>
      <c r="IE79" s="307"/>
      <c r="IF79" s="307"/>
      <c r="IG79" s="307"/>
      <c r="IH79" s="307"/>
      <c r="II79" s="307"/>
      <c r="IJ79" s="307"/>
      <c r="IK79" s="307"/>
      <c r="IL79" s="307"/>
      <c r="IM79" s="307"/>
      <c r="IN79" s="307"/>
      <c r="IO79" s="307"/>
      <c r="IP79" s="307"/>
      <c r="IQ79" s="307"/>
      <c r="IR79" s="307"/>
      <c r="IS79" s="307"/>
      <c r="IT79" s="307"/>
      <c r="IU79" s="307"/>
    </row>
    <row r="80" spans="1:255" ht="15.5">
      <c r="A80" s="307"/>
      <c r="B80" s="307"/>
      <c r="C80" s="307"/>
      <c r="D80" s="307"/>
      <c r="E80" s="336"/>
      <c r="F80" s="307"/>
      <c r="G80" s="307"/>
      <c r="H80" s="307"/>
      <c r="I80" s="307"/>
      <c r="J80" s="307"/>
      <c r="K80" s="307"/>
      <c r="L80" s="307"/>
      <c r="M80" s="307"/>
      <c r="N80" s="307"/>
      <c r="O80" s="307"/>
      <c r="P80" s="307"/>
      <c r="Q80" s="307"/>
      <c r="R80" s="308"/>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307"/>
      <c r="AP80" s="307"/>
      <c r="AQ80" s="307"/>
      <c r="AR80" s="307"/>
      <c r="AS80" s="307"/>
      <c r="AT80" s="307"/>
      <c r="AU80" s="307"/>
      <c r="AV80" s="307"/>
      <c r="AW80" s="307"/>
      <c r="AX80" s="307"/>
      <c r="AY80" s="307"/>
      <c r="AZ80" s="307"/>
      <c r="BA80" s="307"/>
      <c r="BB80" s="307"/>
      <c r="BC80" s="307"/>
      <c r="BD80" s="307"/>
      <c r="BE80" s="307"/>
      <c r="BF80" s="307"/>
      <c r="BG80" s="307"/>
      <c r="BH80" s="307"/>
      <c r="BI80" s="307"/>
      <c r="BJ80" s="307"/>
      <c r="BK80" s="307"/>
      <c r="BL80" s="307"/>
      <c r="BM80" s="307"/>
      <c r="BN80" s="307"/>
      <c r="BO80" s="307"/>
      <c r="BP80" s="307"/>
      <c r="BQ80" s="307"/>
      <c r="BR80" s="307"/>
      <c r="BS80" s="307"/>
      <c r="BT80" s="307"/>
      <c r="BU80" s="307"/>
      <c r="BV80" s="307"/>
      <c r="BW80" s="307"/>
      <c r="BX80" s="307"/>
      <c r="BY80" s="307"/>
      <c r="BZ80" s="307"/>
      <c r="CA80" s="307"/>
      <c r="CB80" s="307"/>
      <c r="CC80" s="307"/>
      <c r="CD80" s="307"/>
      <c r="CE80" s="307"/>
      <c r="CF80" s="307"/>
      <c r="CG80" s="307"/>
      <c r="CH80" s="307"/>
      <c r="CI80" s="307"/>
      <c r="CJ80" s="307"/>
      <c r="CK80" s="307"/>
      <c r="CL80" s="307"/>
      <c r="CM80" s="307"/>
      <c r="CN80" s="307"/>
      <c r="CO80" s="307"/>
      <c r="CP80" s="307"/>
      <c r="CQ80" s="307"/>
      <c r="CR80" s="307"/>
      <c r="CS80" s="307"/>
      <c r="CT80" s="307"/>
      <c r="CU80" s="307"/>
      <c r="CV80" s="307"/>
      <c r="CW80" s="307"/>
      <c r="CX80" s="307"/>
      <c r="CY80" s="307"/>
      <c r="CZ80" s="307"/>
      <c r="DA80" s="307"/>
      <c r="DB80" s="307"/>
      <c r="DC80" s="307"/>
      <c r="DD80" s="307"/>
      <c r="DE80" s="307"/>
      <c r="DF80" s="307"/>
      <c r="DG80" s="307"/>
      <c r="DH80" s="307"/>
      <c r="DI80" s="307"/>
      <c r="DJ80" s="307"/>
      <c r="DK80" s="307"/>
      <c r="DL80" s="307"/>
      <c r="DM80" s="307"/>
      <c r="DN80" s="307"/>
      <c r="DO80" s="307"/>
      <c r="DP80" s="307"/>
      <c r="DQ80" s="307"/>
      <c r="DR80" s="307"/>
      <c r="DS80" s="307"/>
      <c r="DT80" s="307"/>
      <c r="DU80" s="307"/>
      <c r="DV80" s="307"/>
      <c r="DW80" s="307"/>
      <c r="DX80" s="307"/>
      <c r="DY80" s="307"/>
      <c r="DZ80" s="307"/>
      <c r="EA80" s="307"/>
      <c r="EB80" s="307"/>
      <c r="EC80" s="307"/>
      <c r="ED80" s="307"/>
      <c r="EE80" s="307"/>
      <c r="EF80" s="307"/>
      <c r="EG80" s="307"/>
      <c r="EH80" s="307"/>
      <c r="EI80" s="307"/>
      <c r="EJ80" s="307"/>
      <c r="EK80" s="307"/>
      <c r="EL80" s="307"/>
      <c r="EM80" s="307"/>
      <c r="EN80" s="307"/>
      <c r="EO80" s="307"/>
      <c r="EP80" s="307"/>
      <c r="EQ80" s="307"/>
      <c r="ER80" s="307"/>
      <c r="ES80" s="307"/>
      <c r="ET80" s="307"/>
      <c r="EU80" s="307"/>
      <c r="EV80" s="307"/>
      <c r="EW80" s="307"/>
      <c r="EX80" s="307"/>
      <c r="EY80" s="307"/>
      <c r="EZ80" s="307"/>
      <c r="FA80" s="307"/>
      <c r="FB80" s="307"/>
      <c r="FC80" s="307"/>
      <c r="FD80" s="307"/>
      <c r="FE80" s="307"/>
      <c r="FF80" s="307"/>
      <c r="FG80" s="307"/>
      <c r="FH80" s="307"/>
      <c r="FI80" s="307"/>
      <c r="FJ80" s="307"/>
      <c r="FK80" s="307"/>
      <c r="FL80" s="307"/>
      <c r="FM80" s="307"/>
      <c r="FN80" s="307"/>
      <c r="FO80" s="307"/>
      <c r="FP80" s="307"/>
      <c r="FQ80" s="307"/>
      <c r="FR80" s="307"/>
      <c r="FS80" s="307"/>
      <c r="FT80" s="307"/>
      <c r="FU80" s="307"/>
      <c r="FV80" s="307"/>
      <c r="FW80" s="307"/>
      <c r="FX80" s="307"/>
      <c r="FY80" s="307"/>
      <c r="FZ80" s="307"/>
      <c r="GA80" s="307"/>
      <c r="GB80" s="307"/>
      <c r="GC80" s="307"/>
      <c r="GD80" s="307"/>
      <c r="GE80" s="307"/>
      <c r="GF80" s="307"/>
      <c r="GG80" s="307"/>
      <c r="GH80" s="307"/>
      <c r="GI80" s="307"/>
      <c r="GJ80" s="307"/>
      <c r="GK80" s="307"/>
      <c r="GL80" s="307"/>
      <c r="GM80" s="307"/>
      <c r="GN80" s="307"/>
      <c r="GO80" s="307"/>
      <c r="GP80" s="307"/>
      <c r="GQ80" s="307"/>
      <c r="GR80" s="307"/>
      <c r="GS80" s="307"/>
      <c r="GT80" s="307"/>
      <c r="GU80" s="307"/>
      <c r="GV80" s="307"/>
      <c r="GW80" s="307"/>
      <c r="GX80" s="307"/>
      <c r="GY80" s="307"/>
      <c r="GZ80" s="307"/>
      <c r="HA80" s="307"/>
      <c r="HB80" s="307"/>
      <c r="HC80" s="307"/>
      <c r="HD80" s="307"/>
      <c r="HE80" s="307"/>
      <c r="HF80" s="307"/>
      <c r="HG80" s="307"/>
      <c r="HH80" s="307"/>
      <c r="HI80" s="307"/>
      <c r="HJ80" s="307"/>
      <c r="HK80" s="307"/>
      <c r="HL80" s="307"/>
      <c r="HM80" s="307"/>
      <c r="HN80" s="307"/>
      <c r="HO80" s="307"/>
      <c r="HP80" s="307"/>
      <c r="HQ80" s="307"/>
      <c r="HR80" s="307"/>
      <c r="HS80" s="307"/>
      <c r="HT80" s="307"/>
      <c r="HU80" s="307"/>
      <c r="HV80" s="307"/>
      <c r="HW80" s="307"/>
      <c r="HX80" s="307"/>
      <c r="HY80" s="307"/>
      <c r="HZ80" s="307"/>
      <c r="IA80" s="307"/>
      <c r="IB80" s="307"/>
      <c r="IC80" s="307"/>
      <c r="ID80" s="307"/>
      <c r="IE80" s="307"/>
      <c r="IF80" s="307"/>
      <c r="IG80" s="307"/>
      <c r="IH80" s="307"/>
      <c r="II80" s="307"/>
      <c r="IJ80" s="307"/>
      <c r="IK80" s="307"/>
      <c r="IL80" s="307"/>
      <c r="IM80" s="307"/>
      <c r="IN80" s="307"/>
      <c r="IO80" s="307"/>
      <c r="IP80" s="307"/>
      <c r="IQ80" s="307"/>
      <c r="IR80" s="307"/>
      <c r="IS80" s="307"/>
      <c r="IT80" s="307"/>
      <c r="IU80" s="307"/>
    </row>
    <row r="81" spans="1:255" ht="15.5">
      <c r="A81" s="307"/>
      <c r="B81" s="307"/>
      <c r="C81" s="307"/>
      <c r="D81" s="307"/>
      <c r="E81" s="336"/>
      <c r="F81" s="307"/>
      <c r="G81" s="307"/>
      <c r="H81" s="307"/>
      <c r="I81" s="307"/>
      <c r="J81" s="307"/>
      <c r="K81" s="307"/>
      <c r="L81" s="307"/>
      <c r="M81" s="307"/>
      <c r="N81" s="307"/>
      <c r="O81" s="307"/>
      <c r="P81" s="307"/>
      <c r="Q81" s="307"/>
      <c r="R81" s="308"/>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307"/>
      <c r="AP81" s="307"/>
      <c r="AQ81" s="307"/>
      <c r="AR81" s="307"/>
      <c r="AS81" s="307"/>
      <c r="AT81" s="307"/>
      <c r="AU81" s="307"/>
      <c r="AV81" s="307"/>
      <c r="AW81" s="307"/>
      <c r="AX81" s="307"/>
      <c r="AY81" s="307"/>
      <c r="AZ81" s="307"/>
      <c r="BA81" s="307"/>
      <c r="BB81" s="307"/>
      <c r="BC81" s="307"/>
      <c r="BD81" s="307"/>
      <c r="BE81" s="307"/>
      <c r="BF81" s="307"/>
      <c r="BG81" s="307"/>
      <c r="BH81" s="307"/>
      <c r="BI81" s="307"/>
      <c r="BJ81" s="307"/>
      <c r="BK81" s="307"/>
      <c r="BL81" s="307"/>
      <c r="BM81" s="307"/>
      <c r="BN81" s="307"/>
      <c r="BO81" s="307"/>
      <c r="BP81" s="307"/>
      <c r="BQ81" s="307"/>
      <c r="BR81" s="307"/>
      <c r="BS81" s="307"/>
      <c r="BT81" s="307"/>
      <c r="BU81" s="307"/>
      <c r="BV81" s="307"/>
      <c r="BW81" s="307"/>
      <c r="BX81" s="307"/>
      <c r="BY81" s="307"/>
      <c r="BZ81" s="307"/>
      <c r="CA81" s="307"/>
      <c r="CB81" s="307"/>
      <c r="CC81" s="307"/>
      <c r="CD81" s="307"/>
      <c r="CE81" s="307"/>
      <c r="CF81" s="307"/>
      <c r="CG81" s="307"/>
      <c r="CH81" s="307"/>
      <c r="CI81" s="307"/>
      <c r="CJ81" s="307"/>
      <c r="CK81" s="307"/>
      <c r="CL81" s="307"/>
      <c r="CM81" s="307"/>
      <c r="CN81" s="307"/>
      <c r="CO81" s="307"/>
      <c r="CP81" s="307"/>
      <c r="CQ81" s="307"/>
      <c r="CR81" s="307"/>
      <c r="CS81" s="307"/>
      <c r="CT81" s="307"/>
      <c r="CU81" s="307"/>
      <c r="CV81" s="307"/>
      <c r="CW81" s="307"/>
      <c r="CX81" s="307"/>
      <c r="CY81" s="307"/>
      <c r="CZ81" s="307"/>
      <c r="DA81" s="307"/>
      <c r="DB81" s="307"/>
      <c r="DC81" s="307"/>
      <c r="DD81" s="307"/>
      <c r="DE81" s="307"/>
      <c r="DF81" s="307"/>
      <c r="DG81" s="307"/>
      <c r="DH81" s="307"/>
      <c r="DI81" s="307"/>
      <c r="DJ81" s="307"/>
      <c r="DK81" s="307"/>
      <c r="DL81" s="307"/>
      <c r="DM81" s="307"/>
      <c r="DN81" s="307"/>
      <c r="DO81" s="307"/>
      <c r="DP81" s="307"/>
      <c r="DQ81" s="307"/>
      <c r="DR81" s="307"/>
      <c r="DS81" s="307"/>
      <c r="DT81" s="307"/>
      <c r="DU81" s="307"/>
      <c r="DV81" s="307"/>
      <c r="DW81" s="307"/>
      <c r="DX81" s="307"/>
      <c r="DY81" s="307"/>
      <c r="DZ81" s="307"/>
      <c r="EA81" s="307"/>
      <c r="EB81" s="307"/>
      <c r="EC81" s="307"/>
      <c r="ED81" s="307"/>
      <c r="EE81" s="307"/>
      <c r="EF81" s="307"/>
      <c r="EG81" s="307"/>
      <c r="EH81" s="307"/>
      <c r="EI81" s="307"/>
      <c r="EJ81" s="307"/>
      <c r="EK81" s="307"/>
      <c r="EL81" s="307"/>
      <c r="EM81" s="307"/>
      <c r="EN81" s="307"/>
      <c r="EO81" s="307"/>
      <c r="EP81" s="307"/>
      <c r="EQ81" s="307"/>
      <c r="ER81" s="307"/>
      <c r="ES81" s="307"/>
      <c r="ET81" s="307"/>
      <c r="EU81" s="307"/>
      <c r="EV81" s="307"/>
      <c r="EW81" s="307"/>
      <c r="EX81" s="307"/>
      <c r="EY81" s="307"/>
      <c r="EZ81" s="307"/>
      <c r="FA81" s="307"/>
      <c r="FB81" s="307"/>
      <c r="FC81" s="307"/>
      <c r="FD81" s="307"/>
      <c r="FE81" s="307"/>
      <c r="FF81" s="307"/>
      <c r="FG81" s="307"/>
      <c r="FH81" s="307"/>
      <c r="FI81" s="307"/>
      <c r="FJ81" s="307"/>
      <c r="FK81" s="307"/>
      <c r="FL81" s="307"/>
      <c r="FM81" s="307"/>
      <c r="FN81" s="307"/>
      <c r="FO81" s="307"/>
      <c r="FP81" s="307"/>
      <c r="FQ81" s="307"/>
      <c r="FR81" s="307"/>
      <c r="FS81" s="307"/>
      <c r="FT81" s="307"/>
      <c r="FU81" s="307"/>
      <c r="FV81" s="307"/>
      <c r="FW81" s="307"/>
      <c r="FX81" s="307"/>
      <c r="FY81" s="307"/>
      <c r="FZ81" s="307"/>
      <c r="GA81" s="307"/>
      <c r="GB81" s="307"/>
      <c r="GC81" s="307"/>
      <c r="GD81" s="307"/>
      <c r="GE81" s="307"/>
      <c r="GF81" s="307"/>
      <c r="GG81" s="307"/>
      <c r="GH81" s="307"/>
      <c r="GI81" s="307"/>
      <c r="GJ81" s="307"/>
      <c r="GK81" s="307"/>
      <c r="GL81" s="307"/>
      <c r="GM81" s="307"/>
      <c r="GN81" s="307"/>
      <c r="GO81" s="307"/>
      <c r="GP81" s="307"/>
      <c r="GQ81" s="307"/>
      <c r="GR81" s="307"/>
      <c r="GS81" s="307"/>
      <c r="GT81" s="307"/>
      <c r="GU81" s="307"/>
      <c r="GV81" s="307"/>
      <c r="GW81" s="307"/>
      <c r="GX81" s="307"/>
      <c r="GY81" s="307"/>
      <c r="GZ81" s="307"/>
      <c r="HA81" s="307"/>
      <c r="HB81" s="307"/>
      <c r="HC81" s="307"/>
      <c r="HD81" s="307"/>
      <c r="HE81" s="307"/>
      <c r="HF81" s="307"/>
      <c r="HG81" s="307"/>
      <c r="HH81" s="307"/>
      <c r="HI81" s="307"/>
      <c r="HJ81" s="307"/>
      <c r="HK81" s="307"/>
      <c r="HL81" s="307"/>
      <c r="HM81" s="307"/>
      <c r="HN81" s="307"/>
      <c r="HO81" s="307"/>
      <c r="HP81" s="307"/>
      <c r="HQ81" s="307"/>
      <c r="HR81" s="307"/>
      <c r="HS81" s="307"/>
      <c r="HT81" s="307"/>
      <c r="HU81" s="307"/>
      <c r="HV81" s="307"/>
      <c r="HW81" s="307"/>
      <c r="HX81" s="307"/>
      <c r="HY81" s="307"/>
      <c r="HZ81" s="307"/>
      <c r="IA81" s="307"/>
      <c r="IB81" s="307"/>
      <c r="IC81" s="307"/>
      <c r="ID81" s="307"/>
      <c r="IE81" s="307"/>
      <c r="IF81" s="307"/>
      <c r="IG81" s="307"/>
      <c r="IH81" s="307"/>
      <c r="II81" s="307"/>
      <c r="IJ81" s="307"/>
      <c r="IK81" s="307"/>
      <c r="IL81" s="307"/>
      <c r="IM81" s="307"/>
      <c r="IN81" s="307"/>
      <c r="IO81" s="307"/>
      <c r="IP81" s="307"/>
      <c r="IQ81" s="307"/>
      <c r="IR81" s="307"/>
      <c r="IS81" s="307"/>
      <c r="IT81" s="307"/>
      <c r="IU81" s="307"/>
    </row>
    <row r="82" spans="1:255" ht="15.5">
      <c r="A82" s="307"/>
      <c r="B82" s="307"/>
      <c r="C82" s="307"/>
      <c r="D82" s="307"/>
      <c r="E82" s="336"/>
      <c r="F82" s="307"/>
      <c r="G82" s="307"/>
      <c r="H82" s="307"/>
      <c r="I82" s="307"/>
      <c r="J82" s="307"/>
      <c r="K82" s="307"/>
      <c r="L82" s="307"/>
      <c r="M82" s="307"/>
      <c r="N82" s="307"/>
      <c r="O82" s="307"/>
      <c r="P82" s="307"/>
      <c r="Q82" s="307"/>
      <c r="R82" s="308"/>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307"/>
      <c r="AP82" s="307"/>
      <c r="AQ82" s="307"/>
      <c r="AR82" s="307"/>
      <c r="AS82" s="307"/>
      <c r="AT82" s="307"/>
      <c r="AU82" s="307"/>
      <c r="AV82" s="307"/>
      <c r="AW82" s="307"/>
      <c r="AX82" s="307"/>
      <c r="AY82" s="307"/>
      <c r="AZ82" s="307"/>
      <c r="BA82" s="307"/>
      <c r="BB82" s="307"/>
      <c r="BC82" s="307"/>
      <c r="BD82" s="307"/>
      <c r="BE82" s="307"/>
      <c r="BF82" s="307"/>
      <c r="BG82" s="307"/>
      <c r="BH82" s="307"/>
      <c r="BI82" s="307"/>
      <c r="BJ82" s="307"/>
      <c r="BK82" s="307"/>
      <c r="BL82" s="307"/>
      <c r="BM82" s="307"/>
      <c r="BN82" s="307"/>
      <c r="BO82" s="307"/>
      <c r="BP82" s="307"/>
      <c r="BQ82" s="307"/>
      <c r="BR82" s="307"/>
      <c r="BS82" s="307"/>
      <c r="BT82" s="307"/>
      <c r="BU82" s="307"/>
      <c r="BV82" s="307"/>
      <c r="BW82" s="307"/>
      <c r="BX82" s="307"/>
      <c r="BY82" s="307"/>
      <c r="BZ82" s="307"/>
      <c r="CA82" s="307"/>
      <c r="CB82" s="307"/>
      <c r="CC82" s="307"/>
      <c r="CD82" s="307"/>
      <c r="CE82" s="307"/>
      <c r="CF82" s="307"/>
      <c r="CG82" s="307"/>
      <c r="CH82" s="307"/>
      <c r="CI82" s="307"/>
      <c r="CJ82" s="307"/>
      <c r="CK82" s="307"/>
      <c r="CL82" s="307"/>
      <c r="CM82" s="307"/>
      <c r="CN82" s="307"/>
      <c r="CO82" s="307"/>
      <c r="CP82" s="307"/>
      <c r="CQ82" s="307"/>
      <c r="CR82" s="307"/>
      <c r="CS82" s="307"/>
      <c r="CT82" s="307"/>
      <c r="CU82" s="307"/>
      <c r="CV82" s="307"/>
      <c r="CW82" s="307"/>
      <c r="CX82" s="307"/>
      <c r="CY82" s="307"/>
      <c r="CZ82" s="307"/>
      <c r="DA82" s="307"/>
      <c r="DB82" s="307"/>
      <c r="DC82" s="307"/>
      <c r="DD82" s="307"/>
      <c r="DE82" s="307"/>
      <c r="DF82" s="307"/>
      <c r="DG82" s="307"/>
      <c r="DH82" s="307"/>
      <c r="DI82" s="307"/>
      <c r="DJ82" s="307"/>
      <c r="DK82" s="307"/>
      <c r="DL82" s="307"/>
      <c r="DM82" s="307"/>
      <c r="DN82" s="307"/>
      <c r="DO82" s="307"/>
      <c r="DP82" s="307"/>
      <c r="DQ82" s="307"/>
      <c r="DR82" s="307"/>
      <c r="DS82" s="307"/>
      <c r="DT82" s="307"/>
      <c r="DU82" s="307"/>
      <c r="DV82" s="307"/>
      <c r="DW82" s="307"/>
      <c r="DX82" s="307"/>
      <c r="DY82" s="307"/>
      <c r="DZ82" s="307"/>
      <c r="EA82" s="307"/>
      <c r="EB82" s="307"/>
      <c r="EC82" s="307"/>
      <c r="ED82" s="307"/>
      <c r="EE82" s="307"/>
      <c r="EF82" s="307"/>
      <c r="EG82" s="307"/>
      <c r="EH82" s="307"/>
      <c r="EI82" s="307"/>
      <c r="EJ82" s="307"/>
      <c r="EK82" s="307"/>
      <c r="EL82" s="307"/>
      <c r="EM82" s="307"/>
      <c r="EN82" s="307"/>
      <c r="EO82" s="307"/>
      <c r="EP82" s="307"/>
      <c r="EQ82" s="307"/>
      <c r="ER82" s="307"/>
      <c r="ES82" s="307"/>
      <c r="ET82" s="307"/>
      <c r="EU82" s="307"/>
      <c r="EV82" s="307"/>
      <c r="EW82" s="307"/>
      <c r="EX82" s="307"/>
      <c r="EY82" s="307"/>
      <c r="EZ82" s="307"/>
      <c r="FA82" s="307"/>
      <c r="FB82" s="307"/>
      <c r="FC82" s="307"/>
      <c r="FD82" s="307"/>
      <c r="FE82" s="307"/>
      <c r="FF82" s="307"/>
      <c r="FG82" s="307"/>
      <c r="FH82" s="307"/>
      <c r="FI82" s="307"/>
      <c r="FJ82" s="307"/>
      <c r="FK82" s="307"/>
      <c r="FL82" s="307"/>
      <c r="FM82" s="307"/>
      <c r="FN82" s="307"/>
      <c r="FO82" s="307"/>
      <c r="FP82" s="307"/>
      <c r="FQ82" s="307"/>
      <c r="FR82" s="307"/>
      <c r="FS82" s="307"/>
      <c r="FT82" s="307"/>
      <c r="FU82" s="307"/>
      <c r="FV82" s="307"/>
      <c r="FW82" s="307"/>
      <c r="FX82" s="307"/>
      <c r="FY82" s="307"/>
      <c r="FZ82" s="307"/>
      <c r="GA82" s="307"/>
      <c r="GB82" s="307"/>
      <c r="GC82" s="307"/>
      <c r="GD82" s="307"/>
      <c r="GE82" s="307"/>
      <c r="GF82" s="307"/>
      <c r="GG82" s="307"/>
      <c r="GH82" s="307"/>
      <c r="GI82" s="307"/>
      <c r="GJ82" s="307"/>
      <c r="GK82" s="307"/>
      <c r="GL82" s="307"/>
      <c r="GM82" s="307"/>
      <c r="GN82" s="307"/>
      <c r="GO82" s="307"/>
      <c r="GP82" s="307"/>
      <c r="GQ82" s="307"/>
      <c r="GR82" s="307"/>
      <c r="GS82" s="307"/>
      <c r="GT82" s="307"/>
      <c r="GU82" s="307"/>
      <c r="GV82" s="307"/>
      <c r="GW82" s="307"/>
      <c r="GX82" s="307"/>
      <c r="GY82" s="307"/>
      <c r="GZ82" s="307"/>
      <c r="HA82" s="307"/>
      <c r="HB82" s="307"/>
      <c r="HC82" s="307"/>
      <c r="HD82" s="307"/>
      <c r="HE82" s="307"/>
      <c r="HF82" s="307"/>
      <c r="HG82" s="307"/>
      <c r="HH82" s="307"/>
      <c r="HI82" s="307"/>
      <c r="HJ82" s="307"/>
      <c r="HK82" s="307"/>
      <c r="HL82" s="307"/>
      <c r="HM82" s="307"/>
      <c r="HN82" s="307"/>
      <c r="HO82" s="307"/>
      <c r="HP82" s="307"/>
      <c r="HQ82" s="307"/>
      <c r="HR82" s="307"/>
      <c r="HS82" s="307"/>
      <c r="HT82" s="307"/>
      <c r="HU82" s="307"/>
      <c r="HV82" s="307"/>
      <c r="HW82" s="307"/>
      <c r="HX82" s="307"/>
      <c r="HY82" s="307"/>
      <c r="HZ82" s="307"/>
      <c r="IA82" s="307"/>
      <c r="IB82" s="307"/>
      <c r="IC82" s="307"/>
      <c r="ID82" s="307"/>
      <c r="IE82" s="307"/>
      <c r="IF82" s="307"/>
      <c r="IG82" s="307"/>
      <c r="IH82" s="307"/>
      <c r="II82" s="307"/>
      <c r="IJ82" s="307"/>
      <c r="IK82" s="307"/>
      <c r="IL82" s="307"/>
      <c r="IM82" s="307"/>
      <c r="IN82" s="307"/>
      <c r="IO82" s="307"/>
      <c r="IP82" s="307"/>
      <c r="IQ82" s="307"/>
      <c r="IR82" s="307"/>
      <c r="IS82" s="307"/>
      <c r="IT82" s="307"/>
      <c r="IU82" s="307"/>
    </row>
    <row r="83" spans="1:255" ht="15.5">
      <c r="A83" s="307"/>
      <c r="B83" s="307"/>
      <c r="C83" s="307"/>
      <c r="D83" s="307"/>
      <c r="E83" s="336"/>
      <c r="F83" s="307"/>
      <c r="G83" s="307"/>
      <c r="H83" s="307"/>
      <c r="I83" s="307"/>
      <c r="J83" s="307"/>
      <c r="K83" s="307"/>
      <c r="L83" s="307"/>
      <c r="M83" s="307"/>
      <c r="N83" s="307"/>
      <c r="O83" s="307"/>
      <c r="P83" s="307"/>
      <c r="Q83" s="307"/>
      <c r="R83" s="308"/>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307"/>
      <c r="AP83" s="307"/>
      <c r="AQ83" s="307"/>
      <c r="AR83" s="307"/>
      <c r="AS83" s="307"/>
      <c r="AT83" s="307"/>
      <c r="AU83" s="307"/>
      <c r="AV83" s="307"/>
      <c r="AW83" s="307"/>
      <c r="AX83" s="307"/>
      <c r="AY83" s="307"/>
      <c r="AZ83" s="307"/>
      <c r="BA83" s="307"/>
      <c r="BB83" s="307"/>
      <c r="BC83" s="307"/>
      <c r="BD83" s="307"/>
      <c r="BE83" s="307"/>
      <c r="BF83" s="307"/>
      <c r="BG83" s="307"/>
      <c r="BH83" s="307"/>
      <c r="BI83" s="307"/>
      <c r="BJ83" s="307"/>
      <c r="BK83" s="307"/>
      <c r="BL83" s="307"/>
      <c r="BM83" s="307"/>
      <c r="BN83" s="307"/>
      <c r="BO83" s="307"/>
      <c r="BP83" s="307"/>
      <c r="BQ83" s="307"/>
      <c r="BR83" s="307"/>
      <c r="BS83" s="307"/>
      <c r="BT83" s="307"/>
      <c r="BU83" s="307"/>
      <c r="BV83" s="307"/>
      <c r="BW83" s="307"/>
      <c r="BX83" s="307"/>
      <c r="BY83" s="307"/>
      <c r="BZ83" s="307"/>
      <c r="CA83" s="307"/>
      <c r="CB83" s="307"/>
      <c r="CC83" s="307"/>
      <c r="CD83" s="307"/>
      <c r="CE83" s="307"/>
      <c r="CF83" s="307"/>
      <c r="CG83" s="307"/>
      <c r="CH83" s="307"/>
      <c r="CI83" s="307"/>
      <c r="CJ83" s="307"/>
      <c r="CK83" s="307"/>
      <c r="CL83" s="307"/>
      <c r="CM83" s="307"/>
      <c r="CN83" s="307"/>
      <c r="CO83" s="307"/>
      <c r="CP83" s="307"/>
      <c r="CQ83" s="307"/>
      <c r="CR83" s="307"/>
      <c r="CS83" s="307"/>
      <c r="CT83" s="307"/>
      <c r="CU83" s="307"/>
      <c r="CV83" s="307"/>
      <c r="CW83" s="307"/>
      <c r="CX83" s="307"/>
      <c r="CY83" s="307"/>
      <c r="CZ83" s="307"/>
      <c r="DA83" s="307"/>
      <c r="DB83" s="307"/>
      <c r="DC83" s="307"/>
      <c r="DD83" s="307"/>
      <c r="DE83" s="307"/>
      <c r="DF83" s="307"/>
      <c r="DG83" s="307"/>
      <c r="DH83" s="307"/>
      <c r="DI83" s="307"/>
      <c r="DJ83" s="307"/>
      <c r="DK83" s="307"/>
      <c r="DL83" s="307"/>
      <c r="DM83" s="307"/>
      <c r="DN83" s="307"/>
      <c r="DO83" s="307"/>
      <c r="DP83" s="307"/>
      <c r="DQ83" s="307"/>
      <c r="DR83" s="307"/>
      <c r="DS83" s="307"/>
      <c r="DT83" s="307"/>
      <c r="DU83" s="307"/>
      <c r="DV83" s="307"/>
      <c r="DW83" s="307"/>
      <c r="DX83" s="307"/>
      <c r="DY83" s="307"/>
      <c r="DZ83" s="307"/>
      <c r="EA83" s="307"/>
      <c r="EB83" s="307"/>
      <c r="EC83" s="307"/>
      <c r="ED83" s="307"/>
      <c r="EE83" s="307"/>
      <c r="EF83" s="307"/>
      <c r="EG83" s="307"/>
      <c r="EH83" s="307"/>
      <c r="EI83" s="307"/>
      <c r="EJ83" s="307"/>
      <c r="EK83" s="307"/>
      <c r="EL83" s="307"/>
      <c r="EM83" s="307"/>
      <c r="EN83" s="307"/>
      <c r="EO83" s="307"/>
      <c r="EP83" s="307"/>
      <c r="EQ83" s="307"/>
      <c r="ER83" s="307"/>
      <c r="ES83" s="307"/>
      <c r="ET83" s="307"/>
      <c r="EU83" s="307"/>
      <c r="EV83" s="307"/>
      <c r="EW83" s="307"/>
      <c r="EX83" s="307"/>
      <c r="EY83" s="307"/>
      <c r="EZ83" s="307"/>
      <c r="FA83" s="307"/>
      <c r="FB83" s="307"/>
      <c r="FC83" s="307"/>
      <c r="FD83" s="307"/>
      <c r="FE83" s="307"/>
      <c r="FF83" s="307"/>
      <c r="FG83" s="307"/>
      <c r="FH83" s="307"/>
      <c r="FI83" s="307"/>
      <c r="FJ83" s="307"/>
      <c r="FK83" s="307"/>
      <c r="FL83" s="307"/>
      <c r="FM83" s="307"/>
      <c r="FN83" s="307"/>
      <c r="FO83" s="307"/>
      <c r="FP83" s="307"/>
      <c r="FQ83" s="307"/>
      <c r="FR83" s="307"/>
      <c r="FS83" s="307"/>
      <c r="FT83" s="307"/>
      <c r="FU83" s="307"/>
      <c r="FV83" s="307"/>
      <c r="FW83" s="307"/>
      <c r="FX83" s="307"/>
      <c r="FY83" s="307"/>
      <c r="FZ83" s="307"/>
      <c r="GA83" s="307"/>
      <c r="GB83" s="307"/>
      <c r="GC83" s="307"/>
      <c r="GD83" s="307"/>
      <c r="GE83" s="307"/>
      <c r="GF83" s="307"/>
      <c r="GG83" s="307"/>
      <c r="GH83" s="307"/>
      <c r="GI83" s="307"/>
      <c r="GJ83" s="307"/>
      <c r="GK83" s="307"/>
      <c r="GL83" s="307"/>
      <c r="GM83" s="307"/>
      <c r="GN83" s="307"/>
      <c r="GO83" s="307"/>
      <c r="GP83" s="307"/>
      <c r="GQ83" s="307"/>
      <c r="GR83" s="307"/>
      <c r="GS83" s="307"/>
      <c r="GT83" s="307"/>
      <c r="GU83" s="307"/>
      <c r="GV83" s="307"/>
      <c r="GW83" s="307"/>
      <c r="GX83" s="307"/>
      <c r="GY83" s="307"/>
      <c r="GZ83" s="307"/>
      <c r="HA83" s="307"/>
      <c r="HB83" s="307"/>
      <c r="HC83" s="307"/>
      <c r="HD83" s="307"/>
      <c r="HE83" s="307"/>
      <c r="HF83" s="307"/>
      <c r="HG83" s="307"/>
      <c r="HH83" s="307"/>
      <c r="HI83" s="307"/>
      <c r="HJ83" s="307"/>
      <c r="HK83" s="307"/>
      <c r="HL83" s="307"/>
      <c r="HM83" s="307"/>
      <c r="HN83" s="307"/>
      <c r="HO83" s="307"/>
      <c r="HP83" s="307"/>
      <c r="HQ83" s="307"/>
      <c r="HR83" s="307"/>
      <c r="HS83" s="307"/>
      <c r="HT83" s="307"/>
      <c r="HU83" s="307"/>
      <c r="HV83" s="307"/>
      <c r="HW83" s="307"/>
      <c r="HX83" s="307"/>
      <c r="HY83" s="307"/>
      <c r="HZ83" s="307"/>
      <c r="IA83" s="307"/>
      <c r="IB83" s="307"/>
      <c r="IC83" s="307"/>
      <c r="ID83" s="307"/>
      <c r="IE83" s="307"/>
      <c r="IF83" s="307"/>
      <c r="IG83" s="307"/>
      <c r="IH83" s="307"/>
      <c r="II83" s="307"/>
      <c r="IJ83" s="307"/>
      <c r="IK83" s="307"/>
      <c r="IL83" s="307"/>
      <c r="IM83" s="307"/>
      <c r="IN83" s="307"/>
      <c r="IO83" s="307"/>
      <c r="IP83" s="307"/>
      <c r="IQ83" s="307"/>
      <c r="IR83" s="307"/>
      <c r="IS83" s="307"/>
      <c r="IT83" s="307"/>
      <c r="IU83" s="307"/>
    </row>
  </sheetData>
  <mergeCells count="7">
    <mergeCell ref="N3:P3"/>
    <mergeCell ref="A4:C4"/>
    <mergeCell ref="B64:L65"/>
    <mergeCell ref="A1:L1"/>
    <mergeCell ref="D3:F3"/>
    <mergeCell ref="G3:I3"/>
    <mergeCell ref="J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887C-758F-4029-AB76-959B1A3D2135}">
  <dimension ref="A1:BI126"/>
  <sheetViews>
    <sheetView topLeftCell="A15" zoomScale="80" zoomScaleNormal="80" workbookViewId="0">
      <selection activeCell="G115" sqref="G115"/>
    </sheetView>
  </sheetViews>
  <sheetFormatPr defaultRowHeight="12.5"/>
  <cols>
    <col min="1" max="1" width="97.453125" bestFit="1" customWidth="1"/>
    <col min="3" max="3" width="14.453125" bestFit="1" customWidth="1"/>
    <col min="5" max="5" width="16.26953125" bestFit="1" customWidth="1"/>
    <col min="6" max="6" width="19.54296875" bestFit="1" customWidth="1"/>
    <col min="7" max="7" width="23" bestFit="1" customWidth="1"/>
    <col min="9" max="9" width="97.453125" bestFit="1" customWidth="1"/>
    <col min="11" max="11" width="14.453125" bestFit="1" customWidth="1"/>
    <col min="13" max="13" width="16.26953125" bestFit="1" customWidth="1"/>
    <col min="14" max="14" width="19.54296875" bestFit="1" customWidth="1"/>
    <col min="15" max="15" width="23" bestFit="1" customWidth="1"/>
    <col min="16" max="16" width="7.54296875" customWidth="1"/>
    <col min="17" max="17" width="94" bestFit="1" customWidth="1"/>
    <col min="19" max="19" width="13.453125" bestFit="1" customWidth="1"/>
    <col min="22" max="22" width="18.453125" bestFit="1" customWidth="1"/>
    <col min="23" max="23" width="22.81640625" bestFit="1" customWidth="1"/>
    <col min="24" max="24" width="4.453125" customWidth="1"/>
    <col min="25" max="25" width="64.1796875" customWidth="1"/>
    <col min="26" max="26" width="16.453125" customWidth="1"/>
    <col min="27" max="27" width="14.26953125" bestFit="1" customWidth="1"/>
    <col min="29" max="29" width="16.26953125" customWidth="1"/>
    <col min="30" max="30" width="18.26953125" customWidth="1"/>
    <col min="31" max="31" width="22.81640625" bestFit="1" customWidth="1"/>
    <col min="32" max="32" width="3.54296875" customWidth="1"/>
    <col min="33" max="33" width="64.1796875" customWidth="1"/>
    <col min="34" max="34" width="16.453125" customWidth="1"/>
    <col min="35" max="35" width="14.26953125" bestFit="1" customWidth="1"/>
    <col min="37" max="37" width="16.26953125" customWidth="1"/>
    <col min="38" max="38" width="18.26953125" customWidth="1"/>
    <col min="39" max="39" width="22.81640625" bestFit="1" customWidth="1"/>
    <col min="40" max="40" width="5" customWidth="1"/>
    <col min="41" max="41" width="64.1796875" customWidth="1"/>
    <col min="42" max="42" width="16.453125" customWidth="1"/>
    <col min="43" max="43" width="14.26953125" bestFit="1" customWidth="1"/>
    <col min="45" max="45" width="14" bestFit="1" customWidth="1"/>
    <col min="46" max="46" width="15.54296875" bestFit="1" customWidth="1"/>
    <col min="49" max="49" width="73.1796875" bestFit="1" customWidth="1"/>
    <col min="51" max="51" width="13.453125" bestFit="1" customWidth="1"/>
    <col min="53" max="53" width="14" bestFit="1" customWidth="1"/>
    <col min="54" max="54" width="14.26953125" bestFit="1" customWidth="1"/>
    <col min="56" max="56" width="7.7265625" customWidth="1"/>
    <col min="57" max="57" width="13.453125" customWidth="1"/>
    <col min="58" max="58" width="14" bestFit="1" customWidth="1"/>
    <col min="59" max="59" width="12.26953125" bestFit="1" customWidth="1"/>
    <col min="60" max="60" width="14.54296875" bestFit="1" customWidth="1"/>
    <col min="297" max="297" width="64.1796875" customWidth="1"/>
    <col min="298" max="298" width="16.453125" customWidth="1"/>
    <col min="299" max="299" width="14.26953125" bestFit="1" customWidth="1"/>
    <col min="301" max="301" width="14" bestFit="1" customWidth="1"/>
    <col min="302" max="302" width="15.54296875" bestFit="1" customWidth="1"/>
    <col min="305" max="305" width="73.1796875" bestFit="1" customWidth="1"/>
    <col min="307" max="307" width="13.453125" bestFit="1" customWidth="1"/>
    <col min="309" max="309" width="14" bestFit="1" customWidth="1"/>
    <col min="310" max="310" width="14.26953125" bestFit="1" customWidth="1"/>
    <col min="312" max="312" width="7.7265625" customWidth="1"/>
    <col min="313" max="313" width="13.453125" customWidth="1"/>
    <col min="314" max="314" width="14" bestFit="1" customWidth="1"/>
    <col min="315" max="315" width="12.26953125" bestFit="1" customWidth="1"/>
    <col min="316" max="316" width="14.54296875" bestFit="1" customWidth="1"/>
    <col min="553" max="553" width="64.1796875" customWidth="1"/>
    <col min="554" max="554" width="16.453125" customWidth="1"/>
    <col min="555" max="555" width="14.26953125" bestFit="1" customWidth="1"/>
    <col min="557" max="557" width="14" bestFit="1" customWidth="1"/>
    <col min="558" max="558" width="15.54296875" bestFit="1" customWidth="1"/>
    <col min="561" max="561" width="73.1796875" bestFit="1" customWidth="1"/>
    <col min="563" max="563" width="13.453125" bestFit="1" customWidth="1"/>
    <col min="565" max="565" width="14" bestFit="1" customWidth="1"/>
    <col min="566" max="566" width="14.26953125" bestFit="1" customWidth="1"/>
    <col min="568" max="568" width="7.7265625" customWidth="1"/>
    <col min="569" max="569" width="13.453125" customWidth="1"/>
    <col min="570" max="570" width="14" bestFit="1" customWidth="1"/>
    <col min="571" max="571" width="12.26953125" bestFit="1" customWidth="1"/>
    <col min="572" max="572" width="14.54296875" bestFit="1" customWidth="1"/>
    <col min="809" max="809" width="64.1796875" customWidth="1"/>
    <col min="810" max="810" width="16.453125" customWidth="1"/>
    <col min="811" max="811" width="14.26953125" bestFit="1" customWidth="1"/>
    <col min="813" max="813" width="14" bestFit="1" customWidth="1"/>
    <col min="814" max="814" width="15.54296875" bestFit="1" customWidth="1"/>
    <col min="817" max="817" width="73.1796875" bestFit="1" customWidth="1"/>
    <col min="819" max="819" width="13.453125" bestFit="1" customWidth="1"/>
    <col min="821" max="821" width="14" bestFit="1" customWidth="1"/>
    <col min="822" max="822" width="14.26953125" bestFit="1" customWidth="1"/>
    <col min="824" max="824" width="7.7265625" customWidth="1"/>
    <col min="825" max="825" width="13.453125" customWidth="1"/>
    <col min="826" max="826" width="14" bestFit="1" customWidth="1"/>
    <col min="827" max="827" width="12.26953125" bestFit="1" customWidth="1"/>
    <col min="828" max="828" width="14.54296875" bestFit="1" customWidth="1"/>
    <col min="1065" max="1065" width="64.1796875" customWidth="1"/>
    <col min="1066" max="1066" width="16.453125" customWidth="1"/>
    <col min="1067" max="1067" width="14.26953125" bestFit="1" customWidth="1"/>
    <col min="1069" max="1069" width="14" bestFit="1" customWidth="1"/>
    <col min="1070" max="1070" width="15.54296875" bestFit="1" customWidth="1"/>
    <col min="1073" max="1073" width="73.1796875" bestFit="1" customWidth="1"/>
    <col min="1075" max="1075" width="13.453125" bestFit="1" customWidth="1"/>
    <col min="1077" max="1077" width="14" bestFit="1" customWidth="1"/>
    <col min="1078" max="1078" width="14.26953125" bestFit="1" customWidth="1"/>
    <col min="1080" max="1080" width="7.7265625" customWidth="1"/>
    <col min="1081" max="1081" width="13.453125" customWidth="1"/>
    <col min="1082" max="1082" width="14" bestFit="1" customWidth="1"/>
    <col min="1083" max="1083" width="12.26953125" bestFit="1" customWidth="1"/>
    <col min="1084" max="1084" width="14.54296875" bestFit="1" customWidth="1"/>
    <col min="1321" max="1321" width="64.1796875" customWidth="1"/>
    <col min="1322" max="1322" width="16.453125" customWidth="1"/>
    <col min="1323" max="1323" width="14.26953125" bestFit="1" customWidth="1"/>
    <col min="1325" max="1325" width="14" bestFit="1" customWidth="1"/>
    <col min="1326" max="1326" width="15.54296875" bestFit="1" customWidth="1"/>
    <col min="1329" max="1329" width="73.1796875" bestFit="1" customWidth="1"/>
    <col min="1331" max="1331" width="13.453125" bestFit="1" customWidth="1"/>
    <col min="1333" max="1333" width="14" bestFit="1" customWidth="1"/>
    <col min="1334" max="1334" width="14.26953125" bestFit="1" customWidth="1"/>
    <col min="1336" max="1336" width="7.7265625" customWidth="1"/>
    <col min="1337" max="1337" width="13.453125" customWidth="1"/>
    <col min="1338" max="1338" width="14" bestFit="1" customWidth="1"/>
    <col min="1339" max="1339" width="12.26953125" bestFit="1" customWidth="1"/>
    <col min="1340" max="1340" width="14.54296875" bestFit="1" customWidth="1"/>
    <col min="1577" max="1577" width="64.1796875" customWidth="1"/>
    <col min="1578" max="1578" width="16.453125" customWidth="1"/>
    <col min="1579" max="1579" width="14.26953125" bestFit="1" customWidth="1"/>
    <col min="1581" max="1581" width="14" bestFit="1" customWidth="1"/>
    <col min="1582" max="1582" width="15.54296875" bestFit="1" customWidth="1"/>
    <col min="1585" max="1585" width="73.1796875" bestFit="1" customWidth="1"/>
    <col min="1587" max="1587" width="13.453125" bestFit="1" customWidth="1"/>
    <col min="1589" max="1589" width="14" bestFit="1" customWidth="1"/>
    <col min="1590" max="1590" width="14.26953125" bestFit="1" customWidth="1"/>
    <col min="1592" max="1592" width="7.7265625" customWidth="1"/>
    <col min="1593" max="1593" width="13.453125" customWidth="1"/>
    <col min="1594" max="1594" width="14" bestFit="1" customWidth="1"/>
    <col min="1595" max="1595" width="12.26953125" bestFit="1" customWidth="1"/>
    <col min="1596" max="1596" width="14.54296875" bestFit="1" customWidth="1"/>
    <col min="1833" max="1833" width="64.1796875" customWidth="1"/>
    <col min="1834" max="1834" width="16.453125" customWidth="1"/>
    <col min="1835" max="1835" width="14.26953125" bestFit="1" customWidth="1"/>
    <col min="1837" max="1837" width="14" bestFit="1" customWidth="1"/>
    <col min="1838" max="1838" width="15.54296875" bestFit="1" customWidth="1"/>
    <col min="1841" max="1841" width="73.1796875" bestFit="1" customWidth="1"/>
    <col min="1843" max="1843" width="13.453125" bestFit="1" customWidth="1"/>
    <col min="1845" max="1845" width="14" bestFit="1" customWidth="1"/>
    <col min="1846" max="1846" width="14.26953125" bestFit="1" customWidth="1"/>
    <col min="1848" max="1848" width="7.7265625" customWidth="1"/>
    <col min="1849" max="1849" width="13.453125" customWidth="1"/>
    <col min="1850" max="1850" width="14" bestFit="1" customWidth="1"/>
    <col min="1851" max="1851" width="12.26953125" bestFit="1" customWidth="1"/>
    <col min="1852" max="1852" width="14.54296875" bestFit="1" customWidth="1"/>
    <col min="2089" max="2089" width="64.1796875" customWidth="1"/>
    <col min="2090" max="2090" width="16.453125" customWidth="1"/>
    <col min="2091" max="2091" width="14.26953125" bestFit="1" customWidth="1"/>
    <col min="2093" max="2093" width="14" bestFit="1" customWidth="1"/>
    <col min="2094" max="2094" width="15.54296875" bestFit="1" customWidth="1"/>
    <col min="2097" max="2097" width="73.1796875" bestFit="1" customWidth="1"/>
    <col min="2099" max="2099" width="13.453125" bestFit="1" customWidth="1"/>
    <col min="2101" max="2101" width="14" bestFit="1" customWidth="1"/>
    <col min="2102" max="2102" width="14.26953125" bestFit="1" customWidth="1"/>
    <col min="2104" max="2104" width="7.7265625" customWidth="1"/>
    <col min="2105" max="2105" width="13.453125" customWidth="1"/>
    <col min="2106" max="2106" width="14" bestFit="1" customWidth="1"/>
    <col min="2107" max="2107" width="12.26953125" bestFit="1" customWidth="1"/>
    <col min="2108" max="2108" width="14.54296875" bestFit="1" customWidth="1"/>
    <col min="2345" max="2345" width="64.1796875" customWidth="1"/>
    <col min="2346" max="2346" width="16.453125" customWidth="1"/>
    <col min="2347" max="2347" width="14.26953125" bestFit="1" customWidth="1"/>
    <col min="2349" max="2349" width="14" bestFit="1" customWidth="1"/>
    <col min="2350" max="2350" width="15.54296875" bestFit="1" customWidth="1"/>
    <col min="2353" max="2353" width="73.1796875" bestFit="1" customWidth="1"/>
    <col min="2355" max="2355" width="13.453125" bestFit="1" customWidth="1"/>
    <col min="2357" max="2357" width="14" bestFit="1" customWidth="1"/>
    <col min="2358" max="2358" width="14.26953125" bestFit="1" customWidth="1"/>
    <col min="2360" max="2360" width="7.7265625" customWidth="1"/>
    <col min="2361" max="2361" width="13.453125" customWidth="1"/>
    <col min="2362" max="2362" width="14" bestFit="1" customWidth="1"/>
    <col min="2363" max="2363" width="12.26953125" bestFit="1" customWidth="1"/>
    <col min="2364" max="2364" width="14.54296875" bestFit="1" customWidth="1"/>
    <col min="2601" max="2601" width="64.1796875" customWidth="1"/>
    <col min="2602" max="2602" width="16.453125" customWidth="1"/>
    <col min="2603" max="2603" width="14.26953125" bestFit="1" customWidth="1"/>
    <col min="2605" max="2605" width="14" bestFit="1" customWidth="1"/>
    <col min="2606" max="2606" width="15.54296875" bestFit="1" customWidth="1"/>
    <col min="2609" max="2609" width="73.1796875" bestFit="1" customWidth="1"/>
    <col min="2611" max="2611" width="13.453125" bestFit="1" customWidth="1"/>
    <col min="2613" max="2613" width="14" bestFit="1" customWidth="1"/>
    <col min="2614" max="2614" width="14.26953125" bestFit="1" customWidth="1"/>
    <col min="2616" max="2616" width="7.7265625" customWidth="1"/>
    <col min="2617" max="2617" width="13.453125" customWidth="1"/>
    <col min="2618" max="2618" width="14" bestFit="1" customWidth="1"/>
    <col min="2619" max="2619" width="12.26953125" bestFit="1" customWidth="1"/>
    <col min="2620" max="2620" width="14.54296875" bestFit="1" customWidth="1"/>
    <col min="2857" max="2857" width="64.1796875" customWidth="1"/>
    <col min="2858" max="2858" width="16.453125" customWidth="1"/>
    <col min="2859" max="2859" width="14.26953125" bestFit="1" customWidth="1"/>
    <col min="2861" max="2861" width="14" bestFit="1" customWidth="1"/>
    <col min="2862" max="2862" width="15.54296875" bestFit="1" customWidth="1"/>
    <col min="2865" max="2865" width="73.1796875" bestFit="1" customWidth="1"/>
    <col min="2867" max="2867" width="13.453125" bestFit="1" customWidth="1"/>
    <col min="2869" max="2869" width="14" bestFit="1" customWidth="1"/>
    <col min="2870" max="2870" width="14.26953125" bestFit="1" customWidth="1"/>
    <col min="2872" max="2872" width="7.7265625" customWidth="1"/>
    <col min="2873" max="2873" width="13.453125" customWidth="1"/>
    <col min="2874" max="2874" width="14" bestFit="1" customWidth="1"/>
    <col min="2875" max="2875" width="12.26953125" bestFit="1" customWidth="1"/>
    <col min="2876" max="2876" width="14.54296875" bestFit="1" customWidth="1"/>
    <col min="3113" max="3113" width="64.1796875" customWidth="1"/>
    <col min="3114" max="3114" width="16.453125" customWidth="1"/>
    <col min="3115" max="3115" width="14.26953125" bestFit="1" customWidth="1"/>
    <col min="3117" max="3117" width="14" bestFit="1" customWidth="1"/>
    <col min="3118" max="3118" width="15.54296875" bestFit="1" customWidth="1"/>
    <col min="3121" max="3121" width="73.1796875" bestFit="1" customWidth="1"/>
    <col min="3123" max="3123" width="13.453125" bestFit="1" customWidth="1"/>
    <col min="3125" max="3125" width="14" bestFit="1" customWidth="1"/>
    <col min="3126" max="3126" width="14.26953125" bestFit="1" customWidth="1"/>
    <col min="3128" max="3128" width="7.7265625" customWidth="1"/>
    <col min="3129" max="3129" width="13.453125" customWidth="1"/>
    <col min="3130" max="3130" width="14" bestFit="1" customWidth="1"/>
    <col min="3131" max="3131" width="12.26953125" bestFit="1" customWidth="1"/>
    <col min="3132" max="3132" width="14.54296875" bestFit="1" customWidth="1"/>
    <col min="3369" max="3369" width="64.1796875" customWidth="1"/>
    <col min="3370" max="3370" width="16.453125" customWidth="1"/>
    <col min="3371" max="3371" width="14.26953125" bestFit="1" customWidth="1"/>
    <col min="3373" max="3373" width="14" bestFit="1" customWidth="1"/>
    <col min="3374" max="3374" width="15.54296875" bestFit="1" customWidth="1"/>
    <col min="3377" max="3377" width="73.1796875" bestFit="1" customWidth="1"/>
    <col min="3379" max="3379" width="13.453125" bestFit="1" customWidth="1"/>
    <col min="3381" max="3381" width="14" bestFit="1" customWidth="1"/>
    <col min="3382" max="3382" width="14.26953125" bestFit="1" customWidth="1"/>
    <col min="3384" max="3384" width="7.7265625" customWidth="1"/>
    <col min="3385" max="3385" width="13.453125" customWidth="1"/>
    <col min="3386" max="3386" width="14" bestFit="1" customWidth="1"/>
    <col min="3387" max="3387" width="12.26953125" bestFit="1" customWidth="1"/>
    <col min="3388" max="3388" width="14.54296875" bestFit="1" customWidth="1"/>
    <col min="3625" max="3625" width="64.1796875" customWidth="1"/>
    <col min="3626" max="3626" width="16.453125" customWidth="1"/>
    <col min="3627" max="3627" width="14.26953125" bestFit="1" customWidth="1"/>
    <col min="3629" max="3629" width="14" bestFit="1" customWidth="1"/>
    <col min="3630" max="3630" width="15.54296875" bestFit="1" customWidth="1"/>
    <col min="3633" max="3633" width="73.1796875" bestFit="1" customWidth="1"/>
    <col min="3635" max="3635" width="13.453125" bestFit="1" customWidth="1"/>
    <col min="3637" max="3637" width="14" bestFit="1" customWidth="1"/>
    <col min="3638" max="3638" width="14.26953125" bestFit="1" customWidth="1"/>
    <col min="3640" max="3640" width="7.7265625" customWidth="1"/>
    <col min="3641" max="3641" width="13.453125" customWidth="1"/>
    <col min="3642" max="3642" width="14" bestFit="1" customWidth="1"/>
    <col min="3643" max="3643" width="12.26953125" bestFit="1" customWidth="1"/>
    <col min="3644" max="3644" width="14.54296875" bestFit="1" customWidth="1"/>
    <col min="3881" max="3881" width="64.1796875" customWidth="1"/>
    <col min="3882" max="3882" width="16.453125" customWidth="1"/>
    <col min="3883" max="3883" width="14.26953125" bestFit="1" customWidth="1"/>
    <col min="3885" max="3885" width="14" bestFit="1" customWidth="1"/>
    <col min="3886" max="3886" width="15.54296875" bestFit="1" customWidth="1"/>
    <col min="3889" max="3889" width="73.1796875" bestFit="1" customWidth="1"/>
    <col min="3891" max="3891" width="13.453125" bestFit="1" customWidth="1"/>
    <col min="3893" max="3893" width="14" bestFit="1" customWidth="1"/>
    <col min="3894" max="3894" width="14.26953125" bestFit="1" customWidth="1"/>
    <col min="3896" max="3896" width="7.7265625" customWidth="1"/>
    <col min="3897" max="3897" width="13.453125" customWidth="1"/>
    <col min="3898" max="3898" width="14" bestFit="1" customWidth="1"/>
    <col min="3899" max="3899" width="12.26953125" bestFit="1" customWidth="1"/>
    <col min="3900" max="3900" width="14.54296875" bestFit="1" customWidth="1"/>
    <col min="4137" max="4137" width="64.1796875" customWidth="1"/>
    <col min="4138" max="4138" width="16.453125" customWidth="1"/>
    <col min="4139" max="4139" width="14.26953125" bestFit="1" customWidth="1"/>
    <col min="4141" max="4141" width="14" bestFit="1" customWidth="1"/>
    <col min="4142" max="4142" width="15.54296875" bestFit="1" customWidth="1"/>
    <col min="4145" max="4145" width="73.1796875" bestFit="1" customWidth="1"/>
    <col min="4147" max="4147" width="13.453125" bestFit="1" customWidth="1"/>
    <col min="4149" max="4149" width="14" bestFit="1" customWidth="1"/>
    <col min="4150" max="4150" width="14.26953125" bestFit="1" customWidth="1"/>
    <col min="4152" max="4152" width="7.7265625" customWidth="1"/>
    <col min="4153" max="4153" width="13.453125" customWidth="1"/>
    <col min="4154" max="4154" width="14" bestFit="1" customWidth="1"/>
    <col min="4155" max="4155" width="12.26953125" bestFit="1" customWidth="1"/>
    <col min="4156" max="4156" width="14.54296875" bestFit="1" customWidth="1"/>
    <col min="4393" max="4393" width="64.1796875" customWidth="1"/>
    <col min="4394" max="4394" width="16.453125" customWidth="1"/>
    <col min="4395" max="4395" width="14.26953125" bestFit="1" customWidth="1"/>
    <col min="4397" max="4397" width="14" bestFit="1" customWidth="1"/>
    <col min="4398" max="4398" width="15.54296875" bestFit="1" customWidth="1"/>
    <col min="4401" max="4401" width="73.1796875" bestFit="1" customWidth="1"/>
    <col min="4403" max="4403" width="13.453125" bestFit="1" customWidth="1"/>
    <col min="4405" max="4405" width="14" bestFit="1" customWidth="1"/>
    <col min="4406" max="4406" width="14.26953125" bestFit="1" customWidth="1"/>
    <col min="4408" max="4408" width="7.7265625" customWidth="1"/>
    <col min="4409" max="4409" width="13.453125" customWidth="1"/>
    <col min="4410" max="4410" width="14" bestFit="1" customWidth="1"/>
    <col min="4411" max="4411" width="12.26953125" bestFit="1" customWidth="1"/>
    <col min="4412" max="4412" width="14.54296875" bestFit="1" customWidth="1"/>
    <col min="4649" max="4649" width="64.1796875" customWidth="1"/>
    <col min="4650" max="4650" width="16.453125" customWidth="1"/>
    <col min="4651" max="4651" width="14.26953125" bestFit="1" customWidth="1"/>
    <col min="4653" max="4653" width="14" bestFit="1" customWidth="1"/>
    <col min="4654" max="4654" width="15.54296875" bestFit="1" customWidth="1"/>
    <col min="4657" max="4657" width="73.1796875" bestFit="1" customWidth="1"/>
    <col min="4659" max="4659" width="13.453125" bestFit="1" customWidth="1"/>
    <col min="4661" max="4661" width="14" bestFit="1" customWidth="1"/>
    <col min="4662" max="4662" width="14.26953125" bestFit="1" customWidth="1"/>
    <col min="4664" max="4664" width="7.7265625" customWidth="1"/>
    <col min="4665" max="4665" width="13.453125" customWidth="1"/>
    <col min="4666" max="4666" width="14" bestFit="1" customWidth="1"/>
    <col min="4667" max="4667" width="12.26953125" bestFit="1" customWidth="1"/>
    <col min="4668" max="4668" width="14.54296875" bestFit="1" customWidth="1"/>
    <col min="4905" max="4905" width="64.1796875" customWidth="1"/>
    <col min="4906" max="4906" width="16.453125" customWidth="1"/>
    <col min="4907" max="4907" width="14.26953125" bestFit="1" customWidth="1"/>
    <col min="4909" max="4909" width="14" bestFit="1" customWidth="1"/>
    <col min="4910" max="4910" width="15.54296875" bestFit="1" customWidth="1"/>
    <col min="4913" max="4913" width="73.1796875" bestFit="1" customWidth="1"/>
    <col min="4915" max="4915" width="13.453125" bestFit="1" customWidth="1"/>
    <col min="4917" max="4917" width="14" bestFit="1" customWidth="1"/>
    <col min="4918" max="4918" width="14.26953125" bestFit="1" customWidth="1"/>
    <col min="4920" max="4920" width="7.7265625" customWidth="1"/>
    <col min="4921" max="4921" width="13.453125" customWidth="1"/>
    <col min="4922" max="4922" width="14" bestFit="1" customWidth="1"/>
    <col min="4923" max="4923" width="12.26953125" bestFit="1" customWidth="1"/>
    <col min="4924" max="4924" width="14.54296875" bestFit="1" customWidth="1"/>
    <col min="5161" max="5161" width="64.1796875" customWidth="1"/>
    <col min="5162" max="5162" width="16.453125" customWidth="1"/>
    <col min="5163" max="5163" width="14.26953125" bestFit="1" customWidth="1"/>
    <col min="5165" max="5165" width="14" bestFit="1" customWidth="1"/>
    <col min="5166" max="5166" width="15.54296875" bestFit="1" customWidth="1"/>
    <col min="5169" max="5169" width="73.1796875" bestFit="1" customWidth="1"/>
    <col min="5171" max="5171" width="13.453125" bestFit="1" customWidth="1"/>
    <col min="5173" max="5173" width="14" bestFit="1" customWidth="1"/>
    <col min="5174" max="5174" width="14.26953125" bestFit="1" customWidth="1"/>
    <col min="5176" max="5176" width="7.7265625" customWidth="1"/>
    <col min="5177" max="5177" width="13.453125" customWidth="1"/>
    <col min="5178" max="5178" width="14" bestFit="1" customWidth="1"/>
    <col min="5179" max="5179" width="12.26953125" bestFit="1" customWidth="1"/>
    <col min="5180" max="5180" width="14.54296875" bestFit="1" customWidth="1"/>
    <col min="5417" max="5417" width="64.1796875" customWidth="1"/>
    <col min="5418" max="5418" width="16.453125" customWidth="1"/>
    <col min="5419" max="5419" width="14.26953125" bestFit="1" customWidth="1"/>
    <col min="5421" max="5421" width="14" bestFit="1" customWidth="1"/>
    <col min="5422" max="5422" width="15.54296875" bestFit="1" customWidth="1"/>
    <col min="5425" max="5425" width="73.1796875" bestFit="1" customWidth="1"/>
    <col min="5427" max="5427" width="13.453125" bestFit="1" customWidth="1"/>
    <col min="5429" max="5429" width="14" bestFit="1" customWidth="1"/>
    <col min="5430" max="5430" width="14.26953125" bestFit="1" customWidth="1"/>
    <col min="5432" max="5432" width="7.7265625" customWidth="1"/>
    <col min="5433" max="5433" width="13.453125" customWidth="1"/>
    <col min="5434" max="5434" width="14" bestFit="1" customWidth="1"/>
    <col min="5435" max="5435" width="12.26953125" bestFit="1" customWidth="1"/>
    <col min="5436" max="5436" width="14.54296875" bestFit="1" customWidth="1"/>
    <col min="5673" max="5673" width="64.1796875" customWidth="1"/>
    <col min="5674" max="5674" width="16.453125" customWidth="1"/>
    <col min="5675" max="5675" width="14.26953125" bestFit="1" customWidth="1"/>
    <col min="5677" max="5677" width="14" bestFit="1" customWidth="1"/>
    <col min="5678" max="5678" width="15.54296875" bestFit="1" customWidth="1"/>
    <col min="5681" max="5681" width="73.1796875" bestFit="1" customWidth="1"/>
    <col min="5683" max="5683" width="13.453125" bestFit="1" customWidth="1"/>
    <col min="5685" max="5685" width="14" bestFit="1" customWidth="1"/>
    <col min="5686" max="5686" width="14.26953125" bestFit="1" customWidth="1"/>
    <col min="5688" max="5688" width="7.7265625" customWidth="1"/>
    <col min="5689" max="5689" width="13.453125" customWidth="1"/>
    <col min="5690" max="5690" width="14" bestFit="1" customWidth="1"/>
    <col min="5691" max="5691" width="12.26953125" bestFit="1" customWidth="1"/>
    <col min="5692" max="5692" width="14.54296875" bestFit="1" customWidth="1"/>
    <col min="5929" max="5929" width="64.1796875" customWidth="1"/>
    <col min="5930" max="5930" width="16.453125" customWidth="1"/>
    <col min="5931" max="5931" width="14.26953125" bestFit="1" customWidth="1"/>
    <col min="5933" max="5933" width="14" bestFit="1" customWidth="1"/>
    <col min="5934" max="5934" width="15.54296875" bestFit="1" customWidth="1"/>
    <col min="5937" max="5937" width="73.1796875" bestFit="1" customWidth="1"/>
    <col min="5939" max="5939" width="13.453125" bestFit="1" customWidth="1"/>
    <col min="5941" max="5941" width="14" bestFit="1" customWidth="1"/>
    <col min="5942" max="5942" width="14.26953125" bestFit="1" customWidth="1"/>
    <col min="5944" max="5944" width="7.7265625" customWidth="1"/>
    <col min="5945" max="5945" width="13.453125" customWidth="1"/>
    <col min="5946" max="5946" width="14" bestFit="1" customWidth="1"/>
    <col min="5947" max="5947" width="12.26953125" bestFit="1" customWidth="1"/>
    <col min="5948" max="5948" width="14.54296875" bestFit="1" customWidth="1"/>
    <col min="6185" max="6185" width="64.1796875" customWidth="1"/>
    <col min="6186" max="6186" width="16.453125" customWidth="1"/>
    <col min="6187" max="6187" width="14.26953125" bestFit="1" customWidth="1"/>
    <col min="6189" max="6189" width="14" bestFit="1" customWidth="1"/>
    <col min="6190" max="6190" width="15.54296875" bestFit="1" customWidth="1"/>
    <col min="6193" max="6193" width="73.1796875" bestFit="1" customWidth="1"/>
    <col min="6195" max="6195" width="13.453125" bestFit="1" customWidth="1"/>
    <col min="6197" max="6197" width="14" bestFit="1" customWidth="1"/>
    <col min="6198" max="6198" width="14.26953125" bestFit="1" customWidth="1"/>
    <col min="6200" max="6200" width="7.7265625" customWidth="1"/>
    <col min="6201" max="6201" width="13.453125" customWidth="1"/>
    <col min="6202" max="6202" width="14" bestFit="1" customWidth="1"/>
    <col min="6203" max="6203" width="12.26953125" bestFit="1" customWidth="1"/>
    <col min="6204" max="6204" width="14.54296875" bestFit="1" customWidth="1"/>
    <col min="6441" max="6441" width="64.1796875" customWidth="1"/>
    <col min="6442" max="6442" width="16.453125" customWidth="1"/>
    <col min="6443" max="6443" width="14.26953125" bestFit="1" customWidth="1"/>
    <col min="6445" max="6445" width="14" bestFit="1" customWidth="1"/>
    <col min="6446" max="6446" width="15.54296875" bestFit="1" customWidth="1"/>
    <col min="6449" max="6449" width="73.1796875" bestFit="1" customWidth="1"/>
    <col min="6451" max="6451" width="13.453125" bestFit="1" customWidth="1"/>
    <col min="6453" max="6453" width="14" bestFit="1" customWidth="1"/>
    <col min="6454" max="6454" width="14.26953125" bestFit="1" customWidth="1"/>
    <col min="6456" max="6456" width="7.7265625" customWidth="1"/>
    <col min="6457" max="6457" width="13.453125" customWidth="1"/>
    <col min="6458" max="6458" width="14" bestFit="1" customWidth="1"/>
    <col min="6459" max="6459" width="12.26953125" bestFit="1" customWidth="1"/>
    <col min="6460" max="6460" width="14.54296875" bestFit="1" customWidth="1"/>
    <col min="6697" max="6697" width="64.1796875" customWidth="1"/>
    <col min="6698" max="6698" width="16.453125" customWidth="1"/>
    <col min="6699" max="6699" width="14.26953125" bestFit="1" customWidth="1"/>
    <col min="6701" max="6701" width="14" bestFit="1" customWidth="1"/>
    <col min="6702" max="6702" width="15.54296875" bestFit="1" customWidth="1"/>
    <col min="6705" max="6705" width="73.1796875" bestFit="1" customWidth="1"/>
    <col min="6707" max="6707" width="13.453125" bestFit="1" customWidth="1"/>
    <col min="6709" max="6709" width="14" bestFit="1" customWidth="1"/>
    <col min="6710" max="6710" width="14.26953125" bestFit="1" customWidth="1"/>
    <col min="6712" max="6712" width="7.7265625" customWidth="1"/>
    <col min="6713" max="6713" width="13.453125" customWidth="1"/>
    <col min="6714" max="6714" width="14" bestFit="1" customWidth="1"/>
    <col min="6715" max="6715" width="12.26953125" bestFit="1" customWidth="1"/>
    <col min="6716" max="6716" width="14.54296875" bestFit="1" customWidth="1"/>
    <col min="6953" max="6953" width="64.1796875" customWidth="1"/>
    <col min="6954" max="6954" width="16.453125" customWidth="1"/>
    <col min="6955" max="6955" width="14.26953125" bestFit="1" customWidth="1"/>
    <col min="6957" max="6957" width="14" bestFit="1" customWidth="1"/>
    <col min="6958" max="6958" width="15.54296875" bestFit="1" customWidth="1"/>
    <col min="6961" max="6961" width="73.1796875" bestFit="1" customWidth="1"/>
    <col min="6963" max="6963" width="13.453125" bestFit="1" customWidth="1"/>
    <col min="6965" max="6965" width="14" bestFit="1" customWidth="1"/>
    <col min="6966" max="6966" width="14.26953125" bestFit="1" customWidth="1"/>
    <col min="6968" max="6968" width="7.7265625" customWidth="1"/>
    <col min="6969" max="6969" width="13.453125" customWidth="1"/>
    <col min="6970" max="6970" width="14" bestFit="1" customWidth="1"/>
    <col min="6971" max="6971" width="12.26953125" bestFit="1" customWidth="1"/>
    <col min="6972" max="6972" width="14.54296875" bestFit="1" customWidth="1"/>
    <col min="7209" max="7209" width="64.1796875" customWidth="1"/>
    <col min="7210" max="7210" width="16.453125" customWidth="1"/>
    <col min="7211" max="7211" width="14.26953125" bestFit="1" customWidth="1"/>
    <col min="7213" max="7213" width="14" bestFit="1" customWidth="1"/>
    <col min="7214" max="7214" width="15.54296875" bestFit="1" customWidth="1"/>
    <col min="7217" max="7217" width="73.1796875" bestFit="1" customWidth="1"/>
    <col min="7219" max="7219" width="13.453125" bestFit="1" customWidth="1"/>
    <col min="7221" max="7221" width="14" bestFit="1" customWidth="1"/>
    <col min="7222" max="7222" width="14.26953125" bestFit="1" customWidth="1"/>
    <col min="7224" max="7224" width="7.7265625" customWidth="1"/>
    <col min="7225" max="7225" width="13.453125" customWidth="1"/>
    <col min="7226" max="7226" width="14" bestFit="1" customWidth="1"/>
    <col min="7227" max="7227" width="12.26953125" bestFit="1" customWidth="1"/>
    <col min="7228" max="7228" width="14.54296875" bestFit="1" customWidth="1"/>
    <col min="7465" max="7465" width="64.1796875" customWidth="1"/>
    <col min="7466" max="7466" width="16.453125" customWidth="1"/>
    <col min="7467" max="7467" width="14.26953125" bestFit="1" customWidth="1"/>
    <col min="7469" max="7469" width="14" bestFit="1" customWidth="1"/>
    <col min="7470" max="7470" width="15.54296875" bestFit="1" customWidth="1"/>
    <col min="7473" max="7473" width="73.1796875" bestFit="1" customWidth="1"/>
    <col min="7475" max="7475" width="13.453125" bestFit="1" customWidth="1"/>
    <col min="7477" max="7477" width="14" bestFit="1" customWidth="1"/>
    <col min="7478" max="7478" width="14.26953125" bestFit="1" customWidth="1"/>
    <col min="7480" max="7480" width="7.7265625" customWidth="1"/>
    <col min="7481" max="7481" width="13.453125" customWidth="1"/>
    <col min="7482" max="7482" width="14" bestFit="1" customWidth="1"/>
    <col min="7483" max="7483" width="12.26953125" bestFit="1" customWidth="1"/>
    <col min="7484" max="7484" width="14.54296875" bestFit="1" customWidth="1"/>
    <col min="7721" max="7721" width="64.1796875" customWidth="1"/>
    <col min="7722" max="7722" width="16.453125" customWidth="1"/>
    <col min="7723" max="7723" width="14.26953125" bestFit="1" customWidth="1"/>
    <col min="7725" max="7725" width="14" bestFit="1" customWidth="1"/>
    <col min="7726" max="7726" width="15.54296875" bestFit="1" customWidth="1"/>
    <col min="7729" max="7729" width="73.1796875" bestFit="1" customWidth="1"/>
    <col min="7731" max="7731" width="13.453125" bestFit="1" customWidth="1"/>
    <col min="7733" max="7733" width="14" bestFit="1" customWidth="1"/>
    <col min="7734" max="7734" width="14.26953125" bestFit="1" customWidth="1"/>
    <col min="7736" max="7736" width="7.7265625" customWidth="1"/>
    <col min="7737" max="7737" width="13.453125" customWidth="1"/>
    <col min="7738" max="7738" width="14" bestFit="1" customWidth="1"/>
    <col min="7739" max="7739" width="12.26953125" bestFit="1" customWidth="1"/>
    <col min="7740" max="7740" width="14.54296875" bestFit="1" customWidth="1"/>
    <col min="7977" max="7977" width="64.1796875" customWidth="1"/>
    <col min="7978" max="7978" width="16.453125" customWidth="1"/>
    <col min="7979" max="7979" width="14.26953125" bestFit="1" customWidth="1"/>
    <col min="7981" max="7981" width="14" bestFit="1" customWidth="1"/>
    <col min="7982" max="7982" width="15.54296875" bestFit="1" customWidth="1"/>
    <col min="7985" max="7985" width="73.1796875" bestFit="1" customWidth="1"/>
    <col min="7987" max="7987" width="13.453125" bestFit="1" customWidth="1"/>
    <col min="7989" max="7989" width="14" bestFit="1" customWidth="1"/>
    <col min="7990" max="7990" width="14.26953125" bestFit="1" customWidth="1"/>
    <col min="7992" max="7992" width="7.7265625" customWidth="1"/>
    <col min="7993" max="7993" width="13.453125" customWidth="1"/>
    <col min="7994" max="7994" width="14" bestFit="1" customWidth="1"/>
    <col min="7995" max="7995" width="12.26953125" bestFit="1" customWidth="1"/>
    <col min="7996" max="7996" width="14.54296875" bestFit="1" customWidth="1"/>
    <col min="8233" max="8233" width="64.1796875" customWidth="1"/>
    <col min="8234" max="8234" width="16.453125" customWidth="1"/>
    <col min="8235" max="8235" width="14.26953125" bestFit="1" customWidth="1"/>
    <col min="8237" max="8237" width="14" bestFit="1" customWidth="1"/>
    <col min="8238" max="8238" width="15.54296875" bestFit="1" customWidth="1"/>
    <col min="8241" max="8241" width="73.1796875" bestFit="1" customWidth="1"/>
    <col min="8243" max="8243" width="13.453125" bestFit="1" customWidth="1"/>
    <col min="8245" max="8245" width="14" bestFit="1" customWidth="1"/>
    <col min="8246" max="8246" width="14.26953125" bestFit="1" customWidth="1"/>
    <col min="8248" max="8248" width="7.7265625" customWidth="1"/>
    <col min="8249" max="8249" width="13.453125" customWidth="1"/>
    <col min="8250" max="8250" width="14" bestFit="1" customWidth="1"/>
    <col min="8251" max="8251" width="12.26953125" bestFit="1" customWidth="1"/>
    <col min="8252" max="8252" width="14.54296875" bestFit="1" customWidth="1"/>
    <col min="8489" max="8489" width="64.1796875" customWidth="1"/>
    <col min="8490" max="8490" width="16.453125" customWidth="1"/>
    <col min="8491" max="8491" width="14.26953125" bestFit="1" customWidth="1"/>
    <col min="8493" max="8493" width="14" bestFit="1" customWidth="1"/>
    <col min="8494" max="8494" width="15.54296875" bestFit="1" customWidth="1"/>
    <col min="8497" max="8497" width="73.1796875" bestFit="1" customWidth="1"/>
    <col min="8499" max="8499" width="13.453125" bestFit="1" customWidth="1"/>
    <col min="8501" max="8501" width="14" bestFit="1" customWidth="1"/>
    <col min="8502" max="8502" width="14.26953125" bestFit="1" customWidth="1"/>
    <col min="8504" max="8504" width="7.7265625" customWidth="1"/>
    <col min="8505" max="8505" width="13.453125" customWidth="1"/>
    <col min="8506" max="8506" width="14" bestFit="1" customWidth="1"/>
    <col min="8507" max="8507" width="12.26953125" bestFit="1" customWidth="1"/>
    <col min="8508" max="8508" width="14.54296875" bestFit="1" customWidth="1"/>
    <col min="8745" max="8745" width="64.1796875" customWidth="1"/>
    <col min="8746" max="8746" width="16.453125" customWidth="1"/>
    <col min="8747" max="8747" width="14.26953125" bestFit="1" customWidth="1"/>
    <col min="8749" max="8749" width="14" bestFit="1" customWidth="1"/>
    <col min="8750" max="8750" width="15.54296875" bestFit="1" customWidth="1"/>
    <col min="8753" max="8753" width="73.1796875" bestFit="1" customWidth="1"/>
    <col min="8755" max="8755" width="13.453125" bestFit="1" customWidth="1"/>
    <col min="8757" max="8757" width="14" bestFit="1" customWidth="1"/>
    <col min="8758" max="8758" width="14.26953125" bestFit="1" customWidth="1"/>
    <col min="8760" max="8760" width="7.7265625" customWidth="1"/>
    <col min="8761" max="8761" width="13.453125" customWidth="1"/>
    <col min="8762" max="8762" width="14" bestFit="1" customWidth="1"/>
    <col min="8763" max="8763" width="12.26953125" bestFit="1" customWidth="1"/>
    <col min="8764" max="8764" width="14.54296875" bestFit="1" customWidth="1"/>
    <col min="9001" max="9001" width="64.1796875" customWidth="1"/>
    <col min="9002" max="9002" width="16.453125" customWidth="1"/>
    <col min="9003" max="9003" width="14.26953125" bestFit="1" customWidth="1"/>
    <col min="9005" max="9005" width="14" bestFit="1" customWidth="1"/>
    <col min="9006" max="9006" width="15.54296875" bestFit="1" customWidth="1"/>
    <col min="9009" max="9009" width="73.1796875" bestFit="1" customWidth="1"/>
    <col min="9011" max="9011" width="13.453125" bestFit="1" customWidth="1"/>
    <col min="9013" max="9013" width="14" bestFit="1" customWidth="1"/>
    <col min="9014" max="9014" width="14.26953125" bestFit="1" customWidth="1"/>
    <col min="9016" max="9016" width="7.7265625" customWidth="1"/>
    <col min="9017" max="9017" width="13.453125" customWidth="1"/>
    <col min="9018" max="9018" width="14" bestFit="1" customWidth="1"/>
    <col min="9019" max="9019" width="12.26953125" bestFit="1" customWidth="1"/>
    <col min="9020" max="9020" width="14.54296875" bestFit="1" customWidth="1"/>
    <col min="9257" max="9257" width="64.1796875" customWidth="1"/>
    <col min="9258" max="9258" width="16.453125" customWidth="1"/>
    <col min="9259" max="9259" width="14.26953125" bestFit="1" customWidth="1"/>
    <col min="9261" max="9261" width="14" bestFit="1" customWidth="1"/>
    <col min="9262" max="9262" width="15.54296875" bestFit="1" customWidth="1"/>
    <col min="9265" max="9265" width="73.1796875" bestFit="1" customWidth="1"/>
    <col min="9267" max="9267" width="13.453125" bestFit="1" customWidth="1"/>
    <col min="9269" max="9269" width="14" bestFit="1" customWidth="1"/>
    <col min="9270" max="9270" width="14.26953125" bestFit="1" customWidth="1"/>
    <col min="9272" max="9272" width="7.7265625" customWidth="1"/>
    <col min="9273" max="9273" width="13.453125" customWidth="1"/>
    <col min="9274" max="9274" width="14" bestFit="1" customWidth="1"/>
    <col min="9275" max="9275" width="12.26953125" bestFit="1" customWidth="1"/>
    <col min="9276" max="9276" width="14.54296875" bestFit="1" customWidth="1"/>
    <col min="9513" max="9513" width="64.1796875" customWidth="1"/>
    <col min="9514" max="9514" width="16.453125" customWidth="1"/>
    <col min="9515" max="9515" width="14.26953125" bestFit="1" customWidth="1"/>
    <col min="9517" max="9517" width="14" bestFit="1" customWidth="1"/>
    <col min="9518" max="9518" width="15.54296875" bestFit="1" customWidth="1"/>
    <col min="9521" max="9521" width="73.1796875" bestFit="1" customWidth="1"/>
    <col min="9523" max="9523" width="13.453125" bestFit="1" customWidth="1"/>
    <col min="9525" max="9525" width="14" bestFit="1" customWidth="1"/>
    <col min="9526" max="9526" width="14.26953125" bestFit="1" customWidth="1"/>
    <col min="9528" max="9528" width="7.7265625" customWidth="1"/>
    <col min="9529" max="9529" width="13.453125" customWidth="1"/>
    <col min="9530" max="9530" width="14" bestFit="1" customWidth="1"/>
    <col min="9531" max="9531" width="12.26953125" bestFit="1" customWidth="1"/>
    <col min="9532" max="9532" width="14.54296875" bestFit="1" customWidth="1"/>
    <col min="9769" max="9769" width="64.1796875" customWidth="1"/>
    <col min="9770" max="9770" width="16.453125" customWidth="1"/>
    <col min="9771" max="9771" width="14.26953125" bestFit="1" customWidth="1"/>
    <col min="9773" max="9773" width="14" bestFit="1" customWidth="1"/>
    <col min="9774" max="9774" width="15.54296875" bestFit="1" customWidth="1"/>
    <col min="9777" max="9777" width="73.1796875" bestFit="1" customWidth="1"/>
    <col min="9779" max="9779" width="13.453125" bestFit="1" customWidth="1"/>
    <col min="9781" max="9781" width="14" bestFit="1" customWidth="1"/>
    <col min="9782" max="9782" width="14.26953125" bestFit="1" customWidth="1"/>
    <col min="9784" max="9784" width="7.7265625" customWidth="1"/>
    <col min="9785" max="9785" width="13.453125" customWidth="1"/>
    <col min="9786" max="9786" width="14" bestFit="1" customWidth="1"/>
    <col min="9787" max="9787" width="12.26953125" bestFit="1" customWidth="1"/>
    <col min="9788" max="9788" width="14.54296875" bestFit="1" customWidth="1"/>
    <col min="10025" max="10025" width="64.1796875" customWidth="1"/>
    <col min="10026" max="10026" width="16.453125" customWidth="1"/>
    <col min="10027" max="10027" width="14.26953125" bestFit="1" customWidth="1"/>
    <col min="10029" max="10029" width="14" bestFit="1" customWidth="1"/>
    <col min="10030" max="10030" width="15.54296875" bestFit="1" customWidth="1"/>
    <col min="10033" max="10033" width="73.1796875" bestFit="1" customWidth="1"/>
    <col min="10035" max="10035" width="13.453125" bestFit="1" customWidth="1"/>
    <col min="10037" max="10037" width="14" bestFit="1" customWidth="1"/>
    <col min="10038" max="10038" width="14.26953125" bestFit="1" customWidth="1"/>
    <col min="10040" max="10040" width="7.7265625" customWidth="1"/>
    <col min="10041" max="10041" width="13.453125" customWidth="1"/>
    <col min="10042" max="10042" width="14" bestFit="1" customWidth="1"/>
    <col min="10043" max="10043" width="12.26953125" bestFit="1" customWidth="1"/>
    <col min="10044" max="10044" width="14.54296875" bestFit="1" customWidth="1"/>
    <col min="10281" max="10281" width="64.1796875" customWidth="1"/>
    <col min="10282" max="10282" width="16.453125" customWidth="1"/>
    <col min="10283" max="10283" width="14.26953125" bestFit="1" customWidth="1"/>
    <col min="10285" max="10285" width="14" bestFit="1" customWidth="1"/>
    <col min="10286" max="10286" width="15.54296875" bestFit="1" customWidth="1"/>
    <col min="10289" max="10289" width="73.1796875" bestFit="1" customWidth="1"/>
    <col min="10291" max="10291" width="13.453125" bestFit="1" customWidth="1"/>
    <col min="10293" max="10293" width="14" bestFit="1" customWidth="1"/>
    <col min="10294" max="10294" width="14.26953125" bestFit="1" customWidth="1"/>
    <col min="10296" max="10296" width="7.7265625" customWidth="1"/>
    <col min="10297" max="10297" width="13.453125" customWidth="1"/>
    <col min="10298" max="10298" width="14" bestFit="1" customWidth="1"/>
    <col min="10299" max="10299" width="12.26953125" bestFit="1" customWidth="1"/>
    <col min="10300" max="10300" width="14.54296875" bestFit="1" customWidth="1"/>
    <col min="10537" max="10537" width="64.1796875" customWidth="1"/>
    <col min="10538" max="10538" width="16.453125" customWidth="1"/>
    <col min="10539" max="10539" width="14.26953125" bestFit="1" customWidth="1"/>
    <col min="10541" max="10541" width="14" bestFit="1" customWidth="1"/>
    <col min="10542" max="10542" width="15.54296875" bestFit="1" customWidth="1"/>
    <col min="10545" max="10545" width="73.1796875" bestFit="1" customWidth="1"/>
    <col min="10547" max="10547" width="13.453125" bestFit="1" customWidth="1"/>
    <col min="10549" max="10549" width="14" bestFit="1" customWidth="1"/>
    <col min="10550" max="10550" width="14.26953125" bestFit="1" customWidth="1"/>
    <col min="10552" max="10552" width="7.7265625" customWidth="1"/>
    <col min="10553" max="10553" width="13.453125" customWidth="1"/>
    <col min="10554" max="10554" width="14" bestFit="1" customWidth="1"/>
    <col min="10555" max="10555" width="12.26953125" bestFit="1" customWidth="1"/>
    <col min="10556" max="10556" width="14.54296875" bestFit="1" customWidth="1"/>
    <col min="10793" max="10793" width="64.1796875" customWidth="1"/>
    <col min="10794" max="10794" width="16.453125" customWidth="1"/>
    <col min="10795" max="10795" width="14.26953125" bestFit="1" customWidth="1"/>
    <col min="10797" max="10797" width="14" bestFit="1" customWidth="1"/>
    <col min="10798" max="10798" width="15.54296875" bestFit="1" customWidth="1"/>
    <col min="10801" max="10801" width="73.1796875" bestFit="1" customWidth="1"/>
    <col min="10803" max="10803" width="13.453125" bestFit="1" customWidth="1"/>
    <col min="10805" max="10805" width="14" bestFit="1" customWidth="1"/>
    <col min="10806" max="10806" width="14.26953125" bestFit="1" customWidth="1"/>
    <col min="10808" max="10808" width="7.7265625" customWidth="1"/>
    <col min="10809" max="10809" width="13.453125" customWidth="1"/>
    <col min="10810" max="10810" width="14" bestFit="1" customWidth="1"/>
    <col min="10811" max="10811" width="12.26953125" bestFit="1" customWidth="1"/>
    <col min="10812" max="10812" width="14.54296875" bestFit="1" customWidth="1"/>
    <col min="11049" max="11049" width="64.1796875" customWidth="1"/>
    <col min="11050" max="11050" width="16.453125" customWidth="1"/>
    <col min="11051" max="11051" width="14.26953125" bestFit="1" customWidth="1"/>
    <col min="11053" max="11053" width="14" bestFit="1" customWidth="1"/>
    <col min="11054" max="11054" width="15.54296875" bestFit="1" customWidth="1"/>
    <col min="11057" max="11057" width="73.1796875" bestFit="1" customWidth="1"/>
    <col min="11059" max="11059" width="13.453125" bestFit="1" customWidth="1"/>
    <col min="11061" max="11061" width="14" bestFit="1" customWidth="1"/>
    <col min="11062" max="11062" width="14.26953125" bestFit="1" customWidth="1"/>
    <col min="11064" max="11064" width="7.7265625" customWidth="1"/>
    <col min="11065" max="11065" width="13.453125" customWidth="1"/>
    <col min="11066" max="11066" width="14" bestFit="1" customWidth="1"/>
    <col min="11067" max="11067" width="12.26953125" bestFit="1" customWidth="1"/>
    <col min="11068" max="11068" width="14.54296875" bestFit="1" customWidth="1"/>
    <col min="11305" max="11305" width="64.1796875" customWidth="1"/>
    <col min="11306" max="11306" width="16.453125" customWidth="1"/>
    <col min="11307" max="11307" width="14.26953125" bestFit="1" customWidth="1"/>
    <col min="11309" max="11309" width="14" bestFit="1" customWidth="1"/>
    <col min="11310" max="11310" width="15.54296875" bestFit="1" customWidth="1"/>
    <col min="11313" max="11313" width="73.1796875" bestFit="1" customWidth="1"/>
    <col min="11315" max="11315" width="13.453125" bestFit="1" customWidth="1"/>
    <col min="11317" max="11317" width="14" bestFit="1" customWidth="1"/>
    <col min="11318" max="11318" width="14.26953125" bestFit="1" customWidth="1"/>
    <col min="11320" max="11320" width="7.7265625" customWidth="1"/>
    <col min="11321" max="11321" width="13.453125" customWidth="1"/>
    <col min="11322" max="11322" width="14" bestFit="1" customWidth="1"/>
    <col min="11323" max="11323" width="12.26953125" bestFit="1" customWidth="1"/>
    <col min="11324" max="11324" width="14.54296875" bestFit="1" customWidth="1"/>
    <col min="11561" max="11561" width="64.1796875" customWidth="1"/>
    <col min="11562" max="11562" width="16.453125" customWidth="1"/>
    <col min="11563" max="11563" width="14.26953125" bestFit="1" customWidth="1"/>
    <col min="11565" max="11565" width="14" bestFit="1" customWidth="1"/>
    <col min="11566" max="11566" width="15.54296875" bestFit="1" customWidth="1"/>
    <col min="11569" max="11569" width="73.1796875" bestFit="1" customWidth="1"/>
    <col min="11571" max="11571" width="13.453125" bestFit="1" customWidth="1"/>
    <col min="11573" max="11573" width="14" bestFit="1" customWidth="1"/>
    <col min="11574" max="11574" width="14.26953125" bestFit="1" customWidth="1"/>
    <col min="11576" max="11576" width="7.7265625" customWidth="1"/>
    <col min="11577" max="11577" width="13.453125" customWidth="1"/>
    <col min="11578" max="11578" width="14" bestFit="1" customWidth="1"/>
    <col min="11579" max="11579" width="12.26953125" bestFit="1" customWidth="1"/>
    <col min="11580" max="11580" width="14.54296875" bestFit="1" customWidth="1"/>
    <col min="11817" max="11817" width="64.1796875" customWidth="1"/>
    <col min="11818" max="11818" width="16.453125" customWidth="1"/>
    <col min="11819" max="11819" width="14.26953125" bestFit="1" customWidth="1"/>
    <col min="11821" max="11821" width="14" bestFit="1" customWidth="1"/>
    <col min="11822" max="11822" width="15.54296875" bestFit="1" customWidth="1"/>
    <col min="11825" max="11825" width="73.1796875" bestFit="1" customWidth="1"/>
    <col min="11827" max="11827" width="13.453125" bestFit="1" customWidth="1"/>
    <col min="11829" max="11829" width="14" bestFit="1" customWidth="1"/>
    <col min="11830" max="11830" width="14.26953125" bestFit="1" customWidth="1"/>
    <col min="11832" max="11832" width="7.7265625" customWidth="1"/>
    <col min="11833" max="11833" width="13.453125" customWidth="1"/>
    <col min="11834" max="11834" width="14" bestFit="1" customWidth="1"/>
    <col min="11835" max="11835" width="12.26953125" bestFit="1" customWidth="1"/>
    <col min="11836" max="11836" width="14.54296875" bestFit="1" customWidth="1"/>
    <col min="12073" max="12073" width="64.1796875" customWidth="1"/>
    <col min="12074" max="12074" width="16.453125" customWidth="1"/>
    <col min="12075" max="12075" width="14.26953125" bestFit="1" customWidth="1"/>
    <col min="12077" max="12077" width="14" bestFit="1" customWidth="1"/>
    <col min="12078" max="12078" width="15.54296875" bestFit="1" customWidth="1"/>
    <col min="12081" max="12081" width="73.1796875" bestFit="1" customWidth="1"/>
    <col min="12083" max="12083" width="13.453125" bestFit="1" customWidth="1"/>
    <col min="12085" max="12085" width="14" bestFit="1" customWidth="1"/>
    <col min="12086" max="12086" width="14.26953125" bestFit="1" customWidth="1"/>
    <col min="12088" max="12088" width="7.7265625" customWidth="1"/>
    <col min="12089" max="12089" width="13.453125" customWidth="1"/>
    <col min="12090" max="12090" width="14" bestFit="1" customWidth="1"/>
    <col min="12091" max="12091" width="12.26953125" bestFit="1" customWidth="1"/>
    <col min="12092" max="12092" width="14.54296875" bestFit="1" customWidth="1"/>
    <col min="12329" max="12329" width="64.1796875" customWidth="1"/>
    <col min="12330" max="12330" width="16.453125" customWidth="1"/>
    <col min="12331" max="12331" width="14.26953125" bestFit="1" customWidth="1"/>
    <col min="12333" max="12333" width="14" bestFit="1" customWidth="1"/>
    <col min="12334" max="12334" width="15.54296875" bestFit="1" customWidth="1"/>
    <col min="12337" max="12337" width="73.1796875" bestFit="1" customWidth="1"/>
    <col min="12339" max="12339" width="13.453125" bestFit="1" customWidth="1"/>
    <col min="12341" max="12341" width="14" bestFit="1" customWidth="1"/>
    <col min="12342" max="12342" width="14.26953125" bestFit="1" customWidth="1"/>
    <col min="12344" max="12344" width="7.7265625" customWidth="1"/>
    <col min="12345" max="12345" width="13.453125" customWidth="1"/>
    <col min="12346" max="12346" width="14" bestFit="1" customWidth="1"/>
    <col min="12347" max="12347" width="12.26953125" bestFit="1" customWidth="1"/>
    <col min="12348" max="12348" width="14.54296875" bestFit="1" customWidth="1"/>
    <col min="12585" max="12585" width="64.1796875" customWidth="1"/>
    <col min="12586" max="12586" width="16.453125" customWidth="1"/>
    <col min="12587" max="12587" width="14.26953125" bestFit="1" customWidth="1"/>
    <col min="12589" max="12589" width="14" bestFit="1" customWidth="1"/>
    <col min="12590" max="12590" width="15.54296875" bestFit="1" customWidth="1"/>
    <col min="12593" max="12593" width="73.1796875" bestFit="1" customWidth="1"/>
    <col min="12595" max="12595" width="13.453125" bestFit="1" customWidth="1"/>
    <col min="12597" max="12597" width="14" bestFit="1" customWidth="1"/>
    <col min="12598" max="12598" width="14.26953125" bestFit="1" customWidth="1"/>
    <col min="12600" max="12600" width="7.7265625" customWidth="1"/>
    <col min="12601" max="12601" width="13.453125" customWidth="1"/>
    <col min="12602" max="12602" width="14" bestFit="1" customWidth="1"/>
    <col min="12603" max="12603" width="12.26953125" bestFit="1" customWidth="1"/>
    <col min="12604" max="12604" width="14.54296875" bestFit="1" customWidth="1"/>
    <col min="12841" max="12841" width="64.1796875" customWidth="1"/>
    <col min="12842" max="12842" width="16.453125" customWidth="1"/>
    <col min="12843" max="12843" width="14.26953125" bestFit="1" customWidth="1"/>
    <col min="12845" max="12845" width="14" bestFit="1" customWidth="1"/>
    <col min="12846" max="12846" width="15.54296875" bestFit="1" customWidth="1"/>
    <col min="12849" max="12849" width="73.1796875" bestFit="1" customWidth="1"/>
    <col min="12851" max="12851" width="13.453125" bestFit="1" customWidth="1"/>
    <col min="12853" max="12853" width="14" bestFit="1" customWidth="1"/>
    <col min="12854" max="12854" width="14.26953125" bestFit="1" customWidth="1"/>
    <col min="12856" max="12856" width="7.7265625" customWidth="1"/>
    <col min="12857" max="12857" width="13.453125" customWidth="1"/>
    <col min="12858" max="12858" width="14" bestFit="1" customWidth="1"/>
    <col min="12859" max="12859" width="12.26953125" bestFit="1" customWidth="1"/>
    <col min="12860" max="12860" width="14.54296875" bestFit="1" customWidth="1"/>
    <col min="13097" max="13097" width="64.1796875" customWidth="1"/>
    <col min="13098" max="13098" width="16.453125" customWidth="1"/>
    <col min="13099" max="13099" width="14.26953125" bestFit="1" customWidth="1"/>
    <col min="13101" max="13101" width="14" bestFit="1" customWidth="1"/>
    <col min="13102" max="13102" width="15.54296875" bestFit="1" customWidth="1"/>
    <col min="13105" max="13105" width="73.1796875" bestFit="1" customWidth="1"/>
    <col min="13107" max="13107" width="13.453125" bestFit="1" customWidth="1"/>
    <col min="13109" max="13109" width="14" bestFit="1" customWidth="1"/>
    <col min="13110" max="13110" width="14.26953125" bestFit="1" customWidth="1"/>
    <col min="13112" max="13112" width="7.7265625" customWidth="1"/>
    <col min="13113" max="13113" width="13.453125" customWidth="1"/>
    <col min="13114" max="13114" width="14" bestFit="1" customWidth="1"/>
    <col min="13115" max="13115" width="12.26953125" bestFit="1" customWidth="1"/>
    <col min="13116" max="13116" width="14.54296875" bestFit="1" customWidth="1"/>
    <col min="13353" max="13353" width="64.1796875" customWidth="1"/>
    <col min="13354" max="13354" width="16.453125" customWidth="1"/>
    <col min="13355" max="13355" width="14.26953125" bestFit="1" customWidth="1"/>
    <col min="13357" max="13357" width="14" bestFit="1" customWidth="1"/>
    <col min="13358" max="13358" width="15.54296875" bestFit="1" customWidth="1"/>
    <col min="13361" max="13361" width="73.1796875" bestFit="1" customWidth="1"/>
    <col min="13363" max="13363" width="13.453125" bestFit="1" customWidth="1"/>
    <col min="13365" max="13365" width="14" bestFit="1" customWidth="1"/>
    <col min="13366" max="13366" width="14.26953125" bestFit="1" customWidth="1"/>
    <col min="13368" max="13368" width="7.7265625" customWidth="1"/>
    <col min="13369" max="13369" width="13.453125" customWidth="1"/>
    <col min="13370" max="13370" width="14" bestFit="1" customWidth="1"/>
    <col min="13371" max="13371" width="12.26953125" bestFit="1" customWidth="1"/>
    <col min="13372" max="13372" width="14.54296875" bestFit="1" customWidth="1"/>
    <col min="13609" max="13609" width="64.1796875" customWidth="1"/>
    <col min="13610" max="13610" width="16.453125" customWidth="1"/>
    <col min="13611" max="13611" width="14.26953125" bestFit="1" customWidth="1"/>
    <col min="13613" max="13613" width="14" bestFit="1" customWidth="1"/>
    <col min="13614" max="13614" width="15.54296875" bestFit="1" customWidth="1"/>
    <col min="13617" max="13617" width="73.1796875" bestFit="1" customWidth="1"/>
    <col min="13619" max="13619" width="13.453125" bestFit="1" customWidth="1"/>
    <col min="13621" max="13621" width="14" bestFit="1" customWidth="1"/>
    <col min="13622" max="13622" width="14.26953125" bestFit="1" customWidth="1"/>
    <col min="13624" max="13624" width="7.7265625" customWidth="1"/>
    <col min="13625" max="13625" width="13.453125" customWidth="1"/>
    <col min="13626" max="13626" width="14" bestFit="1" customWidth="1"/>
    <col min="13627" max="13627" width="12.26953125" bestFit="1" customWidth="1"/>
    <col min="13628" max="13628" width="14.54296875" bestFit="1" customWidth="1"/>
    <col min="13865" max="13865" width="64.1796875" customWidth="1"/>
    <col min="13866" max="13866" width="16.453125" customWidth="1"/>
    <col min="13867" max="13867" width="14.26953125" bestFit="1" customWidth="1"/>
    <col min="13869" max="13869" width="14" bestFit="1" customWidth="1"/>
    <col min="13870" max="13870" width="15.54296875" bestFit="1" customWidth="1"/>
    <col min="13873" max="13873" width="73.1796875" bestFit="1" customWidth="1"/>
    <col min="13875" max="13875" width="13.453125" bestFit="1" customWidth="1"/>
    <col min="13877" max="13877" width="14" bestFit="1" customWidth="1"/>
    <col min="13878" max="13878" width="14.26953125" bestFit="1" customWidth="1"/>
    <col min="13880" max="13880" width="7.7265625" customWidth="1"/>
    <col min="13881" max="13881" width="13.453125" customWidth="1"/>
    <col min="13882" max="13882" width="14" bestFit="1" customWidth="1"/>
    <col min="13883" max="13883" width="12.26953125" bestFit="1" customWidth="1"/>
    <col min="13884" max="13884" width="14.54296875" bestFit="1" customWidth="1"/>
    <col min="14121" max="14121" width="64.1796875" customWidth="1"/>
    <col min="14122" max="14122" width="16.453125" customWidth="1"/>
    <col min="14123" max="14123" width="14.26953125" bestFit="1" customWidth="1"/>
    <col min="14125" max="14125" width="14" bestFit="1" customWidth="1"/>
    <col min="14126" max="14126" width="15.54296875" bestFit="1" customWidth="1"/>
    <col min="14129" max="14129" width="73.1796875" bestFit="1" customWidth="1"/>
    <col min="14131" max="14131" width="13.453125" bestFit="1" customWidth="1"/>
    <col min="14133" max="14133" width="14" bestFit="1" customWidth="1"/>
    <col min="14134" max="14134" width="14.26953125" bestFit="1" customWidth="1"/>
    <col min="14136" max="14136" width="7.7265625" customWidth="1"/>
    <col min="14137" max="14137" width="13.453125" customWidth="1"/>
    <col min="14138" max="14138" width="14" bestFit="1" customWidth="1"/>
    <col min="14139" max="14139" width="12.26953125" bestFit="1" customWidth="1"/>
    <col min="14140" max="14140" width="14.54296875" bestFit="1" customWidth="1"/>
    <col min="14377" max="14377" width="64.1796875" customWidth="1"/>
    <col min="14378" max="14378" width="16.453125" customWidth="1"/>
    <col min="14379" max="14379" width="14.26953125" bestFit="1" customWidth="1"/>
    <col min="14381" max="14381" width="14" bestFit="1" customWidth="1"/>
    <col min="14382" max="14382" width="15.54296875" bestFit="1" customWidth="1"/>
    <col min="14385" max="14385" width="73.1796875" bestFit="1" customWidth="1"/>
    <col min="14387" max="14387" width="13.453125" bestFit="1" customWidth="1"/>
    <col min="14389" max="14389" width="14" bestFit="1" customWidth="1"/>
    <col min="14390" max="14390" width="14.26953125" bestFit="1" customWidth="1"/>
    <col min="14392" max="14392" width="7.7265625" customWidth="1"/>
    <col min="14393" max="14393" width="13.453125" customWidth="1"/>
    <col min="14394" max="14394" width="14" bestFit="1" customWidth="1"/>
    <col min="14395" max="14395" width="12.26953125" bestFit="1" customWidth="1"/>
    <col min="14396" max="14396" width="14.54296875" bestFit="1" customWidth="1"/>
    <col min="14633" max="14633" width="64.1796875" customWidth="1"/>
    <col min="14634" max="14634" width="16.453125" customWidth="1"/>
    <col min="14635" max="14635" width="14.26953125" bestFit="1" customWidth="1"/>
    <col min="14637" max="14637" width="14" bestFit="1" customWidth="1"/>
    <col min="14638" max="14638" width="15.54296875" bestFit="1" customWidth="1"/>
    <col min="14641" max="14641" width="73.1796875" bestFit="1" customWidth="1"/>
    <col min="14643" max="14643" width="13.453125" bestFit="1" customWidth="1"/>
    <col min="14645" max="14645" width="14" bestFit="1" customWidth="1"/>
    <col min="14646" max="14646" width="14.26953125" bestFit="1" customWidth="1"/>
    <col min="14648" max="14648" width="7.7265625" customWidth="1"/>
    <col min="14649" max="14649" width="13.453125" customWidth="1"/>
    <col min="14650" max="14650" width="14" bestFit="1" customWidth="1"/>
    <col min="14651" max="14651" width="12.26953125" bestFit="1" customWidth="1"/>
    <col min="14652" max="14652" width="14.54296875" bestFit="1" customWidth="1"/>
    <col min="14889" max="14889" width="64.1796875" customWidth="1"/>
    <col min="14890" max="14890" width="16.453125" customWidth="1"/>
    <col min="14891" max="14891" width="14.26953125" bestFit="1" customWidth="1"/>
    <col min="14893" max="14893" width="14" bestFit="1" customWidth="1"/>
    <col min="14894" max="14894" width="15.54296875" bestFit="1" customWidth="1"/>
    <col min="14897" max="14897" width="73.1796875" bestFit="1" customWidth="1"/>
    <col min="14899" max="14899" width="13.453125" bestFit="1" customWidth="1"/>
    <col min="14901" max="14901" width="14" bestFit="1" customWidth="1"/>
    <col min="14902" max="14902" width="14.26953125" bestFit="1" customWidth="1"/>
    <col min="14904" max="14904" width="7.7265625" customWidth="1"/>
    <col min="14905" max="14905" width="13.453125" customWidth="1"/>
    <col min="14906" max="14906" width="14" bestFit="1" customWidth="1"/>
    <col min="14907" max="14907" width="12.26953125" bestFit="1" customWidth="1"/>
    <col min="14908" max="14908" width="14.54296875" bestFit="1" customWidth="1"/>
    <col min="15145" max="15145" width="64.1796875" customWidth="1"/>
    <col min="15146" max="15146" width="16.453125" customWidth="1"/>
    <col min="15147" max="15147" width="14.26953125" bestFit="1" customWidth="1"/>
    <col min="15149" max="15149" width="14" bestFit="1" customWidth="1"/>
    <col min="15150" max="15150" width="15.54296875" bestFit="1" customWidth="1"/>
    <col min="15153" max="15153" width="73.1796875" bestFit="1" customWidth="1"/>
    <col min="15155" max="15155" width="13.453125" bestFit="1" customWidth="1"/>
    <col min="15157" max="15157" width="14" bestFit="1" customWidth="1"/>
    <col min="15158" max="15158" width="14.26953125" bestFit="1" customWidth="1"/>
    <col min="15160" max="15160" width="7.7265625" customWidth="1"/>
    <col min="15161" max="15161" width="13.453125" customWidth="1"/>
    <col min="15162" max="15162" width="14" bestFit="1" customWidth="1"/>
    <col min="15163" max="15163" width="12.26953125" bestFit="1" customWidth="1"/>
    <col min="15164" max="15164" width="14.54296875" bestFit="1" customWidth="1"/>
    <col min="15401" max="15401" width="64.1796875" customWidth="1"/>
    <col min="15402" max="15402" width="16.453125" customWidth="1"/>
    <col min="15403" max="15403" width="14.26953125" bestFit="1" customWidth="1"/>
    <col min="15405" max="15405" width="14" bestFit="1" customWidth="1"/>
    <col min="15406" max="15406" width="15.54296875" bestFit="1" customWidth="1"/>
    <col min="15409" max="15409" width="73.1796875" bestFit="1" customWidth="1"/>
    <col min="15411" max="15411" width="13.453125" bestFit="1" customWidth="1"/>
    <col min="15413" max="15413" width="14" bestFit="1" customWidth="1"/>
    <col min="15414" max="15414" width="14.26953125" bestFit="1" customWidth="1"/>
    <col min="15416" max="15416" width="7.7265625" customWidth="1"/>
    <col min="15417" max="15417" width="13.453125" customWidth="1"/>
    <col min="15418" max="15418" width="14" bestFit="1" customWidth="1"/>
    <col min="15419" max="15419" width="12.26953125" bestFit="1" customWidth="1"/>
    <col min="15420" max="15420" width="14.54296875" bestFit="1" customWidth="1"/>
    <col min="15657" max="15657" width="64.1796875" customWidth="1"/>
    <col min="15658" max="15658" width="16.453125" customWidth="1"/>
    <col min="15659" max="15659" width="14.26953125" bestFit="1" customWidth="1"/>
    <col min="15661" max="15661" width="14" bestFit="1" customWidth="1"/>
    <col min="15662" max="15662" width="15.54296875" bestFit="1" customWidth="1"/>
    <col min="15665" max="15665" width="73.1796875" bestFit="1" customWidth="1"/>
    <col min="15667" max="15667" width="13.453125" bestFit="1" customWidth="1"/>
    <col min="15669" max="15669" width="14" bestFit="1" customWidth="1"/>
    <col min="15670" max="15670" width="14.26953125" bestFit="1" customWidth="1"/>
    <col min="15672" max="15672" width="7.7265625" customWidth="1"/>
    <col min="15673" max="15673" width="13.453125" customWidth="1"/>
    <col min="15674" max="15674" width="14" bestFit="1" customWidth="1"/>
    <col min="15675" max="15675" width="12.26953125" bestFit="1" customWidth="1"/>
    <col min="15676" max="15676" width="14.54296875" bestFit="1" customWidth="1"/>
    <col min="15913" max="15913" width="64.1796875" customWidth="1"/>
    <col min="15914" max="15914" width="16.453125" customWidth="1"/>
    <col min="15915" max="15915" width="14.26953125" bestFit="1" customWidth="1"/>
    <col min="15917" max="15917" width="14" bestFit="1" customWidth="1"/>
    <col min="15918" max="15918" width="15.54296875" bestFit="1" customWidth="1"/>
    <col min="15921" max="15921" width="73.1796875" bestFit="1" customWidth="1"/>
    <col min="15923" max="15923" width="13.453125" bestFit="1" customWidth="1"/>
    <col min="15925" max="15925" width="14" bestFit="1" customWidth="1"/>
    <col min="15926" max="15926" width="14.26953125" bestFit="1" customWidth="1"/>
    <col min="15928" max="15928" width="7.7265625" customWidth="1"/>
    <col min="15929" max="15929" width="13.453125" customWidth="1"/>
    <col min="15930" max="15930" width="14" bestFit="1" customWidth="1"/>
    <col min="15931" max="15931" width="12.26953125" bestFit="1" customWidth="1"/>
    <col min="15932" max="15932" width="14.54296875" bestFit="1" customWidth="1"/>
    <col min="16169" max="16169" width="64.1796875" customWidth="1"/>
    <col min="16170" max="16170" width="16.453125" customWidth="1"/>
    <col min="16171" max="16171" width="14.26953125" bestFit="1" customWidth="1"/>
    <col min="16173" max="16173" width="14" bestFit="1" customWidth="1"/>
    <col min="16174" max="16174" width="15.54296875" bestFit="1" customWidth="1"/>
    <col min="16177" max="16177" width="73.1796875" bestFit="1" customWidth="1"/>
    <col min="16179" max="16179" width="13.453125" bestFit="1" customWidth="1"/>
    <col min="16181" max="16181" width="14" bestFit="1" customWidth="1"/>
    <col min="16182" max="16182" width="14.26953125" bestFit="1" customWidth="1"/>
    <col min="16184" max="16184" width="7.7265625" customWidth="1"/>
    <col min="16185" max="16185" width="13.453125" customWidth="1"/>
    <col min="16186" max="16186" width="14" bestFit="1" customWidth="1"/>
    <col min="16187" max="16187" width="12.26953125" bestFit="1" customWidth="1"/>
    <col min="16188" max="16188" width="14.54296875" bestFit="1" customWidth="1"/>
  </cols>
  <sheetData>
    <row r="1" spans="1:61" ht="23">
      <c r="A1" s="210" t="s">
        <v>108</v>
      </c>
      <c r="B1" s="211"/>
      <c r="C1" s="212"/>
      <c r="D1" s="212"/>
      <c r="E1" s="212"/>
      <c r="F1" s="212"/>
      <c r="G1" s="213"/>
      <c r="I1" s="210" t="s">
        <v>108</v>
      </c>
      <c r="J1" s="211"/>
      <c r="K1" s="212"/>
      <c r="L1" s="212"/>
      <c r="M1" s="212"/>
      <c r="N1" s="212"/>
      <c r="O1" s="213"/>
      <c r="Q1" s="210" t="s">
        <v>108</v>
      </c>
      <c r="R1" s="211"/>
      <c r="S1" s="212"/>
      <c r="T1" s="212"/>
      <c r="U1" s="212"/>
      <c r="V1" s="212"/>
      <c r="W1" s="213"/>
      <c r="Y1" s="210" t="s">
        <v>108</v>
      </c>
      <c r="Z1" s="211"/>
      <c r="AA1" s="212"/>
      <c r="AB1" s="212"/>
      <c r="AC1" s="212"/>
      <c r="AD1" s="212"/>
      <c r="AE1" s="213"/>
      <c r="AG1" s="210" t="s">
        <v>108</v>
      </c>
      <c r="AH1" s="211"/>
      <c r="AI1" s="212"/>
      <c r="AJ1" s="212"/>
      <c r="AK1" s="212"/>
      <c r="AL1" s="212"/>
      <c r="AM1" s="213"/>
      <c r="AO1" s="210" t="s">
        <v>108</v>
      </c>
      <c r="AP1" s="211"/>
      <c r="AQ1" s="212"/>
      <c r="AR1" s="212"/>
      <c r="AS1" s="212"/>
      <c r="AT1" s="212"/>
      <c r="AU1" s="213"/>
      <c r="AW1" s="210" t="s">
        <v>108</v>
      </c>
      <c r="AX1" s="211"/>
      <c r="AY1" s="212"/>
      <c r="AZ1" s="212"/>
      <c r="BA1" s="212"/>
      <c r="BB1" s="212"/>
      <c r="BC1" s="213"/>
    </row>
    <row r="2" spans="1:61" ht="15.5">
      <c r="A2" s="214" t="s">
        <v>326</v>
      </c>
      <c r="B2" s="215"/>
      <c r="C2" s="216"/>
      <c r="D2" s="216"/>
      <c r="E2" s="217"/>
      <c r="F2" s="217"/>
      <c r="G2" s="218"/>
      <c r="I2" s="214" t="s">
        <v>268</v>
      </c>
      <c r="J2" s="339"/>
      <c r="K2" s="340"/>
      <c r="L2" s="340"/>
      <c r="M2" s="341"/>
      <c r="N2" s="341"/>
      <c r="O2" s="218"/>
      <c r="Q2" s="214" t="s">
        <v>260</v>
      </c>
      <c r="R2" s="215"/>
      <c r="S2" s="216"/>
      <c r="T2" s="216"/>
      <c r="U2" s="217"/>
      <c r="V2" s="217"/>
      <c r="W2" s="218"/>
      <c r="Y2" s="214" t="s">
        <v>248</v>
      </c>
      <c r="Z2" s="215"/>
      <c r="AA2" s="216"/>
      <c r="AB2" s="216"/>
      <c r="AC2" s="217"/>
      <c r="AD2" s="217"/>
      <c r="AE2" s="218"/>
      <c r="AG2" s="214" t="s">
        <v>128</v>
      </c>
      <c r="AH2" s="215"/>
      <c r="AI2" s="216"/>
      <c r="AJ2" s="216"/>
      <c r="AK2" s="217"/>
      <c r="AL2" s="217"/>
      <c r="AM2" s="218"/>
      <c r="AO2" s="214" t="s">
        <v>128</v>
      </c>
      <c r="AP2" s="339"/>
      <c r="AQ2" s="340"/>
      <c r="AR2" s="340"/>
      <c r="AS2" s="341"/>
      <c r="AT2" s="341"/>
      <c r="AU2" s="218"/>
      <c r="AW2" s="214" t="s">
        <v>109</v>
      </c>
      <c r="AX2" s="339"/>
      <c r="AY2" s="340"/>
      <c r="AZ2" s="340"/>
      <c r="BA2" s="341"/>
      <c r="BB2" s="341"/>
      <c r="BC2" s="218"/>
    </row>
    <row r="3" spans="1:61" ht="15.5">
      <c r="A3" s="214"/>
      <c r="B3" s="215"/>
      <c r="C3" s="216"/>
      <c r="D3" s="216"/>
      <c r="E3" s="217"/>
      <c r="F3" s="217"/>
      <c r="G3" s="218"/>
      <c r="I3" s="214"/>
      <c r="J3" s="339"/>
      <c r="K3" s="340"/>
      <c r="L3" s="340"/>
      <c r="M3" s="341"/>
      <c r="N3" s="341"/>
      <c r="O3" s="218"/>
      <c r="Q3" s="214"/>
      <c r="R3" s="215"/>
      <c r="S3" s="216"/>
      <c r="T3" s="216"/>
      <c r="U3" s="217"/>
      <c r="V3" s="217"/>
      <c r="W3" s="218"/>
      <c r="Y3" s="214"/>
      <c r="Z3" s="215"/>
      <c r="AA3" s="216"/>
      <c r="AB3" s="216"/>
      <c r="AC3" s="217"/>
      <c r="AD3" s="217"/>
      <c r="AE3" s="218"/>
      <c r="AG3" s="214"/>
      <c r="AH3" s="215"/>
      <c r="AI3" s="216"/>
      <c r="AJ3" s="216"/>
      <c r="AK3" s="217"/>
      <c r="AL3" s="217"/>
      <c r="AM3" s="218"/>
      <c r="AO3" s="214"/>
      <c r="AP3" s="339"/>
      <c r="AQ3" s="340"/>
      <c r="AR3" s="340"/>
      <c r="AS3" s="341"/>
      <c r="AT3" s="341"/>
      <c r="AU3" s="218"/>
      <c r="AW3" s="214" t="s">
        <v>149</v>
      </c>
      <c r="AX3" s="339"/>
      <c r="AY3" s="340"/>
      <c r="AZ3" s="340"/>
      <c r="BA3" s="341"/>
      <c r="BB3" s="341"/>
      <c r="BC3" s="218"/>
    </row>
    <row r="4" spans="1:61" ht="42.75" customHeight="1">
      <c r="A4" s="531"/>
      <c r="B4" s="532"/>
      <c r="C4" s="532"/>
      <c r="D4" s="216"/>
      <c r="E4" s="217"/>
      <c r="F4" s="217"/>
      <c r="G4" s="218"/>
      <c r="I4" s="502"/>
      <c r="J4" s="506"/>
      <c r="K4" s="506"/>
      <c r="L4" s="340"/>
      <c r="M4" s="341"/>
      <c r="N4" s="341"/>
      <c r="O4" s="218"/>
      <c r="Q4" s="531"/>
      <c r="R4" s="532"/>
      <c r="S4" s="532"/>
      <c r="T4" s="216"/>
      <c r="U4" s="217"/>
      <c r="V4" s="217"/>
      <c r="W4" s="218"/>
      <c r="Y4" s="531"/>
      <c r="Z4" s="532"/>
      <c r="AA4" s="532"/>
      <c r="AB4" s="216"/>
      <c r="AC4" s="217"/>
      <c r="AD4" s="217"/>
      <c r="AE4" s="218"/>
      <c r="AG4" s="531"/>
      <c r="AH4" s="532"/>
      <c r="AI4" s="532"/>
      <c r="AJ4" s="216"/>
      <c r="AK4" s="217"/>
      <c r="AL4" s="217"/>
      <c r="AM4" s="218"/>
      <c r="AO4" s="533" t="s">
        <v>147</v>
      </c>
      <c r="AP4" s="534"/>
      <c r="AQ4" s="535"/>
      <c r="AR4" s="340"/>
      <c r="AS4" s="341"/>
      <c r="AT4" s="341"/>
      <c r="AU4" s="218"/>
      <c r="AW4" s="214"/>
      <c r="AX4" s="339"/>
      <c r="AY4" s="340"/>
      <c r="AZ4" s="340"/>
      <c r="BA4" s="341"/>
      <c r="BB4" s="341"/>
      <c r="BC4" s="218"/>
    </row>
    <row r="5" spans="1:61" ht="15.5">
      <c r="A5" s="502"/>
      <c r="B5" s="216"/>
      <c r="C5" s="216"/>
      <c r="D5" s="216"/>
      <c r="E5" s="217"/>
      <c r="F5" s="217"/>
      <c r="G5" s="218"/>
      <c r="I5" s="502"/>
      <c r="J5" s="340"/>
      <c r="K5" s="340"/>
      <c r="L5" s="340"/>
      <c r="M5" s="341"/>
      <c r="N5" s="341"/>
      <c r="O5" s="218"/>
      <c r="Q5" s="432"/>
      <c r="R5" s="216"/>
      <c r="S5" s="216"/>
      <c r="T5" s="216"/>
      <c r="U5" s="217"/>
      <c r="V5" s="217"/>
      <c r="W5" s="218"/>
      <c r="Y5" s="432"/>
      <c r="Z5" s="216"/>
      <c r="AA5" s="216"/>
      <c r="AB5" s="216"/>
      <c r="AC5" s="217"/>
      <c r="AD5" s="217"/>
      <c r="AE5" s="218"/>
      <c r="AG5" s="342"/>
      <c r="AH5" s="216"/>
      <c r="AI5" s="216"/>
      <c r="AJ5" s="216"/>
      <c r="AK5" s="217"/>
      <c r="AL5" s="217"/>
      <c r="AM5" s="218"/>
      <c r="AO5" s="342"/>
      <c r="AP5" s="340"/>
      <c r="AQ5" s="340"/>
      <c r="AR5" s="340"/>
      <c r="AS5" s="341"/>
      <c r="AT5" s="341"/>
      <c r="AU5" s="218"/>
      <c r="AW5" s="214"/>
      <c r="AX5" s="339"/>
      <c r="AY5" s="340"/>
      <c r="AZ5" s="340"/>
      <c r="BA5" s="341"/>
      <c r="BB5" s="341"/>
      <c r="BC5" s="218"/>
    </row>
    <row r="6" spans="1:61" ht="15.5">
      <c r="A6" s="512" t="s">
        <v>19</v>
      </c>
      <c r="B6" s="513"/>
      <c r="C6" s="513"/>
      <c r="D6" s="513"/>
      <c r="E6" s="513"/>
      <c r="F6" s="513"/>
      <c r="G6" s="514"/>
      <c r="I6" s="507" t="s">
        <v>19</v>
      </c>
      <c r="J6" s="508"/>
      <c r="K6" s="508"/>
      <c r="L6" s="508"/>
      <c r="M6" s="508"/>
      <c r="N6" s="508"/>
      <c r="O6" s="509"/>
      <c r="Q6" s="512" t="s">
        <v>19</v>
      </c>
      <c r="R6" s="513"/>
      <c r="S6" s="513"/>
      <c r="T6" s="513"/>
      <c r="U6" s="513"/>
      <c r="V6" s="513"/>
      <c r="W6" s="514"/>
      <c r="Y6" s="512" t="s">
        <v>19</v>
      </c>
      <c r="Z6" s="513"/>
      <c r="AA6" s="513"/>
      <c r="AB6" s="513"/>
      <c r="AC6" s="513"/>
      <c r="AD6" s="513"/>
      <c r="AE6" s="514"/>
      <c r="AG6" s="512" t="s">
        <v>19</v>
      </c>
      <c r="AH6" s="513"/>
      <c r="AI6" s="513"/>
      <c r="AJ6" s="513"/>
      <c r="AK6" s="513"/>
      <c r="AL6" s="513"/>
      <c r="AM6" s="514"/>
      <c r="AO6" s="512" t="s">
        <v>19</v>
      </c>
      <c r="AP6" s="528"/>
      <c r="AQ6" s="528"/>
      <c r="AR6" s="528"/>
      <c r="AS6" s="528"/>
      <c r="AT6" s="528"/>
      <c r="AU6" s="514"/>
      <c r="AW6" s="512" t="s">
        <v>19</v>
      </c>
      <c r="AX6" s="528"/>
      <c r="AY6" s="528"/>
      <c r="AZ6" s="528"/>
      <c r="BA6" s="528"/>
      <c r="BB6" s="528"/>
      <c r="BC6" s="514"/>
    </row>
    <row r="7" spans="1:61" ht="15.5">
      <c r="A7" s="221"/>
      <c r="B7" s="217"/>
      <c r="C7" s="217"/>
      <c r="D7" s="217"/>
      <c r="E7" s="217"/>
      <c r="F7" s="217"/>
      <c r="G7" s="218"/>
      <c r="I7" s="221"/>
      <c r="J7" s="341"/>
      <c r="K7" s="341"/>
      <c r="L7" s="341"/>
      <c r="M7" s="341"/>
      <c r="N7" s="341"/>
      <c r="O7" s="218"/>
      <c r="Q7" s="221"/>
      <c r="R7" s="217"/>
      <c r="S7" s="217"/>
      <c r="T7" s="217"/>
      <c r="U7" s="217"/>
      <c r="V7" s="217"/>
      <c r="W7" s="218"/>
      <c r="Y7" s="221"/>
      <c r="Z7" s="217"/>
      <c r="AA7" s="217"/>
      <c r="AB7" s="217"/>
      <c r="AC7" s="217"/>
      <c r="AD7" s="217"/>
      <c r="AE7" s="218"/>
      <c r="AG7" s="221"/>
      <c r="AH7" s="217"/>
      <c r="AI7" s="217"/>
      <c r="AJ7" s="217"/>
      <c r="AK7" s="217"/>
      <c r="AL7" s="217"/>
      <c r="AM7" s="218"/>
      <c r="AO7" s="221"/>
      <c r="AP7" s="341"/>
      <c r="AQ7" s="341"/>
      <c r="AR7" s="341"/>
      <c r="AS7" s="341"/>
      <c r="AT7" s="341"/>
      <c r="AU7" s="218"/>
      <c r="AW7" s="221"/>
      <c r="AX7" s="341"/>
      <c r="AY7" s="341"/>
      <c r="AZ7" s="341"/>
      <c r="BA7" s="341"/>
      <c r="BB7" s="341"/>
      <c r="BC7" s="218"/>
    </row>
    <row r="8" spans="1:61" ht="15.5">
      <c r="A8" s="221"/>
      <c r="B8" s="217"/>
      <c r="C8" s="222"/>
      <c r="D8" s="222"/>
      <c r="E8" s="222" t="s">
        <v>110</v>
      </c>
      <c r="F8" s="222" t="s">
        <v>71</v>
      </c>
      <c r="G8" s="218"/>
      <c r="I8" s="221"/>
      <c r="J8" s="341"/>
      <c r="K8" s="343"/>
      <c r="L8" s="343"/>
      <c r="M8" s="343" t="s">
        <v>110</v>
      </c>
      <c r="N8" s="343" t="s">
        <v>71</v>
      </c>
      <c r="O8" s="218"/>
      <c r="Q8" s="221"/>
      <c r="R8" s="217"/>
      <c r="S8" s="222"/>
      <c r="T8" s="222"/>
      <c r="U8" s="222" t="s">
        <v>110</v>
      </c>
      <c r="V8" s="222" t="s">
        <v>71</v>
      </c>
      <c r="W8" s="218"/>
      <c r="Y8" s="221"/>
      <c r="Z8" s="217"/>
      <c r="AA8" s="222"/>
      <c r="AB8" s="222"/>
      <c r="AC8" s="222" t="s">
        <v>110</v>
      </c>
      <c r="AD8" s="222" t="s">
        <v>71</v>
      </c>
      <c r="AE8" s="218"/>
      <c r="AG8" s="221"/>
      <c r="AH8" s="217"/>
      <c r="AI8" s="222"/>
      <c r="AJ8" s="222"/>
      <c r="AK8" s="222" t="s">
        <v>110</v>
      </c>
      <c r="AL8" s="222" t="s">
        <v>71</v>
      </c>
      <c r="AM8" s="218"/>
      <c r="AO8" s="221"/>
      <c r="AP8" s="341"/>
      <c r="AQ8" s="343"/>
      <c r="AR8" s="343"/>
      <c r="AS8" s="343" t="s">
        <v>110</v>
      </c>
      <c r="AT8" s="343" t="s">
        <v>71</v>
      </c>
      <c r="AU8" s="218"/>
      <c r="AW8" s="221"/>
      <c r="AX8" s="341"/>
      <c r="AY8" s="343"/>
      <c r="AZ8" s="343"/>
      <c r="BA8" s="343" t="s">
        <v>110</v>
      </c>
      <c r="BB8" s="343" t="s">
        <v>71</v>
      </c>
      <c r="BC8" s="218"/>
    </row>
    <row r="9" spans="1:61" ht="15.5">
      <c r="A9" s="221"/>
      <c r="B9" s="217"/>
      <c r="C9" s="223" t="s">
        <v>87</v>
      </c>
      <c r="D9" s="223"/>
      <c r="E9" s="223" t="s">
        <v>231</v>
      </c>
      <c r="F9" s="223" t="s">
        <v>232</v>
      </c>
      <c r="G9" s="218"/>
      <c r="I9" s="221"/>
      <c r="J9" s="341"/>
      <c r="K9" s="344" t="s">
        <v>87</v>
      </c>
      <c r="L9" s="344"/>
      <c r="M9" s="344" t="s">
        <v>231</v>
      </c>
      <c r="N9" s="344" t="s">
        <v>232</v>
      </c>
      <c r="O9" s="218"/>
      <c r="Q9" s="221"/>
      <c r="R9" s="217"/>
      <c r="S9" s="223" t="s">
        <v>87</v>
      </c>
      <c r="T9" s="223"/>
      <c r="U9" s="223" t="s">
        <v>231</v>
      </c>
      <c r="V9" s="223" t="s">
        <v>232</v>
      </c>
      <c r="W9" s="218"/>
      <c r="Y9" s="221"/>
      <c r="Z9" s="217"/>
      <c r="AA9" s="223" t="s">
        <v>87</v>
      </c>
      <c r="AB9" s="223"/>
      <c r="AC9" s="223" t="s">
        <v>231</v>
      </c>
      <c r="AD9" s="223" t="s">
        <v>232</v>
      </c>
      <c r="AE9" s="218"/>
      <c r="AG9" s="221"/>
      <c r="AH9" s="217"/>
      <c r="AI9" s="223" t="s">
        <v>87</v>
      </c>
      <c r="AJ9" s="223"/>
      <c r="AK9" s="223" t="s">
        <v>231</v>
      </c>
      <c r="AL9" s="223" t="s">
        <v>232</v>
      </c>
      <c r="AM9" s="218"/>
      <c r="AO9" s="221"/>
      <c r="AP9" s="341"/>
      <c r="AQ9" s="344" t="s">
        <v>87</v>
      </c>
      <c r="AR9" s="344"/>
      <c r="AS9" s="344" t="s">
        <v>111</v>
      </c>
      <c r="AT9" s="344" t="s">
        <v>112</v>
      </c>
      <c r="AU9" s="218"/>
      <c r="AW9" s="221"/>
      <c r="AX9" s="341"/>
      <c r="AY9" s="344" t="s">
        <v>87</v>
      </c>
      <c r="AZ9" s="344"/>
      <c r="BA9" s="344" t="s">
        <v>111</v>
      </c>
      <c r="BB9" s="344" t="s">
        <v>112</v>
      </c>
      <c r="BC9" s="218"/>
    </row>
    <row r="10" spans="1:61" ht="15.5">
      <c r="A10" s="224" t="s">
        <v>332</v>
      </c>
      <c r="B10" s="215"/>
      <c r="C10" s="225"/>
      <c r="D10" s="225"/>
      <c r="E10" s="225"/>
      <c r="F10" s="225"/>
      <c r="G10" s="218"/>
      <c r="I10" s="224" t="s">
        <v>267</v>
      </c>
      <c r="J10" s="339"/>
      <c r="K10" s="345"/>
      <c r="L10" s="345"/>
      <c r="M10" s="345"/>
      <c r="N10" s="345"/>
      <c r="O10" s="218"/>
      <c r="Q10" s="224" t="s">
        <v>261</v>
      </c>
      <c r="R10" s="215"/>
      <c r="S10" s="225"/>
      <c r="T10" s="225"/>
      <c r="U10" s="225"/>
      <c r="V10" s="225"/>
      <c r="W10" s="218"/>
      <c r="Y10" s="224" t="s">
        <v>241</v>
      </c>
      <c r="Z10" s="215"/>
      <c r="AA10" s="225"/>
      <c r="AB10" s="225"/>
      <c r="AC10" s="225"/>
      <c r="AD10" s="225"/>
      <c r="AE10" s="218"/>
      <c r="AG10" s="224" t="s">
        <v>233</v>
      </c>
      <c r="AH10" s="215"/>
      <c r="AI10" s="225"/>
      <c r="AJ10" s="225"/>
      <c r="AK10" s="225"/>
      <c r="AL10" s="225"/>
      <c r="AM10" s="218"/>
      <c r="AO10" s="224" t="s">
        <v>127</v>
      </c>
      <c r="AP10" s="339"/>
      <c r="AQ10" s="345"/>
      <c r="AR10" s="345"/>
      <c r="AS10" s="345"/>
      <c r="AT10" s="345"/>
      <c r="AU10" s="218"/>
      <c r="AW10" s="224" t="s">
        <v>113</v>
      </c>
      <c r="AX10" s="339"/>
      <c r="AY10" s="345"/>
      <c r="AZ10" s="345"/>
      <c r="BA10" s="345"/>
      <c r="BB10" s="345"/>
      <c r="BC10" s="218"/>
    </row>
    <row r="11" spans="1:61" ht="15.5">
      <c r="A11" s="221" t="s">
        <v>114</v>
      </c>
      <c r="B11" s="217"/>
      <c r="C11" s="226">
        <f>SUM('Customer Counts - Enspire'!G6:H8)</f>
        <v>282903</v>
      </c>
      <c r="D11" s="226"/>
      <c r="E11" s="227">
        <f>+M12</f>
        <v>1.41</v>
      </c>
      <c r="F11" s="228">
        <f>C11*E11</f>
        <v>398893.23</v>
      </c>
      <c r="G11" s="218"/>
      <c r="I11" s="221" t="s">
        <v>114</v>
      </c>
      <c r="J11" s="341"/>
      <c r="K11" s="346">
        <v>280398</v>
      </c>
      <c r="L11" s="346"/>
      <c r="M11" s="227">
        <f>+U12</f>
        <v>1.46</v>
      </c>
      <c r="N11" s="228">
        <f>K11*M11</f>
        <v>409381.08</v>
      </c>
      <c r="O11" s="218"/>
      <c r="Q11" s="221" t="s">
        <v>114</v>
      </c>
      <c r="R11" s="217"/>
      <c r="S11" s="226">
        <v>290784</v>
      </c>
      <c r="T11" s="226"/>
      <c r="U11" s="227">
        <f>+AC12</f>
        <v>0.23</v>
      </c>
      <c r="V11" s="228">
        <f>S11*U11</f>
        <v>66880.320000000007</v>
      </c>
      <c r="W11" s="218"/>
      <c r="Y11" s="221" t="s">
        <v>114</v>
      </c>
      <c r="Z11" s="217"/>
      <c r="AA11" s="226">
        <v>314616</v>
      </c>
      <c r="AB11" s="226"/>
      <c r="AC11" s="227">
        <f>+AK12</f>
        <v>0.44</v>
      </c>
      <c r="AD11" s="228">
        <f>AA11*AC11</f>
        <v>138431.04000000001</v>
      </c>
      <c r="AE11" s="218"/>
      <c r="AG11" s="221" t="s">
        <v>114</v>
      </c>
      <c r="AH11" s="217"/>
      <c r="AI11" s="226">
        <v>305514</v>
      </c>
      <c r="AJ11" s="226"/>
      <c r="AK11" s="227">
        <f>+AS12</f>
        <v>0.73</v>
      </c>
      <c r="AL11" s="228">
        <f>AI11*AK11</f>
        <v>223025.22</v>
      </c>
      <c r="AM11" s="218"/>
      <c r="AO11" s="221" t="s">
        <v>114</v>
      </c>
      <c r="AP11" s="341"/>
      <c r="AQ11" s="346">
        <v>299451</v>
      </c>
      <c r="AR11" s="346"/>
      <c r="AS11" s="227">
        <f>+BA12</f>
        <v>2.4500000000000002</v>
      </c>
      <c r="AT11" s="228">
        <f>AQ11*AS11</f>
        <v>733654.95000000007</v>
      </c>
      <c r="AU11" s="218"/>
      <c r="AW11" s="221" t="s">
        <v>114</v>
      </c>
      <c r="AX11" s="341"/>
      <c r="AY11" s="346">
        <v>291373</v>
      </c>
      <c r="AZ11" s="346"/>
      <c r="BA11" s="347">
        <v>1.79</v>
      </c>
      <c r="BB11" s="348">
        <f>AY11*BA11</f>
        <v>521557.67</v>
      </c>
      <c r="BC11" s="218"/>
      <c r="BF11" s="247"/>
      <c r="BG11" s="208"/>
      <c r="BH11" s="258"/>
    </row>
    <row r="12" spans="1:61" ht="18.5">
      <c r="A12" s="229" t="s">
        <v>115</v>
      </c>
      <c r="B12" s="230"/>
      <c r="C12" s="231">
        <f>SUM('Customer Counts - Enspire'!G9:H18)</f>
        <v>946094</v>
      </c>
      <c r="D12" s="231"/>
      <c r="E12" s="227">
        <f>+O33</f>
        <v>0.72</v>
      </c>
      <c r="F12" s="232">
        <f>C12*E12</f>
        <v>681187.67999999993</v>
      </c>
      <c r="G12" s="501"/>
      <c r="I12" s="229" t="s">
        <v>115</v>
      </c>
      <c r="J12" s="281"/>
      <c r="K12" s="349">
        <v>846387</v>
      </c>
      <c r="L12" s="349"/>
      <c r="M12" s="227">
        <f>+W33</f>
        <v>1.41</v>
      </c>
      <c r="N12" s="232">
        <f>K12*M12</f>
        <v>1193405.67</v>
      </c>
      <c r="O12" s="501"/>
      <c r="Q12" s="229" t="s">
        <v>115</v>
      </c>
      <c r="R12" s="230"/>
      <c r="S12" s="231">
        <v>836699</v>
      </c>
      <c r="T12" s="231"/>
      <c r="U12" s="227">
        <f>+AE33</f>
        <v>1.46</v>
      </c>
      <c r="V12" s="232">
        <f>S12*U12</f>
        <v>1221580.54</v>
      </c>
      <c r="W12" s="218"/>
      <c r="Y12" s="229" t="s">
        <v>115</v>
      </c>
      <c r="Z12" s="230"/>
      <c r="AA12" s="231">
        <v>909275</v>
      </c>
      <c r="AB12" s="231"/>
      <c r="AC12" s="227">
        <f>+AM33</f>
        <v>0.23</v>
      </c>
      <c r="AD12" s="232">
        <f>AA12*AC12</f>
        <v>209133.25</v>
      </c>
      <c r="AE12" s="218"/>
      <c r="AG12" s="229" t="s">
        <v>115</v>
      </c>
      <c r="AH12" s="230"/>
      <c r="AI12" s="231">
        <v>931767</v>
      </c>
      <c r="AJ12" s="231"/>
      <c r="AK12" s="227">
        <f>+AU33</f>
        <v>0.44</v>
      </c>
      <c r="AL12" s="232">
        <f>AI12*AK12</f>
        <v>409977.48</v>
      </c>
      <c r="AM12" s="218"/>
      <c r="AO12" s="229" t="s">
        <v>115</v>
      </c>
      <c r="AP12" s="281"/>
      <c r="AQ12" s="349">
        <v>706622</v>
      </c>
      <c r="AR12" s="349"/>
      <c r="AS12" s="227">
        <f>+BC31</f>
        <v>0.73</v>
      </c>
      <c r="AT12" s="232">
        <f>AQ12*AS12</f>
        <v>515834.06</v>
      </c>
      <c r="AU12" s="218"/>
      <c r="AW12" s="229" t="s">
        <v>115</v>
      </c>
      <c r="AX12" s="281"/>
      <c r="AY12" s="349">
        <v>885244</v>
      </c>
      <c r="AZ12" s="349"/>
      <c r="BA12" s="347">
        <v>2.4500000000000002</v>
      </c>
      <c r="BB12" s="350">
        <f>AY12*BA12</f>
        <v>2168847.8000000003</v>
      </c>
      <c r="BC12" s="218"/>
    </row>
    <row r="13" spans="1:61" ht="18.5">
      <c r="A13" s="221" t="s">
        <v>71</v>
      </c>
      <c r="B13" s="217"/>
      <c r="C13" s="226">
        <f>SUM(C11:C12)</f>
        <v>1228997</v>
      </c>
      <c r="D13" s="231"/>
      <c r="E13" s="217"/>
      <c r="F13" s="228">
        <f>SUM(F11:F12)</f>
        <v>1080080.9099999999</v>
      </c>
      <c r="G13" s="218" t="s">
        <v>234</v>
      </c>
      <c r="I13" s="221" t="s">
        <v>71</v>
      </c>
      <c r="J13" s="341"/>
      <c r="K13" s="346">
        <v>1126785</v>
      </c>
      <c r="L13" s="349"/>
      <c r="M13" s="341"/>
      <c r="N13" s="228">
        <f>SUM(N11:N12)</f>
        <v>1602786.75</v>
      </c>
      <c r="O13" s="218" t="s">
        <v>234</v>
      </c>
      <c r="Q13" s="221" t="s">
        <v>71</v>
      </c>
      <c r="R13" s="217"/>
      <c r="S13" s="226">
        <f>SUM(S11:S12)</f>
        <v>1127483</v>
      </c>
      <c r="T13" s="231"/>
      <c r="U13" s="217"/>
      <c r="V13" s="228">
        <f>SUM(V11:V12)</f>
        <v>1288460.8600000001</v>
      </c>
      <c r="W13" s="218" t="s">
        <v>234</v>
      </c>
      <c r="Y13" s="221" t="s">
        <v>71</v>
      </c>
      <c r="Z13" s="217"/>
      <c r="AA13" s="226">
        <f>SUM(AA11:AA12)</f>
        <v>1223891</v>
      </c>
      <c r="AB13" s="231"/>
      <c r="AC13" s="217"/>
      <c r="AD13" s="228">
        <f>SUM(AD11:AD12)</f>
        <v>347564.29000000004</v>
      </c>
      <c r="AE13" s="218" t="s">
        <v>234</v>
      </c>
      <c r="AG13" s="221" t="s">
        <v>71</v>
      </c>
      <c r="AH13" s="217"/>
      <c r="AI13" s="226">
        <f>SUM(AI11:AI12)</f>
        <v>1237281</v>
      </c>
      <c r="AJ13" s="231"/>
      <c r="AK13" s="217"/>
      <c r="AL13" s="228">
        <f>SUM(AL11:AL12)</f>
        <v>633002.69999999995</v>
      </c>
      <c r="AM13" s="218" t="s">
        <v>234</v>
      </c>
      <c r="AO13" s="221" t="s">
        <v>71</v>
      </c>
      <c r="AP13" s="341"/>
      <c r="AQ13" s="346">
        <f>SUM(AQ11:AQ12)</f>
        <v>1006073</v>
      </c>
      <c r="AR13" s="349"/>
      <c r="AS13" s="341"/>
      <c r="AT13" s="228">
        <f>SUM(AT11:AT12)</f>
        <v>1249489.01</v>
      </c>
      <c r="AU13" s="218"/>
      <c r="AW13" s="221" t="s">
        <v>71</v>
      </c>
      <c r="AX13" s="341"/>
      <c r="AY13" s="346">
        <f>SUM(AY11:AY12)</f>
        <v>1176617</v>
      </c>
      <c r="AZ13" s="349"/>
      <c r="BA13" s="341"/>
      <c r="BB13" s="348">
        <f>SUM(BB11:BB12)</f>
        <v>2690405.47</v>
      </c>
      <c r="BC13" s="218"/>
      <c r="BH13" s="260"/>
    </row>
    <row r="14" spans="1:61" ht="15.5">
      <c r="A14" s="221"/>
      <c r="B14" s="217"/>
      <c r="C14" s="217"/>
      <c r="D14" s="217"/>
      <c r="E14" s="217"/>
      <c r="F14" s="217"/>
      <c r="G14" s="218"/>
      <c r="I14" s="221"/>
      <c r="J14" s="341"/>
      <c r="K14" s="341"/>
      <c r="L14" s="341"/>
      <c r="M14" s="341"/>
      <c r="N14" s="341"/>
      <c r="O14" s="218"/>
      <c r="Q14" s="221"/>
      <c r="R14" s="217"/>
      <c r="S14" s="217"/>
      <c r="T14" s="217"/>
      <c r="U14" s="217"/>
      <c r="V14" s="217"/>
      <c r="W14" s="218"/>
      <c r="Y14" s="221"/>
      <c r="Z14" s="217"/>
      <c r="AA14" s="217"/>
      <c r="AB14" s="217"/>
      <c r="AC14" s="217"/>
      <c r="AD14" s="217"/>
      <c r="AE14" s="218"/>
      <c r="AG14" s="221"/>
      <c r="AH14" s="217"/>
      <c r="AI14" s="217"/>
      <c r="AJ14" s="217"/>
      <c r="AK14" s="217"/>
      <c r="AL14" s="217"/>
      <c r="AM14" s="218"/>
      <c r="AO14" s="221"/>
      <c r="AP14" s="341"/>
      <c r="AQ14" s="341"/>
      <c r="AR14" s="341"/>
      <c r="AS14" s="341"/>
      <c r="AT14" s="341"/>
      <c r="AU14" s="218"/>
      <c r="AW14" s="221"/>
      <c r="AX14" s="341"/>
      <c r="AY14" s="341"/>
      <c r="AZ14" s="341"/>
      <c r="BA14" s="341"/>
      <c r="BB14" s="341"/>
      <c r="BC14" s="218"/>
      <c r="BH14" s="259"/>
      <c r="BI14" s="283"/>
    </row>
    <row r="15" spans="1:61" ht="15.5">
      <c r="A15" s="214"/>
      <c r="B15" s="217"/>
      <c r="C15" s="217"/>
      <c r="D15" s="217"/>
      <c r="E15" s="217"/>
      <c r="F15" s="256"/>
      <c r="G15" s="218"/>
      <c r="I15" s="214"/>
      <c r="J15" s="341"/>
      <c r="K15" s="341"/>
      <c r="L15" s="341"/>
      <c r="M15" s="341"/>
      <c r="N15" s="256"/>
      <c r="O15" s="218"/>
      <c r="Q15" s="214"/>
      <c r="R15" s="217"/>
      <c r="S15" s="217"/>
      <c r="T15" s="217"/>
      <c r="U15" s="217"/>
      <c r="V15" s="256"/>
      <c r="W15" s="218"/>
      <c r="Y15" s="214"/>
      <c r="Z15" s="217"/>
      <c r="AA15" s="217"/>
      <c r="AB15" s="217"/>
      <c r="AC15" s="217"/>
      <c r="AD15" s="256"/>
      <c r="AE15" s="218"/>
      <c r="AG15" s="214"/>
      <c r="AH15" s="217"/>
      <c r="AI15" s="217"/>
      <c r="AJ15" s="217"/>
      <c r="AK15" s="217"/>
      <c r="AL15" s="256"/>
      <c r="AM15" s="218"/>
      <c r="AO15" s="214"/>
      <c r="AP15" s="341"/>
      <c r="AQ15" s="341"/>
      <c r="AR15" s="341"/>
      <c r="AS15" s="341"/>
      <c r="AT15" s="256"/>
      <c r="AU15" s="218"/>
      <c r="AW15" s="221"/>
      <c r="AX15" s="341"/>
      <c r="AY15" s="341"/>
      <c r="AZ15" s="341"/>
      <c r="BA15" s="341"/>
      <c r="BB15" s="341"/>
      <c r="BC15" s="218"/>
      <c r="BH15" s="259"/>
      <c r="BI15" s="283"/>
    </row>
    <row r="16" spans="1:61" ht="15.5">
      <c r="A16" s="214" t="s">
        <v>331</v>
      </c>
      <c r="B16" s="217"/>
      <c r="C16" s="217"/>
      <c r="D16" s="217"/>
      <c r="E16" s="217"/>
      <c r="F16" s="228">
        <f>SUM('2023-2024 Recy. Tons &amp; Revenue'!O74:O85)</f>
        <v>1929929.6164319811</v>
      </c>
      <c r="G16" s="218"/>
      <c r="I16" s="214" t="s">
        <v>266</v>
      </c>
      <c r="J16" s="341"/>
      <c r="K16" s="341"/>
      <c r="L16" s="341"/>
      <c r="M16" s="341"/>
      <c r="N16" s="228">
        <v>814156.97531898215</v>
      </c>
      <c r="O16" s="218"/>
      <c r="Q16" s="214" t="s">
        <v>263</v>
      </c>
      <c r="R16" s="217"/>
      <c r="S16" s="217"/>
      <c r="T16" s="217"/>
      <c r="U16" s="217"/>
      <c r="V16" s="228">
        <v>1591890.1202750448</v>
      </c>
      <c r="W16" s="218"/>
      <c r="Y16" s="214" t="s">
        <v>242</v>
      </c>
      <c r="Z16" s="217"/>
      <c r="AA16" s="217"/>
      <c r="AB16" s="217"/>
      <c r="AC16" s="217"/>
      <c r="AD16" s="228">
        <v>1789368.6842237888</v>
      </c>
      <c r="AE16" s="218"/>
      <c r="AG16" s="214" t="s">
        <v>235</v>
      </c>
      <c r="AH16" s="217"/>
      <c r="AI16" s="217"/>
      <c r="AJ16" s="217"/>
      <c r="AK16" s="217"/>
      <c r="AL16" s="228">
        <v>281606.83174170979</v>
      </c>
      <c r="AM16" s="218"/>
      <c r="AO16" s="214" t="s">
        <v>129</v>
      </c>
      <c r="AP16" s="341"/>
      <c r="AQ16" s="341"/>
      <c r="AR16" s="341"/>
      <c r="AS16" s="341"/>
      <c r="AT16" s="228">
        <v>528491.43671045091</v>
      </c>
      <c r="AU16" s="218"/>
      <c r="AW16" s="221"/>
      <c r="AX16" s="341"/>
      <c r="AY16" s="341"/>
      <c r="AZ16" s="341"/>
      <c r="BA16" s="341"/>
      <c r="BB16" s="341"/>
      <c r="BC16" s="218"/>
      <c r="BH16" s="259"/>
      <c r="BI16" s="283"/>
    </row>
    <row r="17" spans="1:61" ht="15.5">
      <c r="A17" s="214" t="s">
        <v>150</v>
      </c>
      <c r="B17" s="217"/>
      <c r="C17" s="217"/>
      <c r="D17" s="217"/>
      <c r="E17" s="217"/>
      <c r="F17" s="276">
        <f>-F16*50%</f>
        <v>-964964.80821599055</v>
      </c>
      <c r="G17" s="218"/>
      <c r="I17" s="214" t="s">
        <v>150</v>
      </c>
      <c r="J17" s="341"/>
      <c r="K17" s="341"/>
      <c r="L17" s="341"/>
      <c r="M17" s="341"/>
      <c r="N17" s="276">
        <f>-N16*50%</f>
        <v>-407078.48765949107</v>
      </c>
      <c r="O17" s="218"/>
      <c r="Q17" s="214" t="s">
        <v>150</v>
      </c>
      <c r="R17" s="217"/>
      <c r="S17" s="217"/>
      <c r="T17" s="217"/>
      <c r="U17" s="217"/>
      <c r="V17" s="276">
        <f>-V16*50%</f>
        <v>-795945.06013752241</v>
      </c>
      <c r="W17" s="218"/>
      <c r="Y17" s="214" t="s">
        <v>150</v>
      </c>
      <c r="Z17" s="217"/>
      <c r="AA17" s="217"/>
      <c r="AB17" s="217"/>
      <c r="AC17" s="217"/>
      <c r="AD17" s="276">
        <f>-AD16*50%</f>
        <v>-894684.3421118944</v>
      </c>
      <c r="AE17" s="218"/>
      <c r="AG17" s="214" t="s">
        <v>150</v>
      </c>
      <c r="AH17" s="217"/>
      <c r="AI17" s="217"/>
      <c r="AJ17" s="217"/>
      <c r="AK17" s="217"/>
      <c r="AL17" s="276">
        <f>-AL16*50%</f>
        <v>-140803.41587085489</v>
      </c>
      <c r="AM17" s="218"/>
      <c r="AO17" s="214" t="s">
        <v>150</v>
      </c>
      <c r="AP17" s="341"/>
      <c r="AQ17" s="341"/>
      <c r="AR17" s="341"/>
      <c r="AS17" s="341"/>
      <c r="AT17" s="276">
        <f>-AT16*50%</f>
        <v>-264245.71835522546</v>
      </c>
      <c r="AU17" s="218"/>
      <c r="AW17" s="214"/>
      <c r="AX17" s="341"/>
      <c r="AY17" s="341"/>
      <c r="AZ17" s="341"/>
      <c r="BA17" s="341"/>
      <c r="BB17" s="348"/>
      <c r="BC17" s="218"/>
    </row>
    <row r="18" spans="1:61" ht="15.5">
      <c r="A18" s="280" t="s">
        <v>153</v>
      </c>
      <c r="B18" s="217"/>
      <c r="C18" s="217"/>
      <c r="D18" s="217"/>
      <c r="E18" s="217"/>
      <c r="F18" s="255">
        <f>SUM(F16:F17)</f>
        <v>964964.80821599055</v>
      </c>
      <c r="G18" s="218" t="s">
        <v>236</v>
      </c>
      <c r="I18" s="280" t="s">
        <v>153</v>
      </c>
      <c r="J18" s="341"/>
      <c r="K18" s="341"/>
      <c r="L18" s="341"/>
      <c r="M18" s="341"/>
      <c r="N18" s="352">
        <f>SUM(N16:N17)</f>
        <v>407078.48765949107</v>
      </c>
      <c r="O18" s="218" t="s">
        <v>236</v>
      </c>
      <c r="Q18" s="280" t="s">
        <v>153</v>
      </c>
      <c r="R18" s="217"/>
      <c r="S18" s="217"/>
      <c r="T18" s="217"/>
      <c r="U18" s="217"/>
      <c r="V18" s="255">
        <f>SUM(V16:V17)</f>
        <v>795945.06013752241</v>
      </c>
      <c r="W18" s="218" t="s">
        <v>236</v>
      </c>
      <c r="Y18" s="280" t="s">
        <v>153</v>
      </c>
      <c r="Z18" s="217"/>
      <c r="AA18" s="217"/>
      <c r="AB18" s="217"/>
      <c r="AC18" s="217"/>
      <c r="AD18" s="255">
        <f>SUM(AD16:AD17)</f>
        <v>894684.3421118944</v>
      </c>
      <c r="AE18" s="218" t="s">
        <v>236</v>
      </c>
      <c r="AG18" s="280" t="s">
        <v>153</v>
      </c>
      <c r="AH18" s="217"/>
      <c r="AI18" s="217"/>
      <c r="AJ18" s="217"/>
      <c r="AK18" s="217"/>
      <c r="AL18" s="255">
        <f>SUM(AL16:AL17)</f>
        <v>140803.41587085489</v>
      </c>
      <c r="AM18" s="218" t="s">
        <v>236</v>
      </c>
      <c r="AO18" s="280" t="s">
        <v>153</v>
      </c>
      <c r="AP18" s="341"/>
      <c r="AQ18" s="341"/>
      <c r="AR18" s="341"/>
      <c r="AS18" s="341"/>
      <c r="AT18" s="352">
        <f>SUM(AT16:AT17)</f>
        <v>264245.71835522546</v>
      </c>
      <c r="AU18" s="218"/>
      <c r="AW18" s="221"/>
      <c r="AX18" s="341"/>
      <c r="AY18" s="341"/>
      <c r="AZ18" s="341"/>
      <c r="BA18" s="341"/>
      <c r="BB18" s="341"/>
      <c r="BC18" s="218"/>
      <c r="BH18" s="259"/>
      <c r="BI18" s="283"/>
    </row>
    <row r="19" spans="1:61" ht="16">
      <c r="A19" s="229"/>
      <c r="B19" s="230"/>
      <c r="C19" s="230"/>
      <c r="D19" s="230"/>
      <c r="E19" s="230"/>
      <c r="F19" s="230"/>
      <c r="G19" s="218"/>
      <c r="I19" s="229"/>
      <c r="J19" s="281"/>
      <c r="K19" s="281"/>
      <c r="L19" s="281"/>
      <c r="M19" s="281"/>
      <c r="N19" s="281"/>
      <c r="O19" s="218"/>
      <c r="Q19" s="229"/>
      <c r="R19" s="230"/>
      <c r="S19" s="230"/>
      <c r="T19" s="230"/>
      <c r="U19" s="230"/>
      <c r="V19" s="230"/>
      <c r="W19" s="218"/>
      <c r="Y19" s="229"/>
      <c r="Z19" s="230"/>
      <c r="AA19" s="230"/>
      <c r="AB19" s="230"/>
      <c r="AC19" s="230"/>
      <c r="AD19" s="230"/>
      <c r="AE19" s="218"/>
      <c r="AG19" s="229"/>
      <c r="AH19" s="230"/>
      <c r="AI19" s="230"/>
      <c r="AJ19" s="230"/>
      <c r="AK19" s="230"/>
      <c r="AL19" s="230"/>
      <c r="AM19" s="218"/>
      <c r="AO19" s="229"/>
      <c r="AP19" s="281"/>
      <c r="AQ19" s="281"/>
      <c r="AR19" s="281"/>
      <c r="AS19" s="281"/>
      <c r="AT19" s="281"/>
      <c r="AU19" s="218"/>
      <c r="AW19" s="221"/>
      <c r="AX19" s="341"/>
      <c r="AY19" s="341"/>
      <c r="AZ19" s="341"/>
      <c r="BA19" s="341"/>
      <c r="BB19" s="341"/>
      <c r="BC19" s="218"/>
      <c r="BH19" s="261"/>
      <c r="BI19" s="283"/>
    </row>
    <row r="20" spans="1:61" ht="15.5">
      <c r="A20" s="221"/>
      <c r="B20" s="217"/>
      <c r="C20" s="217"/>
      <c r="D20" s="217"/>
      <c r="E20" s="217"/>
      <c r="F20" s="256"/>
      <c r="G20" s="218"/>
      <c r="I20" s="221"/>
      <c r="J20" s="341"/>
      <c r="K20" s="341"/>
      <c r="L20" s="341"/>
      <c r="M20" s="341"/>
      <c r="N20" s="256"/>
      <c r="O20" s="218"/>
      <c r="Q20" s="221"/>
      <c r="R20" s="217"/>
      <c r="S20" s="217"/>
      <c r="T20" s="217"/>
      <c r="U20" s="217"/>
      <c r="V20" s="256"/>
      <c r="W20" s="218"/>
      <c r="Y20" s="221"/>
      <c r="Z20" s="217"/>
      <c r="AA20" s="217"/>
      <c r="AB20" s="217"/>
      <c r="AC20" s="217"/>
      <c r="AD20" s="256"/>
      <c r="AE20" s="218"/>
      <c r="AG20" s="221"/>
      <c r="AH20" s="217"/>
      <c r="AI20" s="217"/>
      <c r="AJ20" s="217"/>
      <c r="AK20" s="217"/>
      <c r="AL20" s="256"/>
      <c r="AM20" s="380"/>
      <c r="AO20" s="221" t="s">
        <v>117</v>
      </c>
      <c r="AP20" s="341"/>
      <c r="AQ20" s="341"/>
      <c r="AR20" s="341"/>
      <c r="AS20" s="341"/>
      <c r="AT20" s="256">
        <f>AT18-AT13</f>
        <v>-985243.29164477461</v>
      </c>
      <c r="AU20" s="218"/>
      <c r="AW20" s="214" t="s">
        <v>116</v>
      </c>
      <c r="AX20" s="341"/>
      <c r="AY20" s="341"/>
      <c r="AZ20" s="341"/>
      <c r="BA20" s="341"/>
      <c r="BB20" s="348">
        <v>1226082</v>
      </c>
      <c r="BC20" s="218"/>
      <c r="BE20" s="258"/>
      <c r="BH20" s="259"/>
    </row>
    <row r="21" spans="1:61" ht="18.5">
      <c r="A21" s="214"/>
      <c r="B21" s="217"/>
      <c r="C21" s="253"/>
      <c r="D21" s="217"/>
      <c r="E21" s="254"/>
      <c r="F21" s="234"/>
      <c r="G21" s="218"/>
      <c r="I21" s="214"/>
      <c r="J21" s="341"/>
      <c r="K21" s="253"/>
      <c r="L21" s="341"/>
      <c r="M21" s="354"/>
      <c r="N21" s="234"/>
      <c r="O21" s="218"/>
      <c r="Q21" s="214"/>
      <c r="R21" s="217"/>
      <c r="S21" s="253"/>
      <c r="T21" s="217"/>
      <c r="U21" s="254"/>
      <c r="V21" s="234"/>
      <c r="W21" s="218"/>
      <c r="Y21" s="214"/>
      <c r="Z21" s="217"/>
      <c r="AA21" s="253"/>
      <c r="AB21" s="217"/>
      <c r="AC21" s="254"/>
      <c r="AD21" s="234"/>
      <c r="AE21" s="218"/>
      <c r="AG21" s="214"/>
      <c r="AH21" s="217"/>
      <c r="AI21" s="253"/>
      <c r="AJ21" s="217"/>
      <c r="AK21" s="254"/>
      <c r="AL21" s="234"/>
      <c r="AM21" s="218"/>
      <c r="AO21" s="214" t="s">
        <v>151</v>
      </c>
      <c r="AP21" s="341"/>
      <c r="AQ21" s="253">
        <f>SUM('[1]Customer Counts'!G21:H22)</f>
        <v>199583</v>
      </c>
      <c r="AR21" s="341"/>
      <c r="AS21" s="354">
        <f>BC38</f>
        <v>-0.90024999999999988</v>
      </c>
      <c r="AT21" s="234">
        <f>AS21*AQ21</f>
        <v>-179674.59574999998</v>
      </c>
      <c r="AU21" s="218"/>
      <c r="AW21" s="214"/>
      <c r="AX21" s="341"/>
      <c r="AY21" s="341"/>
      <c r="AZ21" s="341"/>
      <c r="BA21" s="341"/>
      <c r="BB21" s="348"/>
      <c r="BC21" s="218"/>
    </row>
    <row r="22" spans="1:61" ht="15.5">
      <c r="A22" s="229" t="s">
        <v>154</v>
      </c>
      <c r="B22" s="230"/>
      <c r="C22" s="230"/>
      <c r="D22" s="230"/>
      <c r="E22" s="230"/>
      <c r="F22" s="226">
        <f>F18-F13</f>
        <v>-115116.10178400937</v>
      </c>
      <c r="G22" s="218" t="s">
        <v>237</v>
      </c>
      <c r="I22" s="229" t="s">
        <v>154</v>
      </c>
      <c r="J22" s="281"/>
      <c r="K22" s="281"/>
      <c r="L22" s="281"/>
      <c r="M22" s="281"/>
      <c r="N22" s="346">
        <f>N18-N13</f>
        <v>-1195708.2623405089</v>
      </c>
      <c r="O22" s="218" t="s">
        <v>237</v>
      </c>
      <c r="Q22" s="229" t="s">
        <v>154</v>
      </c>
      <c r="R22" s="230"/>
      <c r="S22" s="230"/>
      <c r="T22" s="230"/>
      <c r="U22" s="230"/>
      <c r="V22" s="226">
        <f>V18-V13</f>
        <v>-492515.7998624777</v>
      </c>
      <c r="W22" s="218" t="s">
        <v>237</v>
      </c>
      <c r="Y22" s="229" t="s">
        <v>154</v>
      </c>
      <c r="Z22" s="230"/>
      <c r="AA22" s="230"/>
      <c r="AB22" s="230"/>
      <c r="AC22" s="230"/>
      <c r="AD22" s="226">
        <f>AD18-AD13</f>
        <v>547120.05211189436</v>
      </c>
      <c r="AE22" s="218" t="s">
        <v>246</v>
      </c>
      <c r="AG22" s="229" t="s">
        <v>154</v>
      </c>
      <c r="AH22" s="230"/>
      <c r="AI22" s="230"/>
      <c r="AJ22" s="230"/>
      <c r="AK22" s="230"/>
      <c r="AL22" s="381">
        <f>AL18-AL13</f>
        <v>-492199.28412914509</v>
      </c>
      <c r="AM22" s="218" t="s">
        <v>237</v>
      </c>
      <c r="AO22" s="229" t="s">
        <v>154</v>
      </c>
      <c r="AP22" s="281"/>
      <c r="AQ22" s="281"/>
      <c r="AR22" s="281"/>
      <c r="AS22" s="281"/>
      <c r="AT22" s="277">
        <f>SUM(AT20:AT21)</f>
        <v>-1164917.8873947747</v>
      </c>
      <c r="AU22" s="218"/>
      <c r="AW22" s="221" t="s">
        <v>117</v>
      </c>
      <c r="AX22" s="341"/>
      <c r="AY22" s="341"/>
      <c r="AZ22" s="341"/>
      <c r="BA22" s="341"/>
      <c r="BB22" s="346">
        <f>BB20-BB13</f>
        <v>-1464323.4700000002</v>
      </c>
      <c r="BC22" s="218"/>
      <c r="BH22" s="259"/>
      <c r="BI22" s="283"/>
    </row>
    <row r="23" spans="1:61" ht="18.5">
      <c r="A23" s="229"/>
      <c r="B23" s="230"/>
      <c r="C23" s="230"/>
      <c r="D23" s="230"/>
      <c r="E23" s="230"/>
      <c r="F23" s="230"/>
      <c r="G23" s="218"/>
      <c r="I23" s="229"/>
      <c r="J23" s="281"/>
      <c r="K23" s="281"/>
      <c r="L23" s="281"/>
      <c r="M23" s="281"/>
      <c r="N23" s="281"/>
      <c r="O23" s="218"/>
      <c r="Q23" s="229"/>
      <c r="R23" s="230"/>
      <c r="S23" s="230"/>
      <c r="T23" s="230"/>
      <c r="U23" s="230"/>
      <c r="V23" s="230"/>
      <c r="W23" s="218"/>
      <c r="Y23" s="229"/>
      <c r="Z23" s="230"/>
      <c r="AA23" s="230"/>
      <c r="AB23" s="230"/>
      <c r="AC23" s="230"/>
      <c r="AD23" s="230"/>
      <c r="AE23" s="218"/>
      <c r="AG23" s="229"/>
      <c r="AH23" s="230"/>
      <c r="AI23" s="230"/>
      <c r="AJ23" s="230"/>
      <c r="AK23" s="230"/>
      <c r="AL23" s="230"/>
      <c r="AM23" s="218"/>
      <c r="AO23" s="229"/>
      <c r="AP23" s="281"/>
      <c r="AQ23" s="281"/>
      <c r="AR23" s="281"/>
      <c r="AS23" s="281"/>
      <c r="AT23" s="281"/>
      <c r="AU23" s="218"/>
      <c r="AW23" s="221"/>
      <c r="AX23" s="341"/>
      <c r="AY23" s="356"/>
      <c r="AZ23" s="341"/>
      <c r="BA23" s="341"/>
      <c r="BB23" s="355"/>
      <c r="BC23" s="218"/>
    </row>
    <row r="24" spans="1:61" ht="16">
      <c r="A24" s="221" t="s">
        <v>118</v>
      </c>
      <c r="B24" s="217"/>
      <c r="C24" s="217"/>
      <c r="D24" s="217"/>
      <c r="E24" s="217"/>
      <c r="F24" s="226">
        <f>+C13</f>
        <v>1228997</v>
      </c>
      <c r="G24" s="218"/>
      <c r="I24" s="221" t="s">
        <v>118</v>
      </c>
      <c r="J24" s="341"/>
      <c r="K24" s="341"/>
      <c r="L24" s="341"/>
      <c r="M24" s="341"/>
      <c r="N24" s="346">
        <f>+K13</f>
        <v>1126785</v>
      </c>
      <c r="O24" s="218"/>
      <c r="Q24" s="221" t="s">
        <v>118</v>
      </c>
      <c r="R24" s="217"/>
      <c r="S24" s="217"/>
      <c r="T24" s="217"/>
      <c r="U24" s="217"/>
      <c r="V24" s="226">
        <f>+S13</f>
        <v>1127483</v>
      </c>
      <c r="W24" s="218"/>
      <c r="Y24" s="221" t="s">
        <v>118</v>
      </c>
      <c r="Z24" s="217"/>
      <c r="AA24" s="217"/>
      <c r="AB24" s="217"/>
      <c r="AC24" s="217"/>
      <c r="AD24" s="226">
        <f>+AA13</f>
        <v>1223891</v>
      </c>
      <c r="AE24" s="218"/>
      <c r="AG24" s="221" t="s">
        <v>118</v>
      </c>
      <c r="AH24" s="217"/>
      <c r="AI24" s="217"/>
      <c r="AJ24" s="217"/>
      <c r="AK24" s="217"/>
      <c r="AL24" s="226">
        <f>+AI13</f>
        <v>1237281</v>
      </c>
      <c r="AM24" s="218"/>
      <c r="AO24" s="221" t="s">
        <v>118</v>
      </c>
      <c r="AP24" s="341"/>
      <c r="AQ24" s="341"/>
      <c r="AR24" s="341"/>
      <c r="AS24" s="341"/>
      <c r="AT24" s="346">
        <f>SUM('[1]Customer Counts'!G18:H29)</f>
        <v>1205656</v>
      </c>
      <c r="AU24" s="218"/>
      <c r="AW24" s="221" t="s">
        <v>118</v>
      </c>
      <c r="AX24" s="341"/>
      <c r="AY24" s="341"/>
      <c r="AZ24" s="341"/>
      <c r="BA24" s="341"/>
      <c r="BB24" s="346">
        <f>+AY13</f>
        <v>1176617</v>
      </c>
      <c r="BC24" s="218"/>
      <c r="BH24" s="260"/>
    </row>
    <row r="25" spans="1:61" ht="15.5">
      <c r="A25" s="221"/>
      <c r="B25" s="217"/>
      <c r="C25" s="217"/>
      <c r="D25" s="217"/>
      <c r="E25" s="217"/>
      <c r="F25" s="217"/>
      <c r="G25" s="218"/>
      <c r="I25" s="221"/>
      <c r="J25" s="341"/>
      <c r="K25" s="341"/>
      <c r="L25" s="341"/>
      <c r="M25" s="341"/>
      <c r="N25" s="341"/>
      <c r="O25" s="218"/>
      <c r="Q25" s="221"/>
      <c r="R25" s="217"/>
      <c r="S25" s="217"/>
      <c r="T25" s="217"/>
      <c r="U25" s="217"/>
      <c r="V25" s="217"/>
      <c r="W25" s="218"/>
      <c r="Y25" s="221"/>
      <c r="Z25" s="217"/>
      <c r="AA25" s="217"/>
      <c r="AB25" s="217"/>
      <c r="AC25" s="217"/>
      <c r="AD25" s="217"/>
      <c r="AE25" s="218"/>
      <c r="AG25" s="221"/>
      <c r="AH25" s="217"/>
      <c r="AI25" s="217"/>
      <c r="AJ25" s="217"/>
      <c r="AK25" s="217"/>
      <c r="AL25" s="217"/>
      <c r="AM25" s="218"/>
      <c r="AO25" s="221"/>
      <c r="AP25" s="341"/>
      <c r="AQ25" s="341"/>
      <c r="AR25" s="341"/>
      <c r="AS25" s="341"/>
      <c r="AT25" s="341"/>
      <c r="AU25" s="218"/>
      <c r="AW25" s="221"/>
      <c r="AX25" s="341"/>
      <c r="AY25" s="341"/>
      <c r="AZ25" s="341"/>
      <c r="BA25" s="341"/>
      <c r="BB25" s="341"/>
      <c r="BC25" s="218"/>
    </row>
    <row r="26" spans="1:61" ht="15.5">
      <c r="A26" s="221" t="s">
        <v>119</v>
      </c>
      <c r="B26" s="217"/>
      <c r="C26" s="217"/>
      <c r="D26" s="217"/>
      <c r="E26" s="217"/>
      <c r="F26" s="235"/>
      <c r="G26" s="236">
        <f>F22/F24</f>
        <v>-9.3666706903279148E-2</v>
      </c>
      <c r="I26" s="221" t="s">
        <v>119</v>
      </c>
      <c r="J26" s="341"/>
      <c r="K26" s="341"/>
      <c r="L26" s="341"/>
      <c r="M26" s="341"/>
      <c r="N26" s="235"/>
      <c r="O26" s="236">
        <f>N22/N24</f>
        <v>-1.0611680687447107</v>
      </c>
      <c r="Q26" s="221" t="s">
        <v>119</v>
      </c>
      <c r="R26" s="217"/>
      <c r="S26" s="217"/>
      <c r="T26" s="217"/>
      <c r="U26" s="217"/>
      <c r="V26" s="235"/>
      <c r="W26" s="236">
        <f>V22/V24</f>
        <v>-0.43682769484105544</v>
      </c>
      <c r="Y26" s="221" t="s">
        <v>119</v>
      </c>
      <c r="Z26" s="217"/>
      <c r="AA26" s="217"/>
      <c r="AB26" s="217"/>
      <c r="AC26" s="217"/>
      <c r="AD26" s="235"/>
      <c r="AE26" s="236">
        <f>AD22/AD24</f>
        <v>0.44703331596677676</v>
      </c>
      <c r="AG26" s="221" t="s">
        <v>119</v>
      </c>
      <c r="AH26" s="217"/>
      <c r="AI26" s="217"/>
      <c r="AJ26" s="217"/>
      <c r="AK26" s="217"/>
      <c r="AL26" s="235"/>
      <c r="AM26" s="236">
        <f>AL22/AL24</f>
        <v>-0.39780719507463952</v>
      </c>
      <c r="AO26" s="221" t="s">
        <v>119</v>
      </c>
      <c r="AP26" s="341"/>
      <c r="AQ26" s="341"/>
      <c r="AR26" s="341"/>
      <c r="AS26" s="341"/>
      <c r="AT26" s="235"/>
      <c r="AU26" s="236">
        <f>AT22/AT24</f>
        <v>-0.96621083243875094</v>
      </c>
      <c r="AW26" s="221" t="s">
        <v>119</v>
      </c>
      <c r="AX26" s="341"/>
      <c r="AY26" s="341"/>
      <c r="AZ26" s="341"/>
      <c r="BA26" s="341"/>
      <c r="BB26" s="357"/>
      <c r="BC26" s="236">
        <f>ROUND(BB22/BB24,2)</f>
        <v>-1.24</v>
      </c>
    </row>
    <row r="27" spans="1:61" ht="15.5">
      <c r="A27" s="221"/>
      <c r="B27" s="217"/>
      <c r="C27" s="217"/>
      <c r="D27" s="217"/>
      <c r="E27" s="217"/>
      <c r="F27" s="217"/>
      <c r="G27" s="236"/>
      <c r="I27" s="221"/>
      <c r="J27" s="341"/>
      <c r="K27" s="341"/>
      <c r="L27" s="341"/>
      <c r="M27" s="341"/>
      <c r="N27" s="341"/>
      <c r="O27" s="236"/>
      <c r="Q27" s="221"/>
      <c r="R27" s="217"/>
      <c r="S27" s="217"/>
      <c r="T27" s="217"/>
      <c r="U27" s="217"/>
      <c r="V27" s="217"/>
      <c r="W27" s="236"/>
      <c r="Y27" s="221"/>
      <c r="Z27" s="217"/>
      <c r="AA27" s="217"/>
      <c r="AB27" s="217"/>
      <c r="AC27" s="217"/>
      <c r="AD27" s="217"/>
      <c r="AE27" s="236"/>
      <c r="AG27" s="221"/>
      <c r="AH27" s="217"/>
      <c r="AI27" s="217"/>
      <c r="AJ27" s="217"/>
      <c r="AK27" s="217"/>
      <c r="AL27" s="217"/>
      <c r="AM27" s="236"/>
      <c r="AO27" s="221"/>
      <c r="AP27" s="341"/>
      <c r="AQ27" s="341"/>
      <c r="AR27" s="341"/>
      <c r="AS27" s="341"/>
      <c r="AT27" s="341"/>
      <c r="AU27" s="236"/>
      <c r="AW27" s="221"/>
      <c r="AX27" s="341"/>
      <c r="AY27" s="341"/>
      <c r="AZ27" s="341"/>
      <c r="BA27" s="341"/>
      <c r="BB27" s="341"/>
      <c r="BC27" s="236"/>
    </row>
    <row r="28" spans="1:61" ht="15.5">
      <c r="A28" s="221"/>
      <c r="B28" s="217"/>
      <c r="C28" s="217"/>
      <c r="D28" s="217"/>
      <c r="E28" s="217"/>
      <c r="F28" s="217"/>
      <c r="G28" s="236"/>
      <c r="I28" s="221"/>
      <c r="J28" s="341"/>
      <c r="K28" s="341"/>
      <c r="L28" s="341"/>
      <c r="M28" s="341"/>
      <c r="N28" s="341"/>
      <c r="O28" s="236"/>
      <c r="Q28" s="221"/>
      <c r="R28" s="217"/>
      <c r="S28" s="217"/>
      <c r="T28" s="217"/>
      <c r="U28" s="217"/>
      <c r="V28" s="217"/>
      <c r="W28" s="236"/>
      <c r="Y28" s="221"/>
      <c r="Z28" s="217"/>
      <c r="AA28" s="217"/>
      <c r="AB28" s="217"/>
      <c r="AC28" s="217"/>
      <c r="AD28" s="217"/>
      <c r="AE28" s="236"/>
      <c r="AG28" s="221"/>
      <c r="AH28" s="217"/>
      <c r="AI28" s="217"/>
      <c r="AJ28" s="217"/>
      <c r="AK28" s="217"/>
      <c r="AL28" s="217"/>
      <c r="AM28" s="236"/>
      <c r="AO28" s="221"/>
      <c r="AP28" s="341"/>
      <c r="AQ28" s="341"/>
      <c r="AR28" s="341"/>
      <c r="AS28" s="341"/>
      <c r="AT28" s="341"/>
      <c r="AU28" s="236"/>
      <c r="AW28" s="221"/>
      <c r="AX28" s="341"/>
      <c r="AY28" s="341"/>
      <c r="AZ28" s="341"/>
      <c r="BA28" s="341"/>
      <c r="BB28" s="341"/>
      <c r="BC28" s="236"/>
    </row>
    <row r="29" spans="1:61" ht="15.5">
      <c r="A29" s="237" t="s">
        <v>333</v>
      </c>
      <c r="B29" s="215"/>
      <c r="C29" s="217"/>
      <c r="D29" s="217"/>
      <c r="E29" s="217"/>
      <c r="F29" s="238">
        <f>F16</f>
        <v>1929929.6164319811</v>
      </c>
      <c r="G29" s="236"/>
      <c r="I29" s="237" t="s">
        <v>262</v>
      </c>
      <c r="J29" s="339"/>
      <c r="K29" s="341"/>
      <c r="L29" s="341"/>
      <c r="M29" s="341"/>
      <c r="N29" s="238">
        <f>N16</f>
        <v>814156.97531898215</v>
      </c>
      <c r="O29" s="236"/>
      <c r="Q29" s="237" t="s">
        <v>262</v>
      </c>
      <c r="R29" s="215"/>
      <c r="S29" s="217"/>
      <c r="T29" s="217"/>
      <c r="U29" s="217"/>
      <c r="V29" s="238">
        <f>V16</f>
        <v>1591890.1202750448</v>
      </c>
      <c r="W29" s="236"/>
      <c r="Y29" s="237" t="s">
        <v>243</v>
      </c>
      <c r="Z29" s="215"/>
      <c r="AA29" s="217"/>
      <c r="AB29" s="217"/>
      <c r="AC29" s="217"/>
      <c r="AD29" s="238">
        <f>AD16</f>
        <v>1789368.6842237888</v>
      </c>
      <c r="AE29" s="236"/>
      <c r="AG29" s="237" t="s">
        <v>238</v>
      </c>
      <c r="AH29" s="215"/>
      <c r="AI29" s="217"/>
      <c r="AJ29" s="217"/>
      <c r="AK29" s="217"/>
      <c r="AL29" s="238">
        <f>AL16</f>
        <v>281606.83174170979</v>
      </c>
      <c r="AM29" s="236"/>
      <c r="AO29" s="237" t="s">
        <v>130</v>
      </c>
      <c r="AP29" s="339"/>
      <c r="AQ29" s="341"/>
      <c r="AR29" s="341"/>
      <c r="AS29" s="341"/>
      <c r="AT29" s="238">
        <f>AT16</f>
        <v>528491.43671045091</v>
      </c>
      <c r="AU29" s="236"/>
      <c r="AW29" s="237" t="s">
        <v>120</v>
      </c>
      <c r="AX29" s="339"/>
      <c r="AY29" s="341"/>
      <c r="AZ29" s="341"/>
      <c r="BA29" s="341"/>
      <c r="BB29" s="358">
        <f>431654*2</f>
        <v>863308</v>
      </c>
      <c r="BC29" s="236"/>
    </row>
    <row r="30" spans="1:61" ht="18.5">
      <c r="A30" s="214" t="s">
        <v>150</v>
      </c>
      <c r="B30" s="230"/>
      <c r="C30" s="230"/>
      <c r="D30" s="230"/>
      <c r="E30" s="230"/>
      <c r="F30" s="279">
        <f>F29*50%</f>
        <v>964964.80821599055</v>
      </c>
      <c r="G30" s="236"/>
      <c r="I30" s="214" t="s">
        <v>150</v>
      </c>
      <c r="J30" s="281"/>
      <c r="K30" s="281"/>
      <c r="L30" s="281"/>
      <c r="M30" s="281"/>
      <c r="N30" s="279">
        <f>N29*50%</f>
        <v>407078.48765949107</v>
      </c>
      <c r="O30" s="236"/>
      <c r="Q30" s="214" t="s">
        <v>150</v>
      </c>
      <c r="R30" s="230"/>
      <c r="S30" s="230"/>
      <c r="T30" s="230"/>
      <c r="U30" s="230"/>
      <c r="V30" s="279">
        <f>V29*50%</f>
        <v>795945.06013752241</v>
      </c>
      <c r="W30" s="236"/>
      <c r="Y30" s="214" t="s">
        <v>150</v>
      </c>
      <c r="Z30" s="230"/>
      <c r="AA30" s="230"/>
      <c r="AB30" s="230"/>
      <c r="AC30" s="230"/>
      <c r="AD30" s="279">
        <f>AD29*50%</f>
        <v>894684.3421118944</v>
      </c>
      <c r="AE30" s="236"/>
      <c r="AG30" s="214" t="s">
        <v>150</v>
      </c>
      <c r="AH30" s="230"/>
      <c r="AI30" s="230"/>
      <c r="AJ30" s="230"/>
      <c r="AK30" s="230"/>
      <c r="AL30" s="279">
        <f>AL29*50%</f>
        <v>140803.41587085489</v>
      </c>
      <c r="AM30" s="236"/>
      <c r="AO30" s="214" t="s">
        <v>150</v>
      </c>
      <c r="AP30" s="281"/>
      <c r="AQ30" s="281"/>
      <c r="AR30" s="281"/>
      <c r="AS30" s="281"/>
      <c r="AT30" s="279">
        <f>AT29*50%</f>
        <v>264245.71835522546</v>
      </c>
      <c r="AU30" s="236"/>
      <c r="AW30" s="221" t="s">
        <v>118</v>
      </c>
      <c r="AX30" s="341"/>
      <c r="AY30" s="341"/>
      <c r="AZ30" s="341"/>
      <c r="BA30" s="341"/>
      <c r="BB30" s="359">
        <f>+AY13</f>
        <v>1176617</v>
      </c>
      <c r="BC30" s="236"/>
    </row>
    <row r="31" spans="1:61" ht="18.5">
      <c r="A31" s="229" t="s">
        <v>152</v>
      </c>
      <c r="B31" s="230"/>
      <c r="C31" s="230"/>
      <c r="D31" s="230"/>
      <c r="E31" s="230"/>
      <c r="F31" s="382">
        <f>F29-F30</f>
        <v>964964.80821599055</v>
      </c>
      <c r="G31" s="236"/>
      <c r="I31" s="229" t="s">
        <v>152</v>
      </c>
      <c r="J31" s="281"/>
      <c r="K31" s="281"/>
      <c r="L31" s="281"/>
      <c r="M31" s="281"/>
      <c r="N31" s="277">
        <f>N29-N30</f>
        <v>407078.48765949107</v>
      </c>
      <c r="O31" s="236"/>
      <c r="Q31" s="229" t="s">
        <v>152</v>
      </c>
      <c r="R31" s="230"/>
      <c r="S31" s="230"/>
      <c r="T31" s="230"/>
      <c r="U31" s="230"/>
      <c r="V31" s="382">
        <f>V29-V30</f>
        <v>795945.06013752241</v>
      </c>
      <c r="W31" s="236"/>
      <c r="Y31" s="229" t="s">
        <v>152</v>
      </c>
      <c r="Z31" s="230"/>
      <c r="AA31" s="230"/>
      <c r="AB31" s="230"/>
      <c r="AC31" s="230"/>
      <c r="AD31" s="382">
        <f>AD29-AD30</f>
        <v>894684.3421118944</v>
      </c>
      <c r="AE31" s="236"/>
      <c r="AG31" s="229" t="s">
        <v>152</v>
      </c>
      <c r="AH31" s="230"/>
      <c r="AI31" s="230"/>
      <c r="AJ31" s="230"/>
      <c r="AK31" s="230"/>
      <c r="AL31" s="382">
        <f>AL29-AL30</f>
        <v>140803.41587085489</v>
      </c>
      <c r="AM31" s="236"/>
      <c r="AO31" s="229" t="s">
        <v>152</v>
      </c>
      <c r="AP31" s="281"/>
      <c r="AQ31" s="281"/>
      <c r="AR31" s="281"/>
      <c r="AS31" s="281"/>
      <c r="AT31" s="277">
        <f>AT29-AT30</f>
        <v>264245.71835522546</v>
      </c>
      <c r="AU31" s="236"/>
      <c r="AW31" s="221" t="s">
        <v>121</v>
      </c>
      <c r="AX31" s="341"/>
      <c r="AY31" s="341"/>
      <c r="AZ31" s="341"/>
      <c r="BA31" s="341"/>
      <c r="BB31" s="341"/>
      <c r="BC31" s="360">
        <f>ROUND(+BB29/BB30,2)</f>
        <v>0.73</v>
      </c>
    </row>
    <row r="32" spans="1:61" ht="18.5">
      <c r="A32" s="221" t="s">
        <v>118</v>
      </c>
      <c r="B32" s="217"/>
      <c r="C32" s="217"/>
      <c r="D32" s="217"/>
      <c r="E32" s="217"/>
      <c r="F32" s="239">
        <f>F24</f>
        <v>1228997</v>
      </c>
      <c r="G32" s="236"/>
      <c r="I32" s="221" t="s">
        <v>118</v>
      </c>
      <c r="J32" s="341"/>
      <c r="K32" s="341"/>
      <c r="L32" s="341"/>
      <c r="M32" s="341"/>
      <c r="N32" s="359">
        <f>N24</f>
        <v>1126785</v>
      </c>
      <c r="O32" s="236"/>
      <c r="Q32" s="221" t="s">
        <v>118</v>
      </c>
      <c r="R32" s="217"/>
      <c r="S32" s="217"/>
      <c r="T32" s="217"/>
      <c r="U32" s="217"/>
      <c r="V32" s="239">
        <f>V24</f>
        <v>1127483</v>
      </c>
      <c r="W32" s="236"/>
      <c r="Y32" s="221" t="s">
        <v>118</v>
      </c>
      <c r="Z32" s="217"/>
      <c r="AA32" s="217"/>
      <c r="AB32" s="217"/>
      <c r="AC32" s="217"/>
      <c r="AD32" s="239">
        <f>AD24</f>
        <v>1223891</v>
      </c>
      <c r="AE32" s="236"/>
      <c r="AG32" s="221" t="s">
        <v>118</v>
      </c>
      <c r="AH32" s="217"/>
      <c r="AI32" s="217"/>
      <c r="AJ32" s="217"/>
      <c r="AK32" s="217"/>
      <c r="AL32" s="239">
        <f>AL24</f>
        <v>1237281</v>
      </c>
      <c r="AM32" s="236"/>
      <c r="AO32" s="221" t="s">
        <v>118</v>
      </c>
      <c r="AP32" s="341"/>
      <c r="AQ32" s="341"/>
      <c r="AR32" s="341"/>
      <c r="AS32" s="341"/>
      <c r="AT32" s="359">
        <f>AT24</f>
        <v>1205656</v>
      </c>
      <c r="AU32" s="236"/>
      <c r="AW32" s="214" t="s">
        <v>122</v>
      </c>
      <c r="AX32" s="339"/>
      <c r="AY32" s="341"/>
      <c r="AZ32" s="341"/>
      <c r="BA32" s="341"/>
      <c r="BB32" s="341"/>
      <c r="BC32" s="244">
        <f>SUM(BC26:BC31)</f>
        <v>-0.51</v>
      </c>
      <c r="BD32" s="242"/>
    </row>
    <row r="33" spans="1:56" ht="18.5">
      <c r="A33" s="221" t="s">
        <v>121</v>
      </c>
      <c r="B33" s="217"/>
      <c r="C33" s="217"/>
      <c r="D33" s="217"/>
      <c r="E33" s="217"/>
      <c r="F33" s="217"/>
      <c r="G33" s="360">
        <f>ROUND(+F29/F32,2)</f>
        <v>1.57</v>
      </c>
      <c r="I33" s="221" t="s">
        <v>121</v>
      </c>
      <c r="J33" s="341"/>
      <c r="K33" s="341"/>
      <c r="L33" s="341"/>
      <c r="M33" s="341"/>
      <c r="N33" s="341"/>
      <c r="O33" s="360">
        <f>ROUND(+N29/N32,2)</f>
        <v>0.72</v>
      </c>
      <c r="Q33" s="221" t="s">
        <v>121</v>
      </c>
      <c r="R33" s="217"/>
      <c r="S33" s="217"/>
      <c r="T33" s="217"/>
      <c r="U33" s="217"/>
      <c r="V33" s="217"/>
      <c r="W33" s="360">
        <f>ROUND(+V29/V32,2)</f>
        <v>1.41</v>
      </c>
      <c r="Y33" s="221" t="s">
        <v>121</v>
      </c>
      <c r="Z33" s="217"/>
      <c r="AA33" s="217"/>
      <c r="AB33" s="217"/>
      <c r="AC33" s="217"/>
      <c r="AD33" s="217"/>
      <c r="AE33" s="360">
        <f>ROUND(+AD29/AD32,2)</f>
        <v>1.46</v>
      </c>
      <c r="AG33" s="221" t="s">
        <v>121</v>
      </c>
      <c r="AH33" s="217"/>
      <c r="AI33" s="217"/>
      <c r="AJ33" s="217"/>
      <c r="AK33" s="217"/>
      <c r="AL33" s="217"/>
      <c r="AM33" s="360">
        <f>ROUND(+AL29/AL32,2)</f>
        <v>0.23</v>
      </c>
      <c r="AO33" s="221" t="s">
        <v>121</v>
      </c>
      <c r="AP33" s="341"/>
      <c r="AQ33" s="341"/>
      <c r="AR33" s="341"/>
      <c r="AS33" s="341"/>
      <c r="AT33" s="341"/>
      <c r="AU33" s="360">
        <f>ROUND(+AT29/AT32,2)</f>
        <v>0.44</v>
      </c>
      <c r="AW33" s="214"/>
      <c r="AX33" s="339"/>
      <c r="AY33" s="341"/>
      <c r="AZ33" s="341"/>
      <c r="BA33" s="341"/>
      <c r="BB33" s="341"/>
      <c r="BC33" s="244"/>
      <c r="BD33" s="242"/>
    </row>
    <row r="34" spans="1:56" ht="17">
      <c r="A34" s="214" t="s">
        <v>239</v>
      </c>
      <c r="B34" s="215"/>
      <c r="C34" s="217"/>
      <c r="D34" s="217"/>
      <c r="E34" s="217"/>
      <c r="F34" s="217"/>
      <c r="G34" s="361">
        <f>SUM(G26:G33)</f>
        <v>1.476333293096721</v>
      </c>
      <c r="I34" s="214" t="s">
        <v>239</v>
      </c>
      <c r="J34" s="339"/>
      <c r="K34" s="341"/>
      <c r="L34" s="341"/>
      <c r="M34" s="341"/>
      <c r="N34" s="341"/>
      <c r="O34" s="361">
        <f>SUM(O26:O33)</f>
        <v>-0.34116806874471073</v>
      </c>
      <c r="Q34" s="214" t="s">
        <v>239</v>
      </c>
      <c r="R34" s="215"/>
      <c r="S34" s="217"/>
      <c r="T34" s="217"/>
      <c r="U34" s="217"/>
      <c r="V34" s="217"/>
      <c r="W34" s="361">
        <f>SUM(W26:W33)</f>
        <v>0.97317230515894448</v>
      </c>
      <c r="Y34" s="214" t="s">
        <v>239</v>
      </c>
      <c r="Z34" s="215"/>
      <c r="AA34" s="217"/>
      <c r="AB34" s="217"/>
      <c r="AC34" s="217"/>
      <c r="AD34" s="217"/>
      <c r="AE34" s="361">
        <f>SUM(AE26:AE33)</f>
        <v>1.9070333159667767</v>
      </c>
      <c r="AG34" s="214" t="s">
        <v>239</v>
      </c>
      <c r="AH34" s="215"/>
      <c r="AI34" s="217"/>
      <c r="AJ34" s="217"/>
      <c r="AK34" s="217"/>
      <c r="AL34" s="217"/>
      <c r="AM34" s="361">
        <f>SUM(AM26:AM33)</f>
        <v>-0.16780719507463951</v>
      </c>
      <c r="AO34" s="214" t="s">
        <v>122</v>
      </c>
      <c r="AP34" s="339"/>
      <c r="AQ34" s="341"/>
      <c r="AR34" s="341"/>
      <c r="AS34" s="341"/>
      <c r="AT34" s="341"/>
      <c r="AU34" s="244">
        <f>SUM(AU26:AU33)</f>
        <v>-0.52621083243875089</v>
      </c>
      <c r="AW34" s="229" t="s">
        <v>123</v>
      </c>
      <c r="AX34" s="339"/>
      <c r="AY34" s="341"/>
      <c r="AZ34" s="341"/>
      <c r="BA34" s="362">
        <f>+AY13/12*0.5</f>
        <v>49025.708333333336</v>
      </c>
      <c r="BB34" s="341"/>
      <c r="BC34" s="244">
        <f>ROUND(-BA34/AY13*2,2)</f>
        <v>-0.08</v>
      </c>
    </row>
    <row r="35" spans="1:56" ht="15.5">
      <c r="A35" s="229"/>
      <c r="B35" s="215"/>
      <c r="C35" s="217"/>
      <c r="D35" s="217"/>
      <c r="E35" s="217"/>
      <c r="F35" s="217"/>
      <c r="G35" s="244"/>
      <c r="I35" s="229"/>
      <c r="J35" s="339"/>
      <c r="K35" s="341"/>
      <c r="L35" s="341"/>
      <c r="M35" s="341"/>
      <c r="N35" s="341"/>
      <c r="O35" s="244"/>
      <c r="Q35" s="229"/>
      <c r="R35" s="215"/>
      <c r="S35" s="217"/>
      <c r="T35" s="217"/>
      <c r="U35" s="217"/>
      <c r="V35" s="217"/>
      <c r="W35" s="244"/>
      <c r="Y35" s="229"/>
      <c r="Z35" s="215"/>
      <c r="AA35" s="217"/>
      <c r="AB35" s="217"/>
      <c r="AC35" s="217"/>
      <c r="AD35" s="217"/>
      <c r="AE35" s="244"/>
      <c r="AG35" s="229"/>
      <c r="AH35" s="215"/>
      <c r="AI35" s="217"/>
      <c r="AJ35" s="217"/>
      <c r="AK35" s="217"/>
      <c r="AL35" s="217"/>
      <c r="AM35" s="244"/>
      <c r="AO35" s="229"/>
      <c r="AP35" s="339"/>
      <c r="AQ35" s="341"/>
      <c r="AR35" s="341"/>
      <c r="AS35" s="341"/>
      <c r="AT35" s="341"/>
      <c r="AU35" s="244"/>
      <c r="AW35" s="229"/>
      <c r="AX35" s="339"/>
      <c r="AY35" s="341"/>
      <c r="AZ35" s="341"/>
      <c r="BA35" s="341"/>
      <c r="BB35" s="341"/>
      <c r="BC35" s="244"/>
    </row>
    <row r="36" spans="1:56" ht="20">
      <c r="A36" s="229"/>
      <c r="B36" s="217"/>
      <c r="C36" s="217"/>
      <c r="D36" s="217"/>
      <c r="E36" s="245"/>
      <c r="F36" s="217"/>
      <c r="G36" s="364"/>
      <c r="I36" s="229"/>
      <c r="J36" s="341"/>
      <c r="K36" s="341"/>
      <c r="L36" s="341"/>
      <c r="M36" s="504"/>
      <c r="N36" s="341"/>
      <c r="O36" s="364"/>
      <c r="Q36" s="229"/>
      <c r="R36" s="217"/>
      <c r="S36" s="217"/>
      <c r="T36" s="217"/>
      <c r="U36" s="245"/>
      <c r="V36" s="217"/>
      <c r="W36" s="364"/>
      <c r="Y36" s="229"/>
      <c r="Z36" s="217"/>
      <c r="AA36" s="217"/>
      <c r="AB36" s="217"/>
      <c r="AC36" s="245"/>
      <c r="AD36" s="217"/>
      <c r="AE36" s="364"/>
      <c r="AG36" s="229"/>
      <c r="AH36" s="217"/>
      <c r="AI36" s="217"/>
      <c r="AJ36" s="217"/>
      <c r="AK36" s="245"/>
      <c r="AL36" s="217"/>
      <c r="AM36" s="364"/>
      <c r="AO36" s="229"/>
      <c r="AP36" s="341"/>
      <c r="AQ36" s="341"/>
      <c r="AR36" s="341"/>
      <c r="AS36" s="245"/>
      <c r="AT36" s="341"/>
      <c r="AU36" s="364"/>
      <c r="AW36" s="229" t="s">
        <v>124</v>
      </c>
      <c r="AX36" s="341"/>
      <c r="AY36" s="341"/>
      <c r="AZ36" s="341"/>
      <c r="BA36" s="363">
        <v>0.42499999999999999</v>
      </c>
      <c r="BB36" s="341"/>
      <c r="BC36" s="364">
        <f>-BA36*BC31</f>
        <v>-0.31024999999999997</v>
      </c>
      <c r="BD36" s="247"/>
    </row>
    <row r="37" spans="1:56" ht="20">
      <c r="A37" s="214" t="s">
        <v>245</v>
      </c>
      <c r="B37" s="217"/>
      <c r="C37" s="217"/>
      <c r="D37" s="217"/>
      <c r="E37" s="245">
        <v>0.5</v>
      </c>
      <c r="F37" s="217"/>
      <c r="G37" s="361">
        <f>ROUND(+G33*E37,2)</f>
        <v>0.79</v>
      </c>
      <c r="I37" s="214" t="s">
        <v>245</v>
      </c>
      <c r="J37" s="341"/>
      <c r="K37" s="341"/>
      <c r="L37" s="341"/>
      <c r="M37" s="504">
        <v>0.5</v>
      </c>
      <c r="N37" s="341"/>
      <c r="O37" s="361">
        <f>ROUND(+O33*M37,2)</f>
        <v>0.36</v>
      </c>
      <c r="Q37" s="214" t="s">
        <v>245</v>
      </c>
      <c r="R37" s="217"/>
      <c r="S37" s="217"/>
      <c r="T37" s="217"/>
      <c r="U37" s="245">
        <v>0.5</v>
      </c>
      <c r="V37" s="217"/>
      <c r="W37" s="361">
        <f>ROUND(+W33*U37,2)</f>
        <v>0.71</v>
      </c>
      <c r="Y37" s="214" t="s">
        <v>245</v>
      </c>
      <c r="Z37" s="217"/>
      <c r="AA37" s="217"/>
      <c r="AB37" s="217"/>
      <c r="AC37" s="245">
        <v>0.5</v>
      </c>
      <c r="AD37" s="217"/>
      <c r="AE37" s="361">
        <f>ROUND(+AE33*AC37,2)</f>
        <v>0.73</v>
      </c>
      <c r="AG37" s="214" t="s">
        <v>145</v>
      </c>
      <c r="AH37" s="217"/>
      <c r="AI37" s="217"/>
      <c r="AJ37" s="245">
        <v>0.5</v>
      </c>
      <c r="AK37" s="248"/>
      <c r="AL37" s="217"/>
      <c r="AM37" s="361">
        <f>+AM33*AJ37</f>
        <v>0.115</v>
      </c>
      <c r="AO37" s="214" t="s">
        <v>145</v>
      </c>
      <c r="AP37" s="341"/>
      <c r="AQ37" s="341"/>
      <c r="AR37" s="245">
        <v>0.5</v>
      </c>
      <c r="AS37" s="248"/>
      <c r="AT37" s="341"/>
      <c r="AU37" s="361">
        <f>+AU33*AR37</f>
        <v>0.22</v>
      </c>
      <c r="AW37" s="229"/>
      <c r="AX37" s="341"/>
      <c r="AY37" s="341"/>
      <c r="AZ37" s="341"/>
      <c r="BA37" s="365"/>
      <c r="BB37" s="341"/>
      <c r="BC37" s="364"/>
      <c r="BD37" s="247"/>
    </row>
    <row r="38" spans="1:56" ht="17">
      <c r="A38" s="214"/>
      <c r="B38" s="217"/>
      <c r="C38" s="217"/>
      <c r="D38" s="217"/>
      <c r="E38" s="248"/>
      <c r="F38" s="217"/>
      <c r="G38" s="361"/>
      <c r="I38" s="214"/>
      <c r="J38" s="341"/>
      <c r="K38" s="341"/>
      <c r="L38" s="341"/>
      <c r="M38" s="505"/>
      <c r="N38" s="341"/>
      <c r="O38" s="361"/>
      <c r="Q38" s="214"/>
      <c r="R38" s="217"/>
      <c r="S38" s="217"/>
      <c r="T38" s="217"/>
      <c r="U38" s="248"/>
      <c r="V38" s="217"/>
      <c r="W38" s="361"/>
      <c r="Y38" s="214"/>
      <c r="Z38" s="217"/>
      <c r="AA38" s="217"/>
      <c r="AB38" s="217"/>
      <c r="AC38" s="248"/>
      <c r="AD38" s="217"/>
      <c r="AE38" s="361"/>
      <c r="AG38" s="214"/>
      <c r="AH38" s="217"/>
      <c r="AI38" s="217"/>
      <c r="AJ38" s="217"/>
      <c r="AK38" s="248"/>
      <c r="AL38" s="217"/>
      <c r="AM38" s="361"/>
      <c r="AO38" s="214"/>
      <c r="AP38" s="341"/>
      <c r="AQ38" s="341"/>
      <c r="AR38" s="341"/>
      <c r="AS38" s="248"/>
      <c r="AT38" s="341"/>
      <c r="AU38" s="361"/>
      <c r="AW38" s="214" t="s">
        <v>144</v>
      </c>
      <c r="AX38" s="341"/>
      <c r="AY38" s="341"/>
      <c r="AZ38" s="341"/>
      <c r="BA38" s="365"/>
      <c r="BB38" s="341"/>
      <c r="BC38" s="361">
        <f>+BC32+BC36+BC34</f>
        <v>-0.90024999999999988</v>
      </c>
      <c r="BD38" s="242"/>
    </row>
    <row r="39" spans="1:56" ht="17">
      <c r="A39" s="214" t="s">
        <v>145</v>
      </c>
      <c r="B39" s="217"/>
      <c r="C39" s="217"/>
      <c r="D39" s="217"/>
      <c r="E39" s="248"/>
      <c r="F39" s="217"/>
      <c r="G39" s="361">
        <f>+G34+G37</f>
        <v>2.266333293096721</v>
      </c>
      <c r="I39" s="214" t="s">
        <v>145</v>
      </c>
      <c r="J39" s="341"/>
      <c r="K39" s="341"/>
      <c r="L39" s="341"/>
      <c r="M39" s="505"/>
      <c r="N39" s="341"/>
      <c r="O39" s="361">
        <f>+O34+O37</f>
        <v>1.8831931255289258E-2</v>
      </c>
      <c r="Q39" s="214" t="s">
        <v>145</v>
      </c>
      <c r="R39" s="217"/>
      <c r="S39" s="217"/>
      <c r="T39" s="217"/>
      <c r="U39" s="248"/>
      <c r="V39" s="217"/>
      <c r="W39" s="361">
        <f>+W34+W37</f>
        <v>1.6831723051589444</v>
      </c>
      <c r="Y39" s="214" t="s">
        <v>145</v>
      </c>
      <c r="Z39" s="217"/>
      <c r="AA39" s="217"/>
      <c r="AB39" s="217"/>
      <c r="AC39" s="248"/>
      <c r="AD39" s="217"/>
      <c r="AE39" s="361">
        <f>+AE34+AE37</f>
        <v>2.6370333159667769</v>
      </c>
      <c r="AG39" s="214" t="s">
        <v>145</v>
      </c>
      <c r="AH39" s="217"/>
      <c r="AI39" s="217"/>
      <c r="AJ39" s="217"/>
      <c r="AK39" s="248"/>
      <c r="AL39" s="217"/>
      <c r="AM39" s="361">
        <f>+AM34+AM37</f>
        <v>-5.2807195074639504E-2</v>
      </c>
      <c r="AO39" s="214" t="s">
        <v>145</v>
      </c>
      <c r="AP39" s="341"/>
      <c r="AQ39" s="341"/>
      <c r="AR39" s="341"/>
      <c r="AS39" s="248"/>
      <c r="AT39" s="341"/>
      <c r="AU39" s="361">
        <f>+AU34+AU37</f>
        <v>-0.30621083243875091</v>
      </c>
      <c r="AW39" s="214"/>
      <c r="AX39" s="341"/>
      <c r="AY39" s="341"/>
      <c r="AZ39" s="341"/>
      <c r="BA39" s="365"/>
      <c r="BB39" s="341"/>
      <c r="BC39" s="361"/>
      <c r="BD39" s="242"/>
    </row>
    <row r="40" spans="1:56" ht="17">
      <c r="A40" s="214"/>
      <c r="B40" s="217"/>
      <c r="C40" s="217"/>
      <c r="D40" s="217"/>
      <c r="E40" s="248"/>
      <c r="F40" s="217"/>
      <c r="G40" s="361"/>
      <c r="I40" s="214"/>
      <c r="J40" s="341"/>
      <c r="K40" s="341"/>
      <c r="L40" s="341"/>
      <c r="M40" s="505"/>
      <c r="N40" s="341"/>
      <c r="O40" s="361"/>
      <c r="Q40" s="214"/>
      <c r="R40" s="217"/>
      <c r="S40" s="217"/>
      <c r="T40" s="217"/>
      <c r="U40" s="248"/>
      <c r="V40" s="217"/>
      <c r="W40" s="361"/>
      <c r="Y40" s="214"/>
      <c r="Z40" s="217"/>
      <c r="AA40" s="217"/>
      <c r="AB40" s="217"/>
      <c r="AC40" s="248"/>
      <c r="AD40" s="217"/>
      <c r="AE40" s="361"/>
      <c r="AG40" s="214"/>
      <c r="AH40" s="217"/>
      <c r="AI40" s="217"/>
      <c r="AJ40" s="217"/>
      <c r="AK40" s="248"/>
      <c r="AL40" s="217"/>
      <c r="AM40" s="361"/>
      <c r="AO40" s="214"/>
      <c r="AP40" s="341"/>
      <c r="AQ40" s="341"/>
      <c r="AR40" s="341"/>
      <c r="AS40" s="248"/>
      <c r="AT40" s="341"/>
      <c r="AU40" s="361"/>
      <c r="AW40" s="214" t="s">
        <v>145</v>
      </c>
      <c r="AX40" s="341"/>
      <c r="AY40" s="341"/>
      <c r="AZ40" s="341"/>
      <c r="BA40" s="365"/>
      <c r="BB40" s="341"/>
      <c r="BC40" s="361">
        <f>+BC32+BC34</f>
        <v>-0.59</v>
      </c>
      <c r="BD40" s="242"/>
    </row>
    <row r="41" spans="1:56" ht="13" thickBot="1">
      <c r="A41" s="250"/>
      <c r="B41" s="251"/>
      <c r="C41" s="251"/>
      <c r="D41" s="251"/>
      <c r="E41" s="251"/>
      <c r="F41" s="251"/>
      <c r="G41" s="252"/>
      <c r="I41" s="250"/>
      <c r="J41" s="251"/>
      <c r="K41" s="251"/>
      <c r="L41" s="251"/>
      <c r="M41" s="251"/>
      <c r="N41" s="251"/>
      <c r="O41" s="252"/>
      <c r="Q41" s="250"/>
      <c r="R41" s="251"/>
      <c r="S41" s="251"/>
      <c r="T41" s="251"/>
      <c r="U41" s="251"/>
      <c r="V41" s="251"/>
      <c r="W41" s="252"/>
      <c r="Y41" s="250"/>
      <c r="Z41" s="251"/>
      <c r="AA41" s="251"/>
      <c r="AB41" s="251"/>
      <c r="AC41" s="251"/>
      <c r="AD41" s="251"/>
      <c r="AE41" s="252"/>
      <c r="AG41" s="250"/>
      <c r="AH41" s="251"/>
      <c r="AI41" s="251"/>
      <c r="AJ41" s="251"/>
      <c r="AK41" s="251"/>
      <c r="AL41" s="251"/>
      <c r="AM41" s="252"/>
      <c r="AO41" s="250"/>
      <c r="AP41" s="251"/>
      <c r="AQ41" s="251"/>
      <c r="AR41" s="251"/>
      <c r="AS41" s="251"/>
      <c r="AT41" s="251"/>
      <c r="AU41" s="252"/>
      <c r="AW41" s="250"/>
      <c r="AX41" s="251"/>
      <c r="AY41" s="251"/>
      <c r="AZ41" s="251"/>
      <c r="BA41" s="251"/>
      <c r="BB41" s="251"/>
      <c r="BC41" s="252"/>
    </row>
    <row r="42" spans="1:56">
      <c r="AO42" s="366"/>
      <c r="AU42" s="367"/>
    </row>
    <row r="43" spans="1:56">
      <c r="AO43" s="366"/>
      <c r="AU43" s="367"/>
    </row>
    <row r="44" spans="1:56" ht="13" thickBot="1">
      <c r="AO44" s="366"/>
      <c r="AU44" s="367"/>
    </row>
    <row r="45" spans="1:56" ht="23">
      <c r="A45" s="210" t="s">
        <v>125</v>
      </c>
      <c r="B45" s="211"/>
      <c r="C45" s="212"/>
      <c r="D45" s="212"/>
      <c r="E45" s="212"/>
      <c r="F45" s="212"/>
      <c r="G45" s="213"/>
      <c r="I45" s="210" t="s">
        <v>125</v>
      </c>
      <c r="J45" s="211"/>
      <c r="K45" s="212"/>
      <c r="L45" s="212"/>
      <c r="M45" s="212"/>
      <c r="N45" s="212"/>
      <c r="O45" s="213"/>
      <c r="Q45" s="210" t="s">
        <v>125</v>
      </c>
      <c r="R45" s="211"/>
      <c r="S45" s="212"/>
      <c r="T45" s="212"/>
      <c r="U45" s="212"/>
      <c r="V45" s="212"/>
      <c r="W45" s="213"/>
      <c r="Y45" s="210" t="s">
        <v>125</v>
      </c>
      <c r="Z45" s="211"/>
      <c r="AA45" s="212"/>
      <c r="AB45" s="212"/>
      <c r="AC45" s="212"/>
      <c r="AD45" s="212"/>
      <c r="AE45" s="213"/>
      <c r="AG45" s="210" t="s">
        <v>125</v>
      </c>
      <c r="AH45" s="211"/>
      <c r="AI45" s="212"/>
      <c r="AJ45" s="212"/>
      <c r="AK45" s="212"/>
      <c r="AL45" s="212"/>
      <c r="AM45" s="213"/>
      <c r="AO45" s="210" t="s">
        <v>125</v>
      </c>
      <c r="AP45" s="211"/>
      <c r="AQ45" s="212"/>
      <c r="AR45" s="212"/>
      <c r="AS45" s="212"/>
      <c r="AT45" s="212"/>
      <c r="AU45" s="213"/>
      <c r="AW45" s="210" t="s">
        <v>125</v>
      </c>
      <c r="AX45" s="211"/>
      <c r="AY45" s="212"/>
      <c r="AZ45" s="212"/>
      <c r="BA45" s="212"/>
      <c r="BB45" s="212"/>
      <c r="BC45" s="213"/>
    </row>
    <row r="46" spans="1:56" ht="15.5">
      <c r="A46" s="214" t="str">
        <f>+A2</f>
        <v>2024 - 2025 Rebate Calculation - Deferred Accounting Methodology</v>
      </c>
      <c r="B46" s="215"/>
      <c r="C46" s="216"/>
      <c r="D46" s="216"/>
      <c r="E46" s="217"/>
      <c r="F46" s="217"/>
      <c r="G46" s="218"/>
      <c r="I46" s="214" t="str">
        <f>+I2</f>
        <v>2022 - 2023 Rebate Calculation - Deferred Accounting Methodology</v>
      </c>
      <c r="J46" s="339"/>
      <c r="K46" s="340"/>
      <c r="L46" s="340"/>
      <c r="M46" s="341"/>
      <c r="N46" s="341"/>
      <c r="O46" s="218"/>
      <c r="Q46" s="214" t="str">
        <f>+Q2</f>
        <v>2021 - 2022 Rebate Calculation - Deferred Accounting Methodology</v>
      </c>
      <c r="R46" s="215"/>
      <c r="S46" s="216"/>
      <c r="T46" s="216"/>
      <c r="U46" s="217"/>
      <c r="V46" s="217"/>
      <c r="W46" s="218"/>
      <c r="Y46" s="214" t="s">
        <v>240</v>
      </c>
      <c r="Z46" s="339"/>
      <c r="AA46" s="340"/>
      <c r="AB46" s="340"/>
      <c r="AC46" s="341"/>
      <c r="AD46" s="341"/>
      <c r="AE46" s="218"/>
      <c r="AG46" s="214" t="s">
        <v>128</v>
      </c>
      <c r="AH46" s="215"/>
      <c r="AI46" s="216"/>
      <c r="AJ46" s="216"/>
      <c r="AK46" s="217"/>
      <c r="AL46" s="217"/>
      <c r="AM46" s="218"/>
      <c r="AO46" s="214" t="s">
        <v>128</v>
      </c>
      <c r="AP46" s="339"/>
      <c r="AQ46" s="340"/>
      <c r="AR46" s="340"/>
      <c r="AS46" s="341"/>
      <c r="AT46" s="341"/>
      <c r="AU46" s="218"/>
      <c r="AW46" s="214" t="s">
        <v>109</v>
      </c>
      <c r="AX46" s="339"/>
      <c r="AY46" s="340"/>
      <c r="AZ46" s="340"/>
      <c r="BA46" s="341"/>
      <c r="BB46" s="341"/>
      <c r="BC46" s="218"/>
    </row>
    <row r="47" spans="1:56" ht="15.5">
      <c r="A47" s="219"/>
      <c r="B47" s="220"/>
      <c r="C47" s="217"/>
      <c r="D47" s="217"/>
      <c r="E47" s="217"/>
      <c r="F47" s="217"/>
      <c r="G47" s="218"/>
      <c r="I47" s="219"/>
      <c r="J47" s="368"/>
      <c r="K47" s="341"/>
      <c r="L47" s="341"/>
      <c r="M47" s="341"/>
      <c r="N47" s="341"/>
      <c r="O47" s="218"/>
      <c r="Q47" s="219"/>
      <c r="R47" s="220"/>
      <c r="S47" s="217"/>
      <c r="T47" s="217"/>
      <c r="U47" s="217"/>
      <c r="V47" s="217"/>
      <c r="W47" s="218"/>
      <c r="Y47" s="219"/>
      <c r="Z47" s="368"/>
      <c r="AA47" s="341"/>
      <c r="AB47" s="341"/>
      <c r="AC47" s="341"/>
      <c r="AD47" s="341"/>
      <c r="AE47" s="218"/>
      <c r="AG47" s="219"/>
      <c r="AH47" s="220"/>
      <c r="AI47" s="217"/>
      <c r="AJ47" s="217"/>
      <c r="AK47" s="217"/>
      <c r="AL47" s="217"/>
      <c r="AM47" s="218"/>
      <c r="AO47" s="219"/>
      <c r="AP47" s="368"/>
      <c r="AQ47" s="341"/>
      <c r="AR47" s="341"/>
      <c r="AS47" s="341"/>
      <c r="AT47" s="341"/>
      <c r="AU47" s="218"/>
      <c r="AW47" s="219"/>
      <c r="AX47" s="368"/>
      <c r="AY47" s="341"/>
      <c r="AZ47" s="341"/>
      <c r="BA47" s="341"/>
      <c r="BB47" s="341"/>
      <c r="BC47" s="218"/>
    </row>
    <row r="48" spans="1:56" ht="15.5">
      <c r="A48" s="512" t="s">
        <v>19</v>
      </c>
      <c r="B48" s="513"/>
      <c r="C48" s="513"/>
      <c r="D48" s="513"/>
      <c r="E48" s="513"/>
      <c r="F48" s="513"/>
      <c r="G48" s="514"/>
      <c r="I48" s="507" t="s">
        <v>19</v>
      </c>
      <c r="J48" s="508"/>
      <c r="K48" s="508"/>
      <c r="L48" s="508"/>
      <c r="M48" s="508"/>
      <c r="N48" s="508"/>
      <c r="O48" s="509"/>
      <c r="Q48" s="512" t="s">
        <v>19</v>
      </c>
      <c r="R48" s="513"/>
      <c r="S48" s="513"/>
      <c r="T48" s="513"/>
      <c r="U48" s="513"/>
      <c r="V48" s="513"/>
      <c r="W48" s="514"/>
      <c r="Y48" s="512" t="s">
        <v>19</v>
      </c>
      <c r="Z48" s="528"/>
      <c r="AA48" s="528"/>
      <c r="AB48" s="528"/>
      <c r="AC48" s="528"/>
      <c r="AD48" s="528"/>
      <c r="AE48" s="514"/>
      <c r="AG48" s="512" t="s">
        <v>19</v>
      </c>
      <c r="AH48" s="513"/>
      <c r="AI48" s="513"/>
      <c r="AJ48" s="513"/>
      <c r="AK48" s="513"/>
      <c r="AL48" s="513"/>
      <c r="AM48" s="514"/>
      <c r="AO48" s="512" t="s">
        <v>19</v>
      </c>
      <c r="AP48" s="528"/>
      <c r="AQ48" s="528"/>
      <c r="AR48" s="528"/>
      <c r="AS48" s="528"/>
      <c r="AT48" s="528"/>
      <c r="AU48" s="514"/>
      <c r="AW48" s="512" t="s">
        <v>19</v>
      </c>
      <c r="AX48" s="528"/>
      <c r="AY48" s="528"/>
      <c r="AZ48" s="528"/>
      <c r="BA48" s="528"/>
      <c r="BB48" s="528"/>
      <c r="BC48" s="514"/>
    </row>
    <row r="49" spans="1:57" ht="15.5">
      <c r="A49" s="221"/>
      <c r="B49" s="217"/>
      <c r="C49" s="217"/>
      <c r="D49" s="217"/>
      <c r="E49" s="217"/>
      <c r="F49" s="217"/>
      <c r="G49" s="218"/>
      <c r="I49" s="221"/>
      <c r="J49" s="341"/>
      <c r="K49" s="341"/>
      <c r="L49" s="341"/>
      <c r="M49" s="341"/>
      <c r="N49" s="341"/>
      <c r="O49" s="218"/>
      <c r="Q49" s="221"/>
      <c r="R49" s="217"/>
      <c r="S49" s="217"/>
      <c r="T49" s="217"/>
      <c r="U49" s="217"/>
      <c r="V49" s="217"/>
      <c r="W49" s="218"/>
      <c r="Y49" s="221"/>
      <c r="Z49" s="341"/>
      <c r="AA49" s="341"/>
      <c r="AB49" s="341"/>
      <c r="AC49" s="341"/>
      <c r="AD49" s="341"/>
      <c r="AE49" s="218"/>
      <c r="AG49" s="221"/>
      <c r="AH49" s="217"/>
      <c r="AI49" s="217"/>
      <c r="AJ49" s="217"/>
      <c r="AK49" s="217"/>
      <c r="AL49" s="217"/>
      <c r="AM49" s="218"/>
      <c r="AO49" s="221"/>
      <c r="AP49" s="341"/>
      <c r="AQ49" s="341"/>
      <c r="AR49" s="341"/>
      <c r="AS49" s="341"/>
      <c r="AT49" s="341"/>
      <c r="AU49" s="218"/>
      <c r="AW49" s="221"/>
      <c r="AX49" s="341"/>
      <c r="AY49" s="341"/>
      <c r="AZ49" s="341"/>
      <c r="BA49" s="341"/>
      <c r="BB49" s="341"/>
      <c r="BC49" s="218"/>
    </row>
    <row r="50" spans="1:57" ht="15.5">
      <c r="A50" s="221"/>
      <c r="B50" s="217"/>
      <c r="C50" s="222"/>
      <c r="D50" s="222"/>
      <c r="E50" s="222" t="s">
        <v>110</v>
      </c>
      <c r="F50" s="222" t="s">
        <v>71</v>
      </c>
      <c r="G50" s="218"/>
      <c r="I50" s="221"/>
      <c r="J50" s="341"/>
      <c r="K50" s="343"/>
      <c r="L50" s="343"/>
      <c r="M50" s="343" t="s">
        <v>110</v>
      </c>
      <c r="N50" s="343" t="s">
        <v>71</v>
      </c>
      <c r="O50" s="218"/>
      <c r="Q50" s="221"/>
      <c r="R50" s="217"/>
      <c r="S50" s="222"/>
      <c r="T50" s="222"/>
      <c r="U50" s="222" t="s">
        <v>110</v>
      </c>
      <c r="V50" s="222" t="s">
        <v>71</v>
      </c>
      <c r="W50" s="218"/>
      <c r="Y50" s="221"/>
      <c r="Z50" s="341"/>
      <c r="AA50" s="343"/>
      <c r="AB50" s="343"/>
      <c r="AC50" s="343" t="s">
        <v>110</v>
      </c>
      <c r="AD50" s="343" t="s">
        <v>71</v>
      </c>
      <c r="AE50" s="218"/>
      <c r="AG50" s="221"/>
      <c r="AH50" s="217"/>
      <c r="AI50" s="222"/>
      <c r="AJ50" s="222"/>
      <c r="AK50" s="222" t="s">
        <v>110</v>
      </c>
      <c r="AL50" s="222" t="s">
        <v>71</v>
      </c>
      <c r="AM50" s="218"/>
      <c r="AO50" s="221"/>
      <c r="AP50" s="341"/>
      <c r="AQ50" s="343"/>
      <c r="AR50" s="343"/>
      <c r="AS50" s="343" t="s">
        <v>110</v>
      </c>
      <c r="AT50" s="343" t="s">
        <v>71</v>
      </c>
      <c r="AU50" s="218"/>
      <c r="AW50" s="221"/>
      <c r="AX50" s="341"/>
      <c r="AY50" s="343"/>
      <c r="AZ50" s="343"/>
      <c r="BA50" s="343" t="s">
        <v>110</v>
      </c>
      <c r="BB50" s="343" t="s">
        <v>71</v>
      </c>
      <c r="BC50" s="218"/>
    </row>
    <row r="51" spans="1:57" ht="15.5">
      <c r="A51" s="221"/>
      <c r="B51" s="217"/>
      <c r="C51" s="223" t="s">
        <v>87</v>
      </c>
      <c r="D51" s="223"/>
      <c r="E51" s="223" t="s">
        <v>111</v>
      </c>
      <c r="F51" s="223" t="s">
        <v>112</v>
      </c>
      <c r="G51" s="218"/>
      <c r="I51" s="221"/>
      <c r="J51" s="341"/>
      <c r="K51" s="344" t="s">
        <v>87</v>
      </c>
      <c r="L51" s="344"/>
      <c r="M51" s="344" t="s">
        <v>111</v>
      </c>
      <c r="N51" s="344" t="s">
        <v>112</v>
      </c>
      <c r="O51" s="218"/>
      <c r="Q51" s="221"/>
      <c r="R51" s="217"/>
      <c r="S51" s="223" t="s">
        <v>87</v>
      </c>
      <c r="T51" s="223"/>
      <c r="U51" s="223" t="s">
        <v>111</v>
      </c>
      <c r="V51" s="223" t="s">
        <v>112</v>
      </c>
      <c r="W51" s="218"/>
      <c r="Y51" s="221"/>
      <c r="Z51" s="341"/>
      <c r="AA51" s="344" t="s">
        <v>87</v>
      </c>
      <c r="AB51" s="344"/>
      <c r="AC51" s="344" t="s">
        <v>111</v>
      </c>
      <c r="AD51" s="344" t="s">
        <v>112</v>
      </c>
      <c r="AE51" s="218"/>
      <c r="AG51" s="221"/>
      <c r="AH51" s="217"/>
      <c r="AI51" s="223" t="s">
        <v>87</v>
      </c>
      <c r="AJ51" s="223"/>
      <c r="AK51" s="223" t="s">
        <v>111</v>
      </c>
      <c r="AL51" s="223" t="s">
        <v>112</v>
      </c>
      <c r="AM51" s="218"/>
      <c r="AO51" s="221"/>
      <c r="AP51" s="341"/>
      <c r="AQ51" s="344" t="s">
        <v>87</v>
      </c>
      <c r="AR51" s="344"/>
      <c r="AS51" s="344" t="s">
        <v>111</v>
      </c>
      <c r="AT51" s="344" t="s">
        <v>112</v>
      </c>
      <c r="AU51" s="218"/>
      <c r="AW51" s="221"/>
      <c r="AX51" s="341"/>
      <c r="AY51" s="344" t="s">
        <v>87</v>
      </c>
      <c r="AZ51" s="344"/>
      <c r="BA51" s="344" t="s">
        <v>111</v>
      </c>
      <c r="BB51" s="344" t="s">
        <v>112</v>
      </c>
      <c r="BC51" s="218"/>
    </row>
    <row r="52" spans="1:57" ht="15.5">
      <c r="A52" s="224" t="str">
        <f>+A10</f>
        <v>Projected Revenue Oct. 2023 - Sep. 2024</v>
      </c>
      <c r="B52" s="215"/>
      <c r="C52" s="225"/>
      <c r="D52" s="225"/>
      <c r="E52" s="225"/>
      <c r="F52" s="225"/>
      <c r="G52" s="218"/>
      <c r="I52" s="224" t="str">
        <f>+I10</f>
        <v>Projected Revenue Oct. 2022 - Sep. 2023</v>
      </c>
      <c r="J52" s="339"/>
      <c r="K52" s="345"/>
      <c r="L52" s="345"/>
      <c r="M52" s="345"/>
      <c r="N52" s="345"/>
      <c r="O52" s="218"/>
      <c r="Q52" s="224" t="str">
        <f>+Q10</f>
        <v>Projected Revenue Oct. 2021 - Sep. 2022</v>
      </c>
      <c r="R52" s="215"/>
      <c r="S52" s="225"/>
      <c r="T52" s="225"/>
      <c r="U52" s="225"/>
      <c r="V52" s="225"/>
      <c r="W52" s="218"/>
      <c r="Y52" s="224" t="s">
        <v>241</v>
      </c>
      <c r="Z52" s="339"/>
      <c r="AA52" s="345"/>
      <c r="AB52" s="345"/>
      <c r="AC52" s="345"/>
      <c r="AD52" s="345"/>
      <c r="AE52" s="218"/>
      <c r="AG52" s="224" t="s">
        <v>233</v>
      </c>
      <c r="AH52" s="215"/>
      <c r="AI52" s="225"/>
      <c r="AJ52" s="225"/>
      <c r="AK52" s="225"/>
      <c r="AL52" s="225"/>
      <c r="AM52" s="218"/>
      <c r="AO52" s="224" t="s">
        <v>127</v>
      </c>
      <c r="AP52" s="339"/>
      <c r="AQ52" s="345"/>
      <c r="AR52" s="345"/>
      <c r="AS52" s="345"/>
      <c r="AT52" s="345"/>
      <c r="AU52" s="218"/>
      <c r="AW52" s="224" t="s">
        <v>113</v>
      </c>
      <c r="AX52" s="339"/>
      <c r="AY52" s="345"/>
      <c r="AZ52" s="345"/>
      <c r="BA52" s="345"/>
      <c r="BB52" s="345"/>
      <c r="BC52" s="218"/>
    </row>
    <row r="53" spans="1:57" ht="15.5">
      <c r="A53" s="221" t="s">
        <v>114</v>
      </c>
      <c r="B53" s="217"/>
      <c r="C53" s="226">
        <f>SUM('Customer Counts - Enspire'!F6:F8)</f>
        <v>65174</v>
      </c>
      <c r="D53" s="226"/>
      <c r="E53" s="227">
        <f>+M54</f>
        <v>1.34</v>
      </c>
      <c r="F53" s="228">
        <f>C53*E53</f>
        <v>87333.16</v>
      </c>
      <c r="G53" s="218"/>
      <c r="I53" s="221" t="s">
        <v>114</v>
      </c>
      <c r="J53" s="341"/>
      <c r="K53" s="346">
        <v>64943</v>
      </c>
      <c r="L53" s="346"/>
      <c r="M53" s="227">
        <f>+U54</f>
        <v>1.44</v>
      </c>
      <c r="N53" s="228">
        <f>K53*M53</f>
        <v>93517.92</v>
      </c>
      <c r="O53" s="218"/>
      <c r="Q53" s="221" t="s">
        <v>114</v>
      </c>
      <c r="R53" s="217"/>
      <c r="S53" s="226">
        <v>64645</v>
      </c>
      <c r="T53" s="226"/>
      <c r="U53" s="227">
        <f>+AC54</f>
        <v>0.26</v>
      </c>
      <c r="V53" s="228">
        <f>S53*U53</f>
        <v>16807.7</v>
      </c>
      <c r="W53" s="218"/>
      <c r="Y53" s="221" t="s">
        <v>114</v>
      </c>
      <c r="Z53" s="341"/>
      <c r="AA53" s="346">
        <v>64357</v>
      </c>
      <c r="AB53" s="346"/>
      <c r="AC53" s="347">
        <f>+AK54</f>
        <v>0.61</v>
      </c>
      <c r="AD53" s="348">
        <f>AA53*AC53</f>
        <v>39257.769999999997</v>
      </c>
      <c r="AE53" s="218"/>
      <c r="AG53" s="221" t="s">
        <v>114</v>
      </c>
      <c r="AH53" s="217"/>
      <c r="AI53" s="226">
        <v>63872</v>
      </c>
      <c r="AJ53" s="226"/>
      <c r="AK53" s="227">
        <f>+AS54</f>
        <v>0.72</v>
      </c>
      <c r="AL53" s="228">
        <f>AI53*AK53</f>
        <v>45987.839999999997</v>
      </c>
      <c r="AM53" s="218"/>
      <c r="AO53" s="221" t="s">
        <v>114</v>
      </c>
      <c r="AP53" s="341"/>
      <c r="AQ53" s="346">
        <v>63231</v>
      </c>
      <c r="AR53" s="346"/>
      <c r="AS53" s="227">
        <f>+BA54</f>
        <v>2.7</v>
      </c>
      <c r="AT53" s="228">
        <f>AQ53*AS53</f>
        <v>170723.7</v>
      </c>
      <c r="AU53" s="218"/>
      <c r="AW53" s="221" t="s">
        <v>114</v>
      </c>
      <c r="AX53" s="341"/>
      <c r="AY53" s="346">
        <v>62533</v>
      </c>
      <c r="AZ53" s="346"/>
      <c r="BA53" s="347">
        <v>1.94</v>
      </c>
      <c r="BB53" s="348">
        <f>AY53*BA53</f>
        <v>121314.01999999999</v>
      </c>
      <c r="BC53" s="218"/>
    </row>
    <row r="54" spans="1:57" ht="18.5">
      <c r="A54" s="229" t="s">
        <v>115</v>
      </c>
      <c r="B54" s="230"/>
      <c r="C54" s="231">
        <f>SUM('Customer Counts - Enspire'!F9:F18)</f>
        <v>217667</v>
      </c>
      <c r="D54" s="231"/>
      <c r="E54" s="227">
        <f>+O75</f>
        <v>0.7</v>
      </c>
      <c r="F54" s="232">
        <f>C54*E54</f>
        <v>152366.9</v>
      </c>
      <c r="G54" s="218"/>
      <c r="I54" s="229" t="s">
        <v>115</v>
      </c>
      <c r="J54" s="281"/>
      <c r="K54" s="349">
        <v>195226</v>
      </c>
      <c r="L54" s="349"/>
      <c r="M54" s="227">
        <f>+W75</f>
        <v>1.34</v>
      </c>
      <c r="N54" s="232">
        <f>K54*M54</f>
        <v>261602.84000000003</v>
      </c>
      <c r="O54" s="218"/>
      <c r="Q54" s="229" t="s">
        <v>115</v>
      </c>
      <c r="R54" s="230"/>
      <c r="S54" s="231">
        <v>194351</v>
      </c>
      <c r="T54" s="231"/>
      <c r="U54" s="227">
        <f>+AE75</f>
        <v>1.44</v>
      </c>
      <c r="V54" s="232">
        <f>S54*U54</f>
        <v>279865.44</v>
      </c>
      <c r="W54" s="218"/>
      <c r="Y54" s="229" t="s">
        <v>115</v>
      </c>
      <c r="Z54" s="281"/>
      <c r="AA54" s="349">
        <v>193756</v>
      </c>
      <c r="AB54" s="349"/>
      <c r="AC54" s="347">
        <f>+AM75</f>
        <v>0.26</v>
      </c>
      <c r="AD54" s="350">
        <f>AA54*AC54</f>
        <v>50376.560000000005</v>
      </c>
      <c r="AE54" s="218"/>
      <c r="AG54" s="229" t="s">
        <v>115</v>
      </c>
      <c r="AH54" s="230"/>
      <c r="AI54" s="231">
        <v>192670</v>
      </c>
      <c r="AJ54" s="231"/>
      <c r="AK54" s="227">
        <f>+AU75</f>
        <v>0.61</v>
      </c>
      <c r="AL54" s="232">
        <f>AI54*AK54</f>
        <v>117528.7</v>
      </c>
      <c r="AM54" s="218"/>
      <c r="AO54" s="229" t="s">
        <v>115</v>
      </c>
      <c r="AP54" s="281"/>
      <c r="AQ54" s="349">
        <v>148568</v>
      </c>
      <c r="AR54" s="349"/>
      <c r="AS54" s="227">
        <f>+BC73</f>
        <v>0.72</v>
      </c>
      <c r="AT54" s="232">
        <f>AQ54*AS54</f>
        <v>106968.95999999999</v>
      </c>
      <c r="AU54" s="218"/>
      <c r="AW54" s="229" t="s">
        <v>115</v>
      </c>
      <c r="AX54" s="281"/>
      <c r="AY54" s="349">
        <v>188839</v>
      </c>
      <c r="AZ54" s="349"/>
      <c r="BA54" s="347">
        <v>2.7</v>
      </c>
      <c r="BB54" s="350">
        <f>AY54*BA54</f>
        <v>509865.30000000005</v>
      </c>
      <c r="BC54" s="218"/>
    </row>
    <row r="55" spans="1:57" ht="18.5">
      <c r="A55" s="221" t="s">
        <v>71</v>
      </c>
      <c r="B55" s="217"/>
      <c r="C55" s="226">
        <f>SUM(C53:C54)</f>
        <v>282841</v>
      </c>
      <c r="D55" s="231"/>
      <c r="E55" s="217"/>
      <c r="F55" s="228">
        <f>SUM(F53:F54)</f>
        <v>239700.06</v>
      </c>
      <c r="G55" s="218"/>
      <c r="I55" s="221" t="s">
        <v>71</v>
      </c>
      <c r="J55" s="341"/>
      <c r="K55" s="346">
        <v>260169</v>
      </c>
      <c r="L55" s="349"/>
      <c r="M55" s="341"/>
      <c r="N55" s="228">
        <f>SUM(N53:N54)</f>
        <v>355120.76</v>
      </c>
      <c r="O55" s="218"/>
      <c r="Q55" s="221" t="s">
        <v>71</v>
      </c>
      <c r="R55" s="217"/>
      <c r="S55" s="226">
        <f>SUM(S53:S54)</f>
        <v>258996</v>
      </c>
      <c r="T55" s="231"/>
      <c r="U55" s="217"/>
      <c r="V55" s="228">
        <f>SUM(V53:V54)</f>
        <v>296673.14</v>
      </c>
      <c r="W55" s="218"/>
      <c r="Y55" s="221" t="s">
        <v>71</v>
      </c>
      <c r="Z55" s="341"/>
      <c r="AA55" s="346">
        <f>SUM(AA53:AA54)</f>
        <v>258113</v>
      </c>
      <c r="AB55" s="349"/>
      <c r="AC55" s="341"/>
      <c r="AD55" s="348">
        <f>SUM(AD53:AD54)</f>
        <v>89634.33</v>
      </c>
      <c r="AE55" s="218"/>
      <c r="AG55" s="221" t="s">
        <v>71</v>
      </c>
      <c r="AH55" s="217"/>
      <c r="AI55" s="226">
        <f>SUM(AI53:AI54)</f>
        <v>256542</v>
      </c>
      <c r="AJ55" s="231"/>
      <c r="AK55" s="217"/>
      <c r="AL55" s="228">
        <f>SUM(AL53:AL54)</f>
        <v>163516.53999999998</v>
      </c>
      <c r="AM55" s="218"/>
      <c r="AO55" s="221" t="s">
        <v>71</v>
      </c>
      <c r="AP55" s="341"/>
      <c r="AQ55" s="346">
        <f>SUM(AQ53:AQ54)</f>
        <v>211799</v>
      </c>
      <c r="AR55" s="349"/>
      <c r="AS55" s="341"/>
      <c r="AT55" s="228">
        <f>SUM(AT53:AT54)</f>
        <v>277692.66000000003</v>
      </c>
      <c r="AU55" s="218"/>
      <c r="AW55" s="221" t="s">
        <v>71</v>
      </c>
      <c r="AX55" s="341"/>
      <c r="AY55" s="346">
        <f>SUM(AY53:AY54)</f>
        <v>251372</v>
      </c>
      <c r="AZ55" s="349"/>
      <c r="BA55" s="341"/>
      <c r="BB55" s="348">
        <f>SUM(BB53:BB54)</f>
        <v>631179.32000000007</v>
      </c>
      <c r="BC55" s="218"/>
    </row>
    <row r="56" spans="1:57" ht="15.5">
      <c r="A56" s="221"/>
      <c r="B56" s="217"/>
      <c r="C56" s="217"/>
      <c r="D56" s="217"/>
      <c r="E56" s="217"/>
      <c r="F56" s="217"/>
      <c r="G56" s="218"/>
      <c r="I56" s="221"/>
      <c r="J56" s="341"/>
      <c r="K56" s="341"/>
      <c r="L56" s="341"/>
      <c r="M56" s="341"/>
      <c r="N56" s="341"/>
      <c r="O56" s="218"/>
      <c r="Q56" s="221"/>
      <c r="R56" s="217"/>
      <c r="S56" s="217"/>
      <c r="T56" s="217"/>
      <c r="U56" s="217"/>
      <c r="V56" s="217"/>
      <c r="W56" s="218"/>
      <c r="Y56" s="221"/>
      <c r="Z56" s="341"/>
      <c r="AA56" s="341"/>
      <c r="AB56" s="341"/>
      <c r="AC56" s="341"/>
      <c r="AD56" s="341"/>
      <c r="AE56" s="218"/>
      <c r="AG56" s="221"/>
      <c r="AH56" s="217"/>
      <c r="AI56" s="217"/>
      <c r="AJ56" s="217"/>
      <c r="AK56" s="217"/>
      <c r="AL56" s="217"/>
      <c r="AM56" s="218"/>
      <c r="AO56" s="221"/>
      <c r="AP56" s="341"/>
      <c r="AQ56" s="341"/>
      <c r="AR56" s="341"/>
      <c r="AS56" s="341"/>
      <c r="AT56" s="341"/>
      <c r="AU56" s="218"/>
      <c r="AW56" s="221"/>
      <c r="AX56" s="341"/>
      <c r="AY56" s="341"/>
      <c r="AZ56" s="341"/>
      <c r="BA56" s="341"/>
      <c r="BB56" s="341"/>
      <c r="BC56" s="218"/>
    </row>
    <row r="57" spans="1:57" ht="15.5">
      <c r="A57" s="214" t="str">
        <f>+A16</f>
        <v xml:space="preserve">Actual Commodity Revenue (Oct. 2023 - Sept. 2024) </v>
      </c>
      <c r="B57" s="217"/>
      <c r="C57" s="217"/>
      <c r="D57" s="217"/>
      <c r="E57" s="217"/>
      <c r="F57" s="228">
        <f>SUM('2023-2024 Recy. Tons &amp; Revenue'!J74:J85)</f>
        <v>480713.13023727591</v>
      </c>
      <c r="G57" s="218"/>
      <c r="I57" s="214" t="str">
        <f>+I16</f>
        <v xml:space="preserve">Actual Commodity Revenue (Oct. 2022 - Sept. 2023) </v>
      </c>
      <c r="J57" s="341"/>
      <c r="K57" s="341"/>
      <c r="L57" s="341"/>
      <c r="M57" s="341"/>
      <c r="N57" s="228">
        <v>182202.75179312602</v>
      </c>
      <c r="O57" s="218"/>
      <c r="Q57" s="214" t="str">
        <f>+Q16</f>
        <v xml:space="preserve">Actual Commodity Revenue (Oct. 2021 - Sept. 2022) </v>
      </c>
      <c r="R57" s="217"/>
      <c r="S57" s="217"/>
      <c r="T57" s="217"/>
      <c r="U57" s="217"/>
      <c r="V57" s="228">
        <v>347911.88406171836</v>
      </c>
      <c r="W57" s="218"/>
      <c r="Y57" s="214" t="str">
        <f>+Y16</f>
        <v xml:space="preserve">Actual Commodity Revenue (Oct. 2020 - Sept. 2021) </v>
      </c>
      <c r="Z57" s="341"/>
      <c r="AA57" s="341"/>
      <c r="AB57" s="341"/>
      <c r="AC57" s="341"/>
      <c r="AD57" s="348">
        <v>372608.53427144117</v>
      </c>
      <c r="AE57" s="218"/>
      <c r="AG57" s="214" t="str">
        <f>+AG16</f>
        <v xml:space="preserve">Actual Commodity Revenue (Oct. 2019 - Sept. 2020) </v>
      </c>
      <c r="AH57" s="217"/>
      <c r="AI57" s="217"/>
      <c r="AJ57" s="217"/>
      <c r="AK57" s="217"/>
      <c r="AL57" s="228">
        <v>66311.043460356566</v>
      </c>
      <c r="AM57" s="218"/>
      <c r="AO57" s="214" t="s">
        <v>129</v>
      </c>
      <c r="AP57" s="341"/>
      <c r="AQ57" s="341"/>
      <c r="AR57" s="341"/>
      <c r="AS57" s="341"/>
      <c r="AT57" s="228">
        <v>153774.15208976623</v>
      </c>
      <c r="AU57" s="218"/>
      <c r="AW57" s="221"/>
      <c r="AX57" s="341"/>
      <c r="AY57" s="341"/>
      <c r="AZ57" s="341"/>
      <c r="BA57" s="341"/>
      <c r="BB57" s="341"/>
      <c r="BC57" s="218"/>
    </row>
    <row r="58" spans="1:57" ht="15.5">
      <c r="A58" s="214" t="str">
        <f t="shared" ref="A58:A59" si="0">+A17</f>
        <v>Less: 50% retained by company</v>
      </c>
      <c r="B58" s="217"/>
      <c r="C58" s="217"/>
      <c r="D58" s="217"/>
      <c r="E58" s="217"/>
      <c r="F58" s="276">
        <f>-F57*50%</f>
        <v>-240356.56511863795</v>
      </c>
      <c r="G58" s="218"/>
      <c r="I58" s="214" t="str">
        <f t="shared" ref="I58:I59" si="1">+I17</f>
        <v>Less: 50% retained by company</v>
      </c>
      <c r="J58" s="341"/>
      <c r="K58" s="341"/>
      <c r="L58" s="341"/>
      <c r="M58" s="341"/>
      <c r="N58" s="276">
        <f>-N57*50%</f>
        <v>-91101.375896563011</v>
      </c>
      <c r="O58" s="218"/>
      <c r="Q58" s="214" t="str">
        <f t="shared" ref="Q58:Q59" si="2">+Q17</f>
        <v>Less: 50% retained by company</v>
      </c>
      <c r="R58" s="217"/>
      <c r="S58" s="217"/>
      <c r="T58" s="217"/>
      <c r="U58" s="217"/>
      <c r="V58" s="276">
        <f>-V57*50%</f>
        <v>-173955.94203085918</v>
      </c>
      <c r="W58" s="218"/>
      <c r="Y58" s="214" t="str">
        <f t="shared" ref="Y58:Y59" si="3">+Y17</f>
        <v>Less: 50% retained by company</v>
      </c>
      <c r="Z58" s="341"/>
      <c r="AA58" s="341"/>
      <c r="AB58" s="341"/>
      <c r="AC58" s="341"/>
      <c r="AD58" s="276">
        <f>-AD57*50%</f>
        <v>-186304.26713572058</v>
      </c>
      <c r="AE58" s="218"/>
      <c r="AG58" s="214" t="str">
        <f t="shared" ref="AG58:AG59" si="4">+AG17</f>
        <v>Less: 50% retained by company</v>
      </c>
      <c r="AH58" s="217"/>
      <c r="AI58" s="217"/>
      <c r="AJ58" s="217"/>
      <c r="AK58" s="217"/>
      <c r="AL58" s="276">
        <f>-AL57*50%</f>
        <v>-33155.521730178283</v>
      </c>
      <c r="AM58" s="218"/>
      <c r="AO58" s="214" t="s">
        <v>150</v>
      </c>
      <c r="AP58" s="341"/>
      <c r="AQ58" s="341"/>
      <c r="AR58" s="341"/>
      <c r="AS58" s="341"/>
      <c r="AT58" s="276">
        <f>-AT57*50%</f>
        <v>-76887.076044883113</v>
      </c>
      <c r="AU58" s="218"/>
      <c r="AW58" s="221"/>
      <c r="AX58" s="341"/>
      <c r="AY58" s="341"/>
      <c r="AZ58" s="341"/>
      <c r="BA58" s="341"/>
      <c r="BB58" s="341"/>
      <c r="BC58" s="218"/>
    </row>
    <row r="59" spans="1:57" ht="15.5">
      <c r="A59" s="214" t="str">
        <f t="shared" si="0"/>
        <v>Net Commodity Revenue</v>
      </c>
      <c r="B59" s="230"/>
      <c r="C59" s="230"/>
      <c r="D59" s="230"/>
      <c r="E59" s="230"/>
      <c r="F59" s="382">
        <f>SUM(F57:F58)</f>
        <v>240356.56511863795</v>
      </c>
      <c r="G59" s="218"/>
      <c r="I59" s="214" t="str">
        <f t="shared" si="1"/>
        <v>Net Commodity Revenue</v>
      </c>
      <c r="J59" s="281"/>
      <c r="K59" s="281"/>
      <c r="L59" s="281"/>
      <c r="M59" s="281"/>
      <c r="N59" s="277">
        <f>SUM(N57:N58)</f>
        <v>91101.375896563011</v>
      </c>
      <c r="O59" s="218"/>
      <c r="Q59" s="214" t="str">
        <f t="shared" si="2"/>
        <v>Net Commodity Revenue</v>
      </c>
      <c r="R59" s="230"/>
      <c r="S59" s="230"/>
      <c r="T59" s="230"/>
      <c r="U59" s="230"/>
      <c r="V59" s="382">
        <f>SUM(V57:V58)</f>
        <v>173955.94203085918</v>
      </c>
      <c r="W59" s="218"/>
      <c r="Y59" s="214" t="str">
        <f t="shared" si="3"/>
        <v>Net Commodity Revenue</v>
      </c>
      <c r="Z59" s="281"/>
      <c r="AA59" s="281"/>
      <c r="AB59" s="281"/>
      <c r="AC59" s="281"/>
      <c r="AD59" s="277">
        <f>SUM(AD57:AD58)</f>
        <v>186304.26713572058</v>
      </c>
      <c r="AE59" s="218"/>
      <c r="AG59" s="214" t="str">
        <f t="shared" si="4"/>
        <v>Net Commodity Revenue</v>
      </c>
      <c r="AH59" s="230"/>
      <c r="AI59" s="230"/>
      <c r="AJ59" s="230"/>
      <c r="AK59" s="230"/>
      <c r="AL59" s="382">
        <f>SUM(AL57:AL58)</f>
        <v>33155.521730178283</v>
      </c>
      <c r="AM59" s="218"/>
      <c r="AO59" s="280" t="s">
        <v>153</v>
      </c>
      <c r="AP59" s="281"/>
      <c r="AQ59" s="281"/>
      <c r="AR59" s="281"/>
      <c r="AS59" s="281"/>
      <c r="AT59" s="277">
        <f>SUM(AT57:AT58)</f>
        <v>76887.076044883113</v>
      </c>
      <c r="AU59" s="218"/>
      <c r="AW59" s="221"/>
      <c r="AX59" s="341"/>
      <c r="AY59" s="341"/>
      <c r="AZ59" s="341"/>
      <c r="BA59" s="341"/>
      <c r="BB59" s="341"/>
      <c r="BC59" s="218"/>
    </row>
    <row r="60" spans="1:57" ht="15.5">
      <c r="A60" s="229"/>
      <c r="B60" s="230"/>
      <c r="C60" s="230"/>
      <c r="D60" s="230"/>
      <c r="E60" s="230"/>
      <c r="F60" s="230"/>
      <c r="G60" s="218"/>
      <c r="I60" s="229"/>
      <c r="J60" s="281"/>
      <c r="K60" s="281"/>
      <c r="L60" s="281"/>
      <c r="M60" s="281"/>
      <c r="N60" s="281"/>
      <c r="O60" s="218"/>
      <c r="Q60" s="229"/>
      <c r="R60" s="230"/>
      <c r="S60" s="230"/>
      <c r="T60" s="230"/>
      <c r="U60" s="230"/>
      <c r="V60" s="230"/>
      <c r="W60" s="218"/>
      <c r="Y60" s="281"/>
      <c r="Z60" s="281"/>
      <c r="AA60" s="281"/>
      <c r="AB60" s="281"/>
      <c r="AC60" s="281"/>
      <c r="AD60" s="281"/>
      <c r="AE60" s="218"/>
      <c r="AG60" s="229"/>
      <c r="AH60" s="230"/>
      <c r="AI60" s="230"/>
      <c r="AJ60" s="230"/>
      <c r="AK60" s="230"/>
      <c r="AL60" s="230"/>
      <c r="AM60" s="218"/>
      <c r="AO60" s="229"/>
      <c r="AP60" s="281"/>
      <c r="AQ60" s="281"/>
      <c r="AR60" s="281"/>
      <c r="AS60" s="281"/>
      <c r="AT60" s="281"/>
      <c r="AU60" s="218"/>
      <c r="AW60" s="221"/>
      <c r="AX60" s="341"/>
      <c r="AY60" s="341"/>
      <c r="AZ60" s="341"/>
      <c r="BA60" s="341"/>
      <c r="BB60" s="341"/>
      <c r="BC60" s="218"/>
    </row>
    <row r="61" spans="1:57" ht="15.5">
      <c r="A61" s="221"/>
      <c r="B61" s="217"/>
      <c r="C61" s="217"/>
      <c r="D61" s="217"/>
      <c r="E61" s="217"/>
      <c r="F61" s="256"/>
      <c r="G61" s="218"/>
      <c r="I61" s="221"/>
      <c r="J61" s="341"/>
      <c r="K61" s="341"/>
      <c r="L61" s="341"/>
      <c r="M61" s="341"/>
      <c r="N61" s="256"/>
      <c r="O61" s="218"/>
      <c r="Q61" s="221"/>
      <c r="R61" s="217"/>
      <c r="S61" s="217"/>
      <c r="T61" s="217"/>
      <c r="U61" s="217"/>
      <c r="V61" s="256"/>
      <c r="W61" s="218"/>
      <c r="Y61" s="221"/>
      <c r="Z61" s="341"/>
      <c r="AA61" s="341"/>
      <c r="AB61" s="341"/>
      <c r="AC61" s="341"/>
      <c r="AD61" s="351"/>
      <c r="AE61" s="218"/>
      <c r="AG61" s="221"/>
      <c r="AH61" s="217"/>
      <c r="AI61" s="217"/>
      <c r="AJ61" s="217"/>
      <c r="AK61" s="217"/>
      <c r="AL61" s="256"/>
      <c r="AM61" s="218"/>
      <c r="AO61" s="221" t="s">
        <v>117</v>
      </c>
      <c r="AP61" s="341"/>
      <c r="AQ61" s="341"/>
      <c r="AR61" s="341"/>
      <c r="AS61" s="341"/>
      <c r="AT61" s="256">
        <f>AT59-AT55</f>
        <v>-200805.58395511692</v>
      </c>
      <c r="AU61" s="218"/>
      <c r="AW61" s="221"/>
      <c r="AX61" s="341"/>
      <c r="AY61" s="341"/>
      <c r="AZ61" s="341"/>
      <c r="BA61" s="341"/>
      <c r="BB61" s="341"/>
      <c r="BC61" s="218"/>
    </row>
    <row r="62" spans="1:57" ht="15.5">
      <c r="A62" s="214"/>
      <c r="B62" s="217"/>
      <c r="C62" s="253"/>
      <c r="D62" s="217"/>
      <c r="E62" s="254"/>
      <c r="F62" s="228"/>
      <c r="G62" s="218"/>
      <c r="I62" s="214"/>
      <c r="J62" s="341"/>
      <c r="K62" s="253"/>
      <c r="L62" s="341"/>
      <c r="M62" s="354"/>
      <c r="N62" s="228"/>
      <c r="O62" s="218"/>
      <c r="Q62" s="214"/>
      <c r="R62" s="217"/>
      <c r="S62" s="253"/>
      <c r="T62" s="217"/>
      <c r="U62" s="254"/>
      <c r="V62" s="228"/>
      <c r="W62" s="218"/>
      <c r="Y62" s="214"/>
      <c r="Z62" s="341"/>
      <c r="AA62" s="353"/>
      <c r="AB62" s="341"/>
      <c r="AC62" s="354"/>
      <c r="AD62" s="348"/>
      <c r="AE62" s="218"/>
      <c r="AG62" s="214"/>
      <c r="AH62" s="217"/>
      <c r="AI62" s="253"/>
      <c r="AJ62" s="217"/>
      <c r="AK62" s="254"/>
      <c r="AL62" s="228"/>
      <c r="AM62" s="218"/>
      <c r="AO62" s="214" t="s">
        <v>151</v>
      </c>
      <c r="AP62" s="341"/>
      <c r="AQ62" s="253">
        <v>42056</v>
      </c>
      <c r="AR62" s="341"/>
      <c r="AS62" s="354">
        <f>BC80</f>
        <v>-1.1600000000000001</v>
      </c>
      <c r="AT62" s="228">
        <f>AS62*AQ62</f>
        <v>-48784.960000000006</v>
      </c>
      <c r="AU62" s="218"/>
      <c r="AW62" s="214" t="s">
        <v>116</v>
      </c>
      <c r="AX62" s="341"/>
      <c r="AY62" s="341"/>
      <c r="AZ62" s="341"/>
      <c r="BA62" s="341"/>
      <c r="BB62" s="348">
        <v>269162</v>
      </c>
      <c r="BC62" s="218"/>
      <c r="BE62" s="258"/>
    </row>
    <row r="63" spans="1:57" ht="15.5">
      <c r="A63" s="214"/>
      <c r="B63" s="230"/>
      <c r="C63" s="230"/>
      <c r="D63" s="230"/>
      <c r="E63" s="230"/>
      <c r="F63" s="256"/>
      <c r="G63" s="218"/>
      <c r="I63" s="214"/>
      <c r="J63" s="281"/>
      <c r="K63" s="281"/>
      <c r="L63" s="281"/>
      <c r="M63" s="281"/>
      <c r="N63" s="256"/>
      <c r="O63" s="218"/>
      <c r="Q63" s="214"/>
      <c r="R63" s="230"/>
      <c r="S63" s="230"/>
      <c r="T63" s="230"/>
      <c r="U63" s="230"/>
      <c r="V63" s="256"/>
      <c r="W63" s="218"/>
      <c r="Y63" s="214"/>
      <c r="Z63" s="281"/>
      <c r="AA63" s="281"/>
      <c r="AB63" s="281"/>
      <c r="AC63" s="281"/>
      <c r="AD63" s="256"/>
      <c r="AE63" s="218"/>
      <c r="AG63" s="214"/>
      <c r="AH63" s="230"/>
      <c r="AI63" s="230"/>
      <c r="AJ63" s="230"/>
      <c r="AK63" s="230"/>
      <c r="AL63" s="256"/>
      <c r="AM63" s="218"/>
      <c r="AO63" s="214" t="s">
        <v>148</v>
      </c>
      <c r="AP63" s="281"/>
      <c r="AQ63" s="281"/>
      <c r="AR63" s="281"/>
      <c r="AS63" s="281"/>
      <c r="AT63" s="278">
        <v>4957.7399619857606</v>
      </c>
      <c r="AU63" s="218"/>
      <c r="AW63" s="221"/>
      <c r="AX63" s="341"/>
      <c r="AY63" s="341"/>
      <c r="AZ63" s="341"/>
      <c r="BA63" s="341"/>
      <c r="BB63" s="348"/>
      <c r="BC63" s="218"/>
    </row>
    <row r="64" spans="1:57" ht="15.5">
      <c r="A64" s="229" t="s">
        <v>154</v>
      </c>
      <c r="B64" s="230"/>
      <c r="C64" s="230"/>
      <c r="D64" s="230"/>
      <c r="E64" s="230"/>
      <c r="F64" s="382">
        <f>+F59-F55</f>
        <v>656.50511863795691</v>
      </c>
      <c r="G64" s="218"/>
      <c r="I64" s="229" t="s">
        <v>154</v>
      </c>
      <c r="J64" s="281"/>
      <c r="K64" s="281"/>
      <c r="L64" s="281"/>
      <c r="M64" s="281"/>
      <c r="N64" s="277">
        <f>+N59-N55</f>
        <v>-264019.38410343701</v>
      </c>
      <c r="O64" s="218" t="s">
        <v>237</v>
      </c>
      <c r="Q64" s="229" t="s">
        <v>154</v>
      </c>
      <c r="R64" s="230"/>
      <c r="S64" s="230"/>
      <c r="T64" s="230"/>
      <c r="U64" s="230"/>
      <c r="V64" s="382">
        <f>+V59-V55</f>
        <v>-122717.19796914083</v>
      </c>
      <c r="W64" s="218" t="s">
        <v>237</v>
      </c>
      <c r="Y64" s="281" t="s">
        <v>154</v>
      </c>
      <c r="Z64" s="281"/>
      <c r="AA64" s="281"/>
      <c r="AB64" s="281"/>
      <c r="AC64" s="281"/>
      <c r="AD64" s="277">
        <f>+AD59-AD55</f>
        <v>96669.937135720582</v>
      </c>
      <c r="AE64" s="218"/>
      <c r="AG64" s="229" t="s">
        <v>154</v>
      </c>
      <c r="AH64" s="230"/>
      <c r="AI64" s="230"/>
      <c r="AJ64" s="230"/>
      <c r="AK64" s="230"/>
      <c r="AL64" s="382">
        <f>+AL59-AL55</f>
        <v>-130361.0182698217</v>
      </c>
      <c r="AM64" s="218"/>
      <c r="AO64" s="229" t="s">
        <v>154</v>
      </c>
      <c r="AP64" s="281"/>
      <c r="AQ64" s="281"/>
      <c r="AR64" s="281"/>
      <c r="AS64" s="281"/>
      <c r="AT64" s="277">
        <f>SUM(AT61:AT63)</f>
        <v>-244632.80399313118</v>
      </c>
      <c r="AU64" s="218"/>
      <c r="AW64" s="221" t="s">
        <v>117</v>
      </c>
      <c r="AX64" s="341"/>
      <c r="AY64" s="341"/>
      <c r="AZ64" s="341"/>
      <c r="BA64" s="341"/>
      <c r="BB64" s="346">
        <f>BB62-BB55</f>
        <v>-362017.32000000007</v>
      </c>
      <c r="BC64" s="218"/>
    </row>
    <row r="65" spans="1:55" ht="18.5">
      <c r="A65" s="229"/>
      <c r="B65" s="230"/>
      <c r="C65" s="230"/>
      <c r="D65" s="230"/>
      <c r="E65" s="230"/>
      <c r="F65" s="230"/>
      <c r="G65" s="218"/>
      <c r="I65" s="229"/>
      <c r="J65" s="281"/>
      <c r="K65" s="281"/>
      <c r="L65" s="281"/>
      <c r="M65" s="281"/>
      <c r="N65" s="281"/>
      <c r="O65" s="218"/>
      <c r="Q65" s="229"/>
      <c r="R65" s="230"/>
      <c r="S65" s="230"/>
      <c r="T65" s="230"/>
      <c r="U65" s="230"/>
      <c r="V65" s="230"/>
      <c r="W65" s="218"/>
      <c r="Y65" s="281"/>
      <c r="Z65" s="281"/>
      <c r="AA65" s="281"/>
      <c r="AB65" s="281"/>
      <c r="AC65" s="281"/>
      <c r="AD65" s="281"/>
      <c r="AE65" s="218"/>
      <c r="AG65" s="229"/>
      <c r="AH65" s="230"/>
      <c r="AI65" s="230"/>
      <c r="AJ65" s="230"/>
      <c r="AK65" s="230"/>
      <c r="AL65" s="230"/>
      <c r="AM65" s="218"/>
      <c r="AO65" s="229"/>
      <c r="AP65" s="281"/>
      <c r="AQ65" s="281"/>
      <c r="AR65" s="281"/>
      <c r="AS65" s="281"/>
      <c r="AT65" s="281"/>
      <c r="AU65" s="218"/>
      <c r="AW65" s="221"/>
      <c r="AX65" s="341"/>
      <c r="AY65" s="356"/>
      <c r="AZ65" s="341"/>
      <c r="BA65" s="341"/>
      <c r="BB65" s="355"/>
      <c r="BC65" s="218"/>
    </row>
    <row r="66" spans="1:55" ht="15.5">
      <c r="A66" s="221" t="s">
        <v>118</v>
      </c>
      <c r="B66" s="217"/>
      <c r="C66" s="217"/>
      <c r="D66" s="217"/>
      <c r="E66" s="217"/>
      <c r="F66" s="226">
        <f>+C55</f>
        <v>282841</v>
      </c>
      <c r="G66" s="218"/>
      <c r="I66" s="221" t="s">
        <v>118</v>
      </c>
      <c r="J66" s="341"/>
      <c r="K66" s="341"/>
      <c r="L66" s="341"/>
      <c r="M66" s="341"/>
      <c r="N66" s="346">
        <f>+K55</f>
        <v>260169</v>
      </c>
      <c r="O66" s="218"/>
      <c r="Q66" s="221" t="s">
        <v>118</v>
      </c>
      <c r="R66" s="217"/>
      <c r="S66" s="217"/>
      <c r="T66" s="217"/>
      <c r="U66" s="217"/>
      <c r="V66" s="226">
        <f>+S55</f>
        <v>258996</v>
      </c>
      <c r="W66" s="218"/>
      <c r="Y66" s="221" t="s">
        <v>118</v>
      </c>
      <c r="Z66" s="341"/>
      <c r="AA66" s="341"/>
      <c r="AB66" s="341"/>
      <c r="AC66" s="341"/>
      <c r="AD66" s="346">
        <f>+AA55</f>
        <v>258113</v>
      </c>
      <c r="AE66" s="218"/>
      <c r="AG66" s="221" t="s">
        <v>118</v>
      </c>
      <c r="AH66" s="217"/>
      <c r="AI66" s="217"/>
      <c r="AJ66" s="217"/>
      <c r="AK66" s="217"/>
      <c r="AL66" s="226">
        <f>+AI55</f>
        <v>256542</v>
      </c>
      <c r="AM66" s="218"/>
      <c r="AO66" s="221" t="s">
        <v>118</v>
      </c>
      <c r="AP66" s="341"/>
      <c r="AQ66" s="341"/>
      <c r="AR66" s="341"/>
      <c r="AS66" s="341"/>
      <c r="AT66" s="346">
        <v>253855</v>
      </c>
      <c r="AU66" s="218"/>
      <c r="AW66" s="221" t="s">
        <v>118</v>
      </c>
      <c r="AX66" s="341"/>
      <c r="AY66" s="341"/>
      <c r="AZ66" s="341"/>
      <c r="BA66" s="341"/>
      <c r="BB66" s="346">
        <f>+AY55</f>
        <v>251372</v>
      </c>
      <c r="BC66" s="218"/>
    </row>
    <row r="67" spans="1:55" ht="15.5">
      <c r="A67" s="221"/>
      <c r="B67" s="217"/>
      <c r="C67" s="217"/>
      <c r="D67" s="217"/>
      <c r="E67" s="217"/>
      <c r="F67" s="217"/>
      <c r="G67" s="218"/>
      <c r="I67" s="221"/>
      <c r="J67" s="341"/>
      <c r="K67" s="341"/>
      <c r="L67" s="341"/>
      <c r="M67" s="341"/>
      <c r="N67" s="341"/>
      <c r="O67" s="218"/>
      <c r="Q67" s="221"/>
      <c r="R67" s="217"/>
      <c r="S67" s="217"/>
      <c r="T67" s="217"/>
      <c r="U67" s="217"/>
      <c r="V67" s="217"/>
      <c r="W67" s="218"/>
      <c r="Y67" s="221"/>
      <c r="Z67" s="341"/>
      <c r="AA67" s="341"/>
      <c r="AB67" s="341"/>
      <c r="AC67" s="341"/>
      <c r="AD67" s="341"/>
      <c r="AE67" s="218"/>
      <c r="AG67" s="221"/>
      <c r="AH67" s="217"/>
      <c r="AI67" s="217"/>
      <c r="AJ67" s="217"/>
      <c r="AK67" s="217"/>
      <c r="AL67" s="217"/>
      <c r="AM67" s="218"/>
      <c r="AO67" s="221"/>
      <c r="AP67" s="341"/>
      <c r="AQ67" s="341"/>
      <c r="AR67" s="341"/>
      <c r="AS67" s="341"/>
      <c r="AT67" s="341"/>
      <c r="AU67" s="218"/>
      <c r="AW67" s="221"/>
      <c r="AX67" s="341"/>
      <c r="AY67" s="341"/>
      <c r="AZ67" s="341"/>
      <c r="BA67" s="341"/>
      <c r="BB67" s="341"/>
      <c r="BC67" s="218"/>
    </row>
    <row r="68" spans="1:55" ht="15.5">
      <c r="A68" s="221" t="s">
        <v>119</v>
      </c>
      <c r="B68" s="217"/>
      <c r="C68" s="217"/>
      <c r="D68" s="217"/>
      <c r="E68" s="217"/>
      <c r="F68" s="235"/>
      <c r="G68" s="236">
        <f>F64/F66</f>
        <v>2.3211101595523877E-3</v>
      </c>
      <c r="I68" s="221" t="s">
        <v>119</v>
      </c>
      <c r="J68" s="341"/>
      <c r="K68" s="341"/>
      <c r="L68" s="341"/>
      <c r="M68" s="341"/>
      <c r="N68" s="235"/>
      <c r="O68" s="236">
        <f>N64/N66</f>
        <v>-1.0147995499211551</v>
      </c>
      <c r="Q68" s="221" t="s">
        <v>119</v>
      </c>
      <c r="R68" s="217"/>
      <c r="S68" s="217"/>
      <c r="T68" s="217"/>
      <c r="U68" s="217"/>
      <c r="V68" s="235"/>
      <c r="W68" s="236">
        <f>V64/V66</f>
        <v>-0.47381889283672657</v>
      </c>
      <c r="Y68" s="221" t="s">
        <v>119</v>
      </c>
      <c r="Z68" s="341"/>
      <c r="AA68" s="341"/>
      <c r="AB68" s="341"/>
      <c r="AC68" s="341"/>
      <c r="AD68" s="357"/>
      <c r="AE68" s="236">
        <f>AD64/AD66</f>
        <v>0.37452564239585212</v>
      </c>
      <c r="AG68" s="221" t="s">
        <v>119</v>
      </c>
      <c r="AH68" s="217"/>
      <c r="AI68" s="217"/>
      <c r="AJ68" s="217"/>
      <c r="AK68" s="217"/>
      <c r="AL68" s="235"/>
      <c r="AM68" s="236">
        <f>AL64/AL66</f>
        <v>-0.508146885382595</v>
      </c>
      <c r="AO68" s="221" t="s">
        <v>119</v>
      </c>
      <c r="AP68" s="341"/>
      <c r="AQ68" s="341"/>
      <c r="AR68" s="341"/>
      <c r="AS68" s="341"/>
      <c r="AT68" s="235"/>
      <c r="AU68" s="236">
        <f>AT64/AT66</f>
        <v>-0.96367140293920217</v>
      </c>
      <c r="AW68" s="221" t="s">
        <v>119</v>
      </c>
      <c r="AX68" s="341"/>
      <c r="AY68" s="341"/>
      <c r="AZ68" s="341"/>
      <c r="BA68" s="341"/>
      <c r="BB68" s="357"/>
      <c r="BC68" s="236">
        <f>ROUND(BB64/BB66,2)</f>
        <v>-1.44</v>
      </c>
    </row>
    <row r="69" spans="1:55" ht="15.5">
      <c r="A69" s="221"/>
      <c r="B69" s="217"/>
      <c r="C69" s="217"/>
      <c r="D69" s="217"/>
      <c r="E69" s="217"/>
      <c r="F69" s="217"/>
      <c r="G69" s="236"/>
      <c r="I69" s="221"/>
      <c r="J69" s="341"/>
      <c r="K69" s="341"/>
      <c r="L69" s="341"/>
      <c r="M69" s="341"/>
      <c r="N69" s="341"/>
      <c r="O69" s="236"/>
      <c r="Q69" s="221"/>
      <c r="R69" s="217"/>
      <c r="S69" s="217"/>
      <c r="T69" s="217"/>
      <c r="U69" s="217"/>
      <c r="V69" s="217"/>
      <c r="W69" s="236"/>
      <c r="Y69" s="221"/>
      <c r="Z69" s="341"/>
      <c r="AA69" s="341"/>
      <c r="AB69" s="341"/>
      <c r="AC69" s="341"/>
      <c r="AD69" s="341"/>
      <c r="AE69" s="236"/>
      <c r="AG69" s="221"/>
      <c r="AH69" s="217"/>
      <c r="AI69" s="217"/>
      <c r="AJ69" s="217"/>
      <c r="AK69" s="217"/>
      <c r="AL69" s="217"/>
      <c r="AM69" s="236"/>
      <c r="AO69" s="221"/>
      <c r="AP69" s="341"/>
      <c r="AQ69" s="341"/>
      <c r="AR69" s="341"/>
      <c r="AS69" s="341"/>
      <c r="AT69" s="341"/>
      <c r="AU69" s="236"/>
      <c r="AW69" s="221"/>
      <c r="AX69" s="341"/>
      <c r="AY69" s="341"/>
      <c r="AZ69" s="341"/>
      <c r="BA69" s="341"/>
      <c r="BB69" s="341"/>
      <c r="BC69" s="236"/>
    </row>
    <row r="70" spans="1:55" ht="15.5">
      <c r="A70" s="221"/>
      <c r="B70" s="217"/>
      <c r="C70" s="217"/>
      <c r="D70" s="217"/>
      <c r="E70" s="217"/>
      <c r="F70" s="217"/>
      <c r="G70" s="236"/>
      <c r="I70" s="221"/>
      <c r="J70" s="341"/>
      <c r="K70" s="341"/>
      <c r="L70" s="341"/>
      <c r="M70" s="341"/>
      <c r="N70" s="341"/>
      <c r="O70" s="236"/>
      <c r="Q70" s="221"/>
      <c r="R70" s="217"/>
      <c r="S70" s="217"/>
      <c r="T70" s="217"/>
      <c r="U70" s="217"/>
      <c r="V70" s="217"/>
      <c r="W70" s="236"/>
      <c r="Y70" s="221"/>
      <c r="Z70" s="341"/>
      <c r="AA70" s="341"/>
      <c r="AB70" s="341"/>
      <c r="AC70" s="341"/>
      <c r="AD70" s="341"/>
      <c r="AE70" s="236"/>
      <c r="AG70" s="221"/>
      <c r="AH70" s="217"/>
      <c r="AI70" s="217"/>
      <c r="AJ70" s="217"/>
      <c r="AK70" s="217"/>
      <c r="AL70" s="217"/>
      <c r="AM70" s="236"/>
      <c r="AO70" s="221"/>
      <c r="AP70" s="341"/>
      <c r="AQ70" s="341"/>
      <c r="AR70" s="341"/>
      <c r="AS70" s="341"/>
      <c r="AT70" s="341"/>
      <c r="AU70" s="236"/>
      <c r="AW70" s="221"/>
      <c r="AX70" s="341"/>
      <c r="AY70" s="341"/>
      <c r="AZ70" s="341"/>
      <c r="BA70" s="341"/>
      <c r="BB70" s="341"/>
      <c r="BC70" s="236"/>
    </row>
    <row r="71" spans="1:55" ht="15.5">
      <c r="A71" s="237" t="str">
        <f>+A29</f>
        <v>Projected Revenue Oct. 2023 - Sep. 2024 (based on most recent 12 months)</v>
      </c>
      <c r="B71" s="215"/>
      <c r="C71" s="217"/>
      <c r="D71" s="217"/>
      <c r="E71" s="217"/>
      <c r="F71" s="238">
        <f>F57</f>
        <v>480713.13023727591</v>
      </c>
      <c r="G71" s="236"/>
      <c r="I71" s="237" t="str">
        <f>+I29</f>
        <v>Projected Revenue Oct. 2022 - Sep. 2023 (based on most recent 12 months)</v>
      </c>
      <c r="J71" s="339"/>
      <c r="K71" s="341"/>
      <c r="L71" s="341"/>
      <c r="M71" s="341"/>
      <c r="N71" s="238">
        <f>N57</f>
        <v>182202.75179312602</v>
      </c>
      <c r="O71" s="236"/>
      <c r="Q71" s="237" t="str">
        <f>+Q29</f>
        <v>Projected Revenue Oct. 2022 - Sep. 2023 (based on most recent 12 months)</v>
      </c>
      <c r="R71" s="215"/>
      <c r="S71" s="217"/>
      <c r="T71" s="217"/>
      <c r="U71" s="217"/>
      <c r="V71" s="238">
        <f>V57</f>
        <v>347911.88406171836</v>
      </c>
      <c r="W71" s="236"/>
      <c r="Y71" s="237" t="str">
        <f>+Y29</f>
        <v>Projected Revenue Oct. 2021 - Sep. 2022 (based on most recent 12 months)</v>
      </c>
      <c r="Z71" s="339"/>
      <c r="AA71" s="341"/>
      <c r="AB71" s="341"/>
      <c r="AC71" s="341"/>
      <c r="AD71" s="358">
        <f>AD57</f>
        <v>372608.53427144117</v>
      </c>
      <c r="AE71" s="236"/>
      <c r="AG71" s="237" t="str">
        <f>+AG29</f>
        <v>Projected Revenue Oct. 2020 - Sep. 2021 (based on most recent 12 months)</v>
      </c>
      <c r="AH71" s="215"/>
      <c r="AI71" s="217"/>
      <c r="AJ71" s="217"/>
      <c r="AK71" s="217"/>
      <c r="AL71" s="238">
        <f>AL57</f>
        <v>66311.043460356566</v>
      </c>
      <c r="AM71" s="236"/>
      <c r="AO71" s="237" t="s">
        <v>130</v>
      </c>
      <c r="AP71" s="339"/>
      <c r="AQ71" s="341"/>
      <c r="AR71" s="341"/>
      <c r="AS71" s="341"/>
      <c r="AT71" s="238">
        <f>AT57</f>
        <v>153774.15208976623</v>
      </c>
      <c r="AU71" s="236"/>
      <c r="AW71" s="237" t="s">
        <v>120</v>
      </c>
      <c r="AX71" s="339"/>
      <c r="AY71" s="341"/>
      <c r="AZ71" s="341"/>
      <c r="BA71" s="341"/>
      <c r="BB71" s="358">
        <v>91522</v>
      </c>
      <c r="BC71" s="236"/>
    </row>
    <row r="72" spans="1:55" ht="18.5">
      <c r="A72" s="214" t="s">
        <v>150</v>
      </c>
      <c r="B72" s="230"/>
      <c r="C72" s="230"/>
      <c r="D72" s="230"/>
      <c r="E72" s="230"/>
      <c r="F72" s="279">
        <f>F71*50%</f>
        <v>240356.56511863795</v>
      </c>
      <c r="G72" s="236"/>
      <c r="I72" s="214" t="s">
        <v>150</v>
      </c>
      <c r="J72" s="281"/>
      <c r="K72" s="281"/>
      <c r="L72" s="281"/>
      <c r="M72" s="281"/>
      <c r="N72" s="279">
        <f>N71*50%</f>
        <v>91101.375896563011</v>
      </c>
      <c r="O72" s="236"/>
      <c r="Q72" s="214" t="s">
        <v>150</v>
      </c>
      <c r="R72" s="230"/>
      <c r="S72" s="230"/>
      <c r="T72" s="230"/>
      <c r="U72" s="230"/>
      <c r="V72" s="279">
        <f>V71*50%</f>
        <v>173955.94203085918</v>
      </c>
      <c r="W72" s="236"/>
      <c r="Y72" s="214" t="s">
        <v>150</v>
      </c>
      <c r="Z72" s="281"/>
      <c r="AA72" s="281"/>
      <c r="AB72" s="281"/>
      <c r="AC72" s="281"/>
      <c r="AD72" s="279">
        <f>AD71*50%</f>
        <v>186304.26713572058</v>
      </c>
      <c r="AE72" s="236"/>
      <c r="AG72" s="214" t="s">
        <v>150</v>
      </c>
      <c r="AH72" s="230"/>
      <c r="AI72" s="230"/>
      <c r="AJ72" s="230"/>
      <c r="AK72" s="230"/>
      <c r="AL72" s="279">
        <f>AL71*50%</f>
        <v>33155.521730178283</v>
      </c>
      <c r="AM72" s="236"/>
      <c r="AO72" s="214" t="s">
        <v>150</v>
      </c>
      <c r="AP72" s="281"/>
      <c r="AQ72" s="281"/>
      <c r="AR72" s="281"/>
      <c r="AS72" s="281"/>
      <c r="AT72" s="279">
        <f>AT71*50%</f>
        <v>76887.076044883113</v>
      </c>
      <c r="AU72" s="236"/>
      <c r="AW72" s="221" t="s">
        <v>118</v>
      </c>
      <c r="AX72" s="341"/>
      <c r="AY72" s="341"/>
      <c r="AZ72" s="341"/>
      <c r="BA72" s="341"/>
      <c r="BB72" s="359">
        <v>126406</v>
      </c>
      <c r="BC72" s="236"/>
    </row>
    <row r="73" spans="1:55" ht="18.5">
      <c r="A73" s="229" t="s">
        <v>152</v>
      </c>
      <c r="B73" s="230"/>
      <c r="C73" s="230"/>
      <c r="D73" s="230"/>
      <c r="E73" s="230"/>
      <c r="F73" s="382">
        <f>F71-F72</f>
        <v>240356.56511863795</v>
      </c>
      <c r="G73" s="236"/>
      <c r="I73" s="229" t="s">
        <v>152</v>
      </c>
      <c r="J73" s="281"/>
      <c r="K73" s="281"/>
      <c r="L73" s="281"/>
      <c r="M73" s="281"/>
      <c r="N73" s="277">
        <f>N71-N72</f>
        <v>91101.375896563011</v>
      </c>
      <c r="O73" s="236"/>
      <c r="Q73" s="229" t="s">
        <v>152</v>
      </c>
      <c r="R73" s="230"/>
      <c r="S73" s="230"/>
      <c r="T73" s="230"/>
      <c r="U73" s="230"/>
      <c r="V73" s="382">
        <f>V71-V72</f>
        <v>173955.94203085918</v>
      </c>
      <c r="W73" s="236"/>
      <c r="Y73" s="281" t="s">
        <v>152</v>
      </c>
      <c r="Z73" s="281"/>
      <c r="AA73" s="281"/>
      <c r="AB73" s="281"/>
      <c r="AC73" s="281"/>
      <c r="AD73" s="277">
        <f>AD71-AD72</f>
        <v>186304.26713572058</v>
      </c>
      <c r="AE73" s="236"/>
      <c r="AG73" s="229" t="s">
        <v>152</v>
      </c>
      <c r="AH73" s="230"/>
      <c r="AI73" s="230"/>
      <c r="AJ73" s="230"/>
      <c r="AK73" s="230"/>
      <c r="AL73" s="382">
        <f>AL71-AL72</f>
        <v>33155.521730178283</v>
      </c>
      <c r="AM73" s="236"/>
      <c r="AO73" s="229" t="s">
        <v>152</v>
      </c>
      <c r="AP73" s="281"/>
      <c r="AQ73" s="281"/>
      <c r="AR73" s="281"/>
      <c r="AS73" s="281"/>
      <c r="AT73" s="277">
        <f>AT71-AT72</f>
        <v>76887.076044883113</v>
      </c>
      <c r="AU73" s="236"/>
      <c r="AW73" s="221" t="s">
        <v>121</v>
      </c>
      <c r="AX73" s="341"/>
      <c r="AY73" s="341"/>
      <c r="AZ73" s="341"/>
      <c r="BA73" s="341"/>
      <c r="BB73" s="341"/>
      <c r="BC73" s="360">
        <f>ROUND(+BB71/BB72,2)</f>
        <v>0.72</v>
      </c>
    </row>
    <row r="74" spans="1:55" ht="18.5">
      <c r="A74" s="221" t="s">
        <v>118</v>
      </c>
      <c r="B74" s="217"/>
      <c r="C74" s="217"/>
      <c r="D74" s="217"/>
      <c r="E74" s="217"/>
      <c r="F74" s="239">
        <f>+F66</f>
        <v>282841</v>
      </c>
      <c r="G74" s="236"/>
      <c r="I74" s="221" t="s">
        <v>118</v>
      </c>
      <c r="J74" s="341"/>
      <c r="K74" s="341"/>
      <c r="L74" s="341"/>
      <c r="M74" s="341"/>
      <c r="N74" s="359">
        <f>+N66</f>
        <v>260169</v>
      </c>
      <c r="O74" s="236"/>
      <c r="Q74" s="221" t="s">
        <v>118</v>
      </c>
      <c r="R74" s="217"/>
      <c r="S74" s="217"/>
      <c r="T74" s="217"/>
      <c r="U74" s="217"/>
      <c r="V74" s="239">
        <f>+V66</f>
        <v>258996</v>
      </c>
      <c r="W74" s="236"/>
      <c r="Y74" s="221" t="s">
        <v>118</v>
      </c>
      <c r="Z74" s="341"/>
      <c r="AA74" s="341"/>
      <c r="AB74" s="341"/>
      <c r="AC74" s="341"/>
      <c r="AD74" s="359">
        <f>+AD66</f>
        <v>258113</v>
      </c>
      <c r="AE74" s="236"/>
      <c r="AG74" s="221" t="s">
        <v>118</v>
      </c>
      <c r="AH74" s="217"/>
      <c r="AI74" s="217"/>
      <c r="AJ74" s="217"/>
      <c r="AK74" s="217"/>
      <c r="AL74" s="239">
        <f>+AL66</f>
        <v>256542</v>
      </c>
      <c r="AM74" s="236"/>
      <c r="AO74" s="221" t="s">
        <v>118</v>
      </c>
      <c r="AP74" s="341"/>
      <c r="AQ74" s="341"/>
      <c r="AR74" s="341"/>
      <c r="AS74" s="341"/>
      <c r="AT74" s="359">
        <f>+AT66</f>
        <v>253855</v>
      </c>
      <c r="AU74" s="236"/>
      <c r="AW74" s="214" t="s">
        <v>122</v>
      </c>
      <c r="AX74" s="339"/>
      <c r="AY74" s="341"/>
      <c r="AZ74" s="341"/>
      <c r="BA74" s="341"/>
      <c r="BB74" s="341"/>
      <c r="BC74" s="244">
        <f>SUM(BC68:BC73)</f>
        <v>-0.72</v>
      </c>
    </row>
    <row r="75" spans="1:55" ht="18.5">
      <c r="A75" s="221" t="s">
        <v>121</v>
      </c>
      <c r="B75" s="217"/>
      <c r="C75" s="217"/>
      <c r="D75" s="217"/>
      <c r="E75" s="217"/>
      <c r="F75" s="217"/>
      <c r="G75" s="360">
        <f>ROUND(+F71/F74,2)</f>
        <v>1.7</v>
      </c>
      <c r="I75" s="221" t="s">
        <v>121</v>
      </c>
      <c r="J75" s="341"/>
      <c r="K75" s="341"/>
      <c r="L75" s="341"/>
      <c r="M75" s="341"/>
      <c r="N75" s="341"/>
      <c r="O75" s="360">
        <f>ROUND(+N71/N74,2)</f>
        <v>0.7</v>
      </c>
      <c r="Q75" s="221" t="s">
        <v>121</v>
      </c>
      <c r="R75" s="217"/>
      <c r="S75" s="217"/>
      <c r="T75" s="217"/>
      <c r="U75" s="217"/>
      <c r="V75" s="217"/>
      <c r="W75" s="360">
        <f>ROUND(+V71/V74,2)</f>
        <v>1.34</v>
      </c>
      <c r="Y75" s="221" t="s">
        <v>121</v>
      </c>
      <c r="Z75" s="341"/>
      <c r="AA75" s="341"/>
      <c r="AB75" s="341"/>
      <c r="AC75" s="341"/>
      <c r="AD75" s="341"/>
      <c r="AE75" s="360">
        <f>ROUND(+AD71/AD74,2)</f>
        <v>1.44</v>
      </c>
      <c r="AG75" s="221" t="s">
        <v>121</v>
      </c>
      <c r="AH75" s="217"/>
      <c r="AI75" s="217"/>
      <c r="AJ75" s="217"/>
      <c r="AK75" s="217"/>
      <c r="AL75" s="217"/>
      <c r="AM75" s="360">
        <f>ROUND(+AL71/AL74,2)</f>
        <v>0.26</v>
      </c>
      <c r="AO75" s="221" t="s">
        <v>121</v>
      </c>
      <c r="AP75" s="341"/>
      <c r="AQ75" s="341"/>
      <c r="AR75" s="341"/>
      <c r="AS75" s="341"/>
      <c r="AT75" s="341"/>
      <c r="AU75" s="360">
        <f>ROUND(+AT71/AT74,2)</f>
        <v>0.61</v>
      </c>
      <c r="AW75" s="214"/>
      <c r="AX75" s="339"/>
      <c r="AY75" s="341"/>
      <c r="AZ75" s="341"/>
      <c r="BA75" s="341"/>
      <c r="BB75" s="341"/>
      <c r="BC75" s="244"/>
    </row>
    <row r="76" spans="1:55" ht="17">
      <c r="A76" s="214" t="s">
        <v>239</v>
      </c>
      <c r="B76" s="215"/>
      <c r="C76" s="217"/>
      <c r="D76" s="217"/>
      <c r="E76" s="217"/>
      <c r="F76" s="217"/>
      <c r="G76" s="361">
        <f>SUM(G68:G75)</f>
        <v>1.7023211101595523</v>
      </c>
      <c r="I76" s="214" t="s">
        <v>239</v>
      </c>
      <c r="J76" s="339"/>
      <c r="K76" s="341"/>
      <c r="L76" s="341"/>
      <c r="M76" s="341"/>
      <c r="N76" s="341"/>
      <c r="O76" s="361">
        <f>SUM(O68:O75)</f>
        <v>-0.31479954992115511</v>
      </c>
      <c r="Q76" s="214" t="s">
        <v>239</v>
      </c>
      <c r="R76" s="215"/>
      <c r="S76" s="217"/>
      <c r="T76" s="217"/>
      <c r="U76" s="217"/>
      <c r="V76" s="217"/>
      <c r="W76" s="361">
        <f>SUM(W68:W75)</f>
        <v>0.86618110716327346</v>
      </c>
      <c r="Y76" s="214" t="s">
        <v>239</v>
      </c>
      <c r="Z76" s="339"/>
      <c r="AA76" s="341"/>
      <c r="AB76" s="341"/>
      <c r="AC76" s="341"/>
      <c r="AD76" s="341"/>
      <c r="AE76" s="361">
        <f>SUM(AE68:AE75)</f>
        <v>1.814525642395852</v>
      </c>
      <c r="AG76" s="214" t="s">
        <v>239</v>
      </c>
      <c r="AH76" s="215"/>
      <c r="AI76" s="217"/>
      <c r="AJ76" s="217"/>
      <c r="AK76" s="217"/>
      <c r="AL76" s="217"/>
      <c r="AM76" s="361">
        <f>SUM(AM68:AM75)</f>
        <v>-0.24814688538259499</v>
      </c>
      <c r="AO76" s="214" t="s">
        <v>122</v>
      </c>
      <c r="AP76" s="339"/>
      <c r="AQ76" s="341"/>
      <c r="AR76" s="341"/>
      <c r="AS76" s="341"/>
      <c r="AT76" s="341"/>
      <c r="AU76" s="244">
        <f>SUM(AU68:AU75)</f>
        <v>-0.35367140293920218</v>
      </c>
      <c r="AW76" s="229" t="s">
        <v>123</v>
      </c>
      <c r="AX76" s="339"/>
      <c r="AY76" s="341"/>
      <c r="AZ76" s="341"/>
      <c r="BA76" s="362">
        <f>+AY55/12*0.5</f>
        <v>10473.833333333334</v>
      </c>
      <c r="BB76" s="341"/>
      <c r="BC76" s="244">
        <f>ROUND(-BA76/AY55*2,2)</f>
        <v>-0.08</v>
      </c>
    </row>
    <row r="77" spans="1:55" ht="15.5">
      <c r="A77" s="214"/>
      <c r="B77" s="215"/>
      <c r="C77" s="217"/>
      <c r="D77" s="217"/>
      <c r="E77" s="217"/>
      <c r="F77" s="217"/>
      <c r="G77" s="244"/>
      <c r="I77" s="214"/>
      <c r="J77" s="339"/>
      <c r="K77" s="341"/>
      <c r="L77" s="341"/>
      <c r="M77" s="341"/>
      <c r="N77" s="341"/>
      <c r="O77" s="244"/>
      <c r="Q77" s="214"/>
      <c r="R77" s="215"/>
      <c r="S77" s="217"/>
      <c r="T77" s="217"/>
      <c r="U77" s="217"/>
      <c r="V77" s="217"/>
      <c r="W77" s="244"/>
      <c r="Y77" s="214"/>
      <c r="Z77" s="339"/>
      <c r="AA77" s="341"/>
      <c r="AB77" s="341"/>
      <c r="AC77" s="341"/>
      <c r="AD77" s="341"/>
      <c r="AE77" s="244"/>
      <c r="AG77" s="214"/>
      <c r="AH77" s="215"/>
      <c r="AI77" s="217"/>
      <c r="AJ77" s="217"/>
      <c r="AK77" s="217"/>
      <c r="AL77" s="217"/>
      <c r="AM77" s="244"/>
      <c r="AO77" s="214"/>
      <c r="AP77" s="339"/>
      <c r="AQ77" s="341"/>
      <c r="AR77" s="341"/>
      <c r="AS77" s="341"/>
      <c r="AT77" s="341"/>
      <c r="AU77" s="244"/>
      <c r="AW77" s="214"/>
      <c r="AX77" s="339"/>
      <c r="AY77" s="341"/>
      <c r="AZ77" s="341"/>
      <c r="BA77" s="341"/>
      <c r="BB77" s="341"/>
      <c r="BC77" s="244"/>
    </row>
    <row r="78" spans="1:55" ht="20">
      <c r="A78" s="229"/>
      <c r="B78" s="217"/>
      <c r="C78" s="217"/>
      <c r="D78" s="217"/>
      <c r="E78" s="245"/>
      <c r="F78" s="217"/>
      <c r="G78" s="364"/>
      <c r="I78" s="229"/>
      <c r="J78" s="341"/>
      <c r="K78" s="341"/>
      <c r="L78" s="341"/>
      <c r="M78" s="504"/>
      <c r="N78" s="341"/>
      <c r="O78" s="364"/>
      <c r="Q78" s="229"/>
      <c r="R78" s="217"/>
      <c r="S78" s="217"/>
      <c r="T78" s="217"/>
      <c r="U78" s="245"/>
      <c r="V78" s="217"/>
      <c r="W78" s="364"/>
      <c r="Y78" s="229"/>
      <c r="Z78" s="341"/>
      <c r="AA78" s="341"/>
      <c r="AB78" s="341"/>
      <c r="AC78" s="363"/>
      <c r="AD78" s="341"/>
      <c r="AE78" s="364"/>
      <c r="AG78" s="229"/>
      <c r="AH78" s="217"/>
      <c r="AI78" s="217"/>
      <c r="AJ78" s="217"/>
      <c r="AK78" s="245"/>
      <c r="AL78" s="217"/>
      <c r="AM78" s="364"/>
      <c r="AO78" s="229"/>
      <c r="AP78" s="341"/>
      <c r="AQ78" s="341"/>
      <c r="AR78" s="341"/>
      <c r="AS78" s="245"/>
      <c r="AT78" s="341"/>
      <c r="AU78" s="364"/>
      <c r="AW78" s="229" t="s">
        <v>124</v>
      </c>
      <c r="AX78" s="341"/>
      <c r="AY78" s="341"/>
      <c r="AZ78" s="341"/>
      <c r="BA78" s="363">
        <v>0.5</v>
      </c>
      <c r="BB78" s="341"/>
      <c r="BC78" s="364">
        <f>-BA78*BC73</f>
        <v>-0.36</v>
      </c>
    </row>
    <row r="79" spans="1:55" ht="20">
      <c r="A79" s="229"/>
      <c r="B79" s="217"/>
      <c r="C79" s="217"/>
      <c r="D79" s="217"/>
      <c r="E79" s="248"/>
      <c r="F79" s="217"/>
      <c r="G79" s="364"/>
      <c r="I79" s="229"/>
      <c r="J79" s="341"/>
      <c r="K79" s="341"/>
      <c r="L79" s="341"/>
      <c r="M79" s="505"/>
      <c r="N79" s="341"/>
      <c r="O79" s="364"/>
      <c r="Q79" s="229"/>
      <c r="R79" s="217"/>
      <c r="S79" s="217"/>
      <c r="T79" s="217"/>
      <c r="U79" s="248"/>
      <c r="V79" s="217"/>
      <c r="W79" s="364"/>
      <c r="Y79" s="229"/>
      <c r="Z79" s="341"/>
      <c r="AA79" s="341"/>
      <c r="AB79" s="341"/>
      <c r="AC79" s="365"/>
      <c r="AD79" s="341"/>
      <c r="AE79" s="364"/>
      <c r="AG79" s="229"/>
      <c r="AH79" s="217"/>
      <c r="AI79" s="217"/>
      <c r="AJ79" s="217"/>
      <c r="AK79" s="248"/>
      <c r="AL79" s="217"/>
      <c r="AM79" s="364"/>
      <c r="AO79" s="229"/>
      <c r="AP79" s="341"/>
      <c r="AQ79" s="341"/>
      <c r="AR79" s="341"/>
      <c r="AS79" s="248"/>
      <c r="AT79" s="341"/>
      <c r="AU79" s="364"/>
      <c r="AW79" s="229"/>
      <c r="AX79" s="341"/>
      <c r="AY79" s="341"/>
      <c r="AZ79" s="341"/>
      <c r="BA79" s="365"/>
      <c r="BB79" s="341"/>
      <c r="BC79" s="364"/>
    </row>
    <row r="80" spans="1:55" ht="17">
      <c r="A80" s="214"/>
      <c r="B80" s="217"/>
      <c r="C80" s="217"/>
      <c r="D80" s="217"/>
      <c r="E80" s="248"/>
      <c r="F80" s="217"/>
      <c r="G80" s="361"/>
      <c r="I80" s="214"/>
      <c r="J80" s="341"/>
      <c r="K80" s="341"/>
      <c r="L80" s="341"/>
      <c r="M80" s="505"/>
      <c r="N80" s="341"/>
      <c r="O80" s="361"/>
      <c r="Q80" s="214"/>
      <c r="R80" s="217"/>
      <c r="S80" s="217"/>
      <c r="T80" s="217"/>
      <c r="U80" s="248"/>
      <c r="V80" s="217"/>
      <c r="W80" s="361"/>
      <c r="Y80" s="214"/>
      <c r="Z80" s="341"/>
      <c r="AA80" s="341"/>
      <c r="AB80" s="341"/>
      <c r="AC80" s="365"/>
      <c r="AD80" s="341"/>
      <c r="AE80" s="361"/>
      <c r="AG80" s="214"/>
      <c r="AH80" s="217"/>
      <c r="AI80" s="217"/>
      <c r="AJ80" s="217"/>
      <c r="AK80" s="248"/>
      <c r="AL80" s="217"/>
      <c r="AM80" s="361"/>
      <c r="AO80" s="214"/>
      <c r="AP80" s="341"/>
      <c r="AQ80" s="341"/>
      <c r="AR80" s="341"/>
      <c r="AS80" s="248"/>
      <c r="AT80" s="341"/>
      <c r="AU80" s="361"/>
      <c r="AW80" s="214" t="s">
        <v>146</v>
      </c>
      <c r="AX80" s="341"/>
      <c r="AY80" s="341"/>
      <c r="AZ80" s="341"/>
      <c r="BA80" s="365"/>
      <c r="BB80" s="341"/>
      <c r="BC80" s="361">
        <f>+BC74+BC78+BC76</f>
        <v>-1.1600000000000001</v>
      </c>
    </row>
    <row r="81" spans="1:55" ht="13" thickBot="1">
      <c r="A81" s="250"/>
      <c r="B81" s="251"/>
      <c r="C81" s="251"/>
      <c r="D81" s="251"/>
      <c r="E81" s="251"/>
      <c r="F81" s="251"/>
      <c r="G81" s="252"/>
      <c r="I81" s="250"/>
      <c r="J81" s="251"/>
      <c r="K81" s="251"/>
      <c r="L81" s="251"/>
      <c r="M81" s="251"/>
      <c r="N81" s="251"/>
      <c r="O81" s="252"/>
      <c r="Q81" s="250"/>
      <c r="R81" s="251"/>
      <c r="S81" s="251"/>
      <c r="T81" s="251"/>
      <c r="U81" s="251"/>
      <c r="V81" s="251"/>
      <c r="W81" s="252"/>
      <c r="Y81" s="250"/>
      <c r="Z81" s="251"/>
      <c r="AA81" s="251"/>
      <c r="AB81" s="251"/>
      <c r="AC81" s="251"/>
      <c r="AD81" s="251"/>
      <c r="AE81" s="252"/>
      <c r="AG81" s="250"/>
      <c r="AH81" s="251"/>
      <c r="AI81" s="251"/>
      <c r="AJ81" s="251"/>
      <c r="AK81" s="251"/>
      <c r="AL81" s="251"/>
      <c r="AM81" s="252"/>
      <c r="AO81" s="250"/>
      <c r="AP81" s="251"/>
      <c r="AQ81" s="251"/>
      <c r="AR81" s="251"/>
      <c r="AS81" s="251"/>
      <c r="AT81" s="251"/>
      <c r="AU81" s="252"/>
      <c r="AW81" s="250"/>
      <c r="AX81" s="251"/>
      <c r="AY81" s="251"/>
      <c r="AZ81" s="251"/>
      <c r="BA81" s="251"/>
      <c r="BB81" s="251"/>
      <c r="BC81" s="252"/>
    </row>
    <row r="83" spans="1:55" ht="13" thickBot="1"/>
    <row r="84" spans="1:55" ht="23">
      <c r="A84" s="210" t="s">
        <v>126</v>
      </c>
      <c r="B84" s="211"/>
      <c r="C84" s="212"/>
      <c r="D84" s="212"/>
      <c r="E84" s="212"/>
      <c r="F84" s="212"/>
      <c r="G84" s="213"/>
      <c r="I84" s="210" t="s">
        <v>126</v>
      </c>
      <c r="J84" s="211"/>
      <c r="K84" s="212"/>
      <c r="L84" s="212"/>
      <c r="M84" s="212"/>
      <c r="N84" s="212"/>
      <c r="O84" s="213"/>
      <c r="Q84" s="210" t="s">
        <v>126</v>
      </c>
      <c r="R84" s="211"/>
      <c r="S84" s="212"/>
      <c r="T84" s="212"/>
      <c r="U84" s="212"/>
      <c r="V84" s="212"/>
      <c r="W84" s="213"/>
      <c r="Y84" s="210" t="s">
        <v>126</v>
      </c>
      <c r="Z84" s="211"/>
      <c r="AA84" s="212"/>
      <c r="AB84" s="212"/>
      <c r="AC84" s="212"/>
      <c r="AD84" s="212"/>
      <c r="AE84" s="213"/>
      <c r="AG84" s="210" t="s">
        <v>126</v>
      </c>
      <c r="AH84" s="211"/>
      <c r="AI84" s="212"/>
      <c r="AJ84" s="212"/>
      <c r="AK84" s="212"/>
      <c r="AL84" s="212"/>
      <c r="AM84" s="213"/>
      <c r="AO84" s="210" t="s">
        <v>126</v>
      </c>
      <c r="AP84" s="211"/>
      <c r="AQ84" s="212"/>
      <c r="AR84" s="212"/>
      <c r="AS84" s="212"/>
      <c r="AT84" s="212"/>
      <c r="AU84" s="213"/>
      <c r="AW84" s="210" t="s">
        <v>126</v>
      </c>
      <c r="AX84" s="211"/>
      <c r="AY84" s="212"/>
      <c r="AZ84" s="212"/>
      <c r="BA84" s="212"/>
      <c r="BB84" s="212"/>
      <c r="BC84" s="213"/>
    </row>
    <row r="85" spans="1:55" ht="15.5">
      <c r="A85" s="214" t="str">
        <f>+A2</f>
        <v>2024 - 2025 Rebate Calculation - Deferred Accounting Methodology</v>
      </c>
      <c r="B85" s="215"/>
      <c r="C85" s="216"/>
      <c r="D85" s="216"/>
      <c r="E85" s="217"/>
      <c r="F85" s="217"/>
      <c r="G85" s="218"/>
      <c r="I85" s="214" t="str">
        <f>+I2</f>
        <v>2022 - 2023 Rebate Calculation - Deferred Accounting Methodology</v>
      </c>
      <c r="J85" s="339"/>
      <c r="K85" s="340"/>
      <c r="L85" s="340"/>
      <c r="M85" s="341"/>
      <c r="N85" s="341"/>
      <c r="O85" s="218"/>
      <c r="Q85" s="214" t="str">
        <f>+Q2</f>
        <v>2021 - 2022 Rebate Calculation - Deferred Accounting Methodology</v>
      </c>
      <c r="R85" s="215"/>
      <c r="S85" s="216"/>
      <c r="T85" s="216"/>
      <c r="U85" s="217"/>
      <c r="V85" s="217"/>
      <c r="W85" s="218"/>
      <c r="Y85" s="214" t="s">
        <v>240</v>
      </c>
      <c r="Z85" s="339"/>
      <c r="AA85" s="340"/>
      <c r="AB85" s="340"/>
      <c r="AC85" s="341"/>
      <c r="AD85" s="341"/>
      <c r="AE85" s="218"/>
      <c r="AG85" s="214" t="s">
        <v>109</v>
      </c>
      <c r="AH85" s="215"/>
      <c r="AI85" s="216"/>
      <c r="AJ85" s="216"/>
      <c r="AK85" s="217"/>
      <c r="AL85" s="217"/>
      <c r="AM85" s="218"/>
      <c r="AO85" s="214" t="s">
        <v>109</v>
      </c>
      <c r="AP85" s="339"/>
      <c r="AQ85" s="340"/>
      <c r="AR85" s="340"/>
      <c r="AS85" s="341"/>
      <c r="AT85" s="341"/>
      <c r="AU85" s="218"/>
      <c r="AW85" s="214" t="s">
        <v>109</v>
      </c>
      <c r="AX85" s="339"/>
      <c r="AY85" s="340"/>
      <c r="AZ85" s="340"/>
      <c r="BA85" s="341"/>
      <c r="BB85" s="341"/>
      <c r="BC85" s="218"/>
    </row>
    <row r="86" spans="1:55" ht="15.5">
      <c r="A86" s="219"/>
      <c r="B86" s="220"/>
      <c r="C86" s="217"/>
      <c r="D86" s="217"/>
      <c r="E86" s="217"/>
      <c r="F86" s="217"/>
      <c r="G86" s="218"/>
      <c r="I86" s="219"/>
      <c r="J86" s="368"/>
      <c r="K86" s="341"/>
      <c r="L86" s="341"/>
      <c r="M86" s="341"/>
      <c r="N86" s="341"/>
      <c r="O86" s="218"/>
      <c r="Q86" s="219"/>
      <c r="R86" s="220"/>
      <c r="S86" s="217"/>
      <c r="T86" s="217"/>
      <c r="U86" s="217"/>
      <c r="V86" s="217"/>
      <c r="W86" s="218"/>
      <c r="Y86" s="219"/>
      <c r="Z86" s="368"/>
      <c r="AA86" s="341"/>
      <c r="AB86" s="341"/>
      <c r="AC86" s="341"/>
      <c r="AD86" s="341"/>
      <c r="AE86" s="218"/>
      <c r="AG86" s="219"/>
      <c r="AH86" s="220"/>
      <c r="AI86" s="217"/>
      <c r="AJ86" s="217"/>
      <c r="AK86" s="217"/>
      <c r="AL86" s="217"/>
      <c r="AM86" s="218"/>
      <c r="AO86" s="219"/>
      <c r="AP86" s="368"/>
      <c r="AQ86" s="341"/>
      <c r="AR86" s="341"/>
      <c r="AS86" s="341"/>
      <c r="AT86" s="341"/>
      <c r="AU86" s="218"/>
      <c r="AW86" s="219"/>
      <c r="AX86" s="368"/>
      <c r="AY86" s="341"/>
      <c r="AZ86" s="341"/>
      <c r="BA86" s="341"/>
      <c r="BB86" s="341"/>
      <c r="BC86" s="218"/>
    </row>
    <row r="87" spans="1:55" ht="15.5">
      <c r="A87" s="512" t="s">
        <v>19</v>
      </c>
      <c r="B87" s="513"/>
      <c r="C87" s="513"/>
      <c r="D87" s="513"/>
      <c r="E87" s="513"/>
      <c r="F87" s="513"/>
      <c r="G87" s="514"/>
      <c r="I87" s="507" t="s">
        <v>19</v>
      </c>
      <c r="J87" s="508"/>
      <c r="K87" s="508"/>
      <c r="L87" s="508"/>
      <c r="M87" s="508"/>
      <c r="N87" s="508"/>
      <c r="O87" s="509"/>
      <c r="Q87" s="512" t="s">
        <v>19</v>
      </c>
      <c r="R87" s="513"/>
      <c r="S87" s="513"/>
      <c r="T87" s="513"/>
      <c r="U87" s="513"/>
      <c r="V87" s="513"/>
      <c r="W87" s="514"/>
      <c r="Y87" s="512" t="s">
        <v>19</v>
      </c>
      <c r="Z87" s="528"/>
      <c r="AA87" s="528"/>
      <c r="AB87" s="528"/>
      <c r="AC87" s="528"/>
      <c r="AD87" s="528"/>
      <c r="AE87" s="514"/>
      <c r="AG87" s="512" t="s">
        <v>19</v>
      </c>
      <c r="AH87" s="513"/>
      <c r="AI87" s="513"/>
      <c r="AJ87" s="513"/>
      <c r="AK87" s="513"/>
      <c r="AL87" s="513"/>
      <c r="AM87" s="514"/>
      <c r="AO87" s="512" t="s">
        <v>19</v>
      </c>
      <c r="AP87" s="528"/>
      <c r="AQ87" s="528"/>
      <c r="AR87" s="528"/>
      <c r="AS87" s="528"/>
      <c r="AT87" s="528"/>
      <c r="AU87" s="514"/>
      <c r="AW87" s="512" t="s">
        <v>19</v>
      </c>
      <c r="AX87" s="528"/>
      <c r="AY87" s="528"/>
      <c r="AZ87" s="528"/>
      <c r="BA87" s="528"/>
      <c r="BB87" s="528"/>
      <c r="BC87" s="514"/>
    </row>
    <row r="88" spans="1:55" ht="15.5">
      <c r="A88" s="221"/>
      <c r="B88" s="217"/>
      <c r="C88" s="217"/>
      <c r="D88" s="217"/>
      <c r="E88" s="217"/>
      <c r="F88" s="217"/>
      <c r="G88" s="218"/>
      <c r="I88" s="221"/>
      <c r="J88" s="341"/>
      <c r="K88" s="341"/>
      <c r="L88" s="341"/>
      <c r="M88" s="341"/>
      <c r="N88" s="341"/>
      <c r="O88" s="218"/>
      <c r="Q88" s="221"/>
      <c r="R88" s="217"/>
      <c r="S88" s="217"/>
      <c r="T88" s="217"/>
      <c r="U88" s="217"/>
      <c r="V88" s="217"/>
      <c r="W88" s="218"/>
      <c r="Y88" s="221"/>
      <c r="Z88" s="341"/>
      <c r="AA88" s="341"/>
      <c r="AB88" s="341"/>
      <c r="AC88" s="341"/>
      <c r="AD88" s="341"/>
      <c r="AE88" s="218"/>
      <c r="AG88" s="221"/>
      <c r="AH88" s="217"/>
      <c r="AI88" s="217"/>
      <c r="AJ88" s="217"/>
      <c r="AK88" s="217"/>
      <c r="AL88" s="217"/>
      <c r="AM88" s="218"/>
      <c r="AO88" s="221"/>
      <c r="AP88" s="341"/>
      <c r="AQ88" s="341"/>
      <c r="AR88" s="341"/>
      <c r="AS88" s="341"/>
      <c r="AT88" s="341"/>
      <c r="AU88" s="218"/>
      <c r="AW88" s="221"/>
      <c r="AX88" s="341"/>
      <c r="AY88" s="341"/>
      <c r="AZ88" s="341"/>
      <c r="BA88" s="341"/>
      <c r="BB88" s="341"/>
      <c r="BC88" s="218"/>
    </row>
    <row r="89" spans="1:55" ht="15.5">
      <c r="A89" s="221"/>
      <c r="B89" s="217"/>
      <c r="C89" s="222"/>
      <c r="D89" s="222"/>
      <c r="E89" s="222" t="s">
        <v>110</v>
      </c>
      <c r="F89" s="222" t="s">
        <v>71</v>
      </c>
      <c r="G89" s="218"/>
      <c r="I89" s="221"/>
      <c r="J89" s="341"/>
      <c r="K89" s="343"/>
      <c r="L89" s="343"/>
      <c r="M89" s="343" t="s">
        <v>110</v>
      </c>
      <c r="N89" s="343" t="s">
        <v>71</v>
      </c>
      <c r="O89" s="218"/>
      <c r="Q89" s="221"/>
      <c r="R89" s="217"/>
      <c r="S89" s="222"/>
      <c r="T89" s="222"/>
      <c r="U89" s="222" t="s">
        <v>110</v>
      </c>
      <c r="V89" s="222" t="s">
        <v>71</v>
      </c>
      <c r="W89" s="218"/>
      <c r="Y89" s="221"/>
      <c r="Z89" s="341"/>
      <c r="AA89" s="343"/>
      <c r="AB89" s="343"/>
      <c r="AC89" s="343" t="s">
        <v>110</v>
      </c>
      <c r="AD89" s="343" t="s">
        <v>71</v>
      </c>
      <c r="AE89" s="218"/>
      <c r="AG89" s="221"/>
      <c r="AH89" s="217"/>
      <c r="AI89" s="222"/>
      <c r="AJ89" s="222"/>
      <c r="AK89" s="222" t="s">
        <v>110</v>
      </c>
      <c r="AL89" s="222" t="s">
        <v>71</v>
      </c>
      <c r="AM89" s="218"/>
      <c r="AO89" s="221"/>
      <c r="AP89" s="341"/>
      <c r="AQ89" s="343"/>
      <c r="AR89" s="343"/>
      <c r="AS89" s="343" t="s">
        <v>110</v>
      </c>
      <c r="AT89" s="343" t="s">
        <v>71</v>
      </c>
      <c r="AU89" s="218"/>
      <c r="AW89" s="221"/>
      <c r="AX89" s="341"/>
      <c r="AY89" s="343"/>
      <c r="AZ89" s="343"/>
      <c r="BA89" s="343" t="s">
        <v>110</v>
      </c>
      <c r="BB89" s="343" t="s">
        <v>71</v>
      </c>
      <c r="BC89" s="218"/>
    </row>
    <row r="90" spans="1:55" ht="15.5">
      <c r="A90" s="221"/>
      <c r="B90" s="217"/>
      <c r="C90" s="223" t="s">
        <v>87</v>
      </c>
      <c r="D90" s="223"/>
      <c r="E90" s="223" t="s">
        <v>111</v>
      </c>
      <c r="F90" s="223" t="s">
        <v>112</v>
      </c>
      <c r="G90" s="218"/>
      <c r="I90" s="221"/>
      <c r="J90" s="341"/>
      <c r="K90" s="344" t="s">
        <v>87</v>
      </c>
      <c r="L90" s="344"/>
      <c r="M90" s="344" t="s">
        <v>111</v>
      </c>
      <c r="N90" s="344" t="s">
        <v>112</v>
      </c>
      <c r="O90" s="218"/>
      <c r="Q90" s="221"/>
      <c r="R90" s="217"/>
      <c r="S90" s="223" t="s">
        <v>87</v>
      </c>
      <c r="T90" s="223"/>
      <c r="U90" s="223" t="s">
        <v>111</v>
      </c>
      <c r="V90" s="223" t="s">
        <v>112</v>
      </c>
      <c r="W90" s="218"/>
      <c r="Y90" s="221"/>
      <c r="Z90" s="341"/>
      <c r="AA90" s="344" t="s">
        <v>87</v>
      </c>
      <c r="AB90" s="344"/>
      <c r="AC90" s="344" t="s">
        <v>111</v>
      </c>
      <c r="AD90" s="344" t="s">
        <v>112</v>
      </c>
      <c r="AE90" s="218"/>
      <c r="AG90" s="221"/>
      <c r="AH90" s="217"/>
      <c r="AI90" s="223" t="s">
        <v>87</v>
      </c>
      <c r="AJ90" s="223"/>
      <c r="AK90" s="223" t="s">
        <v>111</v>
      </c>
      <c r="AL90" s="223" t="s">
        <v>112</v>
      </c>
      <c r="AM90" s="218"/>
      <c r="AO90" s="221"/>
      <c r="AP90" s="341"/>
      <c r="AQ90" s="344" t="s">
        <v>87</v>
      </c>
      <c r="AR90" s="344"/>
      <c r="AS90" s="344" t="s">
        <v>111</v>
      </c>
      <c r="AT90" s="344" t="s">
        <v>112</v>
      </c>
      <c r="AU90" s="218"/>
      <c r="AW90" s="221"/>
      <c r="AX90" s="341"/>
      <c r="AY90" s="344" t="s">
        <v>87</v>
      </c>
      <c r="AZ90" s="344"/>
      <c r="BA90" s="344" t="s">
        <v>111</v>
      </c>
      <c r="BB90" s="344" t="s">
        <v>112</v>
      </c>
      <c r="BC90" s="218"/>
    </row>
    <row r="91" spans="1:55" ht="15.5">
      <c r="A91" s="224" t="str">
        <f>+A10</f>
        <v>Projected Revenue Oct. 2023 - Sep. 2024</v>
      </c>
      <c r="B91" s="215"/>
      <c r="C91" s="225"/>
      <c r="D91" s="225"/>
      <c r="E91" s="225"/>
      <c r="F91" s="225"/>
      <c r="G91" s="218"/>
      <c r="I91" s="224" t="str">
        <f>+I10</f>
        <v>Projected Revenue Oct. 2022 - Sep. 2023</v>
      </c>
      <c r="J91" s="339"/>
      <c r="K91" s="345"/>
      <c r="L91" s="345"/>
      <c r="M91" s="345"/>
      <c r="N91" s="345"/>
      <c r="O91" s="218"/>
      <c r="Q91" s="224" t="str">
        <f>+Q10</f>
        <v>Projected Revenue Oct. 2021 - Sep. 2022</v>
      </c>
      <c r="R91" s="215"/>
      <c r="S91" s="225"/>
      <c r="T91" s="225"/>
      <c r="U91" s="225"/>
      <c r="V91" s="225"/>
      <c r="W91" s="218"/>
      <c r="Y91" s="224" t="str">
        <f>+Y10</f>
        <v>Projected Revenue Oct. 2020 - Sep. 2021</v>
      </c>
      <c r="Z91" s="339"/>
      <c r="AA91" s="345"/>
      <c r="AB91" s="345"/>
      <c r="AC91" s="345"/>
      <c r="AD91" s="345"/>
      <c r="AE91" s="218"/>
      <c r="AG91" s="224" t="str">
        <f>+AG10</f>
        <v>Projected Revenue Oct. 2019 - Sep. 2020</v>
      </c>
      <c r="AH91" s="215"/>
      <c r="AI91" s="225"/>
      <c r="AJ91" s="225"/>
      <c r="AK91" s="225"/>
      <c r="AL91" s="225"/>
      <c r="AM91" s="218"/>
      <c r="AO91" s="224" t="s">
        <v>127</v>
      </c>
      <c r="AP91" s="339"/>
      <c r="AQ91" s="345"/>
      <c r="AR91" s="345"/>
      <c r="AS91" s="345"/>
      <c r="AT91" s="345"/>
      <c r="AU91" s="218"/>
      <c r="AW91" s="224" t="s">
        <v>113</v>
      </c>
      <c r="AX91" s="339"/>
      <c r="AY91" s="345"/>
      <c r="AZ91" s="345"/>
      <c r="BA91" s="345"/>
      <c r="BB91" s="345"/>
      <c r="BC91" s="218"/>
    </row>
    <row r="92" spans="1:55" ht="15.5">
      <c r="A92" s="221" t="s">
        <v>114</v>
      </c>
      <c r="B92" s="217"/>
      <c r="C92" s="226">
        <f>SUM('Customer Counts - Enspire'!B6:C8)</f>
        <v>56174</v>
      </c>
      <c r="D92" s="226"/>
      <c r="E92" s="227">
        <f>+M93</f>
        <v>1.58</v>
      </c>
      <c r="F92" s="228">
        <f>C92*E92</f>
        <v>88754.92</v>
      </c>
      <c r="G92" s="218"/>
      <c r="I92" s="221" t="s">
        <v>114</v>
      </c>
      <c r="J92" s="341"/>
      <c r="K92" s="346">
        <v>55895</v>
      </c>
      <c r="L92" s="346"/>
      <c r="M92" s="227">
        <f>+U93</f>
        <v>1.7</v>
      </c>
      <c r="N92" s="228">
        <f>K92*M92</f>
        <v>95021.5</v>
      </c>
      <c r="O92" s="218"/>
      <c r="Q92" s="221" t="s">
        <v>114</v>
      </c>
      <c r="R92" s="217"/>
      <c r="S92" s="226">
        <v>55785</v>
      </c>
      <c r="T92" s="226"/>
      <c r="U92" s="227">
        <f>+AC93</f>
        <v>0.3</v>
      </c>
      <c r="V92" s="228">
        <f>S92*U92</f>
        <v>16735.5</v>
      </c>
      <c r="W92" s="218"/>
      <c r="Y92" s="221" t="s">
        <v>114</v>
      </c>
      <c r="Z92" s="341"/>
      <c r="AA92" s="346">
        <v>55107</v>
      </c>
      <c r="AB92" s="346"/>
      <c r="AC92" s="347">
        <f>+AK93</f>
        <v>0.69</v>
      </c>
      <c r="AD92" s="348">
        <f>AA92*AC92</f>
        <v>38023.829999999994</v>
      </c>
      <c r="AE92" s="218"/>
      <c r="AG92" s="221" t="s">
        <v>114</v>
      </c>
      <c r="AH92" s="217"/>
      <c r="AI92" s="226">
        <v>53609</v>
      </c>
      <c r="AJ92" s="226"/>
      <c r="AK92" s="227">
        <f>+AS93</f>
        <v>0.81</v>
      </c>
      <c r="AL92" s="228">
        <f>AI92*AK92</f>
        <v>43423.29</v>
      </c>
      <c r="AM92" s="218"/>
      <c r="AO92" s="221" t="s">
        <v>114</v>
      </c>
      <c r="AP92" s="341"/>
      <c r="AQ92" s="346">
        <v>52930</v>
      </c>
      <c r="AR92" s="346"/>
      <c r="AS92" s="227">
        <f>+BA93</f>
        <v>2.33</v>
      </c>
      <c r="AT92" s="228">
        <f>AQ92*AS92</f>
        <v>123326.90000000001</v>
      </c>
      <c r="AU92" s="218"/>
      <c r="AW92" s="221" t="s">
        <v>114</v>
      </c>
      <c r="AX92" s="341"/>
      <c r="AY92" s="346">
        <v>51847</v>
      </c>
      <c r="AZ92" s="346"/>
      <c r="BA92" s="347">
        <v>1.67</v>
      </c>
      <c r="BB92" s="348">
        <f>AY92*BA92</f>
        <v>86584.489999999991</v>
      </c>
      <c r="BC92" s="218"/>
    </row>
    <row r="93" spans="1:55" ht="18.5">
      <c r="A93" s="229" t="s">
        <v>115</v>
      </c>
      <c r="B93" s="230"/>
      <c r="C93" s="231">
        <f>SUM('Customer Counts - Enspire'!B9:C18)</f>
        <v>187759</v>
      </c>
      <c r="D93" s="231"/>
      <c r="E93" s="227">
        <f>+O114</f>
        <v>0.95</v>
      </c>
      <c r="F93" s="232">
        <f>C93*E93</f>
        <v>178371.05</v>
      </c>
      <c r="G93" s="218"/>
      <c r="I93" s="229" t="s">
        <v>115</v>
      </c>
      <c r="J93" s="281"/>
      <c r="K93" s="349">
        <v>167918</v>
      </c>
      <c r="L93" s="349"/>
      <c r="M93" s="227">
        <f>+W114</f>
        <v>1.58</v>
      </c>
      <c r="N93" s="232">
        <f>K93*M93</f>
        <v>265310.44</v>
      </c>
      <c r="O93" s="218"/>
      <c r="Q93" s="229" t="s">
        <v>115</v>
      </c>
      <c r="R93" s="230"/>
      <c r="S93" s="231">
        <v>168234</v>
      </c>
      <c r="T93" s="231"/>
      <c r="U93" s="227">
        <f>+AE114</f>
        <v>1.7</v>
      </c>
      <c r="V93" s="232">
        <f>S93*U93</f>
        <v>285997.8</v>
      </c>
      <c r="W93" s="218"/>
      <c r="Y93" s="229" t="s">
        <v>115</v>
      </c>
      <c r="Z93" s="281"/>
      <c r="AA93" s="349">
        <v>166768</v>
      </c>
      <c r="AB93" s="349"/>
      <c r="AC93" s="347">
        <f>+AM114</f>
        <v>0.3</v>
      </c>
      <c r="AD93" s="350">
        <f>AA93*AC93</f>
        <v>50030.400000000001</v>
      </c>
      <c r="AE93" s="218"/>
      <c r="AG93" s="229" t="s">
        <v>115</v>
      </c>
      <c r="AH93" s="230"/>
      <c r="AI93" s="231">
        <v>163351</v>
      </c>
      <c r="AJ93" s="231"/>
      <c r="AK93" s="227">
        <f>+AU114</f>
        <v>0.69</v>
      </c>
      <c r="AL93" s="232">
        <f>AI93*AK93</f>
        <v>112712.18999999999</v>
      </c>
      <c r="AM93" s="218"/>
      <c r="AO93" s="229" t="s">
        <v>115</v>
      </c>
      <c r="AP93" s="281"/>
      <c r="AQ93" s="349">
        <v>124468</v>
      </c>
      <c r="AR93" s="349"/>
      <c r="AS93" s="227">
        <f>+BC112</f>
        <v>0.81</v>
      </c>
      <c r="AT93" s="232">
        <f>AQ93*AS93</f>
        <v>100819.08</v>
      </c>
      <c r="AU93" s="218"/>
      <c r="AW93" s="229" t="s">
        <v>115</v>
      </c>
      <c r="AX93" s="281"/>
      <c r="AY93" s="349">
        <v>157300</v>
      </c>
      <c r="AZ93" s="349"/>
      <c r="BA93" s="347">
        <v>2.33</v>
      </c>
      <c r="BB93" s="350">
        <f>AY93*BA93</f>
        <v>366509</v>
      </c>
      <c r="BC93" s="218"/>
    </row>
    <row r="94" spans="1:55" ht="18.5">
      <c r="A94" s="221" t="s">
        <v>71</v>
      </c>
      <c r="B94" s="217"/>
      <c r="C94" s="226">
        <f>SUM(C92:C93)</f>
        <v>243933</v>
      </c>
      <c r="D94" s="231"/>
      <c r="E94" s="217"/>
      <c r="F94" s="228">
        <f>SUM(F92:F93)</f>
        <v>267125.96999999997</v>
      </c>
      <c r="G94" s="218"/>
      <c r="I94" s="221" t="s">
        <v>71</v>
      </c>
      <c r="J94" s="341"/>
      <c r="K94" s="346">
        <v>223813</v>
      </c>
      <c r="L94" s="349"/>
      <c r="M94" s="341"/>
      <c r="N94" s="228">
        <f>SUM(N92:N93)</f>
        <v>360331.94</v>
      </c>
      <c r="O94" s="218"/>
      <c r="Q94" s="221" t="s">
        <v>71</v>
      </c>
      <c r="R94" s="217"/>
      <c r="S94" s="226">
        <f>SUM(S92:S93)</f>
        <v>224019</v>
      </c>
      <c r="T94" s="231"/>
      <c r="U94" s="217"/>
      <c r="V94" s="228">
        <f>SUM(V92:V93)</f>
        <v>302733.3</v>
      </c>
      <c r="W94" s="218"/>
      <c r="Y94" s="221" t="s">
        <v>71</v>
      </c>
      <c r="Z94" s="341"/>
      <c r="AA94" s="346">
        <f>SUM(AA92:AA93)</f>
        <v>221875</v>
      </c>
      <c r="AB94" s="349"/>
      <c r="AC94" s="341"/>
      <c r="AD94" s="348">
        <f>SUM(AD92:AD93)</f>
        <v>88054.23</v>
      </c>
      <c r="AE94" s="218"/>
      <c r="AG94" s="221" t="s">
        <v>71</v>
      </c>
      <c r="AH94" s="217"/>
      <c r="AI94" s="226">
        <f>SUM(AI92:AI93)</f>
        <v>216960</v>
      </c>
      <c r="AJ94" s="231"/>
      <c r="AK94" s="217"/>
      <c r="AL94" s="228">
        <f>SUM(AL92:AL93)</f>
        <v>156135.47999999998</v>
      </c>
      <c r="AM94" s="218"/>
      <c r="AO94" s="221" t="s">
        <v>71</v>
      </c>
      <c r="AP94" s="341"/>
      <c r="AQ94" s="346">
        <f>SUM(AQ92:AQ93)</f>
        <v>177398</v>
      </c>
      <c r="AR94" s="349"/>
      <c r="AS94" s="341"/>
      <c r="AT94" s="228">
        <f>SUM(AT92:AT93)</f>
        <v>224145.98</v>
      </c>
      <c r="AU94" s="218"/>
      <c r="AW94" s="221" t="s">
        <v>71</v>
      </c>
      <c r="AX94" s="341"/>
      <c r="AY94" s="346">
        <f>SUM(AY92:AY93)</f>
        <v>209147</v>
      </c>
      <c r="AZ94" s="349"/>
      <c r="BA94" s="341"/>
      <c r="BB94" s="348">
        <f>SUM(BB92:BB93)</f>
        <v>453093.49</v>
      </c>
      <c r="BC94" s="218"/>
    </row>
    <row r="95" spans="1:55" ht="15.5">
      <c r="A95" s="221"/>
      <c r="B95" s="217"/>
      <c r="C95" s="217"/>
      <c r="D95" s="217"/>
      <c r="E95" s="217"/>
      <c r="F95" s="217"/>
      <c r="G95" s="218"/>
      <c r="I95" s="221"/>
      <c r="J95" s="341"/>
      <c r="K95" s="341"/>
      <c r="L95" s="341"/>
      <c r="M95" s="341"/>
      <c r="N95" s="341"/>
      <c r="O95" s="218"/>
      <c r="Q95" s="221"/>
      <c r="R95" s="217"/>
      <c r="S95" s="217"/>
      <c r="T95" s="217"/>
      <c r="U95" s="217"/>
      <c r="V95" s="217"/>
      <c r="W95" s="218"/>
      <c r="Y95" s="221"/>
      <c r="Z95" s="341"/>
      <c r="AA95" s="341"/>
      <c r="AB95" s="341"/>
      <c r="AC95" s="341"/>
      <c r="AD95" s="341"/>
      <c r="AE95" s="218"/>
      <c r="AG95" s="221"/>
      <c r="AH95" s="217"/>
      <c r="AI95" s="217"/>
      <c r="AJ95" s="217"/>
      <c r="AK95" s="217"/>
      <c r="AL95" s="217"/>
      <c r="AM95" s="218"/>
      <c r="AO95" s="221"/>
      <c r="AP95" s="341"/>
      <c r="AQ95" s="341"/>
      <c r="AR95" s="341"/>
      <c r="AS95" s="341"/>
      <c r="AT95" s="341"/>
      <c r="AU95" s="218"/>
      <c r="AW95" s="221"/>
      <c r="AX95" s="341"/>
      <c r="AY95" s="341"/>
      <c r="AZ95" s="341"/>
      <c r="BA95" s="341"/>
      <c r="BB95" s="341"/>
      <c r="BC95" s="218"/>
    </row>
    <row r="96" spans="1:55" ht="15.5">
      <c r="A96" s="214" t="str">
        <f>+A16</f>
        <v xml:space="preserve">Actual Commodity Revenue (Oct. 2023 - Sept. 2024) </v>
      </c>
      <c r="B96" s="217"/>
      <c r="C96" s="217"/>
      <c r="D96" s="217"/>
      <c r="E96" s="217"/>
      <c r="F96" s="228">
        <f>SUM('2023-2024 Recy. Tons &amp; Revenue'!L74:L85)</f>
        <v>434852.90943834616</v>
      </c>
      <c r="G96" s="218"/>
      <c r="I96" s="214" t="str">
        <f>+I16</f>
        <v xml:space="preserve">Actual Commodity Revenue (Oct. 2022 - Sept. 2023) </v>
      </c>
      <c r="J96" s="341"/>
      <c r="K96" s="341"/>
      <c r="L96" s="341"/>
      <c r="M96" s="341"/>
      <c r="N96" s="228">
        <v>212948.83905945055</v>
      </c>
      <c r="O96" s="218"/>
      <c r="Q96" s="214" t="str">
        <f>+Q16</f>
        <v xml:space="preserve">Actual Commodity Revenue (Oct. 2021 - Sept. 2022) </v>
      </c>
      <c r="R96" s="217"/>
      <c r="S96" s="217"/>
      <c r="T96" s="217"/>
      <c r="U96" s="217"/>
      <c r="V96" s="228">
        <v>354181.70930382825</v>
      </c>
      <c r="W96" s="218"/>
      <c r="Y96" s="214" t="str">
        <f>+Y16</f>
        <v xml:space="preserve">Actual Commodity Revenue (Oct. 2020 - Sept. 2021) </v>
      </c>
      <c r="Z96" s="341"/>
      <c r="AA96" s="341"/>
      <c r="AB96" s="341"/>
      <c r="AC96" s="341"/>
      <c r="AD96" s="348">
        <v>377956.43417141476</v>
      </c>
      <c r="AE96" s="218"/>
      <c r="AG96" s="214" t="str">
        <f>+AG16</f>
        <v xml:space="preserve">Actual Commodity Revenue (Oct. 2019 - Sept. 2020) </v>
      </c>
      <c r="AH96" s="217"/>
      <c r="AI96" s="217"/>
      <c r="AJ96" s="217"/>
      <c r="AK96" s="217"/>
      <c r="AL96" s="228">
        <v>65025.746670985172</v>
      </c>
      <c r="AM96" s="218"/>
      <c r="AO96" s="214" t="s">
        <v>129</v>
      </c>
      <c r="AP96" s="341"/>
      <c r="AQ96" s="341"/>
      <c r="AR96" s="341"/>
      <c r="AS96" s="341"/>
      <c r="AT96" s="228">
        <v>145945.7483506508</v>
      </c>
      <c r="AU96" s="218"/>
      <c r="AW96" s="221"/>
      <c r="AX96" s="341"/>
      <c r="AY96" s="341"/>
      <c r="AZ96" s="341"/>
      <c r="BA96" s="341"/>
      <c r="BB96" s="341"/>
      <c r="BC96" s="218"/>
    </row>
    <row r="97" spans="1:57" ht="15.5">
      <c r="A97" s="214" t="str">
        <f t="shared" ref="A97:A98" si="5">+A17</f>
        <v>Less: 50% retained by company</v>
      </c>
      <c r="B97" s="217"/>
      <c r="C97" s="217"/>
      <c r="D97" s="217"/>
      <c r="E97" s="217"/>
      <c r="F97" s="276">
        <f>-F96*50%</f>
        <v>-217426.45471917308</v>
      </c>
      <c r="G97" s="218"/>
      <c r="I97" s="214" t="str">
        <f t="shared" ref="I97:I98" si="6">+I17</f>
        <v>Less: 50% retained by company</v>
      </c>
      <c r="J97" s="341"/>
      <c r="K97" s="341"/>
      <c r="L97" s="341"/>
      <c r="M97" s="341"/>
      <c r="N97" s="276">
        <f>-N96*50%</f>
        <v>-106474.41952972527</v>
      </c>
      <c r="O97" s="218"/>
      <c r="Q97" s="214" t="str">
        <f t="shared" ref="Q97:Q98" si="7">+Q17</f>
        <v>Less: 50% retained by company</v>
      </c>
      <c r="R97" s="217"/>
      <c r="S97" s="217"/>
      <c r="T97" s="217"/>
      <c r="U97" s="217"/>
      <c r="V97" s="276">
        <f>-V96*50%</f>
        <v>-177090.85465191412</v>
      </c>
      <c r="W97" s="218"/>
      <c r="Y97" s="214" t="str">
        <f t="shared" ref="Y97:Y98" si="8">+Y17</f>
        <v>Less: 50% retained by company</v>
      </c>
      <c r="Z97" s="341"/>
      <c r="AA97" s="341"/>
      <c r="AB97" s="341"/>
      <c r="AC97" s="341"/>
      <c r="AD97" s="276">
        <f>-AD96*50%</f>
        <v>-188978.21708570738</v>
      </c>
      <c r="AE97" s="218"/>
      <c r="AG97" s="214" t="str">
        <f t="shared" ref="AG97:AG98" si="9">+AG17</f>
        <v>Less: 50% retained by company</v>
      </c>
      <c r="AH97" s="217"/>
      <c r="AI97" s="217"/>
      <c r="AJ97" s="217"/>
      <c r="AK97" s="217"/>
      <c r="AL97" s="276">
        <f>-AL96*50%</f>
        <v>-32512.873335492586</v>
      </c>
      <c r="AM97" s="218"/>
      <c r="AO97" s="214" t="s">
        <v>150</v>
      </c>
      <c r="AP97" s="341"/>
      <c r="AQ97" s="341"/>
      <c r="AR97" s="341"/>
      <c r="AS97" s="341"/>
      <c r="AT97" s="276">
        <f>-AT96*50%</f>
        <v>-72972.8741753254</v>
      </c>
      <c r="AU97" s="218"/>
      <c r="AW97" s="221"/>
      <c r="AX97" s="341"/>
      <c r="AY97" s="341"/>
      <c r="AZ97" s="341"/>
      <c r="BA97" s="341"/>
      <c r="BB97" s="341"/>
      <c r="BC97" s="218"/>
    </row>
    <row r="98" spans="1:57" ht="15.5">
      <c r="A98" s="214" t="str">
        <f t="shared" si="5"/>
        <v>Net Commodity Revenue</v>
      </c>
      <c r="B98" s="230"/>
      <c r="C98" s="230"/>
      <c r="D98" s="230"/>
      <c r="E98" s="230"/>
      <c r="F98" s="382">
        <f>SUM(F96:F97)</f>
        <v>217426.45471917308</v>
      </c>
      <c r="G98" s="218"/>
      <c r="I98" s="214" t="str">
        <f t="shared" si="6"/>
        <v>Net Commodity Revenue</v>
      </c>
      <c r="J98" s="281"/>
      <c r="K98" s="281"/>
      <c r="L98" s="281"/>
      <c r="M98" s="281"/>
      <c r="N98" s="277">
        <f>SUM(N96:N97)</f>
        <v>106474.41952972527</v>
      </c>
      <c r="O98" s="218"/>
      <c r="Q98" s="214" t="str">
        <f t="shared" si="7"/>
        <v>Net Commodity Revenue</v>
      </c>
      <c r="R98" s="230"/>
      <c r="S98" s="230"/>
      <c r="T98" s="230"/>
      <c r="U98" s="230"/>
      <c r="V98" s="382">
        <f>SUM(V96:V97)</f>
        <v>177090.85465191412</v>
      </c>
      <c r="W98" s="218"/>
      <c r="Y98" s="214" t="str">
        <f t="shared" si="8"/>
        <v>Net Commodity Revenue</v>
      </c>
      <c r="Z98" s="281"/>
      <c r="AA98" s="281"/>
      <c r="AB98" s="281"/>
      <c r="AC98" s="281"/>
      <c r="AD98" s="277">
        <f>SUM(AD96:AD97)</f>
        <v>188978.21708570738</v>
      </c>
      <c r="AE98" s="218"/>
      <c r="AG98" s="214" t="str">
        <f t="shared" si="9"/>
        <v>Net Commodity Revenue</v>
      </c>
      <c r="AH98" s="230"/>
      <c r="AI98" s="230"/>
      <c r="AJ98" s="230"/>
      <c r="AK98" s="230"/>
      <c r="AL98" s="382">
        <f>SUM(AL96:AL97)</f>
        <v>32512.873335492586</v>
      </c>
      <c r="AM98" s="218"/>
      <c r="AO98" s="280" t="s">
        <v>153</v>
      </c>
      <c r="AP98" s="281"/>
      <c r="AQ98" s="281"/>
      <c r="AR98" s="281"/>
      <c r="AS98" s="281"/>
      <c r="AT98" s="277">
        <f>SUM(AT96:AT97)</f>
        <v>72972.8741753254</v>
      </c>
      <c r="AU98" s="218"/>
      <c r="AW98" s="221"/>
      <c r="AX98" s="341"/>
      <c r="AY98" s="341"/>
      <c r="AZ98" s="341"/>
      <c r="BA98" s="341"/>
      <c r="BB98" s="341"/>
      <c r="BC98" s="218"/>
    </row>
    <row r="99" spans="1:57" ht="15.5">
      <c r="A99" s="229"/>
      <c r="B99" s="230"/>
      <c r="C99" s="230"/>
      <c r="D99" s="230"/>
      <c r="E99" s="230"/>
      <c r="F99" s="230"/>
      <c r="G99" s="218"/>
      <c r="I99" s="229"/>
      <c r="J99" s="281"/>
      <c r="K99" s="281"/>
      <c r="L99" s="281"/>
      <c r="M99" s="281"/>
      <c r="N99" s="281"/>
      <c r="O99" s="218"/>
      <c r="Q99" s="229"/>
      <c r="R99" s="230"/>
      <c r="S99" s="230"/>
      <c r="T99" s="230"/>
      <c r="U99" s="230"/>
      <c r="V99" s="230"/>
      <c r="W99" s="218"/>
      <c r="Y99" s="281"/>
      <c r="Z99" s="281"/>
      <c r="AA99" s="281"/>
      <c r="AB99" s="281"/>
      <c r="AC99" s="281"/>
      <c r="AD99" s="281"/>
      <c r="AE99" s="218"/>
      <c r="AG99" s="229"/>
      <c r="AH99" s="230"/>
      <c r="AI99" s="230"/>
      <c r="AJ99" s="230"/>
      <c r="AK99" s="230"/>
      <c r="AL99" s="230"/>
      <c r="AM99" s="218"/>
      <c r="AO99" s="229"/>
      <c r="AP99" s="281"/>
      <c r="AQ99" s="281"/>
      <c r="AR99" s="281"/>
      <c r="AS99" s="281"/>
      <c r="AT99" s="281"/>
      <c r="AU99" s="218"/>
      <c r="AW99" s="221"/>
      <c r="AX99" s="341"/>
      <c r="AY99" s="341"/>
      <c r="AZ99" s="341"/>
      <c r="BA99" s="341"/>
      <c r="BB99" s="341"/>
      <c r="BC99" s="218"/>
    </row>
    <row r="100" spans="1:57" ht="15.5">
      <c r="A100" s="221"/>
      <c r="B100" s="217"/>
      <c r="C100" s="217"/>
      <c r="D100" s="217"/>
      <c r="E100" s="217"/>
      <c r="F100" s="256"/>
      <c r="G100" s="218"/>
      <c r="I100" s="221"/>
      <c r="J100" s="341"/>
      <c r="K100" s="341"/>
      <c r="L100" s="341"/>
      <c r="M100" s="341"/>
      <c r="N100" s="256"/>
      <c r="O100" s="218"/>
      <c r="Q100" s="221"/>
      <c r="R100" s="217"/>
      <c r="S100" s="217"/>
      <c r="T100" s="217"/>
      <c r="U100" s="217"/>
      <c r="V100" s="256"/>
      <c r="W100" s="218"/>
      <c r="Y100" s="221"/>
      <c r="Z100" s="341"/>
      <c r="AA100" s="341"/>
      <c r="AB100" s="341"/>
      <c r="AC100" s="341"/>
      <c r="AD100" s="351"/>
      <c r="AE100" s="218"/>
      <c r="AG100" s="221"/>
      <c r="AH100" s="217"/>
      <c r="AI100" s="217"/>
      <c r="AJ100" s="217"/>
      <c r="AK100" s="217"/>
      <c r="AL100" s="256"/>
      <c r="AM100" s="218"/>
      <c r="AO100" s="221" t="s">
        <v>117</v>
      </c>
      <c r="AP100" s="341"/>
      <c r="AQ100" s="341"/>
      <c r="AR100" s="341"/>
      <c r="AS100" s="341"/>
      <c r="AT100" s="256">
        <f>AT98-AT94</f>
        <v>-151173.1058246746</v>
      </c>
      <c r="AU100" s="218"/>
      <c r="AW100" s="221"/>
      <c r="AX100" s="341"/>
      <c r="AY100" s="341"/>
      <c r="AZ100" s="341"/>
      <c r="BA100" s="341"/>
      <c r="BB100" s="341"/>
      <c r="BC100" s="218"/>
    </row>
    <row r="101" spans="1:57" ht="15.5">
      <c r="A101" s="214"/>
      <c r="B101" s="217"/>
      <c r="C101" s="253"/>
      <c r="D101" s="217"/>
      <c r="E101" s="254"/>
      <c r="F101" s="228"/>
      <c r="G101" s="218"/>
      <c r="I101" s="214"/>
      <c r="J101" s="341"/>
      <c r="K101" s="253"/>
      <c r="L101" s="341"/>
      <c r="M101" s="354"/>
      <c r="N101" s="228"/>
      <c r="O101" s="218"/>
      <c r="Q101" s="214"/>
      <c r="R101" s="217"/>
      <c r="S101" s="253"/>
      <c r="T101" s="217"/>
      <c r="U101" s="254"/>
      <c r="V101" s="228"/>
      <c r="W101" s="218"/>
      <c r="Y101" s="214"/>
      <c r="Z101" s="341"/>
      <c r="AA101" s="353"/>
      <c r="AB101" s="341"/>
      <c r="AC101" s="354"/>
      <c r="AD101" s="348"/>
      <c r="AE101" s="218"/>
      <c r="AG101" s="214"/>
      <c r="AH101" s="217"/>
      <c r="AI101" s="253"/>
      <c r="AJ101" s="217"/>
      <c r="AK101" s="254"/>
      <c r="AL101" s="228"/>
      <c r="AM101" s="218"/>
      <c r="AO101" s="214" t="s">
        <v>151</v>
      </c>
      <c r="AP101" s="341"/>
      <c r="AQ101" s="253">
        <v>35317</v>
      </c>
      <c r="AR101" s="341"/>
      <c r="AS101" s="354">
        <f>BC119</f>
        <v>-0.77500000000000002</v>
      </c>
      <c r="AT101" s="228">
        <f>AS101*AQ101</f>
        <v>-27370.674999999999</v>
      </c>
      <c r="AU101" s="218"/>
      <c r="AW101" s="214" t="s">
        <v>116</v>
      </c>
      <c r="AX101" s="341"/>
      <c r="AY101" s="341"/>
      <c r="AZ101" s="341"/>
      <c r="BA101" s="341"/>
      <c r="BB101" s="348">
        <v>223798</v>
      </c>
      <c r="BC101" s="218"/>
      <c r="BE101" s="257"/>
    </row>
    <row r="102" spans="1:57" ht="15.5">
      <c r="A102" s="214"/>
      <c r="B102" s="217"/>
      <c r="C102" s="217"/>
      <c r="D102" s="217"/>
      <c r="E102" s="217"/>
      <c r="F102" s="256"/>
      <c r="G102" s="218"/>
      <c r="I102" s="214"/>
      <c r="J102" s="341"/>
      <c r="K102" s="341"/>
      <c r="L102" s="341"/>
      <c r="M102" s="341"/>
      <c r="N102" s="256"/>
      <c r="O102" s="218"/>
      <c r="Q102" s="214"/>
      <c r="R102" s="217"/>
      <c r="S102" s="217"/>
      <c r="T102" s="217"/>
      <c r="U102" s="217"/>
      <c r="V102" s="256"/>
      <c r="W102" s="218"/>
      <c r="Y102" s="214"/>
      <c r="Z102" s="341"/>
      <c r="AA102" s="341"/>
      <c r="AB102" s="341"/>
      <c r="AC102" s="341"/>
      <c r="AD102" s="256"/>
      <c r="AE102" s="218"/>
      <c r="AG102" s="214"/>
      <c r="AH102" s="217"/>
      <c r="AI102" s="217"/>
      <c r="AJ102" s="217"/>
      <c r="AK102" s="217"/>
      <c r="AL102" s="256"/>
      <c r="AM102" s="218"/>
      <c r="AO102" s="214" t="s">
        <v>148</v>
      </c>
      <c r="AP102" s="341"/>
      <c r="AQ102" s="341"/>
      <c r="AR102" s="341"/>
      <c r="AS102" s="341"/>
      <c r="AT102" s="278">
        <v>4826.2600380142394</v>
      </c>
      <c r="AU102" s="218"/>
      <c r="AW102" s="221"/>
      <c r="AX102" s="341"/>
      <c r="AY102" s="341"/>
      <c r="AZ102" s="341"/>
      <c r="BA102" s="341"/>
      <c r="BB102" s="348"/>
      <c r="BC102" s="218"/>
    </row>
    <row r="103" spans="1:57" ht="15.5">
      <c r="A103" s="229" t="s">
        <v>154</v>
      </c>
      <c r="B103" s="230"/>
      <c r="C103" s="230"/>
      <c r="D103" s="230"/>
      <c r="E103" s="230"/>
      <c r="F103" s="382">
        <f>+F98-F94</f>
        <v>-49699.51528082689</v>
      </c>
      <c r="G103" s="218"/>
      <c r="I103" s="229" t="s">
        <v>154</v>
      </c>
      <c r="J103" s="281"/>
      <c r="K103" s="281"/>
      <c r="L103" s="281"/>
      <c r="M103" s="281"/>
      <c r="N103" s="277">
        <f>+N98-N94</f>
        <v>-253857.52047027473</v>
      </c>
      <c r="O103" s="218" t="s">
        <v>237</v>
      </c>
      <c r="Q103" s="229" t="s">
        <v>154</v>
      </c>
      <c r="R103" s="230"/>
      <c r="S103" s="230"/>
      <c r="T103" s="230"/>
      <c r="U103" s="230"/>
      <c r="V103" s="382">
        <f>+V98-V94</f>
        <v>-125642.44534808586</v>
      </c>
      <c r="W103" s="218" t="s">
        <v>237</v>
      </c>
      <c r="Y103" s="281" t="s">
        <v>154</v>
      </c>
      <c r="Z103" s="281"/>
      <c r="AA103" s="281"/>
      <c r="AB103" s="281"/>
      <c r="AC103" s="281"/>
      <c r="AD103" s="277">
        <f>+AD98-AD94</f>
        <v>100923.98708570738</v>
      </c>
      <c r="AE103" s="218"/>
      <c r="AG103" s="229" t="s">
        <v>154</v>
      </c>
      <c r="AH103" s="230"/>
      <c r="AI103" s="230"/>
      <c r="AJ103" s="230"/>
      <c r="AK103" s="230"/>
      <c r="AL103" s="382">
        <f>+AL98-AL94</f>
        <v>-123622.60666450739</v>
      </c>
      <c r="AM103" s="218"/>
      <c r="AO103" s="229" t="s">
        <v>154</v>
      </c>
      <c r="AP103" s="281"/>
      <c r="AQ103" s="281"/>
      <c r="AR103" s="281"/>
      <c r="AS103" s="281"/>
      <c r="AT103" s="277">
        <f>SUM(AT100:AT102)</f>
        <v>-173717.52078666035</v>
      </c>
      <c r="AU103" s="218"/>
      <c r="AW103" s="221" t="s">
        <v>117</v>
      </c>
      <c r="AX103" s="341"/>
      <c r="AY103" s="341"/>
      <c r="AZ103" s="341"/>
      <c r="BA103" s="341"/>
      <c r="BB103" s="346">
        <f>BB101-BB94</f>
        <v>-229295.49</v>
      </c>
      <c r="BC103" s="218"/>
    </row>
    <row r="104" spans="1:57" ht="18.5">
      <c r="A104" s="229"/>
      <c r="B104" s="230"/>
      <c r="C104" s="230"/>
      <c r="D104" s="230"/>
      <c r="E104" s="230"/>
      <c r="F104" s="230"/>
      <c r="G104" s="218"/>
      <c r="I104" s="229"/>
      <c r="J104" s="281"/>
      <c r="K104" s="281"/>
      <c r="L104" s="281"/>
      <c r="M104" s="281"/>
      <c r="N104" s="281"/>
      <c r="O104" s="218"/>
      <c r="Q104" s="229"/>
      <c r="R104" s="230"/>
      <c r="S104" s="230"/>
      <c r="T104" s="230"/>
      <c r="U104" s="230"/>
      <c r="V104" s="230"/>
      <c r="W104" s="218"/>
      <c r="Y104" s="281"/>
      <c r="Z104" s="281"/>
      <c r="AA104" s="281"/>
      <c r="AB104" s="281"/>
      <c r="AC104" s="281"/>
      <c r="AD104" s="281"/>
      <c r="AE104" s="218"/>
      <c r="AG104" s="229"/>
      <c r="AH104" s="230"/>
      <c r="AI104" s="230"/>
      <c r="AJ104" s="230"/>
      <c r="AK104" s="230"/>
      <c r="AL104" s="230"/>
      <c r="AM104" s="218"/>
      <c r="AO104" s="229"/>
      <c r="AP104" s="281"/>
      <c r="AQ104" s="281"/>
      <c r="AR104" s="281"/>
      <c r="AS104" s="281"/>
      <c r="AT104" s="281"/>
      <c r="AU104" s="218"/>
      <c r="AW104" s="221"/>
      <c r="AX104" s="341"/>
      <c r="AY104" s="356"/>
      <c r="AZ104" s="341"/>
      <c r="BA104" s="341"/>
      <c r="BB104" s="355"/>
      <c r="BC104" s="218"/>
    </row>
    <row r="105" spans="1:57" ht="15.5">
      <c r="A105" s="221" t="s">
        <v>118</v>
      </c>
      <c r="B105" s="217"/>
      <c r="C105" s="217"/>
      <c r="D105" s="217"/>
      <c r="E105" s="217"/>
      <c r="F105" s="226">
        <f>+C94</f>
        <v>243933</v>
      </c>
      <c r="G105" s="218"/>
      <c r="I105" s="221" t="s">
        <v>118</v>
      </c>
      <c r="J105" s="341"/>
      <c r="K105" s="341"/>
      <c r="L105" s="341"/>
      <c r="M105" s="341"/>
      <c r="N105" s="346">
        <f>+K94</f>
        <v>223813</v>
      </c>
      <c r="O105" s="218"/>
      <c r="Q105" s="221" t="s">
        <v>118</v>
      </c>
      <c r="R105" s="217"/>
      <c r="S105" s="217"/>
      <c r="T105" s="217"/>
      <c r="U105" s="217"/>
      <c r="V105" s="226">
        <f>+S94</f>
        <v>224019</v>
      </c>
      <c r="W105" s="218"/>
      <c r="Y105" s="221" t="s">
        <v>118</v>
      </c>
      <c r="Z105" s="341"/>
      <c r="AA105" s="341"/>
      <c r="AB105" s="341"/>
      <c r="AC105" s="341"/>
      <c r="AD105" s="346">
        <f>+AA94</f>
        <v>221875</v>
      </c>
      <c r="AE105" s="218"/>
      <c r="AG105" s="221" t="s">
        <v>118</v>
      </c>
      <c r="AH105" s="217"/>
      <c r="AI105" s="217"/>
      <c r="AJ105" s="217"/>
      <c r="AK105" s="217"/>
      <c r="AL105" s="226">
        <f>+AI94</f>
        <v>216960</v>
      </c>
      <c r="AM105" s="218"/>
      <c r="AO105" s="221" t="s">
        <v>118</v>
      </c>
      <c r="AP105" s="341"/>
      <c r="AQ105" s="341"/>
      <c r="AR105" s="341"/>
      <c r="AS105" s="341"/>
      <c r="AT105" s="346">
        <v>212715</v>
      </c>
      <c r="AU105" s="218"/>
      <c r="AW105" s="221" t="s">
        <v>118</v>
      </c>
      <c r="AX105" s="341"/>
      <c r="AY105" s="341"/>
      <c r="AZ105" s="341"/>
      <c r="BA105" s="341"/>
      <c r="BB105" s="346">
        <f>+AY94</f>
        <v>209147</v>
      </c>
      <c r="BC105" s="218"/>
    </row>
    <row r="106" spans="1:57" ht="15.5">
      <c r="A106" s="221"/>
      <c r="B106" s="217"/>
      <c r="C106" s="217"/>
      <c r="D106" s="217"/>
      <c r="E106" s="217"/>
      <c r="F106" s="217"/>
      <c r="G106" s="218"/>
      <c r="I106" s="221"/>
      <c r="J106" s="341"/>
      <c r="K106" s="341"/>
      <c r="L106" s="341"/>
      <c r="M106" s="341"/>
      <c r="N106" s="341"/>
      <c r="O106" s="218"/>
      <c r="Q106" s="221"/>
      <c r="R106" s="217"/>
      <c r="S106" s="217"/>
      <c r="T106" s="217"/>
      <c r="U106" s="217"/>
      <c r="V106" s="217"/>
      <c r="W106" s="218"/>
      <c r="Y106" s="221"/>
      <c r="Z106" s="341"/>
      <c r="AA106" s="341"/>
      <c r="AB106" s="341"/>
      <c r="AC106" s="341"/>
      <c r="AD106" s="341"/>
      <c r="AE106" s="218"/>
      <c r="AG106" s="221"/>
      <c r="AH106" s="217"/>
      <c r="AI106" s="217"/>
      <c r="AJ106" s="217"/>
      <c r="AK106" s="217"/>
      <c r="AL106" s="217"/>
      <c r="AM106" s="218"/>
      <c r="AO106" s="221"/>
      <c r="AP106" s="341"/>
      <c r="AQ106" s="341"/>
      <c r="AR106" s="341"/>
      <c r="AS106" s="341"/>
      <c r="AT106" s="341"/>
      <c r="AU106" s="218"/>
      <c r="AW106" s="221"/>
      <c r="AX106" s="341"/>
      <c r="AY106" s="341"/>
      <c r="AZ106" s="341"/>
      <c r="BA106" s="341"/>
      <c r="BB106" s="341"/>
      <c r="BC106" s="218"/>
    </row>
    <row r="107" spans="1:57" ht="15.5">
      <c r="A107" s="221" t="s">
        <v>119</v>
      </c>
      <c r="B107" s="217"/>
      <c r="C107" s="217"/>
      <c r="D107" s="217"/>
      <c r="E107" s="217"/>
      <c r="F107" s="235"/>
      <c r="G107" s="236">
        <f>F103/F105</f>
        <v>-0.20374248371818035</v>
      </c>
      <c r="I107" s="221" t="s">
        <v>119</v>
      </c>
      <c r="J107" s="341"/>
      <c r="K107" s="341"/>
      <c r="L107" s="341"/>
      <c r="M107" s="341"/>
      <c r="N107" s="235"/>
      <c r="O107" s="236">
        <f>N103/N105</f>
        <v>-1.1342393894468807</v>
      </c>
      <c r="Q107" s="221" t="s">
        <v>119</v>
      </c>
      <c r="R107" s="217"/>
      <c r="S107" s="217"/>
      <c r="T107" s="217"/>
      <c r="U107" s="217"/>
      <c r="V107" s="235"/>
      <c r="W107" s="236">
        <f>V103/V105</f>
        <v>-0.56085620125117008</v>
      </c>
      <c r="Y107" s="221" t="s">
        <v>119</v>
      </c>
      <c r="Z107" s="341"/>
      <c r="AA107" s="341"/>
      <c r="AB107" s="341"/>
      <c r="AC107" s="341"/>
      <c r="AD107" s="357"/>
      <c r="AE107" s="236">
        <f>AD103/AD105</f>
        <v>0.45486867418910371</v>
      </c>
      <c r="AG107" s="221" t="s">
        <v>119</v>
      </c>
      <c r="AH107" s="217"/>
      <c r="AI107" s="217"/>
      <c r="AJ107" s="217"/>
      <c r="AK107" s="217"/>
      <c r="AL107" s="235"/>
      <c r="AM107" s="236">
        <f>AL103/AL105</f>
        <v>-0.56979446287107016</v>
      </c>
      <c r="AO107" s="221" t="s">
        <v>119</v>
      </c>
      <c r="AP107" s="341"/>
      <c r="AQ107" s="341"/>
      <c r="AR107" s="341"/>
      <c r="AS107" s="341"/>
      <c r="AT107" s="235"/>
      <c r="AU107" s="236">
        <f>AT103/AT105</f>
        <v>-0.81666793966885431</v>
      </c>
      <c r="AW107" s="221" t="s">
        <v>119</v>
      </c>
      <c r="AX107" s="341"/>
      <c r="AY107" s="341"/>
      <c r="AZ107" s="341"/>
      <c r="BA107" s="341"/>
      <c r="BB107" s="357"/>
      <c r="BC107" s="236">
        <f>ROUND(BB103/BB105,2)</f>
        <v>-1.1000000000000001</v>
      </c>
    </row>
    <row r="108" spans="1:57" ht="15.5">
      <c r="A108" s="221"/>
      <c r="B108" s="217"/>
      <c r="C108" s="217"/>
      <c r="D108" s="217"/>
      <c r="E108" s="217"/>
      <c r="F108" s="217"/>
      <c r="G108" s="236"/>
      <c r="I108" s="221"/>
      <c r="J108" s="341"/>
      <c r="K108" s="341"/>
      <c r="L108" s="341"/>
      <c r="M108" s="341"/>
      <c r="N108" s="341"/>
      <c r="O108" s="236"/>
      <c r="Q108" s="221"/>
      <c r="R108" s="217"/>
      <c r="S108" s="217"/>
      <c r="T108" s="217"/>
      <c r="U108" s="217"/>
      <c r="V108" s="217"/>
      <c r="W108" s="236"/>
      <c r="Y108" s="221"/>
      <c r="Z108" s="341"/>
      <c r="AA108" s="341"/>
      <c r="AB108" s="341"/>
      <c r="AC108" s="341"/>
      <c r="AD108" s="341"/>
      <c r="AE108" s="236"/>
      <c r="AG108" s="221"/>
      <c r="AH108" s="217"/>
      <c r="AI108" s="217"/>
      <c r="AJ108" s="217"/>
      <c r="AK108" s="217"/>
      <c r="AL108" s="217"/>
      <c r="AM108" s="236"/>
      <c r="AO108" s="221"/>
      <c r="AP108" s="341"/>
      <c r="AQ108" s="341"/>
      <c r="AR108" s="341"/>
      <c r="AS108" s="341"/>
      <c r="AT108" s="341"/>
      <c r="AU108" s="236"/>
      <c r="AW108" s="221"/>
      <c r="AX108" s="341"/>
      <c r="AY108" s="341"/>
      <c r="AZ108" s="341"/>
      <c r="BA108" s="341"/>
      <c r="BB108" s="341"/>
      <c r="BC108" s="236"/>
    </row>
    <row r="109" spans="1:57" ht="15.5">
      <c r="A109" s="221"/>
      <c r="B109" s="217"/>
      <c r="C109" s="217"/>
      <c r="D109" s="217"/>
      <c r="E109" s="217"/>
      <c r="F109" s="217"/>
      <c r="G109" s="236"/>
      <c r="I109" s="221"/>
      <c r="J109" s="341"/>
      <c r="K109" s="341"/>
      <c r="L109" s="341"/>
      <c r="M109" s="341"/>
      <c r="N109" s="341"/>
      <c r="O109" s="236"/>
      <c r="Q109" s="221"/>
      <c r="R109" s="217"/>
      <c r="S109" s="217"/>
      <c r="T109" s="217"/>
      <c r="U109" s="217"/>
      <c r="V109" s="217"/>
      <c r="W109" s="236"/>
      <c r="Y109" s="221"/>
      <c r="Z109" s="341"/>
      <c r="AA109" s="341"/>
      <c r="AB109" s="341"/>
      <c r="AC109" s="341"/>
      <c r="AD109" s="341"/>
      <c r="AE109" s="236"/>
      <c r="AG109" s="221"/>
      <c r="AH109" s="217"/>
      <c r="AI109" s="217"/>
      <c r="AJ109" s="217"/>
      <c r="AK109" s="217"/>
      <c r="AL109" s="217"/>
      <c r="AM109" s="236"/>
      <c r="AO109" s="221"/>
      <c r="AP109" s="341"/>
      <c r="AQ109" s="341"/>
      <c r="AR109" s="341"/>
      <c r="AS109" s="341"/>
      <c r="AT109" s="341"/>
      <c r="AU109" s="236"/>
      <c r="AW109" s="221"/>
      <c r="AX109" s="341"/>
      <c r="AY109" s="341"/>
      <c r="AZ109" s="341"/>
      <c r="BA109" s="341"/>
      <c r="BB109" s="341"/>
      <c r="BC109" s="236"/>
    </row>
    <row r="110" spans="1:57" ht="15.5">
      <c r="A110" s="237" t="str">
        <f>+A71</f>
        <v>Projected Revenue Oct. 2023 - Sep. 2024 (based on most recent 12 months)</v>
      </c>
      <c r="B110" s="215"/>
      <c r="C110" s="217"/>
      <c r="D110" s="217"/>
      <c r="E110" s="217"/>
      <c r="F110" s="238">
        <f>F96</f>
        <v>434852.90943834616</v>
      </c>
      <c r="G110" s="236"/>
      <c r="I110" s="237" t="str">
        <f>+I71</f>
        <v>Projected Revenue Oct. 2022 - Sep. 2023 (based on most recent 12 months)</v>
      </c>
      <c r="J110" s="339"/>
      <c r="K110" s="341"/>
      <c r="L110" s="341"/>
      <c r="M110" s="341"/>
      <c r="N110" s="238">
        <f>N96</f>
        <v>212948.83905945055</v>
      </c>
      <c r="O110" s="236"/>
      <c r="Q110" s="237" t="str">
        <f>+Q71</f>
        <v>Projected Revenue Oct. 2022 - Sep. 2023 (based on most recent 12 months)</v>
      </c>
      <c r="R110" s="215"/>
      <c r="S110" s="217"/>
      <c r="T110" s="217"/>
      <c r="U110" s="217"/>
      <c r="V110" s="238">
        <f>V96</f>
        <v>354181.70930382825</v>
      </c>
      <c r="W110" s="236"/>
      <c r="Y110" s="237" t="str">
        <f>+Y71</f>
        <v>Projected Revenue Oct. 2021 - Sep. 2022 (based on most recent 12 months)</v>
      </c>
      <c r="Z110" s="339"/>
      <c r="AA110" s="341"/>
      <c r="AB110" s="341"/>
      <c r="AC110" s="341"/>
      <c r="AD110" s="358">
        <f>AD96</f>
        <v>377956.43417141476</v>
      </c>
      <c r="AE110" s="236"/>
      <c r="AG110" s="237" t="str">
        <f>+AG71</f>
        <v>Projected Revenue Oct. 2020 - Sep. 2021 (based on most recent 12 months)</v>
      </c>
      <c r="AH110" s="215"/>
      <c r="AI110" s="217"/>
      <c r="AJ110" s="217"/>
      <c r="AK110" s="217"/>
      <c r="AL110" s="238">
        <f>AL96</f>
        <v>65025.746670985172</v>
      </c>
      <c r="AM110" s="236"/>
      <c r="AO110" s="237" t="s">
        <v>130</v>
      </c>
      <c r="AP110" s="339"/>
      <c r="AQ110" s="341"/>
      <c r="AR110" s="341"/>
      <c r="AS110" s="341"/>
      <c r="AT110" s="238">
        <f>AT96</f>
        <v>145945.7483506508</v>
      </c>
      <c r="AU110" s="236"/>
      <c r="AW110" s="237" t="s">
        <v>120</v>
      </c>
      <c r="AX110" s="339"/>
      <c r="AY110" s="341"/>
      <c r="AZ110" s="341"/>
      <c r="BA110" s="341"/>
      <c r="BB110" s="358">
        <v>85285</v>
      </c>
      <c r="BC110" s="236"/>
    </row>
    <row r="111" spans="1:57" ht="18.5">
      <c r="A111" s="214" t="s">
        <v>150</v>
      </c>
      <c r="B111" s="230"/>
      <c r="C111" s="230"/>
      <c r="D111" s="230"/>
      <c r="E111" s="230"/>
      <c r="F111" s="279">
        <f>F110*50%</f>
        <v>217426.45471917308</v>
      </c>
      <c r="G111" s="236"/>
      <c r="I111" s="214" t="s">
        <v>150</v>
      </c>
      <c r="J111" s="281"/>
      <c r="K111" s="281"/>
      <c r="L111" s="281"/>
      <c r="M111" s="281"/>
      <c r="N111" s="279">
        <f>N110*50%</f>
        <v>106474.41952972527</v>
      </c>
      <c r="O111" s="236"/>
      <c r="Q111" s="214" t="s">
        <v>150</v>
      </c>
      <c r="R111" s="230"/>
      <c r="S111" s="230"/>
      <c r="T111" s="230"/>
      <c r="U111" s="230"/>
      <c r="V111" s="279">
        <f>V110*50%</f>
        <v>177090.85465191412</v>
      </c>
      <c r="W111" s="236"/>
      <c r="Y111" s="214" t="s">
        <v>150</v>
      </c>
      <c r="Z111" s="281"/>
      <c r="AA111" s="281"/>
      <c r="AB111" s="281"/>
      <c r="AC111" s="281"/>
      <c r="AD111" s="279">
        <f>AD110*50%</f>
        <v>188978.21708570738</v>
      </c>
      <c r="AE111" s="236"/>
      <c r="AG111" s="214" t="s">
        <v>150</v>
      </c>
      <c r="AH111" s="230"/>
      <c r="AI111" s="230"/>
      <c r="AJ111" s="230"/>
      <c r="AK111" s="230"/>
      <c r="AL111" s="279">
        <f>AL110*50%</f>
        <v>32512.873335492586</v>
      </c>
      <c r="AM111" s="236"/>
      <c r="AO111" s="214" t="s">
        <v>150</v>
      </c>
      <c r="AP111" s="281"/>
      <c r="AQ111" s="281"/>
      <c r="AR111" s="281"/>
      <c r="AS111" s="281"/>
      <c r="AT111" s="279">
        <f>AT110*50%</f>
        <v>72972.8741753254</v>
      </c>
      <c r="AU111" s="236"/>
      <c r="AW111" s="221" t="s">
        <v>118</v>
      </c>
      <c r="AX111" s="341"/>
      <c r="AY111" s="341"/>
      <c r="AZ111" s="341"/>
      <c r="BA111" s="341"/>
      <c r="BB111" s="359">
        <v>105335</v>
      </c>
      <c r="BC111" s="236"/>
    </row>
    <row r="112" spans="1:57" ht="18.5">
      <c r="A112" s="229" t="s">
        <v>152</v>
      </c>
      <c r="B112" s="230"/>
      <c r="C112" s="230"/>
      <c r="D112" s="230"/>
      <c r="E112" s="230"/>
      <c r="F112" s="382">
        <f>F110-F111</f>
        <v>217426.45471917308</v>
      </c>
      <c r="G112" s="236"/>
      <c r="I112" s="229" t="s">
        <v>152</v>
      </c>
      <c r="J112" s="281"/>
      <c r="K112" s="281"/>
      <c r="L112" s="281"/>
      <c r="M112" s="281"/>
      <c r="N112" s="277">
        <f>N110-N111</f>
        <v>106474.41952972527</v>
      </c>
      <c r="O112" s="236"/>
      <c r="Q112" s="229" t="s">
        <v>152</v>
      </c>
      <c r="R112" s="230"/>
      <c r="S112" s="230"/>
      <c r="T112" s="230"/>
      <c r="U112" s="230"/>
      <c r="V112" s="382">
        <f>V110-V111</f>
        <v>177090.85465191412</v>
      </c>
      <c r="W112" s="236"/>
      <c r="Y112" s="281" t="s">
        <v>152</v>
      </c>
      <c r="Z112" s="281"/>
      <c r="AA112" s="281"/>
      <c r="AB112" s="281"/>
      <c r="AC112" s="281"/>
      <c r="AD112" s="277">
        <f>AD110-AD111</f>
        <v>188978.21708570738</v>
      </c>
      <c r="AE112" s="236"/>
      <c r="AG112" s="229" t="s">
        <v>152</v>
      </c>
      <c r="AH112" s="230"/>
      <c r="AI112" s="230"/>
      <c r="AJ112" s="230"/>
      <c r="AK112" s="230"/>
      <c r="AL112" s="382">
        <f>AL110-AL111</f>
        <v>32512.873335492586</v>
      </c>
      <c r="AM112" s="236"/>
      <c r="AO112" s="229" t="s">
        <v>152</v>
      </c>
      <c r="AP112" s="281"/>
      <c r="AQ112" s="281"/>
      <c r="AR112" s="281"/>
      <c r="AS112" s="281"/>
      <c r="AT112" s="277">
        <f>AT110-AT111</f>
        <v>72972.8741753254</v>
      </c>
      <c r="AU112" s="236"/>
      <c r="AW112" s="221" t="s">
        <v>121</v>
      </c>
      <c r="AX112" s="341"/>
      <c r="AY112" s="341"/>
      <c r="AZ112" s="341"/>
      <c r="BA112" s="341"/>
      <c r="BB112" s="341"/>
      <c r="BC112" s="360">
        <f>ROUND(+BB110/BB111,2)</f>
        <v>0.81</v>
      </c>
    </row>
    <row r="113" spans="1:55" ht="18.5">
      <c r="A113" s="221" t="s">
        <v>118</v>
      </c>
      <c r="B113" s="217"/>
      <c r="C113" s="217"/>
      <c r="D113" s="217"/>
      <c r="E113" s="217"/>
      <c r="F113" s="239">
        <f>+F105</f>
        <v>243933</v>
      </c>
      <c r="G113" s="236"/>
      <c r="I113" s="221" t="s">
        <v>118</v>
      </c>
      <c r="J113" s="341"/>
      <c r="K113" s="341"/>
      <c r="L113" s="341"/>
      <c r="M113" s="341"/>
      <c r="N113" s="359">
        <f>+N105</f>
        <v>223813</v>
      </c>
      <c r="O113" s="236"/>
      <c r="Q113" s="221" t="s">
        <v>118</v>
      </c>
      <c r="R113" s="217"/>
      <c r="S113" s="217"/>
      <c r="T113" s="217"/>
      <c r="U113" s="217"/>
      <c r="V113" s="239">
        <f>+V105</f>
        <v>224019</v>
      </c>
      <c r="W113" s="236"/>
      <c r="Y113" s="221" t="s">
        <v>118</v>
      </c>
      <c r="Z113" s="341"/>
      <c r="AA113" s="341"/>
      <c r="AB113" s="341"/>
      <c r="AC113" s="341"/>
      <c r="AD113" s="359">
        <f>+AD105</f>
        <v>221875</v>
      </c>
      <c r="AE113" s="236"/>
      <c r="AG113" s="221" t="s">
        <v>118</v>
      </c>
      <c r="AH113" s="217"/>
      <c r="AI113" s="217"/>
      <c r="AJ113" s="217"/>
      <c r="AK113" s="217"/>
      <c r="AL113" s="239">
        <f>+AL105</f>
        <v>216960</v>
      </c>
      <c r="AM113" s="236"/>
      <c r="AO113" s="221" t="s">
        <v>118</v>
      </c>
      <c r="AP113" s="341"/>
      <c r="AQ113" s="341"/>
      <c r="AR113" s="341"/>
      <c r="AS113" s="341"/>
      <c r="AT113" s="359">
        <f>+AT105</f>
        <v>212715</v>
      </c>
      <c r="AU113" s="236"/>
      <c r="AW113" s="214" t="s">
        <v>122</v>
      </c>
      <c r="AX113" s="339"/>
      <c r="AY113" s="341"/>
      <c r="AZ113" s="341"/>
      <c r="BA113" s="341"/>
      <c r="BB113" s="341"/>
      <c r="BC113" s="244">
        <f>SUM(BC107:BC112)</f>
        <v>-0.29000000000000004</v>
      </c>
    </row>
    <row r="114" spans="1:55" ht="18.5">
      <c r="A114" s="221" t="s">
        <v>121</v>
      </c>
      <c r="B114" s="217"/>
      <c r="C114" s="217"/>
      <c r="D114" s="217"/>
      <c r="E114" s="217"/>
      <c r="F114" s="217"/>
      <c r="G114" s="360">
        <f>ROUND(+F110/F113,2)</f>
        <v>1.78</v>
      </c>
      <c r="I114" s="221" t="s">
        <v>121</v>
      </c>
      <c r="J114" s="341"/>
      <c r="K114" s="341"/>
      <c r="L114" s="341"/>
      <c r="M114" s="341"/>
      <c r="N114" s="341"/>
      <c r="O114" s="360">
        <f>ROUND(+N110/N113,2)</f>
        <v>0.95</v>
      </c>
      <c r="Q114" s="221" t="s">
        <v>121</v>
      </c>
      <c r="R114" s="217"/>
      <c r="S114" s="217"/>
      <c r="T114" s="217"/>
      <c r="U114" s="217"/>
      <c r="V114" s="217"/>
      <c r="W114" s="360">
        <f>ROUND(+V110/V113,2)</f>
        <v>1.58</v>
      </c>
      <c r="Y114" s="221" t="s">
        <v>121</v>
      </c>
      <c r="Z114" s="341"/>
      <c r="AA114" s="341"/>
      <c r="AB114" s="341"/>
      <c r="AC114" s="341"/>
      <c r="AD114" s="341"/>
      <c r="AE114" s="360">
        <f>ROUND(+AD110/AD113,2)</f>
        <v>1.7</v>
      </c>
      <c r="AG114" s="221" t="s">
        <v>121</v>
      </c>
      <c r="AH114" s="217"/>
      <c r="AI114" s="217"/>
      <c r="AJ114" s="217"/>
      <c r="AK114" s="217"/>
      <c r="AL114" s="217"/>
      <c r="AM114" s="360">
        <f>ROUND(+AL110/AL113,2)</f>
        <v>0.3</v>
      </c>
      <c r="AO114" s="221" t="s">
        <v>121</v>
      </c>
      <c r="AP114" s="341"/>
      <c r="AQ114" s="341"/>
      <c r="AR114" s="341"/>
      <c r="AS114" s="341"/>
      <c r="AT114" s="341"/>
      <c r="AU114" s="360">
        <f>ROUND(+AT110/AT113,2)</f>
        <v>0.69</v>
      </c>
      <c r="AW114" s="214"/>
      <c r="AX114" s="339"/>
      <c r="AY114" s="341"/>
      <c r="AZ114" s="341"/>
      <c r="BA114" s="341"/>
      <c r="BB114" s="341"/>
      <c r="BC114" s="244"/>
    </row>
    <row r="115" spans="1:55" ht="17">
      <c r="A115" s="214" t="str">
        <f>+A76</f>
        <v>Residential Commodity Rebate (charge)</v>
      </c>
      <c r="B115" s="215"/>
      <c r="C115" s="217"/>
      <c r="D115" s="217"/>
      <c r="E115" s="217"/>
      <c r="F115" s="217"/>
      <c r="G115" s="361">
        <f>SUM(G107:G114)</f>
        <v>1.5762575162818198</v>
      </c>
      <c r="I115" s="214" t="str">
        <f>+I76</f>
        <v>Residential Commodity Rebate (charge)</v>
      </c>
      <c r="J115" s="339"/>
      <c r="K115" s="341"/>
      <c r="L115" s="341"/>
      <c r="M115" s="341"/>
      <c r="N115" s="341"/>
      <c r="O115" s="361">
        <f>SUM(O107:O114)</f>
        <v>-0.18423938944688079</v>
      </c>
      <c r="Q115" s="214" t="str">
        <f>+Q76</f>
        <v>Residential Commodity Rebate (charge)</v>
      </c>
      <c r="R115" s="215"/>
      <c r="S115" s="217"/>
      <c r="T115" s="217"/>
      <c r="U115" s="217"/>
      <c r="V115" s="217"/>
      <c r="W115" s="361">
        <f>SUM(W107:W114)</f>
        <v>1.0191437987488299</v>
      </c>
      <c r="Y115" s="214" t="str">
        <f>+Y76</f>
        <v>Residential Commodity Rebate (charge)</v>
      </c>
      <c r="Z115" s="339"/>
      <c r="AA115" s="341"/>
      <c r="AB115" s="341"/>
      <c r="AC115" s="341"/>
      <c r="AD115" s="341"/>
      <c r="AE115" s="361">
        <f>SUM(AE107:AE114)</f>
        <v>2.1548686741891037</v>
      </c>
      <c r="AG115" s="214" t="str">
        <f>+AG76</f>
        <v>Residential Commodity Rebate (charge)</v>
      </c>
      <c r="AH115" s="215"/>
      <c r="AI115" s="217"/>
      <c r="AJ115" s="217"/>
      <c r="AK115" s="217"/>
      <c r="AL115" s="217"/>
      <c r="AM115" s="361">
        <f>SUM(AM107:AM114)</f>
        <v>-0.26979446287107017</v>
      </c>
      <c r="AO115" s="214" t="s">
        <v>122</v>
      </c>
      <c r="AP115" s="339"/>
      <c r="AQ115" s="341"/>
      <c r="AR115" s="341"/>
      <c r="AS115" s="341"/>
      <c r="AT115" s="341"/>
      <c r="AU115" s="361">
        <f>SUM(AU107:AU114)</f>
        <v>-0.12666793966885437</v>
      </c>
      <c r="AW115" s="229" t="s">
        <v>123</v>
      </c>
      <c r="AX115" s="339"/>
      <c r="AY115" s="341"/>
      <c r="AZ115" s="341"/>
      <c r="BA115" s="362">
        <f>+AY94/12*0.5</f>
        <v>8714.4583333333339</v>
      </c>
      <c r="BB115" s="341"/>
      <c r="BC115" s="244">
        <f>ROUND(-BA115/AY94*2,2)</f>
        <v>-0.08</v>
      </c>
    </row>
    <row r="116" spans="1:55" ht="15.5">
      <c r="A116" s="214"/>
      <c r="B116" s="215"/>
      <c r="C116" s="217"/>
      <c r="D116" s="217"/>
      <c r="E116" s="217"/>
      <c r="F116" s="217"/>
      <c r="G116" s="244"/>
      <c r="I116" s="214"/>
      <c r="J116" s="339"/>
      <c r="K116" s="341"/>
      <c r="L116" s="341"/>
      <c r="M116" s="341"/>
      <c r="N116" s="341"/>
      <c r="O116" s="244"/>
      <c r="Q116" s="214"/>
      <c r="R116" s="215"/>
      <c r="S116" s="217"/>
      <c r="T116" s="217"/>
      <c r="U116" s="217"/>
      <c r="V116" s="217"/>
      <c r="W116" s="244"/>
      <c r="Y116" s="214"/>
      <c r="Z116" s="339"/>
      <c r="AA116" s="341"/>
      <c r="AB116" s="341"/>
      <c r="AC116" s="341"/>
      <c r="AD116" s="341"/>
      <c r="AE116" s="244"/>
      <c r="AG116" s="214"/>
      <c r="AH116" s="215"/>
      <c r="AI116" s="217"/>
      <c r="AJ116" s="217"/>
      <c r="AK116" s="217"/>
      <c r="AL116" s="217"/>
      <c r="AM116" s="244"/>
      <c r="AO116" s="214"/>
      <c r="AP116" s="339"/>
      <c r="AQ116" s="341"/>
      <c r="AR116" s="341"/>
      <c r="AS116" s="341"/>
      <c r="AT116" s="341"/>
      <c r="AU116" s="244"/>
      <c r="AW116" s="214"/>
      <c r="AX116" s="339"/>
      <c r="AY116" s="341"/>
      <c r="AZ116" s="341"/>
      <c r="BA116" s="341"/>
      <c r="BB116" s="341"/>
      <c r="BC116" s="244"/>
    </row>
    <row r="117" spans="1:55" ht="20">
      <c r="A117" s="229"/>
      <c r="B117" s="217"/>
      <c r="C117" s="217"/>
      <c r="D117" s="217"/>
      <c r="E117" s="245"/>
      <c r="F117" s="217"/>
      <c r="G117" s="364"/>
      <c r="I117" s="229"/>
      <c r="J117" s="341"/>
      <c r="K117" s="341"/>
      <c r="L117" s="341"/>
      <c r="M117" s="504"/>
      <c r="N117" s="341"/>
      <c r="O117" s="364"/>
      <c r="Q117" s="229"/>
      <c r="R117" s="217"/>
      <c r="S117" s="217"/>
      <c r="T117" s="217"/>
      <c r="U117" s="245"/>
      <c r="V117" s="217"/>
      <c r="W117" s="364"/>
      <c r="Y117" s="229"/>
      <c r="Z117" s="341"/>
      <c r="AA117" s="341"/>
      <c r="AB117" s="341"/>
      <c r="AC117" s="363"/>
      <c r="AD117" s="341"/>
      <c r="AE117" s="364"/>
      <c r="AG117" s="229"/>
      <c r="AH117" s="217"/>
      <c r="AI117" s="217"/>
      <c r="AJ117" s="217"/>
      <c r="AK117" s="245"/>
      <c r="AL117" s="217"/>
      <c r="AM117" s="364"/>
      <c r="AO117" s="229"/>
      <c r="AP117" s="341"/>
      <c r="AQ117" s="341"/>
      <c r="AR117" s="341"/>
      <c r="AS117" s="245"/>
      <c r="AT117" s="341"/>
      <c r="AU117" s="364"/>
      <c r="AW117" s="229" t="s">
        <v>124</v>
      </c>
      <c r="AX117" s="341"/>
      <c r="AY117" s="341"/>
      <c r="AZ117" s="341"/>
      <c r="BA117" s="363">
        <v>0.5</v>
      </c>
      <c r="BB117" s="341"/>
      <c r="BC117" s="364">
        <f>-BA117*BC112</f>
        <v>-0.40500000000000003</v>
      </c>
    </row>
    <row r="118" spans="1:55" ht="20">
      <c r="A118" s="229"/>
      <c r="B118" s="217"/>
      <c r="C118" s="217"/>
      <c r="D118" s="217"/>
      <c r="E118" s="248"/>
      <c r="F118" s="217"/>
      <c r="G118" s="364"/>
      <c r="I118" s="229"/>
      <c r="J118" s="341"/>
      <c r="K118" s="341"/>
      <c r="L118" s="341"/>
      <c r="M118" s="505"/>
      <c r="N118" s="341"/>
      <c r="O118" s="364"/>
      <c r="Q118" s="229"/>
      <c r="R118" s="217"/>
      <c r="S118" s="217"/>
      <c r="T118" s="217"/>
      <c r="U118" s="248"/>
      <c r="V118" s="217"/>
      <c r="W118" s="364"/>
      <c r="Y118" s="229"/>
      <c r="Z118" s="341"/>
      <c r="AA118" s="341"/>
      <c r="AB118" s="341"/>
      <c r="AC118" s="365"/>
      <c r="AD118" s="341"/>
      <c r="AE118" s="364"/>
      <c r="AG118" s="229"/>
      <c r="AH118" s="217"/>
      <c r="AI118" s="217"/>
      <c r="AJ118" s="217"/>
      <c r="AK118" s="248"/>
      <c r="AL118" s="217"/>
      <c r="AM118" s="364"/>
      <c r="AO118" s="229"/>
      <c r="AP118" s="341"/>
      <c r="AQ118" s="341"/>
      <c r="AR118" s="341"/>
      <c r="AS118" s="248"/>
      <c r="AT118" s="341"/>
      <c r="AU118" s="364"/>
      <c r="AW118" s="229"/>
      <c r="AX118" s="341"/>
      <c r="AY118" s="341"/>
      <c r="AZ118" s="341"/>
      <c r="BA118" s="365"/>
      <c r="BB118" s="341"/>
      <c r="BC118" s="364"/>
    </row>
    <row r="119" spans="1:55" ht="17">
      <c r="A119" s="214"/>
      <c r="B119" s="217"/>
      <c r="C119" s="217"/>
      <c r="D119" s="217"/>
      <c r="E119" s="248"/>
      <c r="F119" s="217"/>
      <c r="G119" s="361"/>
      <c r="I119" s="214"/>
      <c r="J119" s="341"/>
      <c r="K119" s="341"/>
      <c r="L119" s="341"/>
      <c r="M119" s="505"/>
      <c r="N119" s="341"/>
      <c r="O119" s="361"/>
      <c r="Q119" s="214"/>
      <c r="R119" s="217"/>
      <c r="S119" s="217"/>
      <c r="T119" s="217"/>
      <c r="U119" s="248"/>
      <c r="V119" s="217"/>
      <c r="W119" s="361"/>
      <c r="Y119" s="214"/>
      <c r="Z119" s="341"/>
      <c r="AA119" s="341"/>
      <c r="AB119" s="341"/>
      <c r="AC119" s="365"/>
      <c r="AD119" s="341"/>
      <c r="AE119" s="361"/>
      <c r="AG119" s="214"/>
      <c r="AH119" s="217"/>
      <c r="AI119" s="217"/>
      <c r="AJ119" s="217"/>
      <c r="AK119" s="248"/>
      <c r="AL119" s="217"/>
      <c r="AM119" s="361"/>
      <c r="AO119" s="214"/>
      <c r="AP119" s="341"/>
      <c r="AQ119" s="341"/>
      <c r="AR119" s="341"/>
      <c r="AS119" s="248"/>
      <c r="AT119" s="341"/>
      <c r="AU119" s="361"/>
      <c r="AW119" s="214" t="s">
        <v>146</v>
      </c>
      <c r="AX119" s="341"/>
      <c r="AY119" s="341"/>
      <c r="AZ119" s="341"/>
      <c r="BA119" s="365"/>
      <c r="BB119" s="341"/>
      <c r="BC119" s="361">
        <f>+BC113+BC117+BC115</f>
        <v>-0.77500000000000002</v>
      </c>
    </row>
    <row r="120" spans="1:55" ht="13" thickBot="1">
      <c r="A120" s="250"/>
      <c r="B120" s="251"/>
      <c r="C120" s="251"/>
      <c r="D120" s="251"/>
      <c r="E120" s="251"/>
      <c r="F120" s="251"/>
      <c r="G120" s="252"/>
      <c r="I120" s="250"/>
      <c r="J120" s="251"/>
      <c r="K120" s="251"/>
      <c r="L120" s="251"/>
      <c r="M120" s="251"/>
      <c r="N120" s="251"/>
      <c r="O120" s="252"/>
      <c r="Q120" s="250"/>
      <c r="R120" s="251"/>
      <c r="S120" s="251"/>
      <c r="T120" s="251"/>
      <c r="U120" s="251"/>
      <c r="V120" s="251"/>
      <c r="W120" s="252"/>
      <c r="Y120" s="250"/>
      <c r="Z120" s="251"/>
      <c r="AA120" s="251"/>
      <c r="AB120" s="251"/>
      <c r="AC120" s="251"/>
      <c r="AD120" s="251"/>
      <c r="AE120" s="252"/>
      <c r="AG120" s="250"/>
      <c r="AH120" s="251"/>
      <c r="AI120" s="251"/>
      <c r="AJ120" s="251"/>
      <c r="AK120" s="251"/>
      <c r="AL120" s="251"/>
      <c r="AM120" s="252"/>
      <c r="AO120" s="250"/>
      <c r="AP120" s="251"/>
      <c r="AQ120" s="251"/>
      <c r="AR120" s="251"/>
      <c r="AS120" s="251"/>
      <c r="AT120" s="251"/>
      <c r="AU120" s="252"/>
      <c r="AW120" s="250"/>
      <c r="AX120" s="251"/>
      <c r="AY120" s="251"/>
      <c r="AZ120" s="251"/>
      <c r="BA120" s="251"/>
      <c r="BB120" s="251"/>
      <c r="BC120" s="252"/>
    </row>
    <row r="126" spans="1:55" ht="81" customHeight="1">
      <c r="Q126" s="529" t="s">
        <v>247</v>
      </c>
      <c r="R126" s="530"/>
      <c r="S126" s="530"/>
      <c r="T126" s="530"/>
      <c r="U126" s="530"/>
      <c r="V126" s="530"/>
      <c r="W126" s="530"/>
      <c r="Y126" s="529" t="s">
        <v>247</v>
      </c>
      <c r="Z126" s="530"/>
      <c r="AA126" s="530"/>
      <c r="AB126" s="530"/>
      <c r="AC126" s="530"/>
      <c r="AD126" s="530"/>
      <c r="AE126" s="530"/>
    </row>
  </sheetData>
  <mergeCells count="25">
    <mergeCell ref="A4:C4"/>
    <mergeCell ref="A6:G6"/>
    <mergeCell ref="A48:G48"/>
    <mergeCell ref="A87:G87"/>
    <mergeCell ref="AW87:BC87"/>
    <mergeCell ref="Y4:AA4"/>
    <mergeCell ref="Y6:AE6"/>
    <mergeCell ref="Y48:AE48"/>
    <mergeCell ref="Y87:AE87"/>
    <mergeCell ref="AG4:AI4"/>
    <mergeCell ref="AO4:AQ4"/>
    <mergeCell ref="AG6:AM6"/>
    <mergeCell ref="AO6:AU6"/>
    <mergeCell ref="AW6:BC6"/>
    <mergeCell ref="AG48:AM48"/>
    <mergeCell ref="AO48:AU48"/>
    <mergeCell ref="AW48:BC48"/>
    <mergeCell ref="Y126:AE126"/>
    <mergeCell ref="AG87:AM87"/>
    <mergeCell ref="AO87:AU87"/>
    <mergeCell ref="Q4:S4"/>
    <mergeCell ref="Q6:W6"/>
    <mergeCell ref="Q48:W48"/>
    <mergeCell ref="Q87:W87"/>
    <mergeCell ref="Q126:W12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A165"/>
  <sheetViews>
    <sheetView workbookViewId="0">
      <pane xSplit="2" ySplit="6" topLeftCell="C59" activePane="bottomRight" state="frozen"/>
      <selection pane="topRight" activeCell="C1" sqref="C1"/>
      <selection pane="bottomLeft" activeCell="A7" sqref="A7"/>
      <selection pane="bottomRight" activeCell="O77" sqref="O77"/>
    </sheetView>
  </sheetViews>
  <sheetFormatPr defaultRowHeight="12.5"/>
  <cols>
    <col min="2" max="2" width="21.81640625" customWidth="1"/>
    <col min="3" max="3" width="14" bestFit="1" customWidth="1"/>
    <col min="4" max="4" width="12.26953125" bestFit="1" customWidth="1"/>
    <col min="5" max="5" width="13.26953125" customWidth="1"/>
    <col min="6" max="6" width="5.26953125" customWidth="1"/>
    <col min="7" max="7" width="13" bestFit="1" customWidth="1"/>
    <col min="8" max="8" width="12.81640625" bestFit="1" customWidth="1"/>
    <col min="9" max="9" width="3.7265625" customWidth="1"/>
    <col min="10" max="10" width="12.81640625" bestFit="1" customWidth="1"/>
    <col min="11" max="11" width="3.7265625" customWidth="1"/>
    <col min="12" max="12" width="12.7265625" bestFit="1" customWidth="1"/>
    <col min="13" max="13" width="2.54296875" customWidth="1"/>
    <col min="14" max="14" width="11.26953125" bestFit="1" customWidth="1"/>
    <col min="15" max="15" width="11.1796875" bestFit="1" customWidth="1"/>
    <col min="16" max="16" width="10.453125" bestFit="1" customWidth="1"/>
    <col min="17" max="17" width="2.54296875" customWidth="1"/>
    <col min="18" max="20" width="12.81640625" bestFit="1" customWidth="1"/>
    <col min="21" max="21" width="3" customWidth="1"/>
    <col min="22" max="22" width="8.81640625" bestFit="1" customWidth="1"/>
    <col min="23" max="23" width="2.7265625" customWidth="1"/>
    <col min="24" max="24" width="8.81640625" bestFit="1" customWidth="1"/>
    <col min="25" max="25" width="12.54296875" customWidth="1"/>
    <col min="26" max="26" width="11.453125" customWidth="1"/>
    <col min="27" max="27" width="12.26953125" customWidth="1"/>
  </cols>
  <sheetData>
    <row r="1" spans="1:24" ht="20">
      <c r="A1" s="67" t="s">
        <v>80</v>
      </c>
      <c r="B1" s="55"/>
      <c r="C1" s="55"/>
      <c r="D1" s="55"/>
      <c r="E1" s="55"/>
      <c r="F1" s="55"/>
      <c r="G1" s="55"/>
      <c r="H1" s="55"/>
      <c r="I1" s="55"/>
      <c r="J1" s="55"/>
    </row>
    <row r="2" spans="1:24" ht="15.5">
      <c r="A2" s="68"/>
      <c r="B2" s="55"/>
      <c r="C2" s="55"/>
      <c r="D2" s="55"/>
      <c r="E2" s="55"/>
      <c r="F2" s="55"/>
      <c r="G2" s="55"/>
      <c r="H2" s="55"/>
      <c r="I2" s="55"/>
      <c r="J2" s="55"/>
    </row>
    <row r="3" spans="1:24" ht="14.5">
      <c r="A3" s="56" t="s">
        <v>81</v>
      </c>
      <c r="B3" s="55"/>
      <c r="C3" s="55"/>
      <c r="D3" s="55"/>
      <c r="E3" s="55"/>
      <c r="F3" s="55"/>
      <c r="G3" s="55"/>
      <c r="H3" s="55"/>
      <c r="I3" s="55"/>
      <c r="J3" s="55"/>
      <c r="R3" s="13" t="s">
        <v>82</v>
      </c>
      <c r="S3" s="13" t="s">
        <v>31</v>
      </c>
      <c r="V3" s="98" t="s">
        <v>192</v>
      </c>
      <c r="X3" s="98" t="s">
        <v>193</v>
      </c>
    </row>
    <row r="4" spans="1:24" ht="14.5">
      <c r="A4" s="55"/>
      <c r="B4" s="55"/>
      <c r="C4" s="536" t="s">
        <v>83</v>
      </c>
      <c r="D4" s="536"/>
      <c r="E4" s="536"/>
      <c r="F4" s="55"/>
      <c r="G4" s="536" t="s">
        <v>84</v>
      </c>
      <c r="H4" s="536"/>
      <c r="I4" s="536"/>
      <c r="J4" s="536"/>
      <c r="L4" s="13" t="s">
        <v>43</v>
      </c>
      <c r="N4" s="13" t="s">
        <v>82</v>
      </c>
      <c r="O4" s="13" t="s">
        <v>31</v>
      </c>
      <c r="R4" s="13" t="s">
        <v>15</v>
      </c>
      <c r="S4" s="13" t="s">
        <v>15</v>
      </c>
      <c r="V4" s="13" t="s">
        <v>43</v>
      </c>
      <c r="X4" s="13" t="s">
        <v>43</v>
      </c>
    </row>
    <row r="5" spans="1:24" ht="14.5">
      <c r="A5" s="55"/>
      <c r="B5" s="55"/>
      <c r="C5" s="13" t="s">
        <v>82</v>
      </c>
      <c r="D5" s="13" t="s">
        <v>31</v>
      </c>
      <c r="E5" s="55"/>
      <c r="F5" s="55"/>
      <c r="G5" s="13" t="s">
        <v>82</v>
      </c>
      <c r="H5" s="13" t="s">
        <v>31</v>
      </c>
      <c r="I5" s="13"/>
      <c r="J5" s="55"/>
      <c r="L5" s="13" t="s">
        <v>85</v>
      </c>
      <c r="N5" s="13" t="s">
        <v>15</v>
      </c>
      <c r="O5" s="13" t="s">
        <v>15</v>
      </c>
      <c r="P5" s="13" t="s">
        <v>71</v>
      </c>
      <c r="R5" s="13" t="s">
        <v>43</v>
      </c>
      <c r="S5" s="13" t="s">
        <v>43</v>
      </c>
      <c r="T5" s="13" t="s">
        <v>43</v>
      </c>
      <c r="V5" s="13" t="s">
        <v>85</v>
      </c>
      <c r="X5" s="13" t="s">
        <v>85</v>
      </c>
    </row>
    <row r="6" spans="1:24" ht="14.5">
      <c r="A6" s="56"/>
      <c r="B6" s="56"/>
      <c r="C6" s="14" t="s">
        <v>15</v>
      </c>
      <c r="D6" s="14" t="s">
        <v>15</v>
      </c>
      <c r="E6" s="14" t="s">
        <v>71</v>
      </c>
      <c r="F6" s="56"/>
      <c r="G6" s="14" t="s">
        <v>15</v>
      </c>
      <c r="H6" s="14" t="s">
        <v>15</v>
      </c>
      <c r="I6" s="14"/>
      <c r="J6" s="14" t="s">
        <v>71</v>
      </c>
      <c r="L6" s="14" t="s">
        <v>86</v>
      </c>
      <c r="M6" s="14"/>
      <c r="N6" s="14" t="s">
        <v>87</v>
      </c>
      <c r="O6" s="14" t="s">
        <v>87</v>
      </c>
      <c r="P6" s="14" t="s">
        <v>87</v>
      </c>
      <c r="R6" s="56" t="s">
        <v>88</v>
      </c>
      <c r="S6" s="56" t="s">
        <v>88</v>
      </c>
      <c r="T6" s="56" t="s">
        <v>88</v>
      </c>
      <c r="V6" s="14" t="s">
        <v>86</v>
      </c>
      <c r="X6" s="14" t="s">
        <v>86</v>
      </c>
    </row>
    <row r="7" spans="1:24">
      <c r="A7" s="283" t="s">
        <v>317</v>
      </c>
      <c r="C7" s="87">
        <f>+'KC Tonnage - Enspire'!T3+'KC Tonnage - Enspire'!T4</f>
        <v>4035.4341699343386</v>
      </c>
      <c r="D7" s="87">
        <f>+'SC Tonnage - Enspire'!P3+'SC Tonnage - Enspire'!P4</f>
        <v>3266.029875918608</v>
      </c>
      <c r="E7" s="87">
        <f t="shared" ref="E7:E30" si="0">+D7+C7</f>
        <v>7301.4640458529466</v>
      </c>
      <c r="F7" s="11"/>
      <c r="G7" s="136">
        <f>+'Prices - Recy. Acct. Analysis'!M75</f>
        <v>335508.23448981089</v>
      </c>
      <c r="H7" s="136">
        <f>+'Prices - Recy. Acct. Analysis'!M172</f>
        <v>266841.65400980203</v>
      </c>
      <c r="I7" s="136"/>
      <c r="J7" s="136">
        <f>+H7+G7</f>
        <v>602349.88849961292</v>
      </c>
      <c r="K7" s="11"/>
      <c r="L7" s="137">
        <f t="shared" ref="L7:L10" si="1">+J7/E7</f>
        <v>82.49713820637561</v>
      </c>
      <c r="M7" s="11"/>
      <c r="N7" s="57">
        <f>+'Customer Counts - Enspire'!D6+'Customer Counts - Enspire'!F6+'Customer Counts - Enspire'!O6+'Customer Counts - Enspire'!Q6</f>
        <v>132163</v>
      </c>
      <c r="O7" s="130">
        <f>+'Customer Counts - Enspire'!G6+'Customer Counts - Enspire'!H6+'Customer Counts - Enspire'!R6+'Customer Counts - Enspire'!S6</f>
        <v>148444</v>
      </c>
      <c r="P7" s="57">
        <f>+O7+N7</f>
        <v>280607</v>
      </c>
      <c r="Q7" s="11"/>
      <c r="R7" s="87">
        <f t="shared" ref="R7:R10" si="2">+C7*2000/N7</f>
        <v>61.067532818327948</v>
      </c>
      <c r="S7" s="87">
        <f t="shared" ref="S7:T9" si="3">+D7*2000/O7</f>
        <v>44.003528278928194</v>
      </c>
      <c r="T7" s="87">
        <f t="shared" si="3"/>
        <v>52.040498247391874</v>
      </c>
      <c r="V7" s="208">
        <f>+G7/C7</f>
        <v>83.14055448840837</v>
      </c>
      <c r="W7" s="208"/>
      <c r="X7" s="208">
        <f>+H7/D7</f>
        <v>81.702147300397797</v>
      </c>
    </row>
    <row r="8" spans="1:24">
      <c r="A8" t="s">
        <v>47</v>
      </c>
      <c r="C8" s="87">
        <f>+'KC Tonnage - Enspire'!T7+'KC Tonnage - Enspire'!T8</f>
        <v>4019.9148901380004</v>
      </c>
      <c r="D8" s="87">
        <f>+'SC Tonnage - Enspire'!P7+'SC Tonnage - Enspire'!P8</f>
        <v>3394.3180184729999</v>
      </c>
      <c r="E8" s="87">
        <f t="shared" si="0"/>
        <v>7414.2329086110003</v>
      </c>
      <c r="F8" s="11"/>
      <c r="G8" s="136">
        <f>+'Prices - Recy. Acct. Analysis'!M79</f>
        <v>226529.28390615332</v>
      </c>
      <c r="H8" s="136">
        <f>+'Prices - Recy. Acct. Analysis'!M176</f>
        <v>186664.32965624786</v>
      </c>
      <c r="I8" s="136"/>
      <c r="J8" s="136">
        <f t="shared" ref="J8:J30" si="4">+H8+G8</f>
        <v>413193.61356240115</v>
      </c>
      <c r="K8" s="11"/>
      <c r="L8" s="137">
        <f t="shared" si="1"/>
        <v>55.729786028506325</v>
      </c>
      <c r="M8" s="11"/>
      <c r="N8" s="57">
        <f>+'Customer Counts - Enspire'!D7+'Customer Counts - Enspire'!F7+'Customer Counts - Enspire'!O7+'Customer Counts - Enspire'!Q7</f>
        <v>129018</v>
      </c>
      <c r="O8" s="130">
        <f>+'Customer Counts - Enspire'!G7+'Customer Counts - Enspire'!H7+'Customer Counts - Enspire'!R7+'Customer Counts - Enspire'!S7</f>
        <v>148418</v>
      </c>
      <c r="P8" s="57">
        <f t="shared" ref="P8:P29" si="5">+O8+N8</f>
        <v>277436</v>
      </c>
      <c r="Q8" s="11"/>
      <c r="R8" s="87">
        <f t="shared" si="2"/>
        <v>62.315566667255737</v>
      </c>
      <c r="S8" s="87">
        <f t="shared" si="3"/>
        <v>45.739977879677667</v>
      </c>
      <c r="T8" s="87">
        <f t="shared" si="3"/>
        <v>53.448239656072033</v>
      </c>
      <c r="V8" s="208">
        <f t="shared" ref="V8:V10" si="6">+G8/C8</f>
        <v>56.351761193226842</v>
      </c>
      <c r="W8" s="208"/>
      <c r="X8" s="208">
        <f t="shared" ref="X8:X10" si="7">+H8/D8</f>
        <v>54.993176432013421</v>
      </c>
    </row>
    <row r="9" spans="1:24">
      <c r="A9" t="s">
        <v>64</v>
      </c>
      <c r="C9" s="87">
        <f>+'KC Tonnage - Enspire'!T11+'KC Tonnage - Enspire'!T12</f>
        <v>3976.295872704</v>
      </c>
      <c r="D9" s="87">
        <f>+'SC Tonnage - Enspire'!P11+'SC Tonnage - Enspire'!P12</f>
        <v>3374.7512648420002</v>
      </c>
      <c r="E9" s="87">
        <f t="shared" si="0"/>
        <v>7351.0471375460002</v>
      </c>
      <c r="F9" s="11"/>
      <c r="G9" s="136">
        <f>+'Prices - Recy. Acct. Analysis'!M83</f>
        <v>252754.7478979959</v>
      </c>
      <c r="H9" s="136">
        <f>+'Prices - Recy. Acct. Analysis'!M180</f>
        <v>211502.1403606149</v>
      </c>
      <c r="I9" s="136"/>
      <c r="J9" s="136">
        <f t="shared" si="4"/>
        <v>464256.88825861079</v>
      </c>
      <c r="K9" s="11"/>
      <c r="L9" s="137">
        <f t="shared" si="1"/>
        <v>63.155204907799522</v>
      </c>
      <c r="M9" s="11"/>
      <c r="N9" s="57">
        <f>+'Customer Counts - Enspire'!D8+'Customer Counts - Enspire'!F8+'Customer Counts - Enspire'!O8+'Customer Counts - Enspire'!Q8</f>
        <v>129043</v>
      </c>
      <c r="O9" s="130">
        <f>+'Customer Counts - Enspire'!G8+'Customer Counts - Enspire'!H8+'Customer Counts - Enspire'!R8+'Customer Counts - Enspire'!S8</f>
        <v>148382</v>
      </c>
      <c r="P9" s="57">
        <f t="shared" si="5"/>
        <v>277425</v>
      </c>
      <c r="Q9" s="11"/>
      <c r="R9" s="87">
        <f t="shared" si="2"/>
        <v>61.627455541238191</v>
      </c>
      <c r="S9" s="87">
        <f t="shared" si="3"/>
        <v>45.487340308689738</v>
      </c>
      <c r="T9" s="87">
        <f t="shared" si="3"/>
        <v>52.99484284073894</v>
      </c>
      <c r="V9" s="208">
        <f t="shared" si="6"/>
        <v>63.56537742401828</v>
      </c>
      <c r="W9" s="208"/>
      <c r="X9" s="208">
        <f t="shared" si="7"/>
        <v>62.671919724583624</v>
      </c>
    </row>
    <row r="10" spans="1:24">
      <c r="A10" s="283" t="s">
        <v>318</v>
      </c>
      <c r="C10" s="87">
        <f>+'KC Tonnage - Enspire'!T15+'KC Tonnage - Enspire'!T16</f>
        <v>3992.235414839658</v>
      </c>
      <c r="D10" s="87">
        <f>+'SC Tonnage - Enspire'!P15+'SC Tonnage - Enspire'!P16</f>
        <v>3458.6098662334889</v>
      </c>
      <c r="E10" s="87">
        <f t="shared" si="0"/>
        <v>7450.8452810731469</v>
      </c>
      <c r="F10" s="11"/>
      <c r="G10" s="136">
        <f>+'Prices - Recy. Acct. Analysis'!M87</f>
        <v>308844.38816049043</v>
      </c>
      <c r="H10" s="136">
        <f>+'Prices - Recy. Acct. Analysis'!M184</f>
        <v>261167.51634231204</v>
      </c>
      <c r="I10" s="136"/>
      <c r="J10" s="136">
        <f t="shared" si="4"/>
        <v>570011.90450280253</v>
      </c>
      <c r="K10" s="11"/>
      <c r="L10" s="137">
        <f t="shared" si="1"/>
        <v>76.502984963432709</v>
      </c>
      <c r="M10" s="11"/>
      <c r="N10" s="57">
        <f>+'Customer Counts - Enspire'!D9+'Customer Counts - Enspire'!F9+'Customer Counts - Enspire'!O9+'Customer Counts - Enspire'!Q9</f>
        <v>129022</v>
      </c>
      <c r="O10" s="130">
        <f>+'Customer Counts - Enspire'!G9+'Customer Counts - Enspire'!H9+'Customer Counts - Enspire'!R9+'Customer Counts - Enspire'!S9</f>
        <v>148427</v>
      </c>
      <c r="P10" s="57">
        <f t="shared" si="5"/>
        <v>277449</v>
      </c>
      <c r="Q10" s="11"/>
      <c r="R10" s="87">
        <f t="shared" si="2"/>
        <v>61.884568753230582</v>
      </c>
      <c r="S10" s="87">
        <f t="shared" ref="S10:T10" si="8">+D10*2000/O10</f>
        <v>46.603513730432994</v>
      </c>
      <c r="T10" s="87">
        <f t="shared" si="8"/>
        <v>53.709656773483751</v>
      </c>
      <c r="V10" s="208">
        <f t="shared" si="6"/>
        <v>77.361266575732401</v>
      </c>
      <c r="W10" s="208"/>
      <c r="X10" s="208">
        <f t="shared" si="7"/>
        <v>75.51227991688171</v>
      </c>
    </row>
    <row r="11" spans="1:24">
      <c r="A11" t="s">
        <v>75</v>
      </c>
      <c r="C11" s="87">
        <f>+'KC Tonnage - Enspire'!T19+'KC Tonnage - Enspire'!T20</f>
        <v>3376.8865543475772</v>
      </c>
      <c r="D11" s="87">
        <f>+'SC Tonnage - Enspire'!P19+'SC Tonnage - Enspire'!P20</f>
        <v>3153.3459048167865</v>
      </c>
      <c r="E11" s="87">
        <f t="shared" si="0"/>
        <v>6530.2324591643637</v>
      </c>
      <c r="F11" s="11"/>
      <c r="G11" s="136">
        <f>+'Prices - Recy. Acct. Analysis'!M91</f>
        <v>255209.50419249584</v>
      </c>
      <c r="H11" s="136">
        <f>+'Prices - Recy. Acct. Analysis'!M188</f>
        <v>234515.87118667341</v>
      </c>
      <c r="I11" s="136"/>
      <c r="J11" s="136">
        <f t="shared" si="4"/>
        <v>489725.37537916924</v>
      </c>
      <c r="K11" s="11"/>
      <c r="L11" s="137">
        <f>IFERROR(+J11/E11,0)</f>
        <v>74.993559332164509</v>
      </c>
      <c r="M11" s="11"/>
      <c r="N11" s="57">
        <f>+'Customer Counts - Enspire'!D10+'Customer Counts - Enspire'!F10+'Customer Counts - Enspire'!O10+'Customer Counts - Enspire'!Q10</f>
        <v>129024</v>
      </c>
      <c r="O11" s="130">
        <f>+'Customer Counts - Enspire'!G10+'Customer Counts - Enspire'!H10+'Customer Counts - Enspire'!R10+'Customer Counts - Enspire'!S10</f>
        <v>148503</v>
      </c>
      <c r="P11" s="57">
        <f t="shared" si="5"/>
        <v>277527</v>
      </c>
      <c r="Q11" s="11"/>
      <c r="R11" s="87">
        <f>IFERROR(+C11*2000/N11,0)</f>
        <v>52.345091678254853</v>
      </c>
      <c r="S11" s="87">
        <f>IFERROR(+D11*2000/O11,0)</f>
        <v>42.468447166949979</v>
      </c>
      <c r="T11" s="87">
        <f>IFERROR(+E11*2000/P11,0)</f>
        <v>47.060159618086622</v>
      </c>
      <c r="V11" s="208">
        <f>IFERROR(+G11/C11,0)</f>
        <v>75.575385813279993</v>
      </c>
      <c r="W11" s="208"/>
      <c r="X11" s="208">
        <f>IFERROR(+I11/E11,0)</f>
        <v>0</v>
      </c>
    </row>
    <row r="12" spans="1:24">
      <c r="A12" t="s">
        <v>76</v>
      </c>
      <c r="C12" s="87">
        <f>+'KC Tonnage - Enspire'!T23+'KC Tonnage - Enspire'!T24</f>
        <v>3469.2783553129793</v>
      </c>
      <c r="D12" s="87">
        <f>+'SC Tonnage - Enspire'!P23+'SC Tonnage - Enspire'!P24</f>
        <v>3541.861147151717</v>
      </c>
      <c r="E12" s="87">
        <f t="shared" si="0"/>
        <v>7011.1395024646963</v>
      </c>
      <c r="F12" s="11"/>
      <c r="G12" s="136">
        <f>+'Prices - Recy. Acct. Analysis'!M95</f>
        <v>275048.12620148761</v>
      </c>
      <c r="H12" s="136">
        <f>+'Prices - Recy. Acct. Analysis'!M192</f>
        <v>275155.73891337164</v>
      </c>
      <c r="I12" s="136"/>
      <c r="J12" s="136">
        <f t="shared" si="4"/>
        <v>550203.86511485931</v>
      </c>
      <c r="K12" s="11"/>
      <c r="L12" s="137">
        <f t="shared" ref="L12:L30" si="9">IFERROR(+J12/E12,0)</f>
        <v>78.475669314729885</v>
      </c>
      <c r="M12" s="11"/>
      <c r="N12" s="57">
        <f>+'Customer Counts - Enspire'!D11+'Customer Counts - Enspire'!F11+'Customer Counts - Enspire'!O11+'Customer Counts - Enspire'!Q11</f>
        <v>129176</v>
      </c>
      <c r="O12" s="130">
        <f>+'Customer Counts - Enspire'!G11+'Customer Counts - Enspire'!H11+'Customer Counts - Enspire'!R11+'Customer Counts - Enspire'!S11</f>
        <v>148704</v>
      </c>
      <c r="P12" s="57">
        <f t="shared" si="5"/>
        <v>277880</v>
      </c>
      <c r="Q12" s="11"/>
      <c r="R12" s="87">
        <f t="shared" ref="R12:R30" si="10">IFERROR(+C12*2000/N12,0)</f>
        <v>53.713977136820759</v>
      </c>
      <c r="S12" s="87">
        <f t="shared" ref="S12:S30" si="11">IFERROR(+D12*2000/O12,0)</f>
        <v>47.636393737246031</v>
      </c>
      <c r="T12" s="87">
        <f t="shared" ref="T12:T30" si="12">IFERROR(+E12*2000/P12,0)</f>
        <v>50.461634536236481</v>
      </c>
      <c r="V12" s="208">
        <f t="shared" ref="V12:V30" si="13">IFERROR(+G12/C12,0)</f>
        <v>79.281077512926828</v>
      </c>
      <c r="W12" s="208"/>
      <c r="X12" s="208">
        <f t="shared" ref="X12:X30" si="14">IFERROR(+I12/E12,0)</f>
        <v>0</v>
      </c>
    </row>
    <row r="13" spans="1:24">
      <c r="A13" t="s">
        <v>77</v>
      </c>
      <c r="C13" s="87">
        <f>+'KC Tonnage - Enspire'!T27+'KC Tonnage - Enspire'!T28</f>
        <v>3155.9848909050002</v>
      </c>
      <c r="D13" s="87">
        <f>+'SC Tonnage - Enspire'!P27+'SC Tonnage - Enspire'!P28</f>
        <v>3624.7238062590004</v>
      </c>
      <c r="E13" s="87">
        <f t="shared" si="0"/>
        <v>6780.7086971640001</v>
      </c>
      <c r="F13" s="11"/>
      <c r="G13" s="136">
        <f>+'Prices - Recy. Acct. Analysis'!M99</f>
        <v>271848.54350199184</v>
      </c>
      <c r="H13" s="136">
        <f>+'Prices - Recy. Acct. Analysis'!M196</f>
        <v>311451.1509441791</v>
      </c>
      <c r="I13" s="136"/>
      <c r="J13" s="136">
        <f t="shared" si="4"/>
        <v>583299.69444617094</v>
      </c>
      <c r="K13" s="11"/>
      <c r="L13" s="137">
        <f t="shared" si="9"/>
        <v>86.023411489441116</v>
      </c>
      <c r="M13" s="11"/>
      <c r="N13" s="57">
        <f>+'Customer Counts - Enspire'!D12+'Customer Counts - Enspire'!F12+'Customer Counts - Enspire'!O12+'Customer Counts - Enspire'!Q12</f>
        <v>129222</v>
      </c>
      <c r="O13" s="130">
        <f>+'Customer Counts - Enspire'!G12+'Customer Counts - Enspire'!H12+'Customer Counts - Enspire'!R12+'Customer Counts - Enspire'!S12</f>
        <v>148809</v>
      </c>
      <c r="P13" s="57">
        <f t="shared" si="5"/>
        <v>278031</v>
      </c>
      <c r="Q13" s="11"/>
      <c r="R13" s="87">
        <f t="shared" si="10"/>
        <v>48.845937857408188</v>
      </c>
      <c r="S13" s="87">
        <f t="shared" si="11"/>
        <v>48.716459438058187</v>
      </c>
      <c r="T13" s="87">
        <f t="shared" si="12"/>
        <v>48.776637836529019</v>
      </c>
      <c r="V13" s="208">
        <f t="shared" si="13"/>
        <v>86.137466717731158</v>
      </c>
      <c r="W13" s="208"/>
      <c r="X13" s="208">
        <f t="shared" si="14"/>
        <v>0</v>
      </c>
    </row>
    <row r="14" spans="1:24">
      <c r="A14" t="s">
        <v>52</v>
      </c>
      <c r="C14" s="87">
        <f>+'KC Tonnage - Enspire'!T31+'KC Tonnage - Enspire'!T32</f>
        <v>3803.6095699478683</v>
      </c>
      <c r="D14" s="87">
        <f>+'SC Tonnage - Enspire'!P31+'SC Tonnage - Enspire'!P32</f>
        <v>3610.1798619682982</v>
      </c>
      <c r="E14" s="87">
        <f t="shared" si="0"/>
        <v>7413.789431916166</v>
      </c>
      <c r="F14" s="11"/>
      <c r="G14" s="136">
        <f>+'Prices - Recy. Acct. Analysis'!M103</f>
        <v>344126.20117553941</v>
      </c>
      <c r="H14" s="136">
        <f>+'Prices - Recy. Acct. Analysis'!M200</f>
        <v>322014.52883430099</v>
      </c>
      <c r="I14" s="136"/>
      <c r="J14" s="136">
        <f t="shared" si="4"/>
        <v>666140.73000984034</v>
      </c>
      <c r="K14" s="11"/>
      <c r="L14" s="137">
        <f t="shared" si="9"/>
        <v>89.851584824101181</v>
      </c>
      <c r="M14" s="11"/>
      <c r="N14" s="57">
        <f>+'Customer Counts - Enspire'!D13+'Customer Counts - Enspire'!F13+'Customer Counts - Enspire'!O13+'Customer Counts - Enspire'!Q13</f>
        <v>129424</v>
      </c>
      <c r="O14" s="130">
        <f>+'Customer Counts - Enspire'!G13+'Customer Counts - Enspire'!H13+'Customer Counts - Enspire'!R13+'Customer Counts - Enspire'!S13</f>
        <v>149195</v>
      </c>
      <c r="P14" s="57">
        <f t="shared" si="5"/>
        <v>278619</v>
      </c>
      <c r="Q14" s="11"/>
      <c r="R14" s="87">
        <f t="shared" si="10"/>
        <v>58.777499844663559</v>
      </c>
      <c r="S14" s="87">
        <f t="shared" si="11"/>
        <v>48.395453761430318</v>
      </c>
      <c r="T14" s="87">
        <f t="shared" si="12"/>
        <v>53.218118160758358</v>
      </c>
      <c r="V14" s="208">
        <f t="shared" si="13"/>
        <v>90.473586956575033</v>
      </c>
      <c r="W14" s="208"/>
      <c r="X14" s="208">
        <f t="shared" si="14"/>
        <v>0</v>
      </c>
    </row>
    <row r="15" spans="1:24">
      <c r="A15" t="s">
        <v>59</v>
      </c>
      <c r="C15" s="87">
        <f>+'KC Tonnage - Enspire'!T35+'KC Tonnage - Enspire'!T36</f>
        <v>3446.5959578269108</v>
      </c>
      <c r="D15" s="87">
        <f>+'SC Tonnage - Enspire'!P35+'SC Tonnage - Enspire'!P36</f>
        <v>3464.3094463334801</v>
      </c>
      <c r="E15" s="87">
        <f t="shared" si="0"/>
        <v>6910.9054041603904</v>
      </c>
      <c r="F15" s="11"/>
      <c r="G15" s="136">
        <f>+'Prices - Recy. Acct. Analysis'!M107</f>
        <v>368198.15111222398</v>
      </c>
      <c r="H15" s="136">
        <f>+'Prices - Recy. Acct. Analysis'!M204</f>
        <v>363369.18812857231</v>
      </c>
      <c r="I15" s="136"/>
      <c r="J15" s="136">
        <f t="shared" si="4"/>
        <v>731567.33924079628</v>
      </c>
      <c r="K15" s="11"/>
      <c r="L15" s="137">
        <f t="shared" si="9"/>
        <v>105.85694586419748</v>
      </c>
      <c r="M15" s="11"/>
      <c r="N15" s="57">
        <f>+'Customer Counts - Enspire'!D14+'Customer Counts - Enspire'!F14+'Customer Counts - Enspire'!O14+'Customer Counts - Enspire'!Q14</f>
        <v>129486</v>
      </c>
      <c r="O15" s="130">
        <f>+'Customer Counts - Enspire'!G14+'Customer Counts - Enspire'!H14+'Customer Counts - Enspire'!R14+'Customer Counts - Enspire'!S14</f>
        <v>149309</v>
      </c>
      <c r="P15" s="57">
        <f t="shared" si="5"/>
        <v>278795</v>
      </c>
      <c r="Q15" s="11"/>
      <c r="R15" s="87">
        <f t="shared" si="10"/>
        <v>53.2350363410239</v>
      </c>
      <c r="S15" s="87">
        <f t="shared" si="11"/>
        <v>46.404562971200399</v>
      </c>
      <c r="T15" s="87">
        <f t="shared" si="12"/>
        <v>49.576968052944927</v>
      </c>
      <c r="V15" s="208">
        <f t="shared" si="13"/>
        <v>106.82950819230173</v>
      </c>
      <c r="W15" s="208"/>
      <c r="X15" s="208">
        <f t="shared" si="14"/>
        <v>0</v>
      </c>
    </row>
    <row r="16" spans="1:24">
      <c r="A16" t="s">
        <v>60</v>
      </c>
      <c r="C16" s="87">
        <f>+'KC Tonnage - Enspire'!T39+'KC Tonnage - Enspire'!T40</f>
        <v>3892.8099999999995</v>
      </c>
      <c r="D16" s="87">
        <f>+'SC Tonnage - Enspire'!P39+'SC Tonnage - Enspire'!P40</f>
        <v>3875.1500000000005</v>
      </c>
      <c r="E16" s="87">
        <f t="shared" si="0"/>
        <v>7767.96</v>
      </c>
      <c r="F16" s="11"/>
      <c r="G16" s="136">
        <f>+'Prices - Recy. Acct. Analysis'!M111</f>
        <v>345868.86910972116</v>
      </c>
      <c r="H16" s="136">
        <f>+'Prices - Recy. Acct. Analysis'!M208</f>
        <v>336271.61961451068</v>
      </c>
      <c r="I16" s="136"/>
      <c r="J16" s="136">
        <f t="shared" si="4"/>
        <v>682140.48872423184</v>
      </c>
      <c r="K16" s="11"/>
      <c r="L16" s="137">
        <f t="shared" si="9"/>
        <v>87.814624267405065</v>
      </c>
      <c r="M16" s="11"/>
      <c r="N16" s="57">
        <f>+'Customer Counts - Enspire'!D15+'Customer Counts - Enspire'!F15+'Customer Counts - Enspire'!O15+'Customer Counts - Enspire'!Q15</f>
        <v>129541</v>
      </c>
      <c r="O16" s="130">
        <f>+'Customer Counts - Enspire'!G15+'Customer Counts - Enspire'!H15+'Customer Counts - Enspire'!R15+'Customer Counts - Enspire'!S15</f>
        <v>149386</v>
      </c>
      <c r="P16" s="57">
        <f t="shared" si="5"/>
        <v>278927</v>
      </c>
      <c r="Q16" s="11"/>
      <c r="R16" s="87">
        <f t="shared" si="10"/>
        <v>60.101589458163815</v>
      </c>
      <c r="S16" s="87">
        <f t="shared" si="11"/>
        <v>51.881033028530126</v>
      </c>
      <c r="T16" s="87">
        <f t="shared" si="12"/>
        <v>55.698874615938941</v>
      </c>
      <c r="V16" s="208">
        <f t="shared" si="13"/>
        <v>88.848124904560251</v>
      </c>
      <c r="X16" s="208">
        <f t="shared" si="14"/>
        <v>0</v>
      </c>
    </row>
    <row r="17" spans="1:27">
      <c r="A17" t="s">
        <v>61</v>
      </c>
      <c r="C17" s="87">
        <f>+'KC Tonnage - Enspire'!T43+'KC Tonnage - Enspire'!T44</f>
        <v>3803.6</v>
      </c>
      <c r="D17" s="87">
        <f>+'SC Tonnage - Enspire'!P43+'SC Tonnage - Enspire'!P44</f>
        <v>3865.9400000000005</v>
      </c>
      <c r="E17" s="87">
        <f t="shared" si="0"/>
        <v>7669.5400000000009</v>
      </c>
      <c r="F17" s="11"/>
      <c r="G17" s="136">
        <f>+'Prices - Recy. Acct. Analysis'!M115</f>
        <v>325374.98775037006</v>
      </c>
      <c r="H17" s="136">
        <f>+'Prices - Recy. Acct. Analysis'!M212</f>
        <v>325955.7497204328</v>
      </c>
      <c r="I17" s="136"/>
      <c r="J17" s="136">
        <f t="shared" si="4"/>
        <v>651330.73747080285</v>
      </c>
      <c r="K17" s="11"/>
      <c r="L17" s="137">
        <f t="shared" si="9"/>
        <v>84.924354977065477</v>
      </c>
      <c r="M17" s="11"/>
      <c r="N17" s="57">
        <f>+'Customer Counts - Enspire'!D16+'Customer Counts - Enspire'!F16+'Customer Counts - Enspire'!O16+'Customer Counts - Enspire'!Q16</f>
        <v>129634</v>
      </c>
      <c r="O17" s="130">
        <f>+'Customer Counts - Enspire'!G16+'Customer Counts - Enspire'!H16+'Customer Counts - Enspire'!R16+'Customer Counts - Enspire'!S16</f>
        <v>149668</v>
      </c>
      <c r="P17" s="57">
        <f t="shared" si="5"/>
        <v>279302</v>
      </c>
      <c r="Q17" s="11"/>
      <c r="R17" s="87">
        <f t="shared" si="10"/>
        <v>58.682135859419596</v>
      </c>
      <c r="S17" s="87">
        <f t="shared" si="11"/>
        <v>51.660207926878165</v>
      </c>
      <c r="T17" s="87">
        <f t="shared" si="12"/>
        <v>54.919334627034544</v>
      </c>
      <c r="V17" s="208">
        <f t="shared" si="13"/>
        <v>85.543955134706607</v>
      </c>
      <c r="X17" s="208">
        <f t="shared" si="14"/>
        <v>0</v>
      </c>
    </row>
    <row r="18" spans="1:27" s="22" customFormat="1">
      <c r="A18" s="22" t="s">
        <v>62</v>
      </c>
      <c r="C18" s="131">
        <f>+'KC Tonnage - Enspire'!T47+'KC Tonnage - Enspire'!T48</f>
        <v>3455.37</v>
      </c>
      <c r="D18" s="131">
        <f>+'SC Tonnage - Enspire'!P47+'SC Tonnage - Enspire'!P48</f>
        <v>3462.34</v>
      </c>
      <c r="E18" s="131">
        <f t="shared" si="0"/>
        <v>6917.71</v>
      </c>
      <c r="F18" s="132"/>
      <c r="G18" s="147">
        <f>+'Prices - Recy. Acct. Analysis'!M119</f>
        <v>293511.75334629614</v>
      </c>
      <c r="H18" s="147">
        <f>+'Prices - Recy. Acct. Analysis'!M216</f>
        <v>288868.56438014581</v>
      </c>
      <c r="I18" s="147"/>
      <c r="J18" s="147">
        <f t="shared" si="4"/>
        <v>582380.31772644189</v>
      </c>
      <c r="K18" s="132"/>
      <c r="L18" s="429">
        <f t="shared" si="9"/>
        <v>84.186864977925055</v>
      </c>
      <c r="M18" s="132"/>
      <c r="N18" s="430">
        <f>+'Customer Counts - Enspire'!D17+'Customer Counts - Enspire'!F17+'Customer Counts - Enspire'!O17+'Customer Counts - Enspire'!Q17</f>
        <v>129722</v>
      </c>
      <c r="O18" s="135">
        <f>+'Customer Counts - Enspire'!G17+'Customer Counts - Enspire'!H17+'Customer Counts - Enspire'!R17+'Customer Counts - Enspire'!S17</f>
        <v>149772</v>
      </c>
      <c r="P18" s="430">
        <f t="shared" si="5"/>
        <v>279494</v>
      </c>
      <c r="Q18" s="132"/>
      <c r="R18" s="131">
        <f t="shared" si="10"/>
        <v>53.273461710426915</v>
      </c>
      <c r="S18" s="131">
        <f t="shared" si="11"/>
        <v>46.234810244905589</v>
      </c>
      <c r="T18" s="131">
        <f t="shared" si="12"/>
        <v>49.501670876655673</v>
      </c>
      <c r="V18" s="431">
        <f t="shared" si="13"/>
        <v>84.94365389127536</v>
      </c>
      <c r="X18" s="431">
        <f t="shared" si="14"/>
        <v>0</v>
      </c>
    </row>
    <row r="19" spans="1:27" ht="14">
      <c r="A19" t="s">
        <v>46</v>
      </c>
      <c r="C19" s="87">
        <f>+'KC Tonnage - Enspire'!T51+'KC Tonnage - Enspire'!T52</f>
        <v>3455.37</v>
      </c>
      <c r="D19" s="87">
        <f>+'SC Tonnage - Enspire'!P51+'SC Tonnage - Enspire'!P52</f>
        <v>3462.34</v>
      </c>
      <c r="E19" s="87">
        <f t="shared" si="0"/>
        <v>6917.71</v>
      </c>
      <c r="F19" s="138"/>
      <c r="G19" s="147">
        <f>+'Prices - Recy. Acct. Analysis'!M123</f>
        <v>276483.68137009011</v>
      </c>
      <c r="H19" s="147">
        <f>+'Prices - Recy. Acct. Analysis'!M220</f>
        <v>274136.72661251941</v>
      </c>
      <c r="I19" s="139"/>
      <c r="J19" s="136">
        <f t="shared" si="4"/>
        <v>550620.40798260947</v>
      </c>
      <c r="K19" s="11"/>
      <c r="L19" s="137">
        <f t="shared" si="9"/>
        <v>79.595763335353681</v>
      </c>
      <c r="M19" s="11"/>
      <c r="N19" s="57">
        <f>+'Customer Counts - Enspire'!D18+'Customer Counts - Enspire'!F18+'Customer Counts - Enspire'!O18+'Customer Counts - Enspire'!Q18</f>
        <v>129722</v>
      </c>
      <c r="O19" s="130">
        <f>+'Customer Counts - Enspire'!G18+'Customer Counts - Enspire'!H18+'Customer Counts - Enspire'!R18+'Customer Counts - Enspire'!S18</f>
        <v>149772</v>
      </c>
      <c r="P19" s="57">
        <f t="shared" si="5"/>
        <v>279494</v>
      </c>
      <c r="Q19" s="11"/>
      <c r="R19" s="87">
        <f t="shared" si="10"/>
        <v>53.273461710426915</v>
      </c>
      <c r="S19" s="87">
        <f t="shared" si="11"/>
        <v>46.234810244905589</v>
      </c>
      <c r="T19" s="87">
        <f t="shared" si="12"/>
        <v>49.501670876655673</v>
      </c>
      <c r="V19" s="208">
        <f t="shared" si="13"/>
        <v>80.015651397705639</v>
      </c>
      <c r="X19" s="208">
        <f t="shared" si="14"/>
        <v>0</v>
      </c>
    </row>
    <row r="20" spans="1:27" ht="14">
      <c r="A20" t="s">
        <v>47</v>
      </c>
      <c r="C20" s="87">
        <f>+'KC Tonnage - Enspire'!T55+'KC Tonnage - Enspire'!T56</f>
        <v>0</v>
      </c>
      <c r="D20" s="87">
        <f>+'SC Tonnage - Enspire'!P55+'SC Tonnage - Enspire'!P56</f>
        <v>0</v>
      </c>
      <c r="E20" s="87">
        <f t="shared" si="0"/>
        <v>0</v>
      </c>
      <c r="F20" s="138"/>
      <c r="G20" s="136">
        <f>+'Prices - Recy. Acct. Analysis'!M127</f>
        <v>0</v>
      </c>
      <c r="H20" s="136">
        <f>+'Prices - Recy. Acct. Analysis'!M224</f>
        <v>0</v>
      </c>
      <c r="I20" s="139"/>
      <c r="J20" s="136">
        <f t="shared" si="4"/>
        <v>0</v>
      </c>
      <c r="K20" s="11"/>
      <c r="L20" s="137">
        <f t="shared" si="9"/>
        <v>0</v>
      </c>
      <c r="M20" s="11"/>
      <c r="N20" s="57">
        <f>+'Customer Counts - Enspire'!D19+'Customer Counts - Enspire'!F19+'Customer Counts - Enspire'!O19+'Customer Counts - Enspire'!Q19</f>
        <v>0</v>
      </c>
      <c r="O20" s="130">
        <f>+'Customer Counts - Enspire'!G19+'Customer Counts - Enspire'!H19+'Customer Counts - Enspire'!R19+'Customer Counts - Enspire'!S19</f>
        <v>0</v>
      </c>
      <c r="P20" s="57">
        <f t="shared" si="5"/>
        <v>0</v>
      </c>
      <c r="Q20" s="11"/>
      <c r="R20" s="87">
        <f t="shared" si="10"/>
        <v>0</v>
      </c>
      <c r="S20" s="87">
        <f t="shared" si="11"/>
        <v>0</v>
      </c>
      <c r="T20" s="87">
        <f t="shared" si="12"/>
        <v>0</v>
      </c>
      <c r="V20" s="208">
        <f t="shared" si="13"/>
        <v>0</v>
      </c>
      <c r="X20" s="208">
        <f t="shared" si="14"/>
        <v>0</v>
      </c>
    </row>
    <row r="21" spans="1:27">
      <c r="A21" t="s">
        <v>64</v>
      </c>
      <c r="C21" s="87">
        <f>+'KC Tonnage - Enspire'!T59+'KC Tonnage - Enspire'!T60</f>
        <v>0</v>
      </c>
      <c r="D21" s="87">
        <f>+'SC Tonnage - Enspire'!P59+'SC Tonnage - Enspire'!P60</f>
        <v>0</v>
      </c>
      <c r="E21" s="87">
        <f t="shared" si="0"/>
        <v>0</v>
      </c>
      <c r="F21" s="11"/>
      <c r="G21" s="136">
        <f>+'Prices - Recy. Acct. Analysis'!M131</f>
        <v>0</v>
      </c>
      <c r="H21" s="136">
        <f>+'Prices - Recy. Acct. Analysis'!M228</f>
        <v>0</v>
      </c>
      <c r="I21" s="136"/>
      <c r="J21" s="136">
        <f t="shared" si="4"/>
        <v>0</v>
      </c>
      <c r="K21" s="11"/>
      <c r="L21" s="137">
        <f t="shared" si="9"/>
        <v>0</v>
      </c>
      <c r="M21" s="11"/>
      <c r="N21" s="57">
        <f>+'Customer Counts - Enspire'!D20+'Customer Counts - Enspire'!F20+'Customer Counts - Enspire'!O20+'Customer Counts - Enspire'!Q20</f>
        <v>0</v>
      </c>
      <c r="O21" s="130">
        <f>+'Customer Counts - Enspire'!G20+'Customer Counts - Enspire'!H20+'Customer Counts - Enspire'!R20+'Customer Counts - Enspire'!S20</f>
        <v>0</v>
      </c>
      <c r="P21" s="57">
        <f t="shared" si="5"/>
        <v>0</v>
      </c>
      <c r="Q21" s="11"/>
      <c r="R21" s="87">
        <f t="shared" si="10"/>
        <v>0</v>
      </c>
      <c r="S21" s="87">
        <f t="shared" si="11"/>
        <v>0</v>
      </c>
      <c r="T21" s="87">
        <f t="shared" si="12"/>
        <v>0</v>
      </c>
      <c r="V21" s="208">
        <f t="shared" si="13"/>
        <v>0</v>
      </c>
      <c r="X21" s="208">
        <f t="shared" si="14"/>
        <v>0</v>
      </c>
    </row>
    <row r="22" spans="1:27" ht="14">
      <c r="A22" s="283" t="s">
        <v>319</v>
      </c>
      <c r="C22" s="87">
        <f>+'KC Tonnage - Enspire'!T63+'KC Tonnage - Enspire'!T64</f>
        <v>0</v>
      </c>
      <c r="D22" s="87">
        <f>+'SC Tonnage - Enspire'!P63+'SC Tonnage - Enspire'!P64</f>
        <v>0</v>
      </c>
      <c r="E22" s="87">
        <f t="shared" si="0"/>
        <v>0</v>
      </c>
      <c r="F22" s="138"/>
      <c r="G22" s="136">
        <f>+'Prices - Recy. Acct. Analysis'!M135</f>
        <v>0</v>
      </c>
      <c r="H22" s="136">
        <f>+'Prices - Recy. Acct. Analysis'!M232</f>
        <v>0</v>
      </c>
      <c r="I22" s="139"/>
      <c r="J22" s="136">
        <f t="shared" si="4"/>
        <v>0</v>
      </c>
      <c r="K22" s="11"/>
      <c r="L22" s="137">
        <f t="shared" si="9"/>
        <v>0</v>
      </c>
      <c r="M22" s="11"/>
      <c r="N22" s="57">
        <f>+'Customer Counts - Enspire'!D21+'Customer Counts - Enspire'!F21+'Customer Counts - Enspire'!O21+'Customer Counts - Enspire'!Q21</f>
        <v>0</v>
      </c>
      <c r="O22" s="130">
        <f>+'Customer Counts - Enspire'!G21+'Customer Counts - Enspire'!H21+'Customer Counts - Enspire'!R21+'Customer Counts - Enspire'!S21</f>
        <v>0</v>
      </c>
      <c r="P22" s="57">
        <f t="shared" si="5"/>
        <v>0</v>
      </c>
      <c r="Q22" s="11"/>
      <c r="R22" s="87">
        <f t="shared" si="10"/>
        <v>0</v>
      </c>
      <c r="S22" s="87">
        <f t="shared" si="11"/>
        <v>0</v>
      </c>
      <c r="T22" s="87">
        <f t="shared" si="12"/>
        <v>0</v>
      </c>
      <c r="V22" s="208">
        <f t="shared" si="13"/>
        <v>0</v>
      </c>
      <c r="X22" s="208">
        <f t="shared" si="14"/>
        <v>0</v>
      </c>
    </row>
    <row r="23" spans="1:27" ht="14">
      <c r="A23" t="s">
        <v>75</v>
      </c>
      <c r="C23" s="87">
        <f>+'KC Tonnage - Enspire'!T67+'KC Tonnage - Enspire'!T68</f>
        <v>0</v>
      </c>
      <c r="D23" s="87">
        <f>+'SC Tonnage - Enspire'!P67+'SC Tonnage - Enspire'!P68</f>
        <v>0</v>
      </c>
      <c r="E23" s="87">
        <f t="shared" si="0"/>
        <v>0</v>
      </c>
      <c r="F23" s="138"/>
      <c r="G23" s="136">
        <f>+'Prices - Recy. Acct. Analysis'!M139</f>
        <v>0</v>
      </c>
      <c r="H23" s="136">
        <f>+'Prices - Recy. Acct. Analysis'!M236</f>
        <v>0</v>
      </c>
      <c r="I23" s="139"/>
      <c r="J23" s="136">
        <f t="shared" si="4"/>
        <v>0</v>
      </c>
      <c r="K23" s="11"/>
      <c r="L23" s="137">
        <f t="shared" si="9"/>
        <v>0</v>
      </c>
      <c r="M23" s="11"/>
      <c r="N23" s="57">
        <f>+'Customer Counts - Enspire'!D22+'Customer Counts - Enspire'!F22+'Customer Counts - Enspire'!O22+'Customer Counts - Enspire'!Q22</f>
        <v>0</v>
      </c>
      <c r="O23" s="130">
        <f>+'Customer Counts - Enspire'!G22+'Customer Counts - Enspire'!H22+'Customer Counts - Enspire'!R22+'Customer Counts - Enspire'!S22</f>
        <v>0</v>
      </c>
      <c r="P23" s="57">
        <f t="shared" si="5"/>
        <v>0</v>
      </c>
      <c r="Q23" s="11"/>
      <c r="R23" s="87">
        <f t="shared" si="10"/>
        <v>0</v>
      </c>
      <c r="S23" s="87">
        <f t="shared" si="11"/>
        <v>0</v>
      </c>
      <c r="T23" s="87">
        <f t="shared" si="12"/>
        <v>0</v>
      </c>
      <c r="V23" s="208">
        <f t="shared" si="13"/>
        <v>0</v>
      </c>
      <c r="X23" s="208">
        <f t="shared" si="14"/>
        <v>0</v>
      </c>
    </row>
    <row r="24" spans="1:27">
      <c r="A24" t="s">
        <v>76</v>
      </c>
      <c r="C24" s="87">
        <f>+'KC Tonnage - Enspire'!T71+'KC Tonnage - Enspire'!T72</f>
        <v>0</v>
      </c>
      <c r="D24" s="87">
        <f>+'SC Tonnage - Enspire'!P71+'SC Tonnage - Enspire'!P72</f>
        <v>0</v>
      </c>
      <c r="E24" s="87">
        <f t="shared" si="0"/>
        <v>0</v>
      </c>
      <c r="F24" s="11"/>
      <c r="G24" s="136">
        <f>+'Prices - Recy. Acct. Analysis'!M143</f>
        <v>0</v>
      </c>
      <c r="H24" s="136">
        <f>+'Prices - Recy. Acct. Analysis'!M240</f>
        <v>0</v>
      </c>
      <c r="I24" s="136"/>
      <c r="J24" s="136">
        <f t="shared" si="4"/>
        <v>0</v>
      </c>
      <c r="K24" s="11"/>
      <c r="L24" s="137">
        <f t="shared" si="9"/>
        <v>0</v>
      </c>
      <c r="M24" s="11"/>
      <c r="N24" s="57">
        <f>+'Customer Counts - Enspire'!D23+'Customer Counts - Enspire'!F23+'Customer Counts - Enspire'!O23+'Customer Counts - Enspire'!Q23</f>
        <v>0</v>
      </c>
      <c r="O24" s="130">
        <f>+'Customer Counts - Enspire'!G23+'Customer Counts - Enspire'!H23+'Customer Counts - Enspire'!R23+'Customer Counts - Enspire'!S23</f>
        <v>0</v>
      </c>
      <c r="P24" s="57">
        <f t="shared" si="5"/>
        <v>0</v>
      </c>
      <c r="Q24" s="11"/>
      <c r="R24" s="87">
        <f t="shared" si="10"/>
        <v>0</v>
      </c>
      <c r="S24" s="87">
        <f t="shared" si="11"/>
        <v>0</v>
      </c>
      <c r="T24" s="87">
        <f t="shared" si="12"/>
        <v>0</v>
      </c>
      <c r="V24" s="208">
        <f t="shared" si="13"/>
        <v>0</v>
      </c>
      <c r="X24" s="208">
        <f t="shared" si="14"/>
        <v>0</v>
      </c>
    </row>
    <row r="25" spans="1:27">
      <c r="A25" t="s">
        <v>77</v>
      </c>
      <c r="C25" s="87">
        <f>+'KC Tonnage - Enspire'!T75+'KC Tonnage - Enspire'!T76</f>
        <v>0</v>
      </c>
      <c r="D25" s="87">
        <f>+'SC Tonnage - Enspire'!P75+'SC Tonnage - Enspire'!P76</f>
        <v>0</v>
      </c>
      <c r="E25" s="87">
        <f t="shared" si="0"/>
        <v>0</v>
      </c>
      <c r="F25" s="11"/>
      <c r="G25" s="136">
        <f>+'Prices - Recy. Acct. Analysis'!M147</f>
        <v>0</v>
      </c>
      <c r="H25" s="136">
        <f>+'Prices - Recy. Acct. Analysis'!M244</f>
        <v>0</v>
      </c>
      <c r="I25" s="136"/>
      <c r="J25" s="136">
        <f t="shared" si="4"/>
        <v>0</v>
      </c>
      <c r="K25" s="11"/>
      <c r="L25" s="137">
        <f t="shared" si="9"/>
        <v>0</v>
      </c>
      <c r="M25" s="11"/>
      <c r="N25" s="57">
        <f>+'Customer Counts - Enspire'!D24+'Customer Counts - Enspire'!F24+'Customer Counts - Enspire'!O24+'Customer Counts - Enspire'!Q24</f>
        <v>0</v>
      </c>
      <c r="O25" s="130">
        <f>+'Customer Counts - Enspire'!G24+'Customer Counts - Enspire'!H24+'Customer Counts - Enspire'!R24+'Customer Counts - Enspire'!S24</f>
        <v>0</v>
      </c>
      <c r="P25" s="57">
        <f t="shared" si="5"/>
        <v>0</v>
      </c>
      <c r="Q25" s="11"/>
      <c r="R25" s="87">
        <f t="shared" si="10"/>
        <v>0</v>
      </c>
      <c r="S25" s="87">
        <f t="shared" si="11"/>
        <v>0</v>
      </c>
      <c r="T25" s="87">
        <f t="shared" si="12"/>
        <v>0</v>
      </c>
      <c r="V25" s="208">
        <f t="shared" si="13"/>
        <v>0</v>
      </c>
      <c r="X25" s="208">
        <f t="shared" si="14"/>
        <v>0</v>
      </c>
    </row>
    <row r="26" spans="1:27">
      <c r="A26" t="s">
        <v>52</v>
      </c>
      <c r="C26" s="87">
        <f>+'KC Tonnage - Enspire'!T79+'KC Tonnage - Enspire'!T80</f>
        <v>0</v>
      </c>
      <c r="D26" s="87">
        <f>+'SC Tonnage - Enspire'!P79+'SC Tonnage - Enspire'!P80</f>
        <v>0</v>
      </c>
      <c r="E26" s="87">
        <f t="shared" si="0"/>
        <v>0</v>
      </c>
      <c r="F26" s="11"/>
      <c r="G26" s="136">
        <f>+'Prices - Recy. Acct. Analysis'!M151</f>
        <v>0</v>
      </c>
      <c r="H26" s="136">
        <f>+'Prices - Recy. Acct. Analysis'!M248</f>
        <v>0</v>
      </c>
      <c r="I26" s="136"/>
      <c r="J26" s="136">
        <f t="shared" si="4"/>
        <v>0</v>
      </c>
      <c r="K26" s="11"/>
      <c r="L26" s="137">
        <f t="shared" si="9"/>
        <v>0</v>
      </c>
      <c r="M26" s="11"/>
      <c r="N26" s="57">
        <f>+'Customer Counts - Enspire'!D25+'Customer Counts - Enspire'!F25+'Customer Counts - Enspire'!O25+'Customer Counts - Enspire'!Q25</f>
        <v>0</v>
      </c>
      <c r="O26" s="130">
        <f>+'Customer Counts - Enspire'!G25+'Customer Counts - Enspire'!H25+'Customer Counts - Enspire'!R25+'Customer Counts - Enspire'!S25</f>
        <v>0</v>
      </c>
      <c r="P26" s="57">
        <f t="shared" si="5"/>
        <v>0</v>
      </c>
      <c r="Q26" s="11"/>
      <c r="R26" s="87">
        <f t="shared" si="10"/>
        <v>0</v>
      </c>
      <c r="S26" s="87">
        <f t="shared" si="11"/>
        <v>0</v>
      </c>
      <c r="T26" s="87">
        <f t="shared" si="12"/>
        <v>0</v>
      </c>
      <c r="V26" s="208">
        <f t="shared" si="13"/>
        <v>0</v>
      </c>
      <c r="X26" s="208">
        <f t="shared" si="14"/>
        <v>0</v>
      </c>
    </row>
    <row r="27" spans="1:27">
      <c r="A27" t="s">
        <v>59</v>
      </c>
      <c r="C27" s="87">
        <f>+'KC Tonnage - Enspire'!T83+'KC Tonnage - Enspire'!T84</f>
        <v>0</v>
      </c>
      <c r="D27" s="87">
        <f>+'SC Tonnage - Enspire'!P83+'SC Tonnage - Enspire'!P84</f>
        <v>0</v>
      </c>
      <c r="E27" s="87">
        <f t="shared" si="0"/>
        <v>0</v>
      </c>
      <c r="F27" s="11"/>
      <c r="G27" s="136">
        <f>+'Prices - Recy. Acct. Analysis'!M155</f>
        <v>0</v>
      </c>
      <c r="H27" s="136">
        <f>+'Prices - Recy. Acct. Analysis'!M252</f>
        <v>0</v>
      </c>
      <c r="I27" s="136"/>
      <c r="J27" s="136">
        <f t="shared" si="4"/>
        <v>0</v>
      </c>
      <c r="K27" s="11"/>
      <c r="L27" s="137">
        <f t="shared" si="9"/>
        <v>0</v>
      </c>
      <c r="M27" s="11"/>
      <c r="N27" s="57">
        <f>+'Customer Counts - Enspire'!D26+'Customer Counts - Enspire'!F26+'Customer Counts - Enspire'!O26+'Customer Counts - Enspire'!Q26</f>
        <v>0</v>
      </c>
      <c r="O27" s="130">
        <f>+'Customer Counts - Enspire'!G26+'Customer Counts - Enspire'!H26+'Customer Counts - Enspire'!R26+'Customer Counts - Enspire'!S26</f>
        <v>0</v>
      </c>
      <c r="P27" s="57">
        <f t="shared" si="5"/>
        <v>0</v>
      </c>
      <c r="Q27" s="11"/>
      <c r="R27" s="87">
        <f t="shared" si="10"/>
        <v>0</v>
      </c>
      <c r="S27" s="87">
        <f t="shared" si="11"/>
        <v>0</v>
      </c>
      <c r="T27" s="87">
        <f t="shared" si="12"/>
        <v>0</v>
      </c>
      <c r="V27" s="208">
        <f t="shared" si="13"/>
        <v>0</v>
      </c>
      <c r="X27" s="208">
        <f t="shared" si="14"/>
        <v>0</v>
      </c>
    </row>
    <row r="28" spans="1:27">
      <c r="A28" t="s">
        <v>60</v>
      </c>
      <c r="C28" s="87">
        <f>+'KC Tonnage - Enspire'!T87+'KC Tonnage - Enspire'!T88</f>
        <v>0</v>
      </c>
      <c r="D28" s="87">
        <f>+'SC Tonnage - Enspire'!P87+'SC Tonnage - Enspire'!P88</f>
        <v>0</v>
      </c>
      <c r="E28" s="87">
        <f t="shared" si="0"/>
        <v>0</v>
      </c>
      <c r="F28" s="11"/>
      <c r="G28" s="136">
        <f>+'Prices - Recy. Acct. Analysis'!M159</f>
        <v>0</v>
      </c>
      <c r="H28" s="136">
        <f>+'Prices - Recy. Acct. Analysis'!M256</f>
        <v>0</v>
      </c>
      <c r="I28" s="136"/>
      <c r="J28" s="136">
        <f t="shared" si="4"/>
        <v>0</v>
      </c>
      <c r="K28" s="11"/>
      <c r="L28" s="137">
        <f t="shared" si="9"/>
        <v>0</v>
      </c>
      <c r="M28" s="11"/>
      <c r="N28" s="57">
        <f>+'Customer Counts - Enspire'!D27+'Customer Counts - Enspire'!F27+'Customer Counts - Enspire'!O27+'Customer Counts - Enspire'!Q27</f>
        <v>0</v>
      </c>
      <c r="O28" s="130">
        <f>+'Customer Counts - Enspire'!G27+'Customer Counts - Enspire'!H27+'Customer Counts - Enspire'!R27+'Customer Counts - Enspire'!S27</f>
        <v>0</v>
      </c>
      <c r="P28" s="57">
        <f t="shared" si="5"/>
        <v>0</v>
      </c>
      <c r="Q28" s="11"/>
      <c r="R28" s="87">
        <f t="shared" si="10"/>
        <v>0</v>
      </c>
      <c r="S28" s="87">
        <f t="shared" si="11"/>
        <v>0</v>
      </c>
      <c r="T28" s="87">
        <f t="shared" si="12"/>
        <v>0</v>
      </c>
      <c r="V28" s="208">
        <f t="shared" si="13"/>
        <v>0</v>
      </c>
      <c r="X28" s="208">
        <f t="shared" si="14"/>
        <v>0</v>
      </c>
    </row>
    <row r="29" spans="1:27">
      <c r="A29" t="s">
        <v>61</v>
      </c>
      <c r="C29" s="87">
        <f>+'KC Tonnage - Enspire'!T91+'KC Tonnage - Enspire'!T92</f>
        <v>0</v>
      </c>
      <c r="D29" s="87">
        <f>+'SC Tonnage - Enspire'!P91+'SC Tonnage - Enspire'!P92</f>
        <v>0</v>
      </c>
      <c r="E29" s="374">
        <f t="shared" si="0"/>
        <v>0</v>
      </c>
      <c r="F29" s="89"/>
      <c r="G29" s="383">
        <f>+'Prices - Recy. Acct. Analysis'!M163</f>
        <v>0</v>
      </c>
      <c r="H29" s="383">
        <f>+'Prices - Recy. Acct. Analysis'!M260</f>
        <v>0</v>
      </c>
      <c r="I29" s="377"/>
      <c r="J29" s="383">
        <f t="shared" si="4"/>
        <v>0</v>
      </c>
      <c r="K29" s="89"/>
      <c r="L29" s="384">
        <f t="shared" si="9"/>
        <v>0</v>
      </c>
      <c r="M29" s="89"/>
      <c r="N29" s="376">
        <f>+'Customer Counts - Enspire'!D28+'Customer Counts - Enspire'!F28+'Customer Counts - Enspire'!O28+'Customer Counts - Enspire'!Q28</f>
        <v>0</v>
      </c>
      <c r="O29" s="373">
        <f>+'Customer Counts - Enspire'!G28+'Customer Counts - Enspire'!H28+'Customer Counts - Enspire'!R28+'Customer Counts - Enspire'!S28</f>
        <v>0</v>
      </c>
      <c r="P29" s="376">
        <f t="shared" si="5"/>
        <v>0</v>
      </c>
      <c r="Q29" s="89"/>
      <c r="R29" s="374">
        <f t="shared" si="10"/>
        <v>0</v>
      </c>
      <c r="S29" s="374">
        <f t="shared" si="11"/>
        <v>0</v>
      </c>
      <c r="T29" s="374">
        <f t="shared" si="12"/>
        <v>0</v>
      </c>
      <c r="U29" s="283"/>
      <c r="V29" s="384">
        <f t="shared" si="13"/>
        <v>0</v>
      </c>
      <c r="W29" s="283"/>
      <c r="X29" s="384">
        <f t="shared" si="14"/>
        <v>0</v>
      </c>
    </row>
    <row r="30" spans="1:27" s="54" customFormat="1" ht="15">
      <c r="A30" s="75" t="s">
        <v>62</v>
      </c>
      <c r="C30" s="73">
        <f>+'KC Tonnage - Enspire'!T95+'KC Tonnage - Enspire'!T96</f>
        <v>0</v>
      </c>
      <c r="D30" s="73">
        <f>+'SC Tonnage - Enspire'!P95+'SC Tonnage - Enspire'!P96</f>
        <v>0</v>
      </c>
      <c r="E30" s="73">
        <f t="shared" si="0"/>
        <v>0</v>
      </c>
      <c r="F30" s="141"/>
      <c r="G30" s="261">
        <f>+'Prices - Recy. Acct. Analysis'!M167</f>
        <v>0</v>
      </c>
      <c r="H30" s="261">
        <f>+'Prices - Recy. Acct. Analysis'!M264</f>
        <v>0</v>
      </c>
      <c r="I30" s="141"/>
      <c r="J30" s="261">
        <f t="shared" si="4"/>
        <v>0</v>
      </c>
      <c r="K30" s="141"/>
      <c r="L30" s="390">
        <f t="shared" si="9"/>
        <v>0</v>
      </c>
      <c r="M30" s="171"/>
      <c r="N30" s="391">
        <f>+'Customer Counts - Enspire'!D29+'Customer Counts - Enspire'!F29+'Customer Counts - Enspire'!O29+'Customer Counts - Enspire'!Q29</f>
        <v>0</v>
      </c>
      <c r="O30" s="100">
        <f>+'Customer Counts - Enspire'!G29+'Customer Counts - Enspire'!H29+'Customer Counts - Enspire'!R29+'Customer Counts - Enspire'!S29</f>
        <v>0</v>
      </c>
      <c r="P30" s="391">
        <f>+O30+N30</f>
        <v>0</v>
      </c>
      <c r="Q30" s="171"/>
      <c r="R30" s="73">
        <f t="shared" si="10"/>
        <v>0</v>
      </c>
      <c r="S30" s="73">
        <f t="shared" si="11"/>
        <v>0</v>
      </c>
      <c r="T30" s="73">
        <f t="shared" si="12"/>
        <v>0</v>
      </c>
      <c r="U30" s="283"/>
      <c r="V30" s="390">
        <f t="shared" si="13"/>
        <v>0</v>
      </c>
      <c r="W30" s="187"/>
      <c r="X30" s="390">
        <f t="shared" si="14"/>
        <v>0</v>
      </c>
      <c r="Y30"/>
      <c r="Z30"/>
      <c r="AA30"/>
    </row>
    <row r="31" spans="1:27" ht="14.5">
      <c r="C31" s="143">
        <f>SUM(C7:C30)</f>
        <v>47883.385675956335</v>
      </c>
      <c r="D31" s="143">
        <f>SUM(D7:D30)</f>
        <v>45553.899191996388</v>
      </c>
      <c r="E31" s="143">
        <f>SUM(E7:E30)</f>
        <v>93437.284867952723</v>
      </c>
      <c r="F31" s="143"/>
      <c r="G31" s="144">
        <f>SUM(G7:G30)</f>
        <v>3879306.4722146667</v>
      </c>
      <c r="H31" s="144">
        <f>SUM(H7:H30)</f>
        <v>3657914.7787036831</v>
      </c>
      <c r="I31" s="144"/>
      <c r="J31" s="144">
        <f>SUM(J7:J30)</f>
        <v>7537221.2509183493</v>
      </c>
      <c r="K31" s="11"/>
      <c r="L31" s="145">
        <f>+J31/E31</f>
        <v>80.666098780268371</v>
      </c>
      <c r="M31" s="11"/>
      <c r="N31" s="146">
        <f>SUM(N7:N30)</f>
        <v>1684197</v>
      </c>
      <c r="O31" s="146">
        <f>SUM(O7:O30)</f>
        <v>1936789</v>
      </c>
      <c r="P31" s="146">
        <f>SUM(P7:P30)</f>
        <v>3620986</v>
      </c>
      <c r="Q31" s="11"/>
      <c r="R31" s="143">
        <f>+C31*2000/N31</f>
        <v>56.861977162952243</v>
      </c>
      <c r="S31" s="143">
        <f>+D31*2000/O31</f>
        <v>47.040642209343801</v>
      </c>
      <c r="T31" s="143">
        <f>+E31*2000/P31</f>
        <v>51.608752349748229</v>
      </c>
      <c r="V31" s="285">
        <f t="shared" ref="V31" si="15">+G31/C31</f>
        <v>81.015709675737924</v>
      </c>
      <c r="W31" s="286"/>
      <c r="X31" s="285">
        <f t="shared" ref="X31" si="16">+H31/D31</f>
        <v>80.29860985744908</v>
      </c>
    </row>
    <row r="32" spans="1:27">
      <c r="C32" s="268">
        <f>+C31/E31</f>
        <v>0.51246550821362169</v>
      </c>
      <c r="D32" s="268">
        <f>+D31/E31</f>
        <v>0.48753449178637831</v>
      </c>
      <c r="E32" s="11"/>
      <c r="F32" s="11"/>
      <c r="G32" s="268">
        <f>+G31/J31</f>
        <v>0.51468655928628926</v>
      </c>
      <c r="H32" s="268">
        <f>+H31/J31</f>
        <v>0.48531344071371074</v>
      </c>
      <c r="I32" s="11"/>
      <c r="J32" s="11"/>
      <c r="K32" s="11"/>
      <c r="L32" s="11"/>
      <c r="M32" s="11"/>
      <c r="N32" s="11"/>
      <c r="O32" s="11"/>
      <c r="P32" s="11"/>
      <c r="Q32" s="11"/>
      <c r="R32" s="11"/>
      <c r="S32" s="11"/>
      <c r="T32" s="11"/>
    </row>
    <row r="33" spans="1:27">
      <c r="C33" s="11"/>
      <c r="D33" s="11"/>
      <c r="E33" s="11"/>
      <c r="F33" s="11"/>
      <c r="G33" s="11"/>
      <c r="H33" s="11"/>
      <c r="I33" s="11"/>
      <c r="J33" s="11"/>
      <c r="K33" s="11"/>
      <c r="L33" s="11"/>
      <c r="M33" s="11"/>
      <c r="N33" s="11"/>
      <c r="O33" s="11"/>
      <c r="P33" s="11"/>
      <c r="Q33" s="11"/>
      <c r="R33" s="11"/>
      <c r="S33" s="11"/>
      <c r="T33" s="11"/>
    </row>
    <row r="34" spans="1:27" ht="14.5">
      <c r="A34" s="56" t="s">
        <v>89</v>
      </c>
      <c r="C34" s="11"/>
      <c r="D34" s="11"/>
      <c r="E34" s="11"/>
      <c r="F34" s="11"/>
      <c r="G34" s="11"/>
      <c r="H34" s="11"/>
      <c r="I34" s="11"/>
      <c r="J34" s="11"/>
      <c r="K34" s="11"/>
      <c r="L34" s="11"/>
      <c r="M34" s="11"/>
      <c r="N34" s="11"/>
      <c r="O34" s="11"/>
      <c r="P34" s="11"/>
      <c r="Q34" s="11"/>
      <c r="R34" s="11"/>
      <c r="S34" s="11"/>
      <c r="T34" s="11"/>
    </row>
    <row r="35" spans="1:27">
      <c r="A35" t="str">
        <f>+A7</f>
        <v>Oct., 2023</v>
      </c>
      <c r="C35" s="87">
        <f>+'KC Tonnage - Enspire'!V3+'KC Tonnage - Enspire'!V4</f>
        <v>1019.58176566587</v>
      </c>
      <c r="D35" s="87">
        <f>+'SC Tonnage - Enspire'!R3+'SC Tonnage - Enspire'!R4</f>
        <v>2026.0023207838292</v>
      </c>
      <c r="E35" s="87">
        <f t="shared" ref="E35:E58" si="17">+D35+C35</f>
        <v>3045.584086449699</v>
      </c>
      <c r="F35" s="11"/>
      <c r="G35" s="136">
        <f t="shared" ref="G35:H38" si="18">+C35/C7*G7</f>
        <v>84768.59334373087</v>
      </c>
      <c r="H35" s="136">
        <f t="shared" si="18"/>
        <v>165528.7400436282</v>
      </c>
      <c r="I35" s="136"/>
      <c r="J35" s="136">
        <f>+H35+G35</f>
        <v>250297.33338735907</v>
      </c>
      <c r="K35" s="11"/>
      <c r="L35" s="137">
        <f t="shared" ref="L35:L38" si="19">+J35/E35</f>
        <v>82.183688344371376</v>
      </c>
      <c r="M35" s="11"/>
      <c r="N35" s="57">
        <f>+'Customer Counts - Enspire'!D6+'Customer Counts - Enspire'!F6</f>
        <v>40462</v>
      </c>
      <c r="O35" s="130">
        <f>+'Customer Counts - Enspire'!G6+'Customer Counts - Enspire'!H6</f>
        <v>94383</v>
      </c>
      <c r="P35" s="57">
        <f>+O35+N35</f>
        <v>134845</v>
      </c>
      <c r="Q35" s="11"/>
      <c r="R35" s="87">
        <f t="shared" ref="R35:R38" si="20">+C35*2000/N35</f>
        <v>50.397002899800796</v>
      </c>
      <c r="S35" s="87">
        <f t="shared" ref="S35:T37" si="21">+D35*2000/O35</f>
        <v>42.931509292644421</v>
      </c>
      <c r="T35" s="87">
        <f t="shared" si="21"/>
        <v>45.171627964695745</v>
      </c>
      <c r="V35" s="208">
        <f>+G35/C35</f>
        <v>83.14055448840837</v>
      </c>
      <c r="X35" s="208">
        <f>+H35/D35</f>
        <v>81.702147300397797</v>
      </c>
      <c r="Z35" s="87"/>
      <c r="AA35" s="87"/>
    </row>
    <row r="36" spans="1:27">
      <c r="A36" t="str">
        <f t="shared" ref="A36:A58" si="22">+A8</f>
        <v>Nov</v>
      </c>
      <c r="C36" s="87">
        <f>+'KC Tonnage - Enspire'!V7+'KC Tonnage - Enspire'!V8</f>
        <v>1023.0139226319999</v>
      </c>
      <c r="D36" s="87">
        <f>+'SC Tonnage - Enspire'!R7+'SC Tonnage - Enspire'!R8</f>
        <v>2092.4002940800001</v>
      </c>
      <c r="E36" s="87">
        <f t="shared" si="17"/>
        <v>3115.4142167119999</v>
      </c>
      <c r="F36" s="11"/>
      <c r="G36" s="136">
        <f t="shared" si="18"/>
        <v>57648.636265504705</v>
      </c>
      <c r="H36" s="136">
        <f t="shared" si="18"/>
        <v>115067.73853873819</v>
      </c>
      <c r="I36" s="136"/>
      <c r="J36" s="136">
        <f t="shared" ref="J36:J39" si="23">+H36+G36</f>
        <v>172716.37480424289</v>
      </c>
      <c r="K36" s="11"/>
      <c r="L36" s="137">
        <f t="shared" si="19"/>
        <v>55.439297245849801</v>
      </c>
      <c r="M36" s="11"/>
      <c r="N36" s="57">
        <f>+'Customer Counts - Enspire'!D7+'Customer Counts - Enspire'!F7</f>
        <v>40434</v>
      </c>
      <c r="O36" s="130">
        <f>+'Customer Counts - Enspire'!G7+'Customer Counts - Enspire'!H7</f>
        <v>94284</v>
      </c>
      <c r="P36" s="57">
        <f t="shared" ref="P36:P58" si="24">+O36+N36</f>
        <v>134718</v>
      </c>
      <c r="Q36" s="11"/>
      <c r="R36" s="87">
        <f t="shared" si="20"/>
        <v>50.601668033437207</v>
      </c>
      <c r="S36" s="87">
        <f t="shared" si="21"/>
        <v>44.385055663315093</v>
      </c>
      <c r="T36" s="87">
        <f t="shared" si="21"/>
        <v>46.250897678290947</v>
      </c>
      <c r="V36" s="208">
        <f t="shared" ref="V36:V38" si="25">+G36/C36</f>
        <v>56.351761193226849</v>
      </c>
      <c r="X36" s="208">
        <f t="shared" ref="X36:X38" si="26">+H36/D36</f>
        <v>54.993176432013414</v>
      </c>
      <c r="Z36" s="87"/>
      <c r="AA36" s="87"/>
    </row>
    <row r="37" spans="1:27">
      <c r="A37" t="str">
        <f t="shared" si="22"/>
        <v>Dec</v>
      </c>
      <c r="C37" s="87">
        <f>+'KC Tonnage - Enspire'!V11+'KC Tonnage - Enspire'!V12</f>
        <v>1027.1499219940001</v>
      </c>
      <c r="D37" s="87">
        <f>+'SC Tonnage - Enspire'!R11+'SC Tonnage - Enspire'!R12</f>
        <v>2096.9760100829999</v>
      </c>
      <c r="E37" s="87">
        <f t="shared" si="17"/>
        <v>3124.125932077</v>
      </c>
      <c r="F37" s="11"/>
      <c r="G37" s="136">
        <f t="shared" si="18"/>
        <v>65291.172462599548</v>
      </c>
      <c r="H37" s="136">
        <f t="shared" si="18"/>
        <v>131421.51216829944</v>
      </c>
      <c r="I37" s="136"/>
      <c r="J37" s="136">
        <f t="shared" si="23"/>
        <v>196712.68463089899</v>
      </c>
      <c r="K37" s="11"/>
      <c r="L37" s="137">
        <f t="shared" si="19"/>
        <v>62.965670689247567</v>
      </c>
      <c r="M37" s="11"/>
      <c r="N37" s="57">
        <f>+'Customer Counts - Enspire'!D8+'Customer Counts - Enspire'!F8</f>
        <v>40452</v>
      </c>
      <c r="O37" s="130">
        <f>+'Customer Counts - Enspire'!G8+'Customer Counts - Enspire'!H8</f>
        <v>94236</v>
      </c>
      <c r="P37" s="57">
        <f t="shared" si="24"/>
        <v>134688</v>
      </c>
      <c r="Q37" s="11"/>
      <c r="R37" s="87">
        <f t="shared" si="20"/>
        <v>50.783640956887183</v>
      </c>
      <c r="S37" s="87">
        <f t="shared" si="21"/>
        <v>44.504775459123898</v>
      </c>
      <c r="T37" s="87">
        <f t="shared" si="21"/>
        <v>46.390560882587906</v>
      </c>
      <c r="V37" s="208">
        <f t="shared" si="25"/>
        <v>63.565377424018273</v>
      </c>
      <c r="X37" s="208">
        <f t="shared" si="26"/>
        <v>62.671919724583624</v>
      </c>
      <c r="Z37" s="87"/>
      <c r="AA37" s="87"/>
    </row>
    <row r="38" spans="1:27">
      <c r="A38" t="str">
        <f t="shared" si="22"/>
        <v>Jan., 2024</v>
      </c>
      <c r="B38" s="22"/>
      <c r="C38" s="87">
        <f>+'KC Tonnage - Enspire'!V15+'KC Tonnage - Enspire'!V16</f>
        <v>1030.024344475444</v>
      </c>
      <c r="D38" s="87">
        <f>+'SC Tonnage - Enspire'!R15+'SC Tonnage - Enspire'!R16</f>
        <v>2081.6983938052313</v>
      </c>
      <c r="E38" s="131">
        <f t="shared" si="17"/>
        <v>3111.722738280675</v>
      </c>
      <c r="F38" s="132"/>
      <c r="G38" s="136">
        <f t="shared" si="18"/>
        <v>79683.987892458841</v>
      </c>
      <c r="H38" s="136">
        <f t="shared" si="18"/>
        <v>157193.79181554369</v>
      </c>
      <c r="I38" s="136"/>
      <c r="J38" s="147">
        <f t="shared" si="23"/>
        <v>236877.77970800252</v>
      </c>
      <c r="K38" s="11"/>
      <c r="L38" s="137">
        <f t="shared" si="19"/>
        <v>76.124320715953303</v>
      </c>
      <c r="M38" s="11"/>
      <c r="N38" s="57">
        <f>+'Customer Counts - Enspire'!D9+'Customer Counts - Enspire'!F9</f>
        <v>40386</v>
      </c>
      <c r="O38" s="130">
        <f>+'Customer Counts - Enspire'!G9+'Customer Counts - Enspire'!H9</f>
        <v>94258</v>
      </c>
      <c r="P38" s="57">
        <f t="shared" si="24"/>
        <v>134644</v>
      </c>
      <c r="Q38" s="11"/>
      <c r="R38" s="87">
        <f t="shared" si="20"/>
        <v>51.008980561355123</v>
      </c>
      <c r="S38" s="87">
        <f t="shared" ref="S38:T38" si="27">+D38*2000/O38</f>
        <v>44.17022202476673</v>
      </c>
      <c r="T38" s="87">
        <f t="shared" si="27"/>
        <v>46.221483887595063</v>
      </c>
      <c r="V38" s="208">
        <f t="shared" si="25"/>
        <v>77.361266575732401</v>
      </c>
      <c r="X38" s="208">
        <f t="shared" si="26"/>
        <v>75.512279916881724</v>
      </c>
      <c r="Z38" s="87"/>
      <c r="AA38" s="87"/>
    </row>
    <row r="39" spans="1:27">
      <c r="A39" t="str">
        <f t="shared" si="22"/>
        <v>Feb</v>
      </c>
      <c r="B39" s="22"/>
      <c r="C39" s="87">
        <f>+'KC Tonnage - Enspire'!V19+'KC Tonnage - Enspire'!V20</f>
        <v>851.95961036234826</v>
      </c>
      <c r="D39" s="87">
        <f>+'SC Tonnage - Enspire'!R19+'SC Tonnage - Enspire'!R20</f>
        <v>1973.2868703355739</v>
      </c>
      <c r="E39" s="131">
        <f t="shared" si="17"/>
        <v>2825.2464806979224</v>
      </c>
      <c r="F39" s="132"/>
      <c r="G39" s="136">
        <f>IFERROR(+C39/C11*G11,0)</f>
        <v>64387.17625046616</v>
      </c>
      <c r="H39" s="136">
        <f>IFERROR(+D39/D11*H11,0)</f>
        <v>146754.3058917473</v>
      </c>
      <c r="I39" s="136"/>
      <c r="J39" s="147">
        <f t="shared" si="23"/>
        <v>211141.48214221344</v>
      </c>
      <c r="K39" s="11"/>
      <c r="L39" s="137">
        <f>IFERROR(+J39/E39,0)</f>
        <v>74.733827149146663</v>
      </c>
      <c r="M39" s="11"/>
      <c r="N39" s="57">
        <f>+'Customer Counts - Enspire'!D10+'Customer Counts - Enspire'!F10</f>
        <v>40399</v>
      </c>
      <c r="O39" s="130">
        <f>+'Customer Counts - Enspire'!G10+'Customer Counts - Enspire'!H10</f>
        <v>94258</v>
      </c>
      <c r="P39" s="57">
        <f t="shared" si="24"/>
        <v>134657</v>
      </c>
      <c r="Q39" s="11"/>
      <c r="R39" s="87">
        <f>IFERROR(+C39*2000/N39,0)</f>
        <v>42.177262326411459</v>
      </c>
      <c r="S39" s="87">
        <f>IFERROR(+D39*2000/O39,0)</f>
        <v>41.869907495078905</v>
      </c>
      <c r="T39" s="87">
        <f>IFERROR(+E39*2000/P39,0)</f>
        <v>41.962118281231909</v>
      </c>
      <c r="V39" s="208">
        <f>IFERROR(+G39/C39,0)</f>
        <v>75.575385813279993</v>
      </c>
      <c r="X39" s="208">
        <f>IFERROR(+I39/E39,0)</f>
        <v>0</v>
      </c>
      <c r="Z39" s="87"/>
      <c r="AA39" s="87"/>
    </row>
    <row r="40" spans="1:27">
      <c r="A40" t="str">
        <f t="shared" si="22"/>
        <v>Mar</v>
      </c>
      <c r="B40" s="22"/>
      <c r="C40" s="87">
        <f>+'KC Tonnage - Enspire'!V23+'KC Tonnage - Enspire'!V24</f>
        <v>1009.9785359241849</v>
      </c>
      <c r="D40" s="87">
        <f>+'SC Tonnage - Enspire'!R23+'SC Tonnage - Enspire'!R24</f>
        <v>2357.3605160049287</v>
      </c>
      <c r="E40" s="131">
        <f t="shared" si="17"/>
        <v>3367.3390519291138</v>
      </c>
      <c r="F40" s="132"/>
      <c r="G40" s="136">
        <f t="shared" ref="G40:H40" si="28">IFERROR(+C40/C12*G12,0)</f>
        <v>80072.186592997663</v>
      </c>
      <c r="H40" s="136">
        <f t="shared" si="28"/>
        <v>183135.71529707356</v>
      </c>
      <c r="I40" s="136"/>
      <c r="J40" s="147">
        <f t="shared" ref="J40:J58" si="29">+H40+G40</f>
        <v>263207.90189007123</v>
      </c>
      <c r="K40" s="11"/>
      <c r="L40" s="137">
        <f t="shared" ref="L40:L58" si="30">IFERROR(+J40/E40,0)</f>
        <v>78.164953938713751</v>
      </c>
      <c r="M40" s="11"/>
      <c r="N40" s="57">
        <f>+'Customer Counts - Enspire'!D11+'Customer Counts - Enspire'!F11</f>
        <v>40460</v>
      </c>
      <c r="O40" s="130">
        <f>+'Customer Counts - Enspire'!G11+'Customer Counts - Enspire'!H11</f>
        <v>94357</v>
      </c>
      <c r="P40" s="57">
        <f t="shared" si="24"/>
        <v>134817</v>
      </c>
      <c r="Q40" s="11"/>
      <c r="R40" s="87">
        <f t="shared" ref="R40:R58" si="31">IFERROR(+C40*2000/N40,0)</f>
        <v>49.924791691754073</v>
      </c>
      <c r="S40" s="87">
        <f t="shared" ref="S40:S58" si="32">IFERROR(+D40*2000/O40,0)</f>
        <v>49.966839047551936</v>
      </c>
      <c r="T40" s="87">
        <f t="shared" ref="T40:T58" si="33">IFERROR(+E40*2000/P40,0)</f>
        <v>49.954220193730968</v>
      </c>
      <c r="V40" s="208">
        <f t="shared" ref="V40:V58" si="34">IFERROR(+G40/C40,0)</f>
        <v>79.281077512926828</v>
      </c>
      <c r="X40" s="208">
        <f t="shared" ref="X40:X58" si="35">IFERROR(+I40/E40,0)</f>
        <v>0</v>
      </c>
      <c r="Z40" s="87"/>
      <c r="AA40" s="87"/>
    </row>
    <row r="41" spans="1:27">
      <c r="A41" t="str">
        <f t="shared" si="22"/>
        <v>Apr</v>
      </c>
      <c r="B41" s="22"/>
      <c r="C41" s="87">
        <f>+'KC Tonnage - Enspire'!V27+'KC Tonnage - Enspire'!V28</f>
        <v>1092.270214291</v>
      </c>
      <c r="D41" s="87">
        <f>+'SC Tonnage - Enspire'!R27+'SC Tonnage - Enspire'!R28</f>
        <v>2349.4356540809999</v>
      </c>
      <c r="E41" s="131">
        <f t="shared" si="17"/>
        <v>3441.7058683719997</v>
      </c>
      <c r="F41" s="132"/>
      <c r="G41" s="136">
        <f t="shared" ref="G41:H41" si="36">IFERROR(+C41/C13*G13,0)</f>
        <v>94085.389230260087</v>
      </c>
      <c r="H41" s="136">
        <f t="shared" si="36"/>
        <v>201873.15714077125</v>
      </c>
      <c r="I41" s="136"/>
      <c r="J41" s="147">
        <f t="shared" si="29"/>
        <v>295958.54637103132</v>
      </c>
      <c r="K41" s="11"/>
      <c r="L41" s="137">
        <f t="shared" si="30"/>
        <v>85.991818502208616</v>
      </c>
      <c r="M41" s="11"/>
      <c r="N41" s="57">
        <f>+'Customer Counts - Enspire'!D12+'Customer Counts - Enspire'!F12</f>
        <v>40482</v>
      </c>
      <c r="O41" s="130">
        <f>+'Customer Counts - Enspire'!G12+'Customer Counts - Enspire'!H12</f>
        <v>94432</v>
      </c>
      <c r="P41" s="57">
        <f t="shared" si="24"/>
        <v>134914</v>
      </c>
      <c r="Q41" s="11"/>
      <c r="R41" s="87">
        <f t="shared" si="31"/>
        <v>53.963253509757422</v>
      </c>
      <c r="S41" s="87">
        <f t="shared" si="32"/>
        <v>49.75931154864876</v>
      </c>
      <c r="T41" s="87">
        <f t="shared" si="33"/>
        <v>51.020737186237156</v>
      </c>
      <c r="V41" s="208">
        <f t="shared" si="34"/>
        <v>86.137466717731158</v>
      </c>
      <c r="X41" s="208">
        <f t="shared" si="35"/>
        <v>0</v>
      </c>
      <c r="Z41" s="87"/>
      <c r="AA41" s="131"/>
    </row>
    <row r="42" spans="1:27">
      <c r="A42" t="str">
        <f t="shared" si="22"/>
        <v>May</v>
      </c>
      <c r="B42" s="22"/>
      <c r="C42" s="87">
        <f>+'KC Tonnage - Enspire'!V31+'KC Tonnage - Enspire'!V32</f>
        <v>1137.7447727998301</v>
      </c>
      <c r="D42" s="87">
        <f>+'SC Tonnage - Enspire'!R31+'SC Tonnage - Enspire'!R32</f>
        <v>2476.5588329811062</v>
      </c>
      <c r="E42" s="131">
        <f t="shared" si="17"/>
        <v>3614.3036057809363</v>
      </c>
      <c r="F42" s="132"/>
      <c r="G42" s="136">
        <f t="shared" ref="G42:H42" si="37">IFERROR(+C42/C14*G14,0)</f>
        <v>102935.85063629413</v>
      </c>
      <c r="H42" s="136">
        <f t="shared" si="37"/>
        <v>220899.77680448326</v>
      </c>
      <c r="I42" s="136"/>
      <c r="J42" s="147">
        <f t="shared" si="29"/>
        <v>323835.62744077737</v>
      </c>
      <c r="K42" s="11"/>
      <c r="L42" s="137">
        <f t="shared" si="30"/>
        <v>89.598346669830121</v>
      </c>
      <c r="M42" s="11"/>
      <c r="N42" s="57">
        <f>+'Customer Counts - Enspire'!D13+'Customer Counts - Enspire'!F13</f>
        <v>40591</v>
      </c>
      <c r="O42" s="130">
        <f>+'Customer Counts - Enspire'!G13+'Customer Counts - Enspire'!H13</f>
        <v>94657</v>
      </c>
      <c r="P42" s="57">
        <f t="shared" si="24"/>
        <v>135248</v>
      </c>
      <c r="Q42" s="11"/>
      <c r="R42" s="87">
        <f t="shared" si="31"/>
        <v>56.058967396705192</v>
      </c>
      <c r="S42" s="87">
        <f t="shared" si="32"/>
        <v>52.32700873640843</v>
      </c>
      <c r="T42" s="87">
        <f t="shared" si="33"/>
        <v>53.447054385734894</v>
      </c>
      <c r="V42" s="208">
        <f t="shared" si="34"/>
        <v>90.473586956575019</v>
      </c>
      <c r="X42" s="208">
        <f t="shared" si="35"/>
        <v>0</v>
      </c>
      <c r="Z42" s="87"/>
      <c r="AA42" s="131"/>
    </row>
    <row r="43" spans="1:27">
      <c r="A43" t="str">
        <f t="shared" si="22"/>
        <v>Jun</v>
      </c>
      <c r="B43" s="22"/>
      <c r="C43" s="87">
        <f>+'KC Tonnage - Enspire'!V35+'KC Tonnage - Enspire'!V36</f>
        <v>1006.6471199256849</v>
      </c>
      <c r="D43" s="87">
        <f>+'SC Tonnage - Enspire'!R35+'SC Tonnage - Enspire'!R36</f>
        <v>2247.8682261282615</v>
      </c>
      <c r="E43" s="131">
        <f t="shared" si="17"/>
        <v>3254.5153460539464</v>
      </c>
      <c r="F43" s="132"/>
      <c r="G43" s="136">
        <f t="shared" ref="G43:H43" si="38">IFERROR(+C43/C15*G15,0)</f>
        <v>107539.61674485789</v>
      </c>
      <c r="H43" s="136">
        <f t="shared" si="38"/>
        <v>235777.4514666186</v>
      </c>
      <c r="I43" s="136"/>
      <c r="J43" s="147">
        <f t="shared" si="29"/>
        <v>343317.06821147649</v>
      </c>
      <c r="K43" s="11"/>
      <c r="L43" s="137">
        <f t="shared" si="30"/>
        <v>105.48946055139778</v>
      </c>
      <c r="M43" s="11"/>
      <c r="N43" s="57">
        <f>+'Customer Counts - Enspire'!D14+'Customer Counts - Enspire'!F14</f>
        <v>40623</v>
      </c>
      <c r="O43" s="130">
        <f>+'Customer Counts - Enspire'!G14+'Customer Counts - Enspire'!H14</f>
        <v>94667</v>
      </c>
      <c r="P43" s="57">
        <f>+O43+N43</f>
        <v>135290</v>
      </c>
      <c r="Q43" s="11"/>
      <c r="R43" s="87">
        <f t="shared" si="31"/>
        <v>49.560451957053139</v>
      </c>
      <c r="S43" s="87">
        <f t="shared" si="32"/>
        <v>47.490006573109142</v>
      </c>
      <c r="T43" s="87">
        <f t="shared" si="33"/>
        <v>48.111691123570793</v>
      </c>
      <c r="V43" s="208">
        <f t="shared" si="34"/>
        <v>106.82950819230172</v>
      </c>
      <c r="X43" s="208">
        <f t="shared" si="35"/>
        <v>0</v>
      </c>
      <c r="Z43" s="131"/>
      <c r="AA43" s="131"/>
    </row>
    <row r="44" spans="1:27" ht="14">
      <c r="A44" t="str">
        <f t="shared" si="22"/>
        <v>Jul</v>
      </c>
      <c r="B44" s="22"/>
      <c r="C44" s="87">
        <f>+'KC Tonnage - Enspire'!V39+'KC Tonnage - Enspire'!V40</f>
        <v>1105.02</v>
      </c>
      <c r="D44" s="87">
        <f>+'SC Tonnage - Enspire'!R39+'SC Tonnage - Enspire'!R40</f>
        <v>2459.1000000000004</v>
      </c>
      <c r="E44" s="131">
        <f t="shared" si="17"/>
        <v>3564.1200000000003</v>
      </c>
      <c r="F44" s="148"/>
      <c r="G44" s="136">
        <f t="shared" ref="G44:H44" si="39">IFERROR(+C44/C16*G16,0)</f>
        <v>98178.954982037161</v>
      </c>
      <c r="H44" s="136">
        <f t="shared" si="39"/>
        <v>213391.87897088972</v>
      </c>
      <c r="I44" s="136"/>
      <c r="J44" s="147">
        <f t="shared" si="29"/>
        <v>311570.83395292691</v>
      </c>
      <c r="K44" s="11"/>
      <c r="L44" s="137">
        <f t="shared" si="30"/>
        <v>87.418727190141439</v>
      </c>
      <c r="M44" s="11"/>
      <c r="N44" s="57">
        <f>+'Customer Counts - Enspire'!D15+'Customer Counts - Enspire'!F15</f>
        <v>40631</v>
      </c>
      <c r="O44" s="130">
        <f>+'Customer Counts - Enspire'!G15+'Customer Counts - Enspire'!H15</f>
        <v>94700</v>
      </c>
      <c r="P44" s="57">
        <f>+O44+N44</f>
        <v>135331</v>
      </c>
      <c r="Q44" s="11"/>
      <c r="R44" s="87">
        <f t="shared" si="31"/>
        <v>54.392951194900448</v>
      </c>
      <c r="S44" s="87">
        <f t="shared" si="32"/>
        <v>51.934530095036969</v>
      </c>
      <c r="T44" s="87">
        <f t="shared" si="33"/>
        <v>52.672632286763573</v>
      </c>
      <c r="V44" s="208">
        <f t="shared" si="34"/>
        <v>88.848124904560251</v>
      </c>
      <c r="X44" s="208">
        <f t="shared" si="35"/>
        <v>0</v>
      </c>
      <c r="Z44" s="131"/>
      <c r="AA44" s="131"/>
    </row>
    <row r="45" spans="1:27" ht="14">
      <c r="A45" t="str">
        <f t="shared" si="22"/>
        <v>Aug</v>
      </c>
      <c r="B45" s="22"/>
      <c r="C45" s="87">
        <f>+'KC Tonnage - Enspire'!V43+'KC Tonnage - Enspire'!V44</f>
        <v>1137.74</v>
      </c>
      <c r="D45" s="87">
        <f>+'SC Tonnage - Enspire'!R43+'SC Tonnage - Enspire'!R44</f>
        <v>2476.5600000000004</v>
      </c>
      <c r="E45" s="131">
        <f t="shared" si="17"/>
        <v>3614.3</v>
      </c>
      <c r="F45" s="148"/>
      <c r="G45" s="136">
        <f t="shared" ref="G45:H45" si="40">IFERROR(+C45/C17*G17,0)</f>
        <v>97326.779514961105</v>
      </c>
      <c r="H45" s="136">
        <f t="shared" si="40"/>
        <v>208810.52771839063</v>
      </c>
      <c r="I45" s="136"/>
      <c r="J45" s="147">
        <f t="shared" si="29"/>
        <v>306137.30723335175</v>
      </c>
      <c r="K45" s="11"/>
      <c r="L45" s="137">
        <f t="shared" si="30"/>
        <v>84.701686974891885</v>
      </c>
      <c r="M45" s="11"/>
      <c r="N45" s="57">
        <f>+'Customer Counts - Enspire'!D16+'Customer Counts - Enspire'!F16</f>
        <v>40548</v>
      </c>
      <c r="O45" s="130">
        <f>+'Customer Counts - Enspire'!G16+'Customer Counts - Enspire'!H16</f>
        <v>94887</v>
      </c>
      <c r="P45" s="57">
        <f t="shared" si="24"/>
        <v>135435</v>
      </c>
      <c r="Q45" s="11"/>
      <c r="R45" s="87">
        <f t="shared" si="31"/>
        <v>56.118180921377132</v>
      </c>
      <c r="S45" s="87">
        <f t="shared" si="32"/>
        <v>52.200196022637463</v>
      </c>
      <c r="T45" s="87">
        <f t="shared" si="33"/>
        <v>53.373204858419165</v>
      </c>
      <c r="V45" s="208">
        <f t="shared" si="34"/>
        <v>85.543955134706621</v>
      </c>
      <c r="X45" s="208">
        <f t="shared" si="35"/>
        <v>0</v>
      </c>
      <c r="Z45" s="131"/>
      <c r="AA45" s="131"/>
    </row>
    <row r="46" spans="1:27" s="22" customFormat="1">
      <c r="A46" s="22" t="str">
        <f t="shared" si="22"/>
        <v>Sep</v>
      </c>
      <c r="C46" s="131">
        <f>+'KC Tonnage - Enspire'!V47+'KC Tonnage - Enspire'!V48</f>
        <v>1035.1600000000001</v>
      </c>
      <c r="D46" s="131">
        <f>+'SC Tonnage - Enspire'!R47+'SC Tonnage - Enspire'!R48</f>
        <v>2268.37</v>
      </c>
      <c r="E46" s="131">
        <f t="shared" si="17"/>
        <v>3303.5299999999997</v>
      </c>
      <c r="F46" s="132"/>
      <c r="G46" s="147">
        <f t="shared" ref="G46:H46" si="41">IFERROR(+C46/C18*G18,0)</f>
        <v>87930.272762092602</v>
      </c>
      <c r="H46" s="147">
        <f t="shared" si="41"/>
        <v>189253.7374674328</v>
      </c>
      <c r="I46" s="147"/>
      <c r="J46" s="147">
        <f t="shared" si="29"/>
        <v>277184.01022952539</v>
      </c>
      <c r="K46" s="132"/>
      <c r="L46" s="429">
        <f t="shared" si="30"/>
        <v>83.905401261537023</v>
      </c>
      <c r="M46" s="132"/>
      <c r="N46" s="430">
        <f>+'Customer Counts - Enspire'!D17+'Customer Counts - Enspire'!F17</f>
        <v>40653</v>
      </c>
      <c r="O46" s="135">
        <f>+'Customer Counts - Enspire'!G17+'Customer Counts - Enspire'!H17</f>
        <v>94939</v>
      </c>
      <c r="P46" s="430">
        <f t="shared" si="24"/>
        <v>135592</v>
      </c>
      <c r="Q46" s="132"/>
      <c r="R46" s="131">
        <f t="shared" si="31"/>
        <v>50.926622881460169</v>
      </c>
      <c r="S46" s="131">
        <f t="shared" si="32"/>
        <v>47.785841435026704</v>
      </c>
      <c r="T46" s="131">
        <f t="shared" si="33"/>
        <v>48.727506047554421</v>
      </c>
      <c r="V46" s="431">
        <f t="shared" si="34"/>
        <v>84.943653891275346</v>
      </c>
      <c r="X46" s="431">
        <f t="shared" si="35"/>
        <v>0</v>
      </c>
      <c r="Z46" s="131"/>
      <c r="AA46" s="131"/>
    </row>
    <row r="47" spans="1:27" ht="14">
      <c r="A47" t="str">
        <f t="shared" si="22"/>
        <v>Oct</v>
      </c>
      <c r="B47" s="22"/>
      <c r="C47" s="87">
        <f>+'KC Tonnage - Enspire'!V51+'KC Tonnage - Enspire'!V52</f>
        <v>1035.1600000000001</v>
      </c>
      <c r="D47" s="87">
        <f>+'SC Tonnage - Enspire'!R51+'SC Tonnage - Enspire'!R52</f>
        <v>2268.37</v>
      </c>
      <c r="E47" s="131">
        <f t="shared" si="17"/>
        <v>3303.5299999999997</v>
      </c>
      <c r="F47" s="148"/>
      <c r="G47" s="136">
        <f t="shared" ref="G47:H47" si="42">IFERROR(+C47/C19*G19,0)</f>
        <v>82829.001700848967</v>
      </c>
      <c r="H47" s="136">
        <f t="shared" si="42"/>
        <v>179602.09758314915</v>
      </c>
      <c r="I47" s="139"/>
      <c r="J47" s="147">
        <f t="shared" si="29"/>
        <v>262431.09928399813</v>
      </c>
      <c r="K47" s="11"/>
      <c r="L47" s="137">
        <f t="shared" si="30"/>
        <v>79.439599242022368</v>
      </c>
      <c r="M47" s="11"/>
      <c r="N47" s="57">
        <f>+'Customer Counts - Enspire'!D18+'Customer Counts - Enspire'!F18</f>
        <v>40653</v>
      </c>
      <c r="O47" s="130">
        <f>+'Customer Counts - Enspire'!G18+'Customer Counts - Enspire'!H18</f>
        <v>94939</v>
      </c>
      <c r="P47" s="57">
        <f t="shared" si="24"/>
        <v>135592</v>
      </c>
      <c r="Q47" s="11"/>
      <c r="R47" s="87">
        <f t="shared" si="31"/>
        <v>50.926622881460169</v>
      </c>
      <c r="S47" s="87">
        <f t="shared" si="32"/>
        <v>47.785841435026704</v>
      </c>
      <c r="T47" s="87">
        <f t="shared" si="33"/>
        <v>48.727506047554421</v>
      </c>
      <c r="V47" s="208">
        <f t="shared" si="34"/>
        <v>80.015651397705625</v>
      </c>
      <c r="X47" s="208">
        <f t="shared" si="35"/>
        <v>0</v>
      </c>
      <c r="Z47" s="131"/>
      <c r="AA47" s="131"/>
    </row>
    <row r="48" spans="1:27" ht="14">
      <c r="A48" t="str">
        <f t="shared" si="22"/>
        <v>Nov</v>
      </c>
      <c r="B48" s="22"/>
      <c r="C48" s="87">
        <f>+'KC Tonnage - Enspire'!V55+'KC Tonnage - Enspire'!V56</f>
        <v>0</v>
      </c>
      <c r="D48" s="87">
        <f>+'SC Tonnage - Enspire'!R55+'SC Tonnage - Enspire'!R56</f>
        <v>0</v>
      </c>
      <c r="E48" s="131">
        <f t="shared" si="17"/>
        <v>0</v>
      </c>
      <c r="F48" s="148"/>
      <c r="G48" s="136">
        <f t="shared" ref="G48:H48" si="43">IFERROR(+C48/C20*G20,0)</f>
        <v>0</v>
      </c>
      <c r="H48" s="136">
        <f t="shared" si="43"/>
        <v>0</v>
      </c>
      <c r="I48" s="139"/>
      <c r="J48" s="147">
        <f t="shared" si="29"/>
        <v>0</v>
      </c>
      <c r="K48" s="11"/>
      <c r="L48" s="137">
        <f t="shared" si="30"/>
        <v>0</v>
      </c>
      <c r="M48" s="11"/>
      <c r="N48" s="57">
        <f>+'Customer Counts - Enspire'!D19+'Customer Counts - Enspire'!F19</f>
        <v>0</v>
      </c>
      <c r="O48" s="130">
        <f>+'Customer Counts - Enspire'!G19+'Customer Counts - Enspire'!H19</f>
        <v>0</v>
      </c>
      <c r="P48" s="57">
        <f t="shared" si="24"/>
        <v>0</v>
      </c>
      <c r="Q48" s="11"/>
      <c r="R48" s="87">
        <f t="shared" si="31"/>
        <v>0</v>
      </c>
      <c r="S48" s="87">
        <f t="shared" si="32"/>
        <v>0</v>
      </c>
      <c r="T48" s="87">
        <f t="shared" si="33"/>
        <v>0</v>
      </c>
      <c r="V48" s="208">
        <f t="shared" si="34"/>
        <v>0</v>
      </c>
      <c r="X48" s="208">
        <f t="shared" si="35"/>
        <v>0</v>
      </c>
      <c r="Z48" s="131"/>
      <c r="AA48" s="131"/>
    </row>
    <row r="49" spans="1:27">
      <c r="A49" t="str">
        <f t="shared" si="22"/>
        <v>Dec</v>
      </c>
      <c r="B49" s="22"/>
      <c r="C49" s="87">
        <f>+'KC Tonnage - Enspire'!V59+'KC Tonnage - Enspire'!V60</f>
        <v>0</v>
      </c>
      <c r="D49" s="87">
        <f>+'SC Tonnage - Enspire'!R59+'SC Tonnage - Enspire'!R60</f>
        <v>0</v>
      </c>
      <c r="E49" s="131">
        <f t="shared" si="17"/>
        <v>0</v>
      </c>
      <c r="F49" s="132"/>
      <c r="G49" s="136">
        <f t="shared" ref="G49:H49" si="44">IFERROR(+C49/C21*G21,0)</f>
        <v>0</v>
      </c>
      <c r="H49" s="136">
        <f t="shared" si="44"/>
        <v>0</v>
      </c>
      <c r="I49" s="136"/>
      <c r="J49" s="147">
        <f t="shared" si="29"/>
        <v>0</v>
      </c>
      <c r="K49" s="11"/>
      <c r="L49" s="137">
        <f t="shared" si="30"/>
        <v>0</v>
      </c>
      <c r="M49" s="11"/>
      <c r="N49" s="57">
        <f>+'Customer Counts - Enspire'!D20+'Customer Counts - Enspire'!F20</f>
        <v>0</v>
      </c>
      <c r="O49" s="130">
        <f>+'Customer Counts - Enspire'!G20+'Customer Counts - Enspire'!H20</f>
        <v>0</v>
      </c>
      <c r="P49" s="57">
        <f t="shared" si="24"/>
        <v>0</v>
      </c>
      <c r="Q49" s="11"/>
      <c r="R49" s="87">
        <f t="shared" si="31"/>
        <v>0</v>
      </c>
      <c r="S49" s="87">
        <f t="shared" si="32"/>
        <v>0</v>
      </c>
      <c r="T49" s="87">
        <f t="shared" si="33"/>
        <v>0</v>
      </c>
      <c r="V49" s="208">
        <f t="shared" si="34"/>
        <v>0</v>
      </c>
      <c r="X49" s="208">
        <f t="shared" si="35"/>
        <v>0</v>
      </c>
      <c r="Z49" s="131"/>
      <c r="AA49" s="131"/>
    </row>
    <row r="50" spans="1:27" ht="14">
      <c r="A50" t="str">
        <f t="shared" si="22"/>
        <v>Jan. 2025</v>
      </c>
      <c r="B50" s="22"/>
      <c r="C50" s="87">
        <f>+'KC Tonnage - Enspire'!V63+'KC Tonnage - Enspire'!V64</f>
        <v>0</v>
      </c>
      <c r="D50" s="87">
        <f>+'SC Tonnage - Enspire'!R63+'SC Tonnage - Enspire'!R64</f>
        <v>0</v>
      </c>
      <c r="E50" s="131">
        <f t="shared" si="17"/>
        <v>0</v>
      </c>
      <c r="F50" s="148"/>
      <c r="G50" s="136">
        <f t="shared" ref="G50:H50" si="45">IFERROR(+C50/C22*G22,0)</f>
        <v>0</v>
      </c>
      <c r="H50" s="136">
        <f t="shared" si="45"/>
        <v>0</v>
      </c>
      <c r="I50" s="139"/>
      <c r="J50" s="147">
        <f t="shared" si="29"/>
        <v>0</v>
      </c>
      <c r="K50" s="11"/>
      <c r="L50" s="137">
        <f t="shared" si="30"/>
        <v>0</v>
      </c>
      <c r="M50" s="11"/>
      <c r="N50" s="57">
        <f>+'Customer Counts - Enspire'!D21+'Customer Counts - Enspire'!F21</f>
        <v>0</v>
      </c>
      <c r="O50" s="130">
        <f>+'Customer Counts - Enspire'!G21+'Customer Counts - Enspire'!H21</f>
        <v>0</v>
      </c>
      <c r="P50" s="57">
        <f t="shared" si="24"/>
        <v>0</v>
      </c>
      <c r="Q50" s="11"/>
      <c r="R50" s="87">
        <f t="shared" si="31"/>
        <v>0</v>
      </c>
      <c r="S50" s="87">
        <f t="shared" si="32"/>
        <v>0</v>
      </c>
      <c r="T50" s="87">
        <f t="shared" si="33"/>
        <v>0</v>
      </c>
      <c r="V50" s="208">
        <f t="shared" si="34"/>
        <v>0</v>
      </c>
      <c r="X50" s="208">
        <f t="shared" si="35"/>
        <v>0</v>
      </c>
      <c r="Z50" s="87"/>
      <c r="AA50" s="131"/>
    </row>
    <row r="51" spans="1:27" ht="14">
      <c r="A51" t="str">
        <f t="shared" si="22"/>
        <v>Feb</v>
      </c>
      <c r="B51" s="22"/>
      <c r="C51" s="87">
        <f>+'KC Tonnage - Enspire'!V67+'KC Tonnage - Enspire'!V68</f>
        <v>0</v>
      </c>
      <c r="D51" s="87">
        <f>+'SC Tonnage - Enspire'!R67+'SC Tonnage - Enspire'!R68</f>
        <v>0</v>
      </c>
      <c r="E51" s="131">
        <f t="shared" si="17"/>
        <v>0</v>
      </c>
      <c r="F51" s="148"/>
      <c r="G51" s="136">
        <f t="shared" ref="G51:H51" si="46">IFERROR(+C51/C23*G23,0)</f>
        <v>0</v>
      </c>
      <c r="H51" s="136">
        <f t="shared" si="46"/>
        <v>0</v>
      </c>
      <c r="I51" s="139"/>
      <c r="J51" s="147">
        <f t="shared" si="29"/>
        <v>0</v>
      </c>
      <c r="K51" s="11"/>
      <c r="L51" s="137">
        <f t="shared" si="30"/>
        <v>0</v>
      </c>
      <c r="M51" s="11"/>
      <c r="N51" s="57">
        <f>+'Customer Counts - Enspire'!D22+'Customer Counts - Enspire'!F22</f>
        <v>0</v>
      </c>
      <c r="O51" s="130">
        <f>+'Customer Counts - Enspire'!G22+'Customer Counts - Enspire'!H22</f>
        <v>0</v>
      </c>
      <c r="P51" s="57">
        <f t="shared" si="24"/>
        <v>0</v>
      </c>
      <c r="Q51" s="11"/>
      <c r="R51" s="87">
        <f t="shared" si="31"/>
        <v>0</v>
      </c>
      <c r="S51" s="87">
        <f t="shared" si="32"/>
        <v>0</v>
      </c>
      <c r="T51" s="87">
        <f t="shared" si="33"/>
        <v>0</v>
      </c>
      <c r="V51" s="208">
        <f t="shared" si="34"/>
        <v>0</v>
      </c>
      <c r="X51" s="208">
        <f t="shared" si="35"/>
        <v>0</v>
      </c>
      <c r="Z51" s="87"/>
      <c r="AA51" s="131"/>
    </row>
    <row r="52" spans="1:27">
      <c r="A52" t="str">
        <f>+A24</f>
        <v>Mar</v>
      </c>
      <c r="B52" s="22"/>
      <c r="C52" s="87">
        <f>+'KC Tonnage - Enspire'!V71+'KC Tonnage - Enspire'!V72</f>
        <v>0</v>
      </c>
      <c r="D52" s="87">
        <f>+'SC Tonnage - Enspire'!R71+'SC Tonnage - Enspire'!R72</f>
        <v>0</v>
      </c>
      <c r="E52" s="131">
        <f t="shared" si="17"/>
        <v>0</v>
      </c>
      <c r="F52" s="132"/>
      <c r="G52" s="136">
        <f t="shared" ref="G52:H52" si="47">IFERROR(+C52/C24*G24,0)</f>
        <v>0</v>
      </c>
      <c r="H52" s="136">
        <f t="shared" si="47"/>
        <v>0</v>
      </c>
      <c r="I52" s="136"/>
      <c r="J52" s="147">
        <f t="shared" si="29"/>
        <v>0</v>
      </c>
      <c r="K52" s="11"/>
      <c r="L52" s="137">
        <f t="shared" si="30"/>
        <v>0</v>
      </c>
      <c r="M52" s="11"/>
      <c r="N52" s="57">
        <f>+'Customer Counts - Enspire'!D23+'Customer Counts - Enspire'!F23</f>
        <v>0</v>
      </c>
      <c r="O52" s="130">
        <f>+'Customer Counts - Enspire'!G23+'Customer Counts - Enspire'!H23</f>
        <v>0</v>
      </c>
      <c r="P52" s="57">
        <f t="shared" si="24"/>
        <v>0</v>
      </c>
      <c r="Q52" s="11"/>
      <c r="R52" s="87">
        <f t="shared" si="31"/>
        <v>0</v>
      </c>
      <c r="S52" s="87">
        <f t="shared" si="32"/>
        <v>0</v>
      </c>
      <c r="T52" s="87">
        <f t="shared" si="33"/>
        <v>0</v>
      </c>
      <c r="V52" s="208">
        <f t="shared" si="34"/>
        <v>0</v>
      </c>
      <c r="X52" s="208">
        <f t="shared" si="35"/>
        <v>0</v>
      </c>
      <c r="Z52" s="87"/>
      <c r="AA52" s="131"/>
    </row>
    <row r="53" spans="1:27" ht="14">
      <c r="A53" t="str">
        <f t="shared" si="22"/>
        <v>Apr</v>
      </c>
      <c r="B53" s="22"/>
      <c r="C53" s="87">
        <f>+'KC Tonnage - Enspire'!V75+'KC Tonnage - Enspire'!V76</f>
        <v>0</v>
      </c>
      <c r="D53" s="87">
        <f>+'SC Tonnage - Enspire'!R75+'SC Tonnage - Enspire'!R76</f>
        <v>0</v>
      </c>
      <c r="E53" s="131">
        <f t="shared" si="17"/>
        <v>0</v>
      </c>
      <c r="F53" s="148"/>
      <c r="G53" s="136">
        <f t="shared" ref="G53:H53" si="48">IFERROR(+C53/C25*G25,0)</f>
        <v>0</v>
      </c>
      <c r="H53" s="136">
        <f t="shared" si="48"/>
        <v>0</v>
      </c>
      <c r="I53" s="139"/>
      <c r="J53" s="147">
        <f t="shared" si="29"/>
        <v>0</v>
      </c>
      <c r="K53" s="11"/>
      <c r="L53" s="137">
        <f t="shared" si="30"/>
        <v>0</v>
      </c>
      <c r="M53" s="11"/>
      <c r="N53" s="57">
        <f>+'Customer Counts - Enspire'!D24+'Customer Counts - Enspire'!F24</f>
        <v>0</v>
      </c>
      <c r="O53" s="130">
        <f>+'Customer Counts - Enspire'!G24+'Customer Counts - Enspire'!H24</f>
        <v>0</v>
      </c>
      <c r="P53" s="57">
        <f t="shared" si="24"/>
        <v>0</v>
      </c>
      <c r="Q53" s="11"/>
      <c r="R53" s="87">
        <f t="shared" si="31"/>
        <v>0</v>
      </c>
      <c r="S53" s="87">
        <f t="shared" si="32"/>
        <v>0</v>
      </c>
      <c r="T53" s="87">
        <f t="shared" si="33"/>
        <v>0</v>
      </c>
      <c r="V53" s="208">
        <f t="shared" si="34"/>
        <v>0</v>
      </c>
      <c r="X53" s="208">
        <f t="shared" si="35"/>
        <v>0</v>
      </c>
      <c r="Z53" s="87"/>
      <c r="AA53" s="131"/>
    </row>
    <row r="54" spans="1:27" ht="14">
      <c r="A54" t="str">
        <f t="shared" si="22"/>
        <v>May</v>
      </c>
      <c r="B54" s="22"/>
      <c r="C54" s="87">
        <f>+'KC Tonnage - Enspire'!V79+'KC Tonnage - Enspire'!V80</f>
        <v>0</v>
      </c>
      <c r="D54" s="87">
        <f>+'SC Tonnage - Enspire'!R79+'SC Tonnage - Enspire'!R80</f>
        <v>0</v>
      </c>
      <c r="E54" s="131">
        <f t="shared" si="17"/>
        <v>0</v>
      </c>
      <c r="F54" s="148"/>
      <c r="G54" s="136">
        <f t="shared" ref="G54:H54" si="49">IFERROR(+C54/C26*G26,0)</f>
        <v>0</v>
      </c>
      <c r="H54" s="136">
        <f t="shared" si="49"/>
        <v>0</v>
      </c>
      <c r="I54" s="139"/>
      <c r="J54" s="147">
        <f t="shared" si="29"/>
        <v>0</v>
      </c>
      <c r="K54" s="11"/>
      <c r="L54" s="137">
        <f t="shared" si="30"/>
        <v>0</v>
      </c>
      <c r="M54" s="11"/>
      <c r="N54" s="57">
        <f>+'Customer Counts - Enspire'!D25+'Customer Counts - Enspire'!F25</f>
        <v>0</v>
      </c>
      <c r="O54" s="130">
        <f>+'Customer Counts - Enspire'!G25+'Customer Counts - Enspire'!H25</f>
        <v>0</v>
      </c>
      <c r="P54" s="57">
        <f t="shared" si="24"/>
        <v>0</v>
      </c>
      <c r="Q54" s="11"/>
      <c r="R54" s="87">
        <f t="shared" si="31"/>
        <v>0</v>
      </c>
      <c r="S54" s="87">
        <f t="shared" si="32"/>
        <v>0</v>
      </c>
      <c r="T54" s="87">
        <f t="shared" si="33"/>
        <v>0</v>
      </c>
      <c r="V54" s="208">
        <f t="shared" si="34"/>
        <v>0</v>
      </c>
      <c r="X54" s="208">
        <f t="shared" si="35"/>
        <v>0</v>
      </c>
      <c r="Z54" s="87"/>
      <c r="AA54" s="131"/>
    </row>
    <row r="55" spans="1:27" ht="14">
      <c r="A55" t="str">
        <f t="shared" si="22"/>
        <v>Jun</v>
      </c>
      <c r="B55" s="22"/>
      <c r="C55" s="87">
        <f>+'KC Tonnage - Enspire'!V83+'KC Tonnage - Enspire'!V84</f>
        <v>0</v>
      </c>
      <c r="D55" s="87">
        <f>+'SC Tonnage - Enspire'!R83+'SC Tonnage - Enspire'!R84</f>
        <v>0</v>
      </c>
      <c r="E55" s="131">
        <f t="shared" si="17"/>
        <v>0</v>
      </c>
      <c r="F55" s="148"/>
      <c r="G55" s="136">
        <f t="shared" ref="G55:H55" si="50">IFERROR(+C55/C27*G27,0)</f>
        <v>0</v>
      </c>
      <c r="H55" s="136">
        <f t="shared" si="50"/>
        <v>0</v>
      </c>
      <c r="I55" s="139"/>
      <c r="J55" s="147">
        <f t="shared" si="29"/>
        <v>0</v>
      </c>
      <c r="K55" s="11"/>
      <c r="L55" s="137">
        <f t="shared" si="30"/>
        <v>0</v>
      </c>
      <c r="M55" s="11"/>
      <c r="N55" s="57">
        <f>+'Customer Counts - Enspire'!D26+'Customer Counts - Enspire'!F26</f>
        <v>0</v>
      </c>
      <c r="O55" s="130">
        <f>+'Customer Counts - Enspire'!G26+'Customer Counts - Enspire'!H26</f>
        <v>0</v>
      </c>
      <c r="P55" s="57">
        <f t="shared" si="24"/>
        <v>0</v>
      </c>
      <c r="Q55" s="11"/>
      <c r="R55" s="87">
        <f t="shared" si="31"/>
        <v>0</v>
      </c>
      <c r="S55" s="87">
        <f t="shared" si="32"/>
        <v>0</v>
      </c>
      <c r="T55" s="87">
        <f t="shared" si="33"/>
        <v>0</v>
      </c>
      <c r="V55" s="208">
        <f t="shared" si="34"/>
        <v>0</v>
      </c>
      <c r="X55" s="208">
        <f t="shared" si="35"/>
        <v>0</v>
      </c>
      <c r="Z55" s="87"/>
      <c r="AA55" s="131"/>
    </row>
    <row r="56" spans="1:27" ht="14">
      <c r="A56" t="str">
        <f t="shared" si="22"/>
        <v>Jul</v>
      </c>
      <c r="B56" s="22"/>
      <c r="C56" s="87">
        <f>+'KC Tonnage - Enspire'!V87+'KC Tonnage - Enspire'!V88</f>
        <v>0</v>
      </c>
      <c r="D56" s="87">
        <f>+'SC Tonnage - Enspire'!R87+'SC Tonnage - Enspire'!R88</f>
        <v>0</v>
      </c>
      <c r="E56" s="131">
        <f t="shared" si="17"/>
        <v>0</v>
      </c>
      <c r="F56" s="148"/>
      <c r="G56" s="136">
        <f t="shared" ref="G56:H56" si="51">IFERROR(+C56/C28*G28,0)</f>
        <v>0</v>
      </c>
      <c r="H56" s="136">
        <f t="shared" si="51"/>
        <v>0</v>
      </c>
      <c r="I56" s="139"/>
      <c r="J56" s="147">
        <f t="shared" si="29"/>
        <v>0</v>
      </c>
      <c r="K56" s="11"/>
      <c r="L56" s="137">
        <f t="shared" si="30"/>
        <v>0</v>
      </c>
      <c r="M56" s="11"/>
      <c r="N56" s="57">
        <f>+'Customer Counts - Enspire'!D27+'Customer Counts - Enspire'!F27</f>
        <v>0</v>
      </c>
      <c r="O56" s="130">
        <f>+'Customer Counts - Enspire'!G27+'Customer Counts - Enspire'!H27</f>
        <v>0</v>
      </c>
      <c r="P56" s="57">
        <f t="shared" si="24"/>
        <v>0</v>
      </c>
      <c r="Q56" s="11"/>
      <c r="R56" s="87">
        <f t="shared" si="31"/>
        <v>0</v>
      </c>
      <c r="S56" s="87">
        <f t="shared" si="32"/>
        <v>0</v>
      </c>
      <c r="T56" s="87">
        <f t="shared" si="33"/>
        <v>0</v>
      </c>
      <c r="V56" s="208">
        <f t="shared" si="34"/>
        <v>0</v>
      </c>
      <c r="X56" s="208">
        <f t="shared" si="35"/>
        <v>0</v>
      </c>
      <c r="Z56" s="87"/>
      <c r="AA56" s="131"/>
    </row>
    <row r="57" spans="1:27" ht="14">
      <c r="A57" t="str">
        <f t="shared" si="22"/>
        <v>Aug</v>
      </c>
      <c r="B57" s="22"/>
      <c r="C57" s="87">
        <f>+'KC Tonnage - Enspire'!V91+'KC Tonnage - Enspire'!V92</f>
        <v>0</v>
      </c>
      <c r="D57" s="87">
        <f>+'SC Tonnage - Enspire'!R91+'SC Tonnage - Enspire'!R92</f>
        <v>0</v>
      </c>
      <c r="E57" s="385">
        <f t="shared" si="17"/>
        <v>0</v>
      </c>
      <c r="F57" s="379"/>
      <c r="G57" s="383">
        <f t="shared" ref="G57:H57" si="52">IFERROR(+C57/C29*G29,0)</f>
        <v>0</v>
      </c>
      <c r="H57" s="383">
        <f t="shared" si="52"/>
        <v>0</v>
      </c>
      <c r="I57" s="378"/>
      <c r="J57" s="386">
        <f t="shared" si="29"/>
        <v>0</v>
      </c>
      <c r="K57" s="89"/>
      <c r="L57" s="384">
        <f t="shared" si="30"/>
        <v>0</v>
      </c>
      <c r="M57" s="89"/>
      <c r="N57" s="376">
        <f>+'Customer Counts - Enspire'!D28+'Customer Counts - Enspire'!F28</f>
        <v>0</v>
      </c>
      <c r="O57" s="373">
        <f>+'Customer Counts - Enspire'!G28+'Customer Counts - Enspire'!H28</f>
        <v>0</v>
      </c>
      <c r="P57" s="376">
        <f t="shared" si="24"/>
        <v>0</v>
      </c>
      <c r="Q57" s="283"/>
      <c r="R57" s="374">
        <f t="shared" si="31"/>
        <v>0</v>
      </c>
      <c r="S57" s="374">
        <f t="shared" si="32"/>
        <v>0</v>
      </c>
      <c r="T57" s="374">
        <f t="shared" si="33"/>
        <v>0</v>
      </c>
      <c r="U57" s="283"/>
      <c r="V57" s="384">
        <f t="shared" si="34"/>
        <v>0</v>
      </c>
      <c r="W57" s="283"/>
      <c r="X57" s="384">
        <f t="shared" si="35"/>
        <v>0</v>
      </c>
      <c r="Z57" s="87"/>
      <c r="AA57" s="131"/>
    </row>
    <row r="58" spans="1:27" ht="14">
      <c r="A58" t="str">
        <f t="shared" si="22"/>
        <v>Sep</v>
      </c>
      <c r="B58" s="22"/>
      <c r="C58" s="73">
        <f>+'KC Tonnage - Enspire'!V95+'KC Tonnage - Enspire'!V96</f>
        <v>0</v>
      </c>
      <c r="D58" s="73">
        <f>+'SC Tonnage - Enspire'!R95+'SC Tonnage - Enspire'!R96</f>
        <v>0</v>
      </c>
      <c r="E58" s="160">
        <f t="shared" si="17"/>
        <v>0</v>
      </c>
      <c r="F58" s="379"/>
      <c r="G58" s="261">
        <f t="shared" ref="G58:H58" si="53">IFERROR(+C58/C30*G30,0)</f>
        <v>0</v>
      </c>
      <c r="H58" s="261">
        <f t="shared" si="53"/>
        <v>0</v>
      </c>
      <c r="I58" s="378"/>
      <c r="J58" s="392">
        <f t="shared" si="29"/>
        <v>0</v>
      </c>
      <c r="K58" s="89"/>
      <c r="L58" s="390">
        <f t="shared" si="30"/>
        <v>0</v>
      </c>
      <c r="M58" s="283"/>
      <c r="N58" s="391">
        <f>+'Customer Counts - Enspire'!D29+'Customer Counts - Enspire'!F29</f>
        <v>0</v>
      </c>
      <c r="O58" s="100">
        <f>+'Customer Counts - Enspire'!G29+'Customer Counts - Enspire'!H29</f>
        <v>0</v>
      </c>
      <c r="P58" s="391">
        <f t="shared" si="24"/>
        <v>0</v>
      </c>
      <c r="Q58" s="283"/>
      <c r="R58" s="73">
        <f t="shared" si="31"/>
        <v>0</v>
      </c>
      <c r="S58" s="73">
        <f t="shared" si="32"/>
        <v>0</v>
      </c>
      <c r="T58" s="73">
        <f t="shared" si="33"/>
        <v>0</v>
      </c>
      <c r="U58" s="187"/>
      <c r="V58" s="390">
        <f t="shared" si="34"/>
        <v>0</v>
      </c>
      <c r="W58" s="187"/>
      <c r="X58" s="390">
        <f t="shared" si="35"/>
        <v>0</v>
      </c>
      <c r="Z58" s="73"/>
      <c r="AA58" s="73"/>
    </row>
    <row r="59" spans="1:27" ht="14.5">
      <c r="C59" s="143">
        <f>SUM(C35:C58)</f>
        <v>13511.450208070362</v>
      </c>
      <c r="D59" s="143">
        <f t="shared" ref="D59:P59" si="54">SUM(D35:D58)</f>
        <v>29173.987118282934</v>
      </c>
      <c r="E59" s="143">
        <f t="shared" si="54"/>
        <v>42685.437326353291</v>
      </c>
      <c r="F59" s="143"/>
      <c r="G59" s="144">
        <f t="shared" si="54"/>
        <v>1102677.6183791098</v>
      </c>
      <c r="H59" s="144">
        <f t="shared" si="54"/>
        <v>2348710.4309067652</v>
      </c>
      <c r="I59" s="143"/>
      <c r="J59" s="144">
        <f t="shared" si="54"/>
        <v>3451388.0492858756</v>
      </c>
      <c r="K59" s="143"/>
      <c r="L59" s="145">
        <f>+J59/E59</f>
        <v>80.856335684185325</v>
      </c>
      <c r="M59" s="143"/>
      <c r="N59" s="146">
        <f t="shared" si="54"/>
        <v>526774</v>
      </c>
      <c r="O59" s="146">
        <f t="shared" si="54"/>
        <v>1228997</v>
      </c>
      <c r="P59" s="146">
        <f t="shared" si="54"/>
        <v>1755771</v>
      </c>
      <c r="Q59" s="11"/>
      <c r="R59" s="143">
        <f>+C59*2000/N59</f>
        <v>51.298850011847058</v>
      </c>
      <c r="S59" s="143">
        <f>+D59*2000/O59</f>
        <v>47.476091671961662</v>
      </c>
      <c r="T59" s="143">
        <f>+E59*2000/P59</f>
        <v>48.623012142646495</v>
      </c>
      <c r="V59" s="285">
        <f t="shared" ref="V59" si="55">+G59/C59</f>
        <v>81.610604442777174</v>
      </c>
      <c r="W59" s="286"/>
      <c r="X59" s="285">
        <f t="shared" ref="X59" si="56">+H59/D59</f>
        <v>80.507008568426386</v>
      </c>
      <c r="Y59" s="284"/>
    </row>
    <row r="60" spans="1:27" ht="14.5">
      <c r="C60" s="268">
        <f>+C59/E59</f>
        <v>0.31653535852913972</v>
      </c>
      <c r="D60" s="268">
        <f>+D59/E59</f>
        <v>0.68346464147086039</v>
      </c>
      <c r="E60" s="86">
        <f>+D60+C60</f>
        <v>1</v>
      </c>
      <c r="F60" s="11"/>
      <c r="G60" s="268">
        <f>+G59/J59</f>
        <v>0.31948816030908611</v>
      </c>
      <c r="H60" s="268">
        <f>+H59/J59</f>
        <v>0.68051183969091367</v>
      </c>
      <c r="I60" s="11"/>
      <c r="J60" s="86">
        <f>+H60+G60</f>
        <v>0.99999999999999978</v>
      </c>
      <c r="K60" s="11"/>
      <c r="L60" s="11"/>
      <c r="M60" s="11"/>
      <c r="N60" s="268">
        <f>+N59/P59</f>
        <v>0.3000243198002473</v>
      </c>
      <c r="O60" s="268">
        <f>+O59/P59</f>
        <v>0.69997568019975265</v>
      </c>
      <c r="P60" s="86">
        <f>+O60+N60</f>
        <v>1</v>
      </c>
      <c r="Q60" s="11"/>
      <c r="R60" s="11"/>
      <c r="S60" s="11"/>
      <c r="T60" s="11"/>
      <c r="V60" s="286"/>
      <c r="W60" s="287"/>
      <c r="X60" s="287"/>
      <c r="Y60" s="284"/>
    </row>
    <row r="61" spans="1:27" s="54" customFormat="1" ht="15.5">
      <c r="A61" s="69" t="s">
        <v>335</v>
      </c>
      <c r="C61" s="152">
        <f>+C66/24*4</f>
        <v>3864.2924950708225</v>
      </c>
      <c r="D61" s="152">
        <f>+D66/24*4</f>
        <v>8253.1629685883563</v>
      </c>
      <c r="E61" s="151">
        <f>+D61+C61</f>
        <v>12117.455463659178</v>
      </c>
      <c r="F61" s="89"/>
      <c r="G61" s="152">
        <f>+G66/24*11</f>
        <v>404708.33333333331</v>
      </c>
      <c r="H61" s="152">
        <f>+H66/24*11</f>
        <v>852958.33333333337</v>
      </c>
      <c r="I61" s="152"/>
      <c r="J61" s="153">
        <f>+H61+G61</f>
        <v>1257666.6666666667</v>
      </c>
      <c r="K61" s="89"/>
      <c r="L61" s="154">
        <f>+J61/E61</f>
        <v>103.78966693448707</v>
      </c>
      <c r="M61" s="89"/>
      <c r="N61" s="155">
        <f>+N66/24*24</f>
        <v>966997.00000000012</v>
      </c>
      <c r="O61" s="155">
        <f>+O66/24*24</f>
        <v>2254268</v>
      </c>
      <c r="P61" s="155">
        <f>+O61+N61</f>
        <v>3221265</v>
      </c>
      <c r="Q61" s="89"/>
      <c r="R61" s="151">
        <f>+C61*2000/N61</f>
        <v>7.9923567396193</v>
      </c>
      <c r="S61" s="151">
        <f>+D61*2000/O61</f>
        <v>7.3222553561407571</v>
      </c>
      <c r="T61" s="151">
        <f>+E61*2000/P61</f>
        <v>7.523414226187028</v>
      </c>
      <c r="V61" s="285">
        <f t="shared" ref="V61" si="57">+G61/C61</f>
        <v>104.7302536879823</v>
      </c>
      <c r="W61" s="286"/>
      <c r="X61" s="285">
        <f t="shared" ref="X61" si="58">+H61/D61</f>
        <v>103.34926580023971</v>
      </c>
    </row>
    <row r="62" spans="1:27">
      <c r="A62" s="70"/>
      <c r="C62" s="268">
        <f>+C61/E61</f>
        <v>0.31890296660549061</v>
      </c>
      <c r="D62" s="268">
        <f>+D61/E61</f>
        <v>0.68109703339450944</v>
      </c>
      <c r="E62" s="86">
        <f>+D62+C62</f>
        <v>1</v>
      </c>
      <c r="F62" s="11"/>
      <c r="G62" s="268">
        <f>+G61/J61</f>
        <v>0.32179300291545188</v>
      </c>
      <c r="H62" s="268">
        <f>+H61/J61</f>
        <v>0.67820699708454812</v>
      </c>
      <c r="I62" s="11"/>
      <c r="J62" s="86">
        <f>+H62+G62</f>
        <v>1</v>
      </c>
      <c r="K62" s="11"/>
      <c r="L62" s="11"/>
      <c r="M62" s="11"/>
      <c r="N62" s="11"/>
      <c r="O62" s="11"/>
      <c r="P62" s="11"/>
      <c r="Q62" s="11"/>
      <c r="R62" s="11"/>
      <c r="S62" s="11"/>
      <c r="T62" s="11"/>
    </row>
    <row r="63" spans="1:27" s="55" customFormat="1" ht="15.5">
      <c r="A63" s="55" t="s">
        <v>90</v>
      </c>
      <c r="C63" s="143">
        <f>+C59-C61</f>
        <v>9647.1577129995403</v>
      </c>
      <c r="D63" s="143">
        <f>+D59-D61</f>
        <v>20920.824149694577</v>
      </c>
      <c r="E63" s="143">
        <f>+E59-E61</f>
        <v>30567.981862694112</v>
      </c>
      <c r="F63" s="143"/>
      <c r="G63" s="144">
        <f>+G59-G61</f>
        <v>697969.28504577652</v>
      </c>
      <c r="H63" s="144">
        <f>+H59-H61</f>
        <v>1495752.0975734317</v>
      </c>
      <c r="I63" s="144"/>
      <c r="J63" s="144">
        <f>+J59-J61</f>
        <v>2193721.3826192087</v>
      </c>
      <c r="K63" s="143"/>
      <c r="L63" s="143">
        <f>+L59-L61</f>
        <v>-22.933331250301748</v>
      </c>
      <c r="M63" s="143"/>
      <c r="N63" s="146">
        <f>+N59-N61</f>
        <v>-440223.00000000012</v>
      </c>
      <c r="O63" s="146">
        <f>+O59-O61</f>
        <v>-1025271</v>
      </c>
      <c r="P63" s="146">
        <f>+P59-P61</f>
        <v>-1465494</v>
      </c>
      <c r="Q63" s="143"/>
      <c r="R63" s="143">
        <f>+R59-R61</f>
        <v>43.306493272227755</v>
      </c>
      <c r="S63" s="143">
        <f>+S59-S61</f>
        <v>40.153836315820904</v>
      </c>
      <c r="T63" s="143">
        <f>+T59-T61</f>
        <v>41.099597916459466</v>
      </c>
    </row>
    <row r="64" spans="1:27" ht="13">
      <c r="C64" s="133">
        <f>+C63/C61</f>
        <v>2.4964874489457438</v>
      </c>
      <c r="D64" s="133">
        <f>+D63/D61</f>
        <v>2.5348856225570127</v>
      </c>
      <c r="E64" s="133">
        <f>+E63/E61</f>
        <v>2.522640331080146</v>
      </c>
      <c r="F64" s="133"/>
      <c r="G64" s="133">
        <f>+G63/G61</f>
        <v>1.7246229631523358</v>
      </c>
      <c r="H64" s="133">
        <f>+H63/H61</f>
        <v>1.7536051165923676</v>
      </c>
      <c r="I64" s="133"/>
      <c r="J64" s="133">
        <f>+J63/J61</f>
        <v>1.7442788624059438</v>
      </c>
      <c r="K64" s="11"/>
      <c r="L64" s="133">
        <f>+L63/L61</f>
        <v>-0.22095967669669336</v>
      </c>
      <c r="M64" s="133"/>
      <c r="N64" s="133">
        <f>+N63/N61</f>
        <v>-0.45524753437704568</v>
      </c>
      <c r="O64" s="133">
        <f>+O63/O61</f>
        <v>-0.45481326976206909</v>
      </c>
      <c r="P64" s="133">
        <f>+P63/P61</f>
        <v>-0.45494363239286428</v>
      </c>
      <c r="Q64" s="133"/>
      <c r="R64" s="133">
        <f>+R63/R61</f>
        <v>5.4184885238606819</v>
      </c>
      <c r="S64" s="133">
        <f>+S63/S61</f>
        <v>5.4838071554205188</v>
      </c>
      <c r="T64" s="133">
        <f>+T63/T61</f>
        <v>5.4628918042824974</v>
      </c>
      <c r="V64" s="407"/>
      <c r="W64" s="407"/>
      <c r="X64" s="407"/>
    </row>
    <row r="65" spans="1:20">
      <c r="C65" s="11"/>
      <c r="D65" s="11"/>
      <c r="E65" s="11"/>
      <c r="F65" s="11"/>
      <c r="G65" s="11"/>
      <c r="H65" s="11"/>
      <c r="I65" s="11"/>
      <c r="J65" s="11"/>
      <c r="K65" s="11"/>
      <c r="L65" s="11"/>
      <c r="M65" s="11"/>
      <c r="N65" s="11"/>
      <c r="O65" s="11"/>
      <c r="P65" s="11"/>
      <c r="Q65" s="11"/>
      <c r="R65" s="11"/>
      <c r="S65" s="11"/>
      <c r="T65" s="11"/>
    </row>
    <row r="66" spans="1:20" s="54" customFormat="1" ht="15.5">
      <c r="A66" s="69" t="s">
        <v>334</v>
      </c>
      <c r="C66" s="150">
        <f>'[2]KC 2024-2025 Budget'!$D$12</f>
        <v>23185.754970424936</v>
      </c>
      <c r="D66" s="150">
        <f>'[2]SC 2024-2025 Budget'!$D$11</f>
        <v>49518.977811530138</v>
      </c>
      <c r="E66" s="151">
        <f>+D66+C66</f>
        <v>72704.73278195507</v>
      </c>
      <c r="F66" s="89"/>
      <c r="G66" s="152">
        <f>'[2]KC 2024-2025 Budget'!$D$16</f>
        <v>883000</v>
      </c>
      <c r="H66" s="152">
        <f>'[2]SC 2024-2025 Budget'!$D$15</f>
        <v>1861000</v>
      </c>
      <c r="I66" s="152"/>
      <c r="J66" s="153">
        <f>+H66+G66</f>
        <v>2744000</v>
      </c>
      <c r="K66" s="89"/>
      <c r="L66" s="154">
        <f>+J66/E66</f>
        <v>37.741697067086207</v>
      </c>
      <c r="M66" s="89"/>
      <c r="N66" s="155">
        <f>'[2]KC 2024-2025 Budget'!$D$8*24</f>
        <v>966997.00000000012</v>
      </c>
      <c r="O66" s="155">
        <f>'[2]SC 2024-2025 Budget'!$D$7*24</f>
        <v>2254268</v>
      </c>
      <c r="P66" s="155">
        <f>+O66+N66</f>
        <v>3221265</v>
      </c>
      <c r="Q66" s="89"/>
      <c r="R66" s="151">
        <f>+R61</f>
        <v>7.9923567396193</v>
      </c>
      <c r="S66" s="151">
        <f>+S61</f>
        <v>7.3222553561407571</v>
      </c>
      <c r="T66" s="151">
        <f>+T61</f>
        <v>7.523414226187028</v>
      </c>
    </row>
    <row r="67" spans="1:20" s="54" customFormat="1" ht="15.5">
      <c r="A67" s="69"/>
      <c r="C67" s="268"/>
      <c r="D67" s="268"/>
      <c r="E67" s="86"/>
      <c r="F67" s="89"/>
      <c r="G67" s="503">
        <f>G59/G61-1</f>
        <v>1.7246229631523358</v>
      </c>
      <c r="H67" s="503">
        <f>H59/H61-1</f>
        <v>1.7536051165923676</v>
      </c>
      <c r="I67" s="11"/>
      <c r="J67" s="86"/>
      <c r="K67" s="89"/>
      <c r="L67" s="154"/>
      <c r="M67" s="89"/>
      <c r="N67" s="155"/>
      <c r="O67" s="155"/>
      <c r="P67" s="155"/>
      <c r="Q67" s="89"/>
      <c r="R67" s="151"/>
      <c r="S67" s="151"/>
      <c r="T67" s="151"/>
    </row>
    <row r="68" spans="1:20" s="54" customFormat="1" ht="15.5">
      <c r="A68" s="77"/>
      <c r="C68" s="150"/>
      <c r="D68" s="150"/>
      <c r="E68" s="151"/>
      <c r="F68" s="89"/>
      <c r="G68" s="156">
        <f>+G63*0.5</f>
        <v>348984.64252288826</v>
      </c>
      <c r="H68" s="156">
        <f>+H63*0.5</f>
        <v>747876.04878671584</v>
      </c>
      <c r="I68" s="152"/>
      <c r="J68" s="157"/>
      <c r="K68" s="89"/>
      <c r="L68" s="154"/>
      <c r="M68" s="89"/>
      <c r="N68" s="155"/>
      <c r="O68" s="155"/>
      <c r="P68" s="155"/>
      <c r="Q68" s="89"/>
      <c r="R68" s="151"/>
      <c r="S68" s="151"/>
      <c r="T68" s="151"/>
    </row>
    <row r="69" spans="1:20" s="54" customFormat="1" ht="15.5">
      <c r="A69" s="69"/>
      <c r="C69" s="150"/>
      <c r="D69" s="150"/>
      <c r="E69" s="151"/>
      <c r="F69" s="89"/>
      <c r="G69" s="156"/>
      <c r="H69" s="156"/>
      <c r="I69" s="156"/>
      <c r="J69" s="156"/>
      <c r="K69" s="89"/>
      <c r="L69" s="154"/>
      <c r="M69" s="89"/>
      <c r="N69" s="155"/>
      <c r="O69" s="155"/>
      <c r="P69" s="155"/>
      <c r="Q69" s="89"/>
      <c r="R69" s="151"/>
      <c r="S69" s="151"/>
      <c r="T69" s="151"/>
    </row>
    <row r="70" spans="1:20" ht="14.5">
      <c r="A70" s="56" t="s">
        <v>91</v>
      </c>
      <c r="C70" s="11"/>
      <c r="D70" s="11"/>
      <c r="E70" s="11"/>
      <c r="F70" s="11"/>
      <c r="G70" s="11"/>
      <c r="H70" s="134"/>
      <c r="I70" s="11"/>
      <c r="J70" s="11"/>
      <c r="K70" s="11"/>
      <c r="L70" s="11"/>
      <c r="M70" s="11"/>
      <c r="N70" s="11"/>
      <c r="O70" s="11"/>
      <c r="P70" s="11"/>
      <c r="Q70" s="11"/>
      <c r="R70" s="539" t="s">
        <v>143</v>
      </c>
      <c r="S70" s="539"/>
      <c r="T70" s="11"/>
    </row>
    <row r="71" spans="1:20" ht="14.5">
      <c r="A71" s="56"/>
      <c r="C71" s="537" t="s">
        <v>96</v>
      </c>
      <c r="D71" s="537"/>
      <c r="E71" s="537"/>
      <c r="F71" s="11"/>
      <c r="G71" s="538" t="s">
        <v>100</v>
      </c>
      <c r="H71" s="538"/>
      <c r="I71" s="11"/>
      <c r="J71" s="11"/>
      <c r="K71" s="11"/>
      <c r="L71" s="11"/>
      <c r="M71" s="11"/>
      <c r="N71" s="158" t="s">
        <v>71</v>
      </c>
      <c r="O71" s="158" t="s">
        <v>71</v>
      </c>
      <c r="P71" s="158" t="s">
        <v>43</v>
      </c>
      <c r="Q71" s="11"/>
      <c r="R71" s="158" t="s">
        <v>104</v>
      </c>
      <c r="S71" s="158" t="s">
        <v>104</v>
      </c>
      <c r="T71" s="11"/>
    </row>
    <row r="72" spans="1:20" ht="14.5">
      <c r="A72" s="56"/>
      <c r="C72" s="98"/>
      <c r="D72" s="158" t="s">
        <v>14</v>
      </c>
      <c r="E72" s="158"/>
      <c r="F72" s="11"/>
      <c r="G72" s="158" t="s">
        <v>99</v>
      </c>
      <c r="H72" s="11"/>
      <c r="I72" s="11"/>
      <c r="J72" s="158" t="s">
        <v>99</v>
      </c>
      <c r="K72" s="11"/>
      <c r="L72" s="158" t="s">
        <v>14</v>
      </c>
      <c r="M72" s="11"/>
      <c r="N72" s="158" t="s">
        <v>82</v>
      </c>
      <c r="O72" s="158" t="s">
        <v>31</v>
      </c>
      <c r="P72" s="158" t="s">
        <v>85</v>
      </c>
      <c r="Q72" s="11"/>
      <c r="R72" s="158" t="s">
        <v>137</v>
      </c>
      <c r="S72" s="158" t="s">
        <v>137</v>
      </c>
      <c r="T72" s="11"/>
    </row>
    <row r="73" spans="1:20" ht="14.5">
      <c r="A73" s="56"/>
      <c r="C73" s="159" t="s">
        <v>16</v>
      </c>
      <c r="D73" s="159" t="s">
        <v>17</v>
      </c>
      <c r="E73" s="159" t="s">
        <v>71</v>
      </c>
      <c r="F73" s="11"/>
      <c r="G73" s="159" t="s">
        <v>72</v>
      </c>
      <c r="H73" s="159" t="s">
        <v>71</v>
      </c>
      <c r="I73" s="159"/>
      <c r="J73" s="159" t="s">
        <v>72</v>
      </c>
      <c r="K73" s="11"/>
      <c r="L73" s="159" t="s">
        <v>17</v>
      </c>
      <c r="M73" s="11"/>
      <c r="N73" s="159" t="s">
        <v>15</v>
      </c>
      <c r="O73" s="159" t="s">
        <v>15</v>
      </c>
      <c r="P73" s="159" t="s">
        <v>86</v>
      </c>
      <c r="Q73" s="11"/>
      <c r="R73" s="271" t="s">
        <v>138</v>
      </c>
      <c r="S73" s="271" t="s">
        <v>139</v>
      </c>
      <c r="T73" s="11"/>
    </row>
    <row r="74" spans="1:20">
      <c r="A74" t="str">
        <f t="shared" ref="A74:A97" si="59">+A35</f>
        <v>Oct., 2023</v>
      </c>
      <c r="C74" s="92">
        <f>+'KC Tonnage - Enspire'!R3+'KC Tonnage - Enspire'!S3</f>
        <v>412.96634994350831</v>
      </c>
      <c r="D74" s="92">
        <f>+'KC Tonnage - Enspire'!P3+'KC Tonnage - Enspire'!Q3</f>
        <v>490.56102234861203</v>
      </c>
      <c r="E74" s="87">
        <f t="shared" ref="E74:E97" si="60">+D74+C74</f>
        <v>903.52737229212039</v>
      </c>
      <c r="F74" s="11"/>
      <c r="G74" s="87">
        <f>+'SC Tonnage - Enspire'!R3</f>
        <v>1757.0675907814589</v>
      </c>
      <c r="H74" s="87">
        <f t="shared" ref="H74:H97" si="61">+G74+E74</f>
        <v>2660.5949630735795</v>
      </c>
      <c r="I74" s="87"/>
      <c r="J74" s="136">
        <f t="shared" ref="J74:J79" si="62">+C74/E74*N74</f>
        <v>34334.251319357369</v>
      </c>
      <c r="K74" s="11"/>
      <c r="L74" s="136">
        <f t="shared" ref="L74:L79" si="63">+N74-J74</f>
        <v>40785.515408464096</v>
      </c>
      <c r="M74" s="11"/>
      <c r="N74" s="136">
        <f t="shared" ref="N74:N79" si="64">+E74/C7*G7</f>
        <v>75119.766727821465</v>
      </c>
      <c r="O74" s="136">
        <f t="shared" ref="O74:O79" si="65">+G74/D7*H7</f>
        <v>143556.19511878182</v>
      </c>
      <c r="P74" s="137">
        <f t="shared" ref="P74:P79" si="66">(O74+N74)/H74</f>
        <v>82.190624609009959</v>
      </c>
      <c r="Q74" s="136"/>
      <c r="R74" s="268">
        <f t="shared" ref="R74:R79" si="67">(C74+G74)/H74</f>
        <v>0.81561980340596252</v>
      </c>
      <c r="S74" s="86">
        <f t="shared" ref="S74:S80" si="68">1-R74</f>
        <v>0.18438019659403748</v>
      </c>
      <c r="T74" s="92"/>
    </row>
    <row r="75" spans="1:20">
      <c r="A75" t="str">
        <f t="shared" si="59"/>
        <v>Nov</v>
      </c>
      <c r="C75" s="92">
        <f>+'KC Tonnage - Enspire'!R7+'KC Tonnage - Enspire'!S7</f>
        <v>397.99765967999997</v>
      </c>
      <c r="D75" s="92">
        <f>+'KC Tonnage - Enspire'!P7+'KC Tonnage - Enspire'!Q7</f>
        <v>500.59340769999994</v>
      </c>
      <c r="E75" s="87">
        <f t="shared" si="60"/>
        <v>898.59106737999991</v>
      </c>
      <c r="F75" s="11"/>
      <c r="G75" s="87">
        <f>+'SC Tonnage - Enspire'!R7</f>
        <v>1814.5506253830001</v>
      </c>
      <c r="H75" s="87">
        <f t="shared" si="61"/>
        <v>2713.1416927629998</v>
      </c>
      <c r="I75" s="87"/>
      <c r="J75" s="136">
        <f t="shared" si="62"/>
        <v>22427.869073750528</v>
      </c>
      <c r="K75" s="11"/>
      <c r="L75" s="136">
        <f t="shared" si="63"/>
        <v>28209.320165614041</v>
      </c>
      <c r="M75" s="11"/>
      <c r="N75" s="136">
        <f t="shared" si="64"/>
        <v>50637.189239364568</v>
      </c>
      <c r="O75" s="136">
        <f t="shared" si="65"/>
        <v>99787.902686507616</v>
      </c>
      <c r="P75" s="137">
        <f t="shared" si="66"/>
        <v>55.443138973211099</v>
      </c>
      <c r="Q75" s="136"/>
      <c r="R75" s="268">
        <f t="shared" si="67"/>
        <v>0.81549308352185357</v>
      </c>
      <c r="S75" s="86">
        <f t="shared" si="68"/>
        <v>0.18450691647814643</v>
      </c>
      <c r="T75" s="92"/>
    </row>
    <row r="76" spans="1:20">
      <c r="A76" t="str">
        <f t="shared" si="59"/>
        <v>Dec</v>
      </c>
      <c r="C76" s="92">
        <f>+'KC Tonnage - Enspire'!R11+'KC Tonnage - Enspire'!S11</f>
        <v>427.64791315000002</v>
      </c>
      <c r="D76" s="92">
        <f>+'KC Tonnage - Enspire'!P11+'KC Tonnage - Enspire'!Q11</f>
        <v>470.79746569999998</v>
      </c>
      <c r="E76" s="87">
        <f t="shared" si="60"/>
        <v>898.44537885</v>
      </c>
      <c r="F76" s="11"/>
      <c r="G76" s="87">
        <f>+'SC Tonnage - Enspire'!R11</f>
        <v>1829.4827911930001</v>
      </c>
      <c r="H76" s="87">
        <f t="shared" si="61"/>
        <v>2727.9281700430001</v>
      </c>
      <c r="I76" s="87"/>
      <c r="J76" s="136">
        <f t="shared" si="62"/>
        <v>27183.601003973541</v>
      </c>
      <c r="K76" s="11"/>
      <c r="L76" s="136">
        <f t="shared" si="63"/>
        <v>29926.4185974918</v>
      </c>
      <c r="M76" s="11"/>
      <c r="N76" s="136">
        <f t="shared" si="64"/>
        <v>57110.019601465341</v>
      </c>
      <c r="O76" s="136">
        <f t="shared" si="65"/>
        <v>114657.1986271549</v>
      </c>
      <c r="P76" s="137">
        <f t="shared" si="66"/>
        <v>62.966180750247794</v>
      </c>
      <c r="Q76" s="136"/>
      <c r="R76" s="268">
        <f t="shared" si="67"/>
        <v>0.82741573958210979</v>
      </c>
      <c r="S76" s="86">
        <f t="shared" si="68"/>
        <v>0.17258426041789021</v>
      </c>
      <c r="T76" s="92"/>
    </row>
    <row r="77" spans="1:20">
      <c r="A77" t="str">
        <f t="shared" si="59"/>
        <v>Jan., 2024</v>
      </c>
      <c r="C77" s="92">
        <f>+'KC Tonnage - Enspire'!R15+'KC Tonnage - Enspire'!S15</f>
        <v>411.61839793084619</v>
      </c>
      <c r="D77" s="92">
        <f>+'KC Tonnage - Enspire'!P15+'KC Tonnage - Enspire'!Q15</f>
        <v>491.92566053927897</v>
      </c>
      <c r="E77" s="87">
        <f t="shared" si="60"/>
        <v>903.54405847012515</v>
      </c>
      <c r="F77" s="11"/>
      <c r="G77" s="87">
        <f>+'SC Tonnage - Enspire'!R15</f>
        <v>1784.8635983661406</v>
      </c>
      <c r="H77" s="131">
        <f t="shared" si="61"/>
        <v>2688.4076568362657</v>
      </c>
      <c r="I77" s="131"/>
      <c r="J77" s="136">
        <f t="shared" si="62"/>
        <v>31843.320609804086</v>
      </c>
      <c r="K77" s="11"/>
      <c r="L77" s="136">
        <f t="shared" si="63"/>
        <v>38055.992160422407</v>
      </c>
      <c r="M77" s="11"/>
      <c r="N77" s="136">
        <f t="shared" si="64"/>
        <v>69899.31277022649</v>
      </c>
      <c r="O77" s="136">
        <f t="shared" si="65"/>
        <v>134779.11965327675</v>
      </c>
      <c r="P77" s="137">
        <f t="shared" si="66"/>
        <v>76.133703868545766</v>
      </c>
      <c r="Q77" s="136"/>
      <c r="R77" s="268">
        <f t="shared" si="67"/>
        <v>0.81701969220018522</v>
      </c>
      <c r="S77" s="86">
        <f t="shared" si="68"/>
        <v>0.18298030779981478</v>
      </c>
      <c r="T77" s="92"/>
    </row>
    <row r="78" spans="1:20">
      <c r="A78" t="str">
        <f t="shared" si="59"/>
        <v>Feb</v>
      </c>
      <c r="C78" s="92">
        <f>+'KC Tonnage - Enspire'!R19+'KC Tonnage - Enspire'!S19</f>
        <v>374.5657427344259</v>
      </c>
      <c r="D78" s="92">
        <f>+'KC Tonnage - Enspire'!P19+'KC Tonnage - Enspire'!Q19</f>
        <v>374.673147682896</v>
      </c>
      <c r="E78" s="87">
        <f t="shared" si="60"/>
        <v>749.23889041732195</v>
      </c>
      <c r="F78" s="11"/>
      <c r="G78" s="87">
        <f>+'SC Tonnage - Enspire'!R19</f>
        <v>1697.8670047562771</v>
      </c>
      <c r="H78" s="131">
        <f t="shared" si="61"/>
        <v>2447.105895173599</v>
      </c>
      <c r="I78" s="131"/>
      <c r="J78" s="136">
        <f t="shared" si="62"/>
        <v>28307.950519592014</v>
      </c>
      <c r="K78" s="11"/>
      <c r="L78" s="136">
        <f t="shared" si="63"/>
        <v>28316.067690010903</v>
      </c>
      <c r="M78" s="11"/>
      <c r="N78" s="136">
        <f t="shared" si="64"/>
        <v>56624.018209602917</v>
      </c>
      <c r="O78" s="136">
        <f t="shared" si="65"/>
        <v>126271.19630970541</v>
      </c>
      <c r="P78" s="137">
        <f t="shared" si="66"/>
        <v>74.739395168811697</v>
      </c>
      <c r="Q78" s="136"/>
      <c r="R78" s="268">
        <f t="shared" si="67"/>
        <v>0.8468913223486324</v>
      </c>
      <c r="S78" s="86">
        <f t="shared" si="68"/>
        <v>0.1531086776513676</v>
      </c>
      <c r="T78" s="92"/>
    </row>
    <row r="79" spans="1:20">
      <c r="A79" t="str">
        <f t="shared" si="59"/>
        <v>Mar</v>
      </c>
      <c r="C79" s="92">
        <f>+'KC Tonnage - Enspire'!R23+'KC Tonnage - Enspire'!S23</f>
        <v>494.83110273442901</v>
      </c>
      <c r="D79" s="92">
        <f>+'KC Tonnage - Enspire'!P23+'KC Tonnage - Enspire'!Q23</f>
        <v>412.92130092249704</v>
      </c>
      <c r="E79" s="87">
        <f t="shared" si="60"/>
        <v>907.75240365692605</v>
      </c>
      <c r="F79" s="11"/>
      <c r="G79" s="87">
        <f>+'SC Tonnage - Enspire'!R23</f>
        <v>2133.3986601330139</v>
      </c>
      <c r="H79" s="131">
        <f t="shared" si="61"/>
        <v>3041.1510637899401</v>
      </c>
      <c r="I79" s="131"/>
      <c r="J79" s="136">
        <f t="shared" si="62"/>
        <v>39230.743011695318</v>
      </c>
      <c r="K79" s="11"/>
      <c r="L79" s="136">
        <f t="shared" si="63"/>
        <v>32736.845665175075</v>
      </c>
      <c r="M79" s="11"/>
      <c r="N79" s="136">
        <f t="shared" si="64"/>
        <v>71967.588676870393</v>
      </c>
      <c r="O79" s="136">
        <f t="shared" si="65"/>
        <v>165736.84295833053</v>
      </c>
      <c r="P79" s="137">
        <f t="shared" si="66"/>
        <v>78.162651788487338</v>
      </c>
      <c r="Q79" s="136"/>
      <c r="R79" s="268">
        <f t="shared" si="67"/>
        <v>0.86422203558414923</v>
      </c>
      <c r="S79" s="86">
        <f t="shared" si="68"/>
        <v>0.13577796441585077</v>
      </c>
      <c r="T79" s="92"/>
    </row>
    <row r="80" spans="1:20">
      <c r="A80" t="str">
        <f t="shared" si="59"/>
        <v>Apr</v>
      </c>
      <c r="C80" s="92">
        <f>+'KC Tonnage - Enspire'!R27+'KC Tonnage - Enspire'!S27</f>
        <v>540.88400568999998</v>
      </c>
      <c r="D80" s="92">
        <f>+'KC Tonnage - Enspire'!P27+'KC Tonnage - Enspire'!Q27</f>
        <v>455.36182510000003</v>
      </c>
      <c r="E80" s="87">
        <f t="shared" si="60"/>
        <v>996.24583079000001</v>
      </c>
      <c r="F80" s="11"/>
      <c r="G80" s="87">
        <f>+'SC Tonnage - Enspire'!R27</f>
        <v>2120.4467566600001</v>
      </c>
      <c r="H80" s="131">
        <f t="shared" si="61"/>
        <v>3116.6925874500002</v>
      </c>
      <c r="I80" s="131"/>
      <c r="J80" s="136">
        <f t="shared" ref="J80:J92" si="69">+C80/E80*N80</f>
        <v>46590.378038275478</v>
      </c>
      <c r="K80" s="11"/>
      <c r="L80" s="136">
        <f t="shared" ref="L80:L84" si="70">+N80-J80</f>
        <v>39223.714054076569</v>
      </c>
      <c r="M80" s="11"/>
      <c r="N80" s="136">
        <f t="shared" ref="N80:N84" si="71">+E80/C13*G13</f>
        <v>85814.092092352046</v>
      </c>
      <c r="O80" s="136">
        <f t="shared" ref="O80:O84" si="72">+G80/D13*H13</f>
        <v>182197.49094737496</v>
      </c>
      <c r="P80" s="137">
        <f t="shared" ref="P80:P85" si="73">(O80+N80)/H80</f>
        <v>85.992306112874402</v>
      </c>
      <c r="Q80" s="136"/>
      <c r="R80" s="268">
        <f t="shared" ref="R80:R85" si="74">(C80+G80)/H80</f>
        <v>0.85389581669568315</v>
      </c>
      <c r="S80" s="86">
        <f t="shared" si="68"/>
        <v>0.14610418330431685</v>
      </c>
      <c r="T80" s="92"/>
    </row>
    <row r="81" spans="1:20">
      <c r="A81" t="str">
        <f t="shared" si="59"/>
        <v>May</v>
      </c>
      <c r="C81" s="92">
        <f>+'KC Tonnage - Enspire'!R31+'KC Tonnage - Enspire'!S31</f>
        <v>582.76072237827407</v>
      </c>
      <c r="D81" s="92">
        <f>+'KC Tonnage - Enspire'!P31+'KC Tonnage - Enspire'!Q31</f>
        <v>452.38005534024001</v>
      </c>
      <c r="E81" s="87">
        <f t="shared" si="60"/>
        <v>1035.1407777185141</v>
      </c>
      <c r="F81" s="11"/>
      <c r="G81" s="87">
        <f>+'SC Tonnage - Enspire'!R31</f>
        <v>2237.3477264157041</v>
      </c>
      <c r="H81" s="131">
        <f t="shared" si="61"/>
        <v>3272.4885041342181</v>
      </c>
      <c r="I81" s="131"/>
      <c r="J81" s="136">
        <f t="shared" si="69"/>
        <v>52724.452890967259</v>
      </c>
      <c r="K81" s="11"/>
      <c r="L81" s="136">
        <f t="shared" si="70"/>
        <v>40928.446274245427</v>
      </c>
      <c r="M81" s="11"/>
      <c r="N81" s="136">
        <f t="shared" si="71"/>
        <v>93652.899165212686</v>
      </c>
      <c r="O81" s="136">
        <f t="shared" si="72"/>
        <v>199563.04159523177</v>
      </c>
      <c r="P81" s="137">
        <f t="shared" si="73"/>
        <v>89.600296651926286</v>
      </c>
      <c r="Q81" s="136"/>
      <c r="R81" s="268">
        <f t="shared" si="74"/>
        <v>0.86176267547808438</v>
      </c>
      <c r="S81" s="86">
        <f>1-R81</f>
        <v>0.13823732452191562</v>
      </c>
      <c r="T81" s="92"/>
    </row>
    <row r="82" spans="1:20">
      <c r="A82" t="str">
        <f t="shared" si="59"/>
        <v>Jun</v>
      </c>
      <c r="C82" s="92">
        <f>+'KC Tonnage - Enspire'!R35+'KC Tonnage - Enspire'!S35</f>
        <v>505.58682615965893</v>
      </c>
      <c r="D82" s="92">
        <f>+'KC Tonnage - Enspire'!P35+'KC Tonnage - Enspire'!Q35</f>
        <v>407.24988260537702</v>
      </c>
      <c r="E82" s="87">
        <f t="shared" si="60"/>
        <v>912.83670876503595</v>
      </c>
      <c r="F82" s="11"/>
      <c r="G82" s="87">
        <f>+'SC Tonnage - Enspire'!R35</f>
        <v>2020.1846182103418</v>
      </c>
      <c r="H82" s="131">
        <f t="shared" si="61"/>
        <v>2933.0213269753776</v>
      </c>
      <c r="I82" s="131"/>
      <c r="J82" s="136">
        <f t="shared" si="69"/>
        <v>54011.591987143111</v>
      </c>
      <c r="K82" s="11"/>
      <c r="L82" s="136">
        <f t="shared" si="70"/>
        <v>43506.304670105033</v>
      </c>
      <c r="M82" s="11"/>
      <c r="N82" s="136">
        <f t="shared" si="71"/>
        <v>97517.896657248144</v>
      </c>
      <c r="O82" s="136">
        <f t="shared" si="72"/>
        <v>211895.86437373314</v>
      </c>
      <c r="P82" s="137">
        <f t="shared" si="73"/>
        <v>105.49318485524221</v>
      </c>
      <c r="Q82" s="136"/>
      <c r="R82" s="268">
        <f t="shared" si="74"/>
        <v>0.86115004386096783</v>
      </c>
      <c r="S82" s="86">
        <f>1-R82</f>
        <v>0.13884995613903217</v>
      </c>
      <c r="T82" s="92"/>
    </row>
    <row r="83" spans="1:20">
      <c r="A83" t="str">
        <f t="shared" si="59"/>
        <v>Jul</v>
      </c>
      <c r="C83" s="92">
        <f>+'KC Tonnage - Enspire'!R39+'KC Tonnage - Enspire'!S39</f>
        <v>553.4</v>
      </c>
      <c r="D83" s="92">
        <f>+'KC Tonnage - Enspire'!P39+'KC Tonnage - Enspire'!Q39</f>
        <v>448.83000000000004</v>
      </c>
      <c r="E83" s="87">
        <f t="shared" si="60"/>
        <v>1002.23</v>
      </c>
      <c r="F83" s="11"/>
      <c r="G83" s="87">
        <f>+'SC Tonnage - Enspire'!R39</f>
        <v>2219.9700000000003</v>
      </c>
      <c r="H83" s="131">
        <f t="shared" si="61"/>
        <v>3222.2000000000003</v>
      </c>
      <c r="I83" s="131"/>
      <c r="J83" s="136">
        <f t="shared" si="69"/>
        <v>49168.552322183641</v>
      </c>
      <c r="K83" s="11"/>
      <c r="L83" s="136">
        <f t="shared" si="70"/>
        <v>39877.703900913788</v>
      </c>
      <c r="M83" s="11"/>
      <c r="N83" s="136">
        <f t="shared" si="71"/>
        <v>89046.256223097429</v>
      </c>
      <c r="O83" s="136">
        <f t="shared" si="72"/>
        <v>192641.03515880037</v>
      </c>
      <c r="P83" s="137">
        <f t="shared" si="73"/>
        <v>87.420796779187441</v>
      </c>
      <c r="Q83" s="136"/>
      <c r="R83" s="268">
        <f t="shared" si="74"/>
        <v>0.86070697039289934</v>
      </c>
      <c r="S83" s="86">
        <f>1-R83</f>
        <v>0.13929302960710066</v>
      </c>
      <c r="T83" s="92"/>
    </row>
    <row r="84" spans="1:20">
      <c r="A84" t="str">
        <f t="shared" si="59"/>
        <v>Aug</v>
      </c>
      <c r="C84" s="92">
        <f>+'KC Tonnage - Enspire'!R43+'KC Tonnage - Enspire'!S43</f>
        <v>582.76</v>
      </c>
      <c r="D84" s="92">
        <f>+'KC Tonnage - Enspire'!P43+'KC Tonnage - Enspire'!Q43</f>
        <v>452.38</v>
      </c>
      <c r="E84" s="87">
        <f t="shared" si="60"/>
        <v>1035.1399999999999</v>
      </c>
      <c r="F84" s="11"/>
      <c r="G84" s="87">
        <f>+'SC Tonnage - Enspire'!R43</f>
        <v>2237.3500000000004</v>
      </c>
      <c r="H84" s="131">
        <f t="shared" si="61"/>
        <v>3272.4900000000002</v>
      </c>
      <c r="I84" s="131"/>
      <c r="J84" s="136">
        <f t="shared" si="69"/>
        <v>49851.595294301616</v>
      </c>
      <c r="K84" s="11"/>
      <c r="L84" s="136">
        <f t="shared" si="70"/>
        <v>38698.37442383857</v>
      </c>
      <c r="M84" s="11"/>
      <c r="N84" s="136">
        <f t="shared" si="71"/>
        <v>88549.969718140186</v>
      </c>
      <c r="O84" s="136">
        <f t="shared" si="72"/>
        <v>188641.59729251108</v>
      </c>
      <c r="P84" s="137">
        <f t="shared" si="73"/>
        <v>84.70356426166353</v>
      </c>
      <c r="Q84" s="136"/>
      <c r="R84" s="268">
        <f t="shared" si="74"/>
        <v>0.86176275557755722</v>
      </c>
      <c r="S84" s="86">
        <f>1-R84</f>
        <v>0.13823724442244278</v>
      </c>
      <c r="T84" s="92"/>
    </row>
    <row r="85" spans="1:20" s="415" customFormat="1">
      <c r="A85" s="415" t="str">
        <f t="shared" si="59"/>
        <v>Sep</v>
      </c>
      <c r="C85" s="421">
        <f>+'KC Tonnage - Enspire'!R47+'KC Tonnage - Enspire'!S47</f>
        <v>530.22</v>
      </c>
      <c r="D85" s="421">
        <f>+'KC Tonnage - Enspire'!P47+'KC Tonnage - Enspire'!Q47</f>
        <v>407.18999999999994</v>
      </c>
      <c r="E85" s="416">
        <f t="shared" si="60"/>
        <v>937.41</v>
      </c>
      <c r="F85" s="417"/>
      <c r="G85" s="416">
        <f>+'SC Tonnage - Enspire'!R47</f>
        <v>2040.0199999999998</v>
      </c>
      <c r="H85" s="416">
        <f t="shared" si="61"/>
        <v>2977.43</v>
      </c>
      <c r="I85" s="416"/>
      <c r="J85" s="418">
        <f t="shared" ref="J85" si="75">+C85/E85*N85</f>
        <v>45038.824166232029</v>
      </c>
      <c r="K85" s="417"/>
      <c r="L85" s="418">
        <f t="shared" ref="L85" si="76">+N85-J85</f>
        <v>34588.206427988414</v>
      </c>
      <c r="M85" s="417"/>
      <c r="N85" s="418">
        <f t="shared" ref="N85" si="77">+E85/C18*G18</f>
        <v>79627.030594220443</v>
      </c>
      <c r="O85" s="418">
        <f t="shared" ref="O85" si="78">+G85/D18*H18</f>
        <v>170202.1317105729</v>
      </c>
      <c r="P85" s="419">
        <f t="shared" si="73"/>
        <v>83.907652675224384</v>
      </c>
      <c r="Q85" s="418"/>
      <c r="R85" s="422">
        <f t="shared" si="74"/>
        <v>0.86324111733945041</v>
      </c>
      <c r="S85" s="423">
        <f>1-R85</f>
        <v>0.13675888266054959</v>
      </c>
      <c r="T85" s="421"/>
    </row>
    <row r="86" spans="1:20" ht="14">
      <c r="A86" t="str">
        <f t="shared" si="59"/>
        <v>Oct</v>
      </c>
      <c r="C86" s="92">
        <f>+'KC Tonnage - Enspire'!R51+'KC Tonnage - Enspire'!S51</f>
        <v>530.22</v>
      </c>
      <c r="D86" s="92">
        <f>+'KC Tonnage - Enspire'!P51+'KC Tonnage - Enspire'!Q51</f>
        <v>407.18999999999994</v>
      </c>
      <c r="E86" s="87">
        <f t="shared" si="60"/>
        <v>937.41</v>
      </c>
      <c r="F86" s="11"/>
      <c r="G86" s="87">
        <f>+'SC Tonnage - Enspire'!R51</f>
        <v>2040.0199999999998</v>
      </c>
      <c r="H86" s="131">
        <f t="shared" si="61"/>
        <v>2977.43</v>
      </c>
      <c r="I86" s="149"/>
      <c r="J86" s="136">
        <f t="shared" si="69"/>
        <v>42425.898684091495</v>
      </c>
      <c r="K86" s="11"/>
      <c r="L86" s="136">
        <f t="shared" ref="L86:L91" si="79">+N86-J86</f>
        <v>32581.573092631756</v>
      </c>
      <c r="M86" s="11"/>
      <c r="N86" s="136">
        <f t="shared" ref="N86:N89" si="80">+E86/C19*G19</f>
        <v>75007.471776723251</v>
      </c>
      <c r="O86" s="136">
        <f t="shared" ref="O86:O89" si="81">+G86/D19*H19</f>
        <v>161522.09344664929</v>
      </c>
      <c r="P86" s="137">
        <f t="shared" ref="P86:P89" si="82">(O86+N86)/H86</f>
        <v>79.440848390515498</v>
      </c>
      <c r="Q86" s="136"/>
      <c r="R86" s="268">
        <f t="shared" ref="R86:R89" si="83">(C86+G86)/H86</f>
        <v>0.86324111733945041</v>
      </c>
      <c r="S86" s="86">
        <f t="shared" ref="S86:S89" si="84">1-R86</f>
        <v>0.13675888266054959</v>
      </c>
      <c r="T86" s="92"/>
    </row>
    <row r="87" spans="1:20" ht="14">
      <c r="A87" t="str">
        <f t="shared" si="59"/>
        <v>Nov</v>
      </c>
      <c r="C87" s="92">
        <f>+'KC Tonnage - Enspire'!R55+'KC Tonnage - Enspire'!S55</f>
        <v>0</v>
      </c>
      <c r="D87" s="92">
        <f>+'KC Tonnage - Enspire'!P55+'KC Tonnage - Enspire'!Q55</f>
        <v>0</v>
      </c>
      <c r="E87" s="87">
        <f t="shared" si="60"/>
        <v>0</v>
      </c>
      <c r="F87" s="11"/>
      <c r="G87" s="87">
        <f>+'SC Tonnage - Enspire'!R55</f>
        <v>0</v>
      </c>
      <c r="H87" s="131">
        <f t="shared" si="61"/>
        <v>0</v>
      </c>
      <c r="I87" s="149"/>
      <c r="J87" s="136" t="e">
        <f t="shared" si="69"/>
        <v>#DIV/0!</v>
      </c>
      <c r="K87" s="11"/>
      <c r="L87" s="136" t="e">
        <f t="shared" si="79"/>
        <v>#DIV/0!</v>
      </c>
      <c r="M87" s="11"/>
      <c r="N87" s="136" t="e">
        <f t="shared" si="80"/>
        <v>#DIV/0!</v>
      </c>
      <c r="O87" s="136" t="e">
        <f t="shared" si="81"/>
        <v>#DIV/0!</v>
      </c>
      <c r="P87" s="137" t="e">
        <f t="shared" si="82"/>
        <v>#DIV/0!</v>
      </c>
      <c r="Q87" s="136"/>
      <c r="R87" s="268" t="e">
        <f t="shared" si="83"/>
        <v>#DIV/0!</v>
      </c>
      <c r="S87" s="86" t="e">
        <f t="shared" si="84"/>
        <v>#DIV/0!</v>
      </c>
      <c r="T87" s="92"/>
    </row>
    <row r="88" spans="1:20">
      <c r="A88" t="str">
        <f t="shared" si="59"/>
        <v>Dec</v>
      </c>
      <c r="C88" s="92">
        <f>+'KC Tonnage - Enspire'!R59+'KC Tonnage - Enspire'!S59</f>
        <v>0</v>
      </c>
      <c r="D88" s="92">
        <f>+'KC Tonnage - Enspire'!P59+'KC Tonnage - Enspire'!Q59</f>
        <v>0</v>
      </c>
      <c r="E88" s="87">
        <f t="shared" si="60"/>
        <v>0</v>
      </c>
      <c r="F88" s="11"/>
      <c r="G88" s="87">
        <f>+'SC Tonnage - Enspire'!R59</f>
        <v>0</v>
      </c>
      <c r="H88" s="131">
        <f t="shared" si="61"/>
        <v>0</v>
      </c>
      <c r="I88" s="131"/>
      <c r="J88" s="136" t="e">
        <f t="shared" si="69"/>
        <v>#DIV/0!</v>
      </c>
      <c r="K88" s="11"/>
      <c r="L88" s="136" t="e">
        <f t="shared" si="79"/>
        <v>#DIV/0!</v>
      </c>
      <c r="M88" s="11"/>
      <c r="N88" s="136" t="e">
        <f t="shared" si="80"/>
        <v>#DIV/0!</v>
      </c>
      <c r="O88" s="136" t="e">
        <f t="shared" si="81"/>
        <v>#DIV/0!</v>
      </c>
      <c r="P88" s="137" t="e">
        <f t="shared" si="82"/>
        <v>#DIV/0!</v>
      </c>
      <c r="Q88" s="136"/>
      <c r="R88" s="268" t="e">
        <f t="shared" si="83"/>
        <v>#DIV/0!</v>
      </c>
      <c r="S88" s="86" t="e">
        <f t="shared" si="84"/>
        <v>#DIV/0!</v>
      </c>
      <c r="T88" s="92"/>
    </row>
    <row r="89" spans="1:20" ht="14">
      <c r="A89" t="str">
        <f t="shared" si="59"/>
        <v>Jan. 2025</v>
      </c>
      <c r="C89" s="92">
        <f>+'KC Tonnage - Enspire'!R63+'KC Tonnage - Enspire'!S63</f>
        <v>0</v>
      </c>
      <c r="D89" s="92">
        <f>+'KC Tonnage - Enspire'!P63+'KC Tonnage - Enspire'!Q63</f>
        <v>0</v>
      </c>
      <c r="E89" s="87">
        <f t="shared" si="60"/>
        <v>0</v>
      </c>
      <c r="F89" s="11"/>
      <c r="G89" s="87">
        <f>+'SC Tonnage - Enspire'!R63</f>
        <v>0</v>
      </c>
      <c r="H89" s="131">
        <f t="shared" si="61"/>
        <v>0</v>
      </c>
      <c r="I89" s="149"/>
      <c r="J89" s="136" t="e">
        <f t="shared" si="69"/>
        <v>#DIV/0!</v>
      </c>
      <c r="K89" s="11"/>
      <c r="L89" s="136" t="e">
        <f t="shared" si="79"/>
        <v>#DIV/0!</v>
      </c>
      <c r="M89" s="11"/>
      <c r="N89" s="136" t="e">
        <f t="shared" si="80"/>
        <v>#DIV/0!</v>
      </c>
      <c r="O89" s="136" t="e">
        <f t="shared" si="81"/>
        <v>#DIV/0!</v>
      </c>
      <c r="P89" s="137" t="e">
        <f t="shared" si="82"/>
        <v>#DIV/0!</v>
      </c>
      <c r="Q89" s="136"/>
      <c r="R89" s="268" t="e">
        <f t="shared" si="83"/>
        <v>#DIV/0!</v>
      </c>
      <c r="S89" s="86" t="e">
        <f t="shared" si="84"/>
        <v>#DIV/0!</v>
      </c>
      <c r="T89" s="92"/>
    </row>
    <row r="90" spans="1:20" ht="14">
      <c r="A90" t="str">
        <f t="shared" si="59"/>
        <v>Feb</v>
      </c>
      <c r="C90" s="92">
        <f>+'KC Tonnage - Enspire'!R67+'KC Tonnage - Enspire'!S67</f>
        <v>0</v>
      </c>
      <c r="D90" s="92">
        <f>+'KC Tonnage - Enspire'!P67+'KC Tonnage - Enspire'!Q67</f>
        <v>0</v>
      </c>
      <c r="E90" s="87">
        <f t="shared" si="60"/>
        <v>0</v>
      </c>
      <c r="F90" s="11"/>
      <c r="G90" s="87">
        <f>+'SC Tonnage - Enspire'!R67</f>
        <v>0</v>
      </c>
      <c r="H90" s="131">
        <f t="shared" si="61"/>
        <v>0</v>
      </c>
      <c r="I90" s="149"/>
      <c r="J90" s="136" t="e">
        <f t="shared" si="69"/>
        <v>#DIV/0!</v>
      </c>
      <c r="K90" s="11"/>
      <c r="L90" s="136" t="e">
        <f t="shared" si="79"/>
        <v>#DIV/0!</v>
      </c>
      <c r="M90" s="11"/>
      <c r="N90" s="136" t="e">
        <f t="shared" ref="N90" si="85">+E90/C23*G23</f>
        <v>#DIV/0!</v>
      </c>
      <c r="O90" s="136" t="e">
        <f t="shared" ref="O90" si="86">+G90/D23*H23</f>
        <v>#DIV/0!</v>
      </c>
      <c r="P90" s="137" t="e">
        <f t="shared" ref="P90" si="87">(O90+N90)/H90</f>
        <v>#DIV/0!</v>
      </c>
      <c r="Q90" s="136"/>
      <c r="R90" s="268" t="e">
        <f t="shared" ref="R90" si="88">(C90+G90)/H90</f>
        <v>#DIV/0!</v>
      </c>
      <c r="S90" s="86" t="e">
        <f t="shared" ref="S90" si="89">1-R90</f>
        <v>#DIV/0!</v>
      </c>
      <c r="T90" s="92"/>
    </row>
    <row r="91" spans="1:20">
      <c r="A91" t="str">
        <f t="shared" si="59"/>
        <v>Mar</v>
      </c>
      <c r="C91" s="92">
        <f>+'KC Tonnage - Enspire'!R71+'KC Tonnage - Enspire'!S71</f>
        <v>0</v>
      </c>
      <c r="D91" s="92">
        <f>+'KC Tonnage - Enspire'!P71+'KC Tonnage - Enspire'!Q71</f>
        <v>0</v>
      </c>
      <c r="E91" s="87">
        <f t="shared" si="60"/>
        <v>0</v>
      </c>
      <c r="F91" s="11"/>
      <c r="G91" s="87">
        <f>+'SC Tonnage - Enspire'!R71</f>
        <v>0</v>
      </c>
      <c r="H91" s="131">
        <f t="shared" si="61"/>
        <v>0</v>
      </c>
      <c r="I91" s="131"/>
      <c r="J91" s="136" t="e">
        <f t="shared" si="69"/>
        <v>#DIV/0!</v>
      </c>
      <c r="K91" s="11"/>
      <c r="L91" s="136" t="e">
        <f t="shared" si="79"/>
        <v>#DIV/0!</v>
      </c>
      <c r="M91" s="11"/>
      <c r="N91" s="136" t="e">
        <f t="shared" ref="N91" si="90">+E91/C24*G24</f>
        <v>#DIV/0!</v>
      </c>
      <c r="O91" s="136" t="e">
        <f t="shared" ref="O91" si="91">+G91/D24*H24</f>
        <v>#DIV/0!</v>
      </c>
      <c r="P91" s="137" t="e">
        <f t="shared" ref="P91" si="92">(O91+N91)/H91</f>
        <v>#DIV/0!</v>
      </c>
      <c r="Q91" s="136"/>
      <c r="R91" s="268" t="e">
        <f t="shared" ref="R91" si="93">(C91+G91)/H91</f>
        <v>#DIV/0!</v>
      </c>
      <c r="S91" s="86" t="e">
        <f t="shared" ref="S91" si="94">1-R91</f>
        <v>#DIV/0!</v>
      </c>
      <c r="T91" s="92"/>
    </row>
    <row r="92" spans="1:20">
      <c r="A92" t="str">
        <f t="shared" si="59"/>
        <v>Apr</v>
      </c>
      <c r="C92" s="92">
        <f>+'KC Tonnage - Enspire'!R75+'KC Tonnage - Enspire'!S75</f>
        <v>0</v>
      </c>
      <c r="D92" s="92">
        <f>+'KC Tonnage - Enspire'!P75+'KC Tonnage - Enspire'!Q75</f>
        <v>0</v>
      </c>
      <c r="E92" s="87">
        <f t="shared" si="60"/>
        <v>0</v>
      </c>
      <c r="F92" s="11"/>
      <c r="G92" s="87">
        <f>+'SC Tonnage - Enspire'!R75</f>
        <v>0</v>
      </c>
      <c r="H92" s="131">
        <f t="shared" si="61"/>
        <v>0</v>
      </c>
      <c r="I92" s="131"/>
      <c r="J92" s="136" t="e">
        <f t="shared" si="69"/>
        <v>#DIV/0!</v>
      </c>
      <c r="K92" s="11"/>
      <c r="L92" s="136" t="e">
        <f t="shared" ref="L92" si="95">+N92-J92</f>
        <v>#DIV/0!</v>
      </c>
      <c r="M92" s="11"/>
      <c r="N92" s="136" t="e">
        <f t="shared" ref="N92" si="96">+E92/C25*G25</f>
        <v>#DIV/0!</v>
      </c>
      <c r="O92" s="136" t="e">
        <f t="shared" ref="O92" si="97">+G92/D25*H25</f>
        <v>#DIV/0!</v>
      </c>
      <c r="P92" s="137" t="e">
        <f t="shared" ref="P92" si="98">(O92+N92)/H92</f>
        <v>#DIV/0!</v>
      </c>
      <c r="Q92" s="136"/>
      <c r="R92" s="268" t="e">
        <f t="shared" ref="R92" si="99">(C92+G92)/H92</f>
        <v>#DIV/0!</v>
      </c>
      <c r="S92" s="86" t="e">
        <f t="shared" ref="S92" si="100">1-R92</f>
        <v>#DIV/0!</v>
      </c>
      <c r="T92" s="92"/>
    </row>
    <row r="93" spans="1:20">
      <c r="A93" t="str">
        <f t="shared" si="59"/>
        <v>May</v>
      </c>
      <c r="C93" s="92">
        <f>+'KC Tonnage - Enspire'!R79+'KC Tonnage - Enspire'!S79</f>
        <v>0</v>
      </c>
      <c r="D93" s="92">
        <f>+'KC Tonnage - Enspire'!P79+'KC Tonnage - Enspire'!Q79</f>
        <v>0</v>
      </c>
      <c r="E93" s="87">
        <f t="shared" si="60"/>
        <v>0</v>
      </c>
      <c r="F93" s="11"/>
      <c r="G93" s="87">
        <f>+'SC Tonnage - Enspire'!R79</f>
        <v>0</v>
      </c>
      <c r="H93" s="131">
        <f t="shared" si="61"/>
        <v>0</v>
      </c>
      <c r="I93" s="131"/>
      <c r="J93" s="136" t="e">
        <f t="shared" ref="J93:J97" si="101">+C93/E93*N93</f>
        <v>#DIV/0!</v>
      </c>
      <c r="K93" s="11"/>
      <c r="L93" s="136" t="e">
        <f t="shared" ref="L93:L94" si="102">+N93-J93</f>
        <v>#DIV/0!</v>
      </c>
      <c r="M93" s="11"/>
      <c r="N93" s="136" t="e">
        <f t="shared" ref="N93" si="103">+E93/C26*G26</f>
        <v>#DIV/0!</v>
      </c>
      <c r="O93" s="136" t="e">
        <f t="shared" ref="O93" si="104">+G93/D26*H26</f>
        <v>#DIV/0!</v>
      </c>
      <c r="P93" s="137" t="e">
        <f t="shared" ref="P93" si="105">(O93+N93)/H93</f>
        <v>#DIV/0!</v>
      </c>
      <c r="Q93" s="136"/>
      <c r="R93" s="268" t="e">
        <f t="shared" ref="R93" si="106">(C93+G93)/H93</f>
        <v>#DIV/0!</v>
      </c>
      <c r="S93" s="86" t="e">
        <f t="shared" ref="S93" si="107">1-R93</f>
        <v>#DIV/0!</v>
      </c>
      <c r="T93" s="92"/>
    </row>
    <row r="94" spans="1:20">
      <c r="A94" t="str">
        <f t="shared" si="59"/>
        <v>Jun</v>
      </c>
      <c r="C94" s="92">
        <f>+'KC Tonnage - Enspire'!R83+'KC Tonnage - Enspire'!S83</f>
        <v>0</v>
      </c>
      <c r="D94" s="92">
        <f>+'KC Tonnage - Enspire'!P83+'KC Tonnage - Enspire'!Q83</f>
        <v>0</v>
      </c>
      <c r="E94" s="87">
        <f t="shared" si="60"/>
        <v>0</v>
      </c>
      <c r="F94" s="11"/>
      <c r="G94" s="87">
        <f>+'SC Tonnage - Enspire'!R83</f>
        <v>0</v>
      </c>
      <c r="H94" s="131">
        <f t="shared" si="61"/>
        <v>0</v>
      </c>
      <c r="I94" s="131"/>
      <c r="J94" s="136" t="e">
        <f t="shared" si="101"/>
        <v>#DIV/0!</v>
      </c>
      <c r="K94" s="11"/>
      <c r="L94" s="136" t="e">
        <f t="shared" si="102"/>
        <v>#DIV/0!</v>
      </c>
      <c r="M94" s="11"/>
      <c r="N94" s="136" t="e">
        <f t="shared" ref="N94" si="108">+E94/C27*G27</f>
        <v>#DIV/0!</v>
      </c>
      <c r="O94" s="136" t="e">
        <f t="shared" ref="O94" si="109">+G94/D27*H27</f>
        <v>#DIV/0!</v>
      </c>
      <c r="P94" s="137" t="e">
        <f t="shared" ref="P94" si="110">(O94+N94)/H94</f>
        <v>#DIV/0!</v>
      </c>
      <c r="Q94" s="136"/>
      <c r="R94" s="268" t="e">
        <f t="shared" ref="R94" si="111">(C94+G94)/H94</f>
        <v>#DIV/0!</v>
      </c>
      <c r="S94" s="86" t="e">
        <f t="shared" ref="S94" si="112">1-R94</f>
        <v>#DIV/0!</v>
      </c>
      <c r="T94" s="92"/>
    </row>
    <row r="95" spans="1:20">
      <c r="A95" t="str">
        <f t="shared" si="59"/>
        <v>Jul</v>
      </c>
      <c r="C95" s="92">
        <f>+'KC Tonnage - Enspire'!R87+'KC Tonnage - Enspire'!S87</f>
        <v>0</v>
      </c>
      <c r="D95" s="92">
        <f>+'KC Tonnage - Enspire'!P87+'KC Tonnage - Enspire'!Q87</f>
        <v>0</v>
      </c>
      <c r="E95" s="87">
        <f t="shared" si="60"/>
        <v>0</v>
      </c>
      <c r="F95" s="11"/>
      <c r="G95" s="87">
        <f>+'SC Tonnage - Enspire'!R87</f>
        <v>0</v>
      </c>
      <c r="H95" s="131">
        <f t="shared" si="61"/>
        <v>0</v>
      </c>
      <c r="I95" s="131"/>
      <c r="J95" s="136" t="e">
        <f t="shared" si="101"/>
        <v>#DIV/0!</v>
      </c>
      <c r="K95" s="11"/>
      <c r="L95" s="136" t="e">
        <f t="shared" ref="L95:L97" si="113">+N95-J95</f>
        <v>#DIV/0!</v>
      </c>
      <c r="M95" s="11"/>
      <c r="N95" s="136" t="e">
        <f t="shared" ref="N95" si="114">+E95/C28*G28</f>
        <v>#DIV/0!</v>
      </c>
      <c r="O95" s="136" t="e">
        <f t="shared" ref="O95" si="115">+G95/D28*H28</f>
        <v>#DIV/0!</v>
      </c>
      <c r="P95" s="137" t="e">
        <f t="shared" ref="P95" si="116">(O95+N95)/H95</f>
        <v>#DIV/0!</v>
      </c>
      <c r="Q95" s="136"/>
      <c r="R95" s="268" t="e">
        <f t="shared" ref="R95" si="117">(C95+G95)/H95</f>
        <v>#DIV/0!</v>
      </c>
      <c r="S95" s="86" t="e">
        <f t="shared" ref="S95" si="118">1-R95</f>
        <v>#DIV/0!</v>
      </c>
      <c r="T95" s="92"/>
    </row>
    <row r="96" spans="1:20">
      <c r="A96" t="str">
        <f t="shared" si="59"/>
        <v>Aug</v>
      </c>
      <c r="C96" s="92">
        <f>+'KC Tonnage - Enspire'!R91+'KC Tonnage - Enspire'!S91</f>
        <v>0</v>
      </c>
      <c r="D96" s="92">
        <f>+'KC Tonnage - Enspire'!P91+'KC Tonnage - Enspire'!Q91</f>
        <v>0</v>
      </c>
      <c r="E96" s="87">
        <f t="shared" si="60"/>
        <v>0</v>
      </c>
      <c r="F96" s="11"/>
      <c r="G96" s="87">
        <f>+'SC Tonnage - Enspire'!R91</f>
        <v>0</v>
      </c>
      <c r="H96" s="131">
        <f t="shared" si="61"/>
        <v>0</v>
      </c>
      <c r="I96" s="131"/>
      <c r="J96" s="136" t="e">
        <f t="shared" si="101"/>
        <v>#DIV/0!</v>
      </c>
      <c r="K96" s="11"/>
      <c r="L96" s="136" t="e">
        <f t="shared" si="113"/>
        <v>#DIV/0!</v>
      </c>
      <c r="M96" s="11"/>
      <c r="N96" s="136" t="e">
        <f t="shared" ref="N96:N97" si="119">+E96/C29*G29</f>
        <v>#DIV/0!</v>
      </c>
      <c r="O96" s="136" t="e">
        <f t="shared" ref="O96:O97" si="120">+G96/D29*H29</f>
        <v>#DIV/0!</v>
      </c>
      <c r="P96" s="137" t="e">
        <f t="shared" ref="P96:P97" si="121">(O96+N96)/H96</f>
        <v>#DIV/0!</v>
      </c>
      <c r="Q96" s="136"/>
      <c r="R96" s="268" t="e">
        <f t="shared" ref="R96:R97" si="122">(C96+G96)/H96</f>
        <v>#DIV/0!</v>
      </c>
      <c r="S96" s="86" t="e">
        <f t="shared" ref="S96:S97" si="123">1-R96</f>
        <v>#DIV/0!</v>
      </c>
      <c r="T96" s="92"/>
    </row>
    <row r="97" spans="1:20" s="54" customFormat="1" ht="15">
      <c r="A97" t="str">
        <f t="shared" si="59"/>
        <v>Sep</v>
      </c>
      <c r="C97" s="393">
        <f>+'KC Tonnage - Enspire'!R95+'KC Tonnage - Enspire'!S95</f>
        <v>0</v>
      </c>
      <c r="D97" s="393">
        <f>+'KC Tonnage - Enspire'!P95+'KC Tonnage - Enspire'!Q95</f>
        <v>0</v>
      </c>
      <c r="E97" s="73">
        <f t="shared" si="60"/>
        <v>0</v>
      </c>
      <c r="F97" s="89"/>
      <c r="G97" s="73">
        <f>+'SC Tonnage - Enspire'!R95</f>
        <v>0</v>
      </c>
      <c r="H97" s="160">
        <f t="shared" si="61"/>
        <v>0</v>
      </c>
      <c r="I97" s="161"/>
      <c r="J97" s="139" t="e">
        <f t="shared" si="101"/>
        <v>#DIV/0!</v>
      </c>
      <c r="K97" s="138"/>
      <c r="L97" s="139" t="e">
        <f t="shared" si="113"/>
        <v>#DIV/0!</v>
      </c>
      <c r="M97" s="187"/>
      <c r="N97" s="139" t="e">
        <f t="shared" si="119"/>
        <v>#DIV/0!</v>
      </c>
      <c r="O97" s="139" t="e">
        <f t="shared" si="120"/>
        <v>#DIV/0!</v>
      </c>
      <c r="P97" s="142" t="e">
        <f t="shared" si="121"/>
        <v>#DIV/0!</v>
      </c>
      <c r="Q97" s="139"/>
      <c r="R97" s="369" t="e">
        <f t="shared" si="122"/>
        <v>#DIV/0!</v>
      </c>
      <c r="S97" s="370" t="e">
        <f t="shared" si="123"/>
        <v>#DIV/0!</v>
      </c>
      <c r="T97" s="129"/>
    </row>
    <row r="98" spans="1:20" ht="14.5">
      <c r="C98" s="143">
        <f>SUM(C74:C97)</f>
        <v>6345.4587204011423</v>
      </c>
      <c r="D98" s="143">
        <f t="shared" ref="D98:O98" si="124">SUM(D74:D97)</f>
        <v>5772.0537679388999</v>
      </c>
      <c r="E98" s="143">
        <f t="shared" si="124"/>
        <v>12117.512488340042</v>
      </c>
      <c r="F98" s="143"/>
      <c r="G98" s="143">
        <f t="shared" si="124"/>
        <v>25932.569371898942</v>
      </c>
      <c r="H98" s="143">
        <f t="shared" si="124"/>
        <v>38050.081860238977</v>
      </c>
      <c r="I98" s="143"/>
      <c r="J98" s="144" t="e">
        <f t="shared" si="124"/>
        <v>#DIV/0!</v>
      </c>
      <c r="K98" s="144"/>
      <c r="L98" s="144" t="e">
        <f t="shared" si="124"/>
        <v>#DIV/0!</v>
      </c>
      <c r="M98" s="144"/>
      <c r="N98" s="144" t="e">
        <f t="shared" si="124"/>
        <v>#DIV/0!</v>
      </c>
      <c r="O98" s="144" t="e">
        <f t="shared" si="124"/>
        <v>#DIV/0!</v>
      </c>
      <c r="P98" s="145" t="e">
        <f>(O98+N98)/H98</f>
        <v>#DIV/0!</v>
      </c>
      <c r="Q98" s="144"/>
      <c r="R98" s="270">
        <f>(C98+G98)/H98</f>
        <v>0.84830377529435774</v>
      </c>
      <c r="S98" s="272">
        <f>1-R98</f>
        <v>0.15169622470564226</v>
      </c>
      <c r="T98" s="11"/>
    </row>
    <row r="99" spans="1:20" ht="14.5">
      <c r="B99" s="71"/>
      <c r="E99" s="133">
        <f>+E98/C59</f>
        <v>0.89683285670566115</v>
      </c>
      <c r="F99" s="11"/>
      <c r="G99" s="133">
        <f>+G98/D59</f>
        <v>0.88889356352828985</v>
      </c>
      <c r="H99" s="133">
        <f>+H98/E59</f>
        <v>0.89140663054065694</v>
      </c>
      <c r="I99" s="133"/>
      <c r="J99" s="11"/>
      <c r="K99" s="11"/>
      <c r="L99" s="11"/>
      <c r="M99" s="11"/>
      <c r="N99" s="133" t="e">
        <f>+N98/G59</f>
        <v>#DIV/0!</v>
      </c>
      <c r="O99" s="133" t="e">
        <f>+O98/H59</f>
        <v>#DIV/0!</v>
      </c>
      <c r="P99" s="11"/>
      <c r="Q99" s="133"/>
      <c r="R99" s="11"/>
      <c r="S99" s="11"/>
      <c r="T99" s="11"/>
    </row>
    <row r="100" spans="1:20" ht="14.5">
      <c r="B100" s="71"/>
      <c r="E100" s="133"/>
      <c r="F100" s="11"/>
      <c r="G100" s="133"/>
      <c r="H100" s="133"/>
      <c r="I100" s="133"/>
      <c r="J100" s="11"/>
      <c r="K100" s="11"/>
      <c r="L100" s="11"/>
      <c r="M100" s="11"/>
      <c r="N100" s="133"/>
      <c r="O100" s="133"/>
      <c r="P100" s="11"/>
      <c r="Q100" s="133"/>
      <c r="R100" s="11"/>
      <c r="S100" s="11"/>
      <c r="T100" s="11"/>
    </row>
    <row r="101" spans="1:20" ht="14.5">
      <c r="A101" s="71" t="s">
        <v>140</v>
      </c>
      <c r="C101" s="270">
        <f>+C98/E98</f>
        <v>0.52366017584112234</v>
      </c>
      <c r="D101" s="272">
        <f>-C101+1</f>
        <v>0.47633982415887766</v>
      </c>
      <c r="E101" s="272">
        <f>+D101+C101</f>
        <v>1</v>
      </c>
      <c r="F101" s="11"/>
      <c r="G101" s="133">
        <v>1</v>
      </c>
      <c r="H101" s="272"/>
      <c r="I101" s="11"/>
      <c r="K101" s="11"/>
      <c r="L101" s="11"/>
      <c r="M101" s="11"/>
      <c r="N101" s="11"/>
      <c r="O101" s="11"/>
      <c r="P101" s="11"/>
      <c r="Q101" s="11"/>
      <c r="R101" s="272">
        <f>+R98</f>
        <v>0.84830377529435774</v>
      </c>
      <c r="S101" s="272">
        <f>+S98</f>
        <v>0.15169622470564226</v>
      </c>
      <c r="T101" s="11"/>
    </row>
    <row r="102" spans="1:20" ht="13">
      <c r="C102" s="273" t="s">
        <v>141</v>
      </c>
      <c r="D102" s="273" t="s">
        <v>142</v>
      </c>
      <c r="E102" s="274"/>
      <c r="F102" s="274"/>
      <c r="G102" s="273" t="s">
        <v>141</v>
      </c>
      <c r="I102" s="11"/>
      <c r="J102" s="11"/>
      <c r="K102" s="11"/>
      <c r="L102" s="11"/>
      <c r="M102" s="11"/>
      <c r="N102" s="11"/>
      <c r="O102" s="11"/>
      <c r="P102" s="11"/>
      <c r="Q102" s="11"/>
      <c r="R102" s="11"/>
      <c r="S102" s="11"/>
      <c r="T102" s="11"/>
    </row>
    <row r="103" spans="1:20">
      <c r="C103" s="11"/>
      <c r="D103" s="11"/>
      <c r="E103" s="11"/>
      <c r="F103" s="11"/>
      <c r="G103" s="11"/>
      <c r="H103" s="11"/>
      <c r="I103" s="11"/>
      <c r="J103" s="11"/>
      <c r="K103" s="11"/>
      <c r="L103" s="11"/>
      <c r="M103" s="11"/>
      <c r="N103" s="11"/>
      <c r="O103" s="11"/>
      <c r="P103" s="11"/>
      <c r="Q103" s="11"/>
      <c r="R103" s="11"/>
      <c r="S103" s="11"/>
      <c r="T103" s="11"/>
    </row>
    <row r="104" spans="1:20" ht="14.5">
      <c r="A104" s="56" t="s">
        <v>93</v>
      </c>
      <c r="C104" s="11"/>
      <c r="D104" s="11"/>
      <c r="E104" s="11"/>
      <c r="F104" s="11"/>
      <c r="G104" s="11"/>
      <c r="H104" s="11"/>
      <c r="I104" s="11"/>
      <c r="J104" s="11"/>
      <c r="K104" s="11"/>
      <c r="L104" s="11"/>
      <c r="M104" s="11"/>
      <c r="N104" s="11"/>
      <c r="O104" s="11"/>
      <c r="P104" s="11"/>
      <c r="Q104" s="11"/>
      <c r="R104" s="11"/>
      <c r="S104" s="11"/>
      <c r="T104" s="11"/>
    </row>
    <row r="105" spans="1:20">
      <c r="A105" t="str">
        <f t="shared" ref="A105:A128" si="125">+A74</f>
        <v>Oct., 2023</v>
      </c>
      <c r="C105" s="92">
        <f>+'KC Tonnage - Enspire'!R4+'KC Tonnage - Enspire'!S4</f>
        <v>46.564410390109508</v>
      </c>
      <c r="D105" s="92">
        <f>+'KC Tonnage - Enspire'!P4+'KC Tonnage - Enspire'!Q4</f>
        <v>69.489982983640175</v>
      </c>
      <c r="E105" s="87">
        <f t="shared" ref="E105:E128" si="126">+D105+C105</f>
        <v>116.05439337374969</v>
      </c>
      <c r="F105" s="11"/>
      <c r="G105" s="87">
        <f t="shared" ref="G105:G128" si="127">+D35-G74</f>
        <v>268.93473000237032</v>
      </c>
      <c r="H105" s="87">
        <f t="shared" ref="H105:H127" si="128">+G105+E105</f>
        <v>384.98912337612001</v>
      </c>
      <c r="I105" s="87"/>
      <c r="J105" s="136">
        <f t="shared" ref="J105:J110" si="129">+C105/E105*N105</f>
        <v>3871.3908992595043</v>
      </c>
      <c r="K105" s="11"/>
      <c r="L105" s="136">
        <f t="shared" ref="L105:L110" si="130">+N105-J105</f>
        <v>5777.4357166499012</v>
      </c>
      <c r="M105" s="11"/>
      <c r="N105" s="136">
        <f t="shared" ref="N105:N128" si="131">+G35-N74</f>
        <v>9648.8266159094055</v>
      </c>
      <c r="O105" s="136">
        <f t="shared" ref="O105:O128" si="132">+H35-O74</f>
        <v>21972.544924846385</v>
      </c>
      <c r="P105" s="137">
        <f t="shared" ref="P105:P128" si="133">(O105+N105)/H105</f>
        <v>82.135752988176989</v>
      </c>
      <c r="Q105" s="130"/>
      <c r="R105" s="11"/>
      <c r="S105" s="92"/>
      <c r="T105" s="92"/>
    </row>
    <row r="106" spans="1:20">
      <c r="A106" t="str">
        <f t="shared" si="125"/>
        <v>Nov</v>
      </c>
      <c r="C106" s="92">
        <f>+'KC Tonnage - Enspire'!R8+'KC Tonnage - Enspire'!S8</f>
        <v>49.630564190000001</v>
      </c>
      <c r="D106" s="92">
        <f>+'KC Tonnage - Enspire'!P8+'KC Tonnage - Enspire'!Q8</f>
        <v>74.79229106199999</v>
      </c>
      <c r="E106" s="87">
        <f t="shared" si="126"/>
        <v>124.42285525199999</v>
      </c>
      <c r="F106" s="11"/>
      <c r="G106" s="87">
        <f t="shared" si="127"/>
        <v>277.84966869699997</v>
      </c>
      <c r="H106" s="87">
        <f t="shared" si="128"/>
        <v>402.27252394899995</v>
      </c>
      <c r="I106" s="87"/>
      <c r="J106" s="136">
        <f t="shared" si="129"/>
        <v>2796.7697011199971</v>
      </c>
      <c r="K106" s="11"/>
      <c r="L106" s="136">
        <f t="shared" si="130"/>
        <v>4214.6773250201395</v>
      </c>
      <c r="M106" s="11"/>
      <c r="N106" s="136">
        <f t="shared" si="131"/>
        <v>7011.4470261401366</v>
      </c>
      <c r="O106" s="136">
        <f t="shared" si="132"/>
        <v>15279.835852230579</v>
      </c>
      <c r="P106" s="137">
        <f t="shared" si="133"/>
        <v>55.41338657570558</v>
      </c>
      <c r="Q106" s="130"/>
      <c r="R106" s="11"/>
      <c r="S106" s="92"/>
      <c r="T106" s="92"/>
    </row>
    <row r="107" spans="1:20">
      <c r="A107" t="str">
        <f t="shared" si="125"/>
        <v>Dec</v>
      </c>
      <c r="C107" s="92">
        <f>+'KC Tonnage - Enspire'!R12+'KC Tonnage - Enspire'!S12</f>
        <v>50.002496557999997</v>
      </c>
      <c r="D107" s="92">
        <f>+'KC Tonnage - Enspire'!P12+'KC Tonnage - Enspire'!Q12</f>
        <v>78.702046585999994</v>
      </c>
      <c r="E107" s="87">
        <f t="shared" si="126"/>
        <v>128.70454314399998</v>
      </c>
      <c r="F107" s="11"/>
      <c r="G107" s="87">
        <f t="shared" si="127"/>
        <v>267.49321888999975</v>
      </c>
      <c r="H107" s="87">
        <f t="shared" si="128"/>
        <v>396.19776203399977</v>
      </c>
      <c r="I107" s="87"/>
      <c r="J107" s="136">
        <f t="shared" si="129"/>
        <v>3178.4275658524462</v>
      </c>
      <c r="K107" s="11"/>
      <c r="L107" s="136">
        <f t="shared" si="130"/>
        <v>5002.7252952817616</v>
      </c>
      <c r="M107" s="11"/>
      <c r="N107" s="136">
        <f t="shared" si="131"/>
        <v>8181.1528611342073</v>
      </c>
      <c r="O107" s="136">
        <f t="shared" si="132"/>
        <v>16764.31354114454</v>
      </c>
      <c r="P107" s="137">
        <f t="shared" si="133"/>
        <v>62.96215878205301</v>
      </c>
      <c r="Q107" s="130"/>
      <c r="R107" s="11"/>
      <c r="S107" s="92"/>
      <c r="T107" s="92"/>
    </row>
    <row r="108" spans="1:20">
      <c r="A108" t="str">
        <f t="shared" si="125"/>
        <v>Jan., 2024</v>
      </c>
      <c r="C108" s="92">
        <f>+'KC Tonnage - Enspire'!R16+'KC Tonnage - Enspire'!S16</f>
        <v>46.344081641174363</v>
      </c>
      <c r="D108" s="92">
        <f>+'KC Tonnage - Enspire'!P16+'KC Tonnage - Enspire'!Q16</f>
        <v>80.136204364144461</v>
      </c>
      <c r="E108" s="87">
        <f t="shared" si="126"/>
        <v>126.48028600531882</v>
      </c>
      <c r="F108" s="11"/>
      <c r="G108" s="87">
        <f t="shared" si="127"/>
        <v>296.83479543909061</v>
      </c>
      <c r="H108" s="131">
        <f t="shared" si="128"/>
        <v>423.31508144440943</v>
      </c>
      <c r="I108" s="131"/>
      <c r="J108" s="136">
        <f t="shared" si="129"/>
        <v>3585.2368540503981</v>
      </c>
      <c r="K108" s="11"/>
      <c r="L108" s="136">
        <f t="shared" si="130"/>
        <v>6199.4382681819534</v>
      </c>
      <c r="M108" s="11"/>
      <c r="N108" s="136">
        <f t="shared" si="131"/>
        <v>9784.675122232351</v>
      </c>
      <c r="O108" s="136">
        <f t="shared" si="132"/>
        <v>22414.672162266943</v>
      </c>
      <c r="P108" s="137">
        <f t="shared" si="133"/>
        <v>76.064729786216645</v>
      </c>
      <c r="Q108" s="135"/>
      <c r="R108" s="11"/>
      <c r="S108" s="92"/>
      <c r="T108" s="92"/>
    </row>
    <row r="109" spans="1:20">
      <c r="A109" t="str">
        <f t="shared" si="125"/>
        <v>Feb</v>
      </c>
      <c r="C109" s="92">
        <f>+'KC Tonnage - Enspire'!R20+'KC Tonnage - Enspire'!S20</f>
        <v>39.310737785958992</v>
      </c>
      <c r="D109" s="92">
        <f>+'KC Tonnage - Enspire'!P20+'KC Tonnage - Enspire'!Q20</f>
        <v>63.409982159067404</v>
      </c>
      <c r="E109" s="87">
        <f t="shared" si="126"/>
        <v>102.72071994502639</v>
      </c>
      <c r="F109" s="11"/>
      <c r="G109" s="87">
        <f t="shared" si="127"/>
        <v>275.41986557929681</v>
      </c>
      <c r="H109" s="131">
        <f t="shared" si="128"/>
        <v>378.14058552432323</v>
      </c>
      <c r="I109" s="131"/>
      <c r="J109" s="136">
        <f t="shared" si="129"/>
        <v>2970.9241747785309</v>
      </c>
      <c r="K109" s="11"/>
      <c r="L109" s="136">
        <f t="shared" si="130"/>
        <v>4792.2338660847126</v>
      </c>
      <c r="M109" s="11"/>
      <c r="N109" s="136">
        <f t="shared" si="131"/>
        <v>7763.1580408632435</v>
      </c>
      <c r="O109" s="136">
        <f t="shared" si="132"/>
        <v>20483.109582041885</v>
      </c>
      <c r="P109" s="137">
        <f t="shared" si="133"/>
        <v>74.697794164938259</v>
      </c>
      <c r="Q109" s="135"/>
      <c r="R109" s="11"/>
      <c r="S109" s="92"/>
      <c r="T109" s="92"/>
    </row>
    <row r="110" spans="1:20">
      <c r="A110" t="str">
        <f t="shared" si="125"/>
        <v>Mar</v>
      </c>
      <c r="C110" s="92">
        <f>+'KC Tonnage - Enspire'!R24+'KC Tonnage - Enspire'!S24</f>
        <v>37.599056426872949</v>
      </c>
      <c r="D110" s="92">
        <f>+'KC Tonnage - Enspire'!P24+'KC Tonnage - Enspire'!Q24</f>
        <v>64.627075840386098</v>
      </c>
      <c r="E110" s="87">
        <f t="shared" si="126"/>
        <v>102.22613226725905</v>
      </c>
      <c r="F110" s="11"/>
      <c r="G110" s="87">
        <f t="shared" si="127"/>
        <v>223.96185587191485</v>
      </c>
      <c r="H110" s="131">
        <f t="shared" si="128"/>
        <v>326.18798813917391</v>
      </c>
      <c r="I110" s="131"/>
      <c r="J110" s="136">
        <f t="shared" si="129"/>
        <v>2980.893706991822</v>
      </c>
      <c r="K110" s="11"/>
      <c r="L110" s="136">
        <f t="shared" si="130"/>
        <v>5123.7042091354479</v>
      </c>
      <c r="M110" s="11"/>
      <c r="N110" s="136">
        <f t="shared" si="131"/>
        <v>8104.5979161272699</v>
      </c>
      <c r="O110" s="136">
        <f t="shared" si="132"/>
        <v>17398.872338743036</v>
      </c>
      <c r="P110" s="137">
        <f t="shared" si="133"/>
        <v>78.186417594227279</v>
      </c>
      <c r="Q110" s="135"/>
      <c r="R110" s="11"/>
      <c r="S110" s="92"/>
      <c r="T110" s="92"/>
    </row>
    <row r="111" spans="1:20">
      <c r="A111" t="str">
        <f t="shared" si="125"/>
        <v>Apr</v>
      </c>
      <c r="C111" s="92">
        <f>+'KC Tonnage - Enspire'!R28+'KC Tonnage - Enspire'!S28</f>
        <v>34.221966402</v>
      </c>
      <c r="D111" s="92">
        <f>+'KC Tonnage - Enspire'!P28+'KC Tonnage - Enspire'!Q28</f>
        <v>61.802417099000003</v>
      </c>
      <c r="E111" s="87">
        <f t="shared" si="126"/>
        <v>96.024383501000003</v>
      </c>
      <c r="F111" s="11"/>
      <c r="G111" s="87">
        <f t="shared" si="127"/>
        <v>228.98889742099982</v>
      </c>
      <c r="H111" s="131">
        <f t="shared" si="128"/>
        <v>325.01328092199981</v>
      </c>
      <c r="I111" s="131"/>
      <c r="J111" s="136">
        <f>+C111/E111*N111</f>
        <v>2947.793491967589</v>
      </c>
      <c r="K111" s="11"/>
      <c r="L111" s="136">
        <f t="shared" ref="L111:L128" si="134">+N111-J111</f>
        <v>5323.5036459404519</v>
      </c>
      <c r="M111" s="11"/>
      <c r="N111" s="136">
        <f t="shared" si="131"/>
        <v>8271.2971379080409</v>
      </c>
      <c r="O111" s="136">
        <f t="shared" si="132"/>
        <v>19675.66619339629</v>
      </c>
      <c r="P111" s="137">
        <f t="shared" si="133"/>
        <v>85.987142593140206</v>
      </c>
      <c r="Q111" s="135"/>
      <c r="R111" s="11"/>
      <c r="S111" s="92"/>
      <c r="T111" s="92"/>
    </row>
    <row r="112" spans="1:20">
      <c r="A112" t="str">
        <f t="shared" si="125"/>
        <v>May</v>
      </c>
      <c r="C112" s="92">
        <f>+'KC Tonnage - Enspire'!R32+'KC Tonnage - Enspire'!S32</f>
        <v>37.468160877647577</v>
      </c>
      <c r="D112" s="92">
        <f>+'KC Tonnage - Enspire'!P32+'KC Tonnage - Enspire'!Q32</f>
        <v>65.135834203668381</v>
      </c>
      <c r="E112" s="87">
        <f t="shared" si="126"/>
        <v>102.60399508131596</v>
      </c>
      <c r="F112" s="11"/>
      <c r="G112" s="87">
        <f t="shared" si="127"/>
        <v>239.21110656540213</v>
      </c>
      <c r="H112" s="131">
        <f t="shared" si="128"/>
        <v>341.81510164671806</v>
      </c>
      <c r="I112" s="131"/>
      <c r="J112" s="136">
        <f>+C112/E112*N112</f>
        <v>3389.8789112667923</v>
      </c>
      <c r="K112" s="11"/>
      <c r="L112" s="136">
        <f t="shared" si="134"/>
        <v>5893.0725598146473</v>
      </c>
      <c r="M112" s="11"/>
      <c r="N112" s="136">
        <f t="shared" si="131"/>
        <v>9282.9514710814401</v>
      </c>
      <c r="O112" s="136">
        <f t="shared" si="132"/>
        <v>21336.735209251492</v>
      </c>
      <c r="P112" s="137">
        <f t="shared" si="133"/>
        <v>89.579677822367884</v>
      </c>
      <c r="Q112" s="135"/>
      <c r="R112" s="11"/>
      <c r="S112" s="92"/>
      <c r="T112" s="92"/>
    </row>
    <row r="113" spans="1:20">
      <c r="A113" t="str">
        <f t="shared" si="125"/>
        <v>Jun</v>
      </c>
      <c r="C113" s="92">
        <f>+'KC Tonnage - Enspire'!R36+'KC Tonnage - Enspire'!S36</f>
        <v>35.072658489715629</v>
      </c>
      <c r="D113" s="92">
        <f>+'KC Tonnage - Enspire'!P36+'KC Tonnage - Enspire'!Q36</f>
        <v>58.73775267093334</v>
      </c>
      <c r="E113" s="87">
        <f t="shared" si="126"/>
        <v>93.810411160648968</v>
      </c>
      <c r="F113" s="11"/>
      <c r="G113" s="87">
        <f t="shared" si="127"/>
        <v>227.68360791791974</v>
      </c>
      <c r="H113" s="131">
        <f t="shared" si="128"/>
        <v>321.49401907856873</v>
      </c>
      <c r="I113" s="131"/>
      <c r="J113" s="136">
        <f>+C113/E113*N113</f>
        <v>3746.7948574528787</v>
      </c>
      <c r="K113" s="11"/>
      <c r="L113" s="136">
        <f t="shared" si="134"/>
        <v>6274.9252301568704</v>
      </c>
      <c r="M113" s="11"/>
      <c r="N113" s="136">
        <f t="shared" si="131"/>
        <v>10021.720087609749</v>
      </c>
      <c r="O113" s="136">
        <f t="shared" si="132"/>
        <v>23881.587092885457</v>
      </c>
      <c r="P113" s="137">
        <f t="shared" si="133"/>
        <v>105.45548336378134</v>
      </c>
      <c r="Q113" s="135"/>
      <c r="R113" s="11"/>
      <c r="S113" s="92"/>
      <c r="T113" s="92"/>
    </row>
    <row r="114" spans="1:20">
      <c r="A114" t="str">
        <f t="shared" si="125"/>
        <v>Jul</v>
      </c>
      <c r="C114" s="92">
        <f>+'KC Tonnage - Enspire'!R40+'KC Tonnage - Enspire'!S40</f>
        <v>38.519999999999996</v>
      </c>
      <c r="D114" s="92">
        <f>+'KC Tonnage - Enspire'!P40+'KC Tonnage - Enspire'!Q40</f>
        <v>64.27</v>
      </c>
      <c r="E114" s="87">
        <f t="shared" si="126"/>
        <v>102.78999999999999</v>
      </c>
      <c r="F114" s="11"/>
      <c r="G114" s="87">
        <f t="shared" si="127"/>
        <v>239.13000000000011</v>
      </c>
      <c r="H114" s="131">
        <f t="shared" si="128"/>
        <v>341.92000000000007</v>
      </c>
      <c r="I114" s="131"/>
      <c r="J114" s="136">
        <f>+C114/E114*N114</f>
        <v>3422.4297713236547</v>
      </c>
      <c r="K114" s="11"/>
      <c r="L114" s="136">
        <f t="shared" si="134"/>
        <v>5710.2689876160775</v>
      </c>
      <c r="M114" s="11"/>
      <c r="N114" s="136">
        <f t="shared" si="131"/>
        <v>9132.6987589397322</v>
      </c>
      <c r="O114" s="136">
        <f t="shared" si="132"/>
        <v>20750.843812089355</v>
      </c>
      <c r="P114" s="137">
        <f t="shared" si="133"/>
        <v>87.39922371030967</v>
      </c>
      <c r="Q114" s="135"/>
      <c r="R114" s="11"/>
      <c r="S114" s="92"/>
      <c r="T114" s="92"/>
    </row>
    <row r="115" spans="1:20">
      <c r="A115" t="str">
        <f t="shared" si="125"/>
        <v>Aug</v>
      </c>
      <c r="C115" s="92">
        <f>+'KC Tonnage - Enspire'!R44+'KC Tonnage - Enspire'!S44</f>
        <v>37.47</v>
      </c>
      <c r="D115" s="92">
        <f>+'KC Tonnage - Enspire'!P44+'KC Tonnage - Enspire'!Q44</f>
        <v>65.13</v>
      </c>
      <c r="E115" s="87">
        <f t="shared" si="126"/>
        <v>102.6</v>
      </c>
      <c r="F115" s="11"/>
      <c r="G115" s="87">
        <f t="shared" si="127"/>
        <v>239.21000000000004</v>
      </c>
      <c r="H115" s="131">
        <f t="shared" si="128"/>
        <v>341.81000000000006</v>
      </c>
      <c r="I115" s="131"/>
      <c r="J115" s="136">
        <f>+C115/E115*N115</f>
        <v>3205.331998897464</v>
      </c>
      <c r="K115" s="11"/>
      <c r="L115" s="136">
        <f t="shared" si="134"/>
        <v>5571.477797923455</v>
      </c>
      <c r="M115" s="11"/>
      <c r="N115" s="136">
        <f t="shared" si="131"/>
        <v>8776.8097968209186</v>
      </c>
      <c r="O115" s="136">
        <f t="shared" si="132"/>
        <v>20168.930425879546</v>
      </c>
      <c r="P115" s="137">
        <f t="shared" si="133"/>
        <v>84.683713825518439</v>
      </c>
      <c r="Q115" s="135"/>
      <c r="R115" s="11"/>
      <c r="S115" s="92"/>
      <c r="T115" s="92"/>
    </row>
    <row r="116" spans="1:20" s="415" customFormat="1">
      <c r="A116" s="415" t="str">
        <f t="shared" si="125"/>
        <v>Sep</v>
      </c>
      <c r="C116" s="421">
        <f>+'KC Tonnage - Enspire'!R48+'KC Tonnage - Enspire'!S48</f>
        <v>36.42</v>
      </c>
      <c r="D116" s="421">
        <f>+'KC Tonnage - Enspire'!P48+'KC Tonnage - Enspire'!Q48</f>
        <v>61.33</v>
      </c>
      <c r="E116" s="416">
        <f t="shared" si="126"/>
        <v>97.75</v>
      </c>
      <c r="F116" s="417"/>
      <c r="G116" s="416">
        <f t="shared" si="127"/>
        <v>228.35000000000014</v>
      </c>
      <c r="H116" s="416">
        <f t="shared" si="128"/>
        <v>326.10000000000014</v>
      </c>
      <c r="I116" s="416"/>
      <c r="J116" s="418">
        <f t="shared" ref="J116:J128" si="135">+C116/E116*N116</f>
        <v>3093.6478747202459</v>
      </c>
      <c r="K116" s="417"/>
      <c r="L116" s="418">
        <f t="shared" si="134"/>
        <v>5209.594293151913</v>
      </c>
      <c r="M116" s="417"/>
      <c r="N116" s="418">
        <f t="shared" si="131"/>
        <v>8303.2421678721585</v>
      </c>
      <c r="O116" s="418">
        <f t="shared" si="132"/>
        <v>19051.605756859906</v>
      </c>
      <c r="P116" s="419">
        <f t="shared" si="133"/>
        <v>83.88484490871528</v>
      </c>
      <c r="Q116" s="420"/>
      <c r="R116" s="417"/>
      <c r="S116" s="421"/>
      <c r="T116" s="421"/>
    </row>
    <row r="117" spans="1:20">
      <c r="A117" t="str">
        <f t="shared" si="125"/>
        <v>Oct</v>
      </c>
      <c r="C117" s="92">
        <f>+'KC Tonnage - Enspire'!R52+'KC Tonnage - Enspire'!S52</f>
        <v>36.42</v>
      </c>
      <c r="D117" s="92">
        <f>+'KC Tonnage - Enspire'!P52+'KC Tonnage - Enspire'!Q52</f>
        <v>61.33</v>
      </c>
      <c r="E117" s="87">
        <f t="shared" si="126"/>
        <v>97.75</v>
      </c>
      <c r="F117" s="11"/>
      <c r="G117" s="87">
        <f t="shared" si="127"/>
        <v>228.35000000000014</v>
      </c>
      <c r="H117" s="131">
        <f t="shared" si="128"/>
        <v>326.10000000000014</v>
      </c>
      <c r="I117" s="131"/>
      <c r="J117" s="136">
        <f t="shared" si="135"/>
        <v>2914.1700239044358</v>
      </c>
      <c r="K117" s="11"/>
      <c r="L117" s="136">
        <f t="shared" si="134"/>
        <v>4907.3599002212804</v>
      </c>
      <c r="M117" s="11"/>
      <c r="N117" s="136">
        <f t="shared" si="131"/>
        <v>7821.5299241257162</v>
      </c>
      <c r="O117" s="136">
        <f t="shared" si="132"/>
        <v>18080.004136499861</v>
      </c>
      <c r="P117" s="137">
        <f t="shared" si="133"/>
        <v>79.42819399149208</v>
      </c>
      <c r="Q117" s="135"/>
      <c r="R117" s="11"/>
      <c r="S117" s="92"/>
      <c r="T117" s="92"/>
    </row>
    <row r="118" spans="1:20">
      <c r="A118" t="str">
        <f t="shared" si="125"/>
        <v>Nov</v>
      </c>
      <c r="C118" s="92">
        <f>+'KC Tonnage - Enspire'!R56+'KC Tonnage - Enspire'!S56</f>
        <v>0</v>
      </c>
      <c r="D118" s="92">
        <f>+'KC Tonnage - Enspire'!P56+'KC Tonnage - Enspire'!Q56</f>
        <v>0</v>
      </c>
      <c r="E118" s="87">
        <f t="shared" si="126"/>
        <v>0</v>
      </c>
      <c r="F118" s="11"/>
      <c r="G118" s="87">
        <f t="shared" si="127"/>
        <v>0</v>
      </c>
      <c r="H118" s="131">
        <f t="shared" si="128"/>
        <v>0</v>
      </c>
      <c r="I118" s="131"/>
      <c r="J118" s="136" t="e">
        <f t="shared" si="135"/>
        <v>#DIV/0!</v>
      </c>
      <c r="K118" s="11"/>
      <c r="L118" s="136" t="e">
        <f t="shared" si="134"/>
        <v>#DIV/0!</v>
      </c>
      <c r="M118" s="11"/>
      <c r="N118" s="136" t="e">
        <f t="shared" si="131"/>
        <v>#DIV/0!</v>
      </c>
      <c r="O118" s="136" t="e">
        <f t="shared" si="132"/>
        <v>#DIV/0!</v>
      </c>
      <c r="P118" s="137" t="e">
        <f t="shared" si="133"/>
        <v>#DIV/0!</v>
      </c>
      <c r="Q118" s="135"/>
      <c r="R118" s="11"/>
      <c r="S118" s="92"/>
      <c r="T118" s="92"/>
    </row>
    <row r="119" spans="1:20">
      <c r="A119" t="str">
        <f t="shared" si="125"/>
        <v>Dec</v>
      </c>
      <c r="C119" s="92">
        <f>+'KC Tonnage - Enspire'!R60+'KC Tonnage - Enspire'!S60</f>
        <v>0</v>
      </c>
      <c r="D119" s="92">
        <f>+'KC Tonnage - Enspire'!P60+'KC Tonnage - Enspire'!Q60</f>
        <v>0</v>
      </c>
      <c r="E119" s="87">
        <f t="shared" si="126"/>
        <v>0</v>
      </c>
      <c r="F119" s="11"/>
      <c r="G119" s="87">
        <f t="shared" si="127"/>
        <v>0</v>
      </c>
      <c r="H119" s="131">
        <f t="shared" si="128"/>
        <v>0</v>
      </c>
      <c r="I119" s="131"/>
      <c r="J119" s="136" t="e">
        <f t="shared" si="135"/>
        <v>#DIV/0!</v>
      </c>
      <c r="K119" s="11"/>
      <c r="L119" s="136" t="e">
        <f t="shared" si="134"/>
        <v>#DIV/0!</v>
      </c>
      <c r="M119" s="11"/>
      <c r="N119" s="136" t="e">
        <f t="shared" si="131"/>
        <v>#DIV/0!</v>
      </c>
      <c r="O119" s="136" t="e">
        <f t="shared" si="132"/>
        <v>#DIV/0!</v>
      </c>
      <c r="P119" s="137" t="e">
        <f t="shared" si="133"/>
        <v>#DIV/0!</v>
      </c>
      <c r="Q119" s="135"/>
      <c r="R119" s="11"/>
      <c r="S119" s="92"/>
      <c r="T119" s="92"/>
    </row>
    <row r="120" spans="1:20">
      <c r="A120" t="str">
        <f t="shared" si="125"/>
        <v>Jan. 2025</v>
      </c>
      <c r="C120" s="92">
        <f>+'KC Tonnage - Enspire'!R64+'KC Tonnage - Enspire'!S64</f>
        <v>0</v>
      </c>
      <c r="D120" s="92">
        <f>+'KC Tonnage - Enspire'!P64+'KC Tonnage - Enspire'!Q64</f>
        <v>0</v>
      </c>
      <c r="E120" s="87">
        <f t="shared" si="126"/>
        <v>0</v>
      </c>
      <c r="F120" s="11"/>
      <c r="G120" s="87">
        <f t="shared" si="127"/>
        <v>0</v>
      </c>
      <c r="H120" s="131">
        <f t="shared" si="128"/>
        <v>0</v>
      </c>
      <c r="I120" s="131"/>
      <c r="J120" s="136" t="e">
        <f t="shared" si="135"/>
        <v>#DIV/0!</v>
      </c>
      <c r="K120" s="11"/>
      <c r="L120" s="136" t="e">
        <f t="shared" si="134"/>
        <v>#DIV/0!</v>
      </c>
      <c r="M120" s="11"/>
      <c r="N120" s="136" t="e">
        <f t="shared" si="131"/>
        <v>#DIV/0!</v>
      </c>
      <c r="O120" s="136" t="e">
        <f t="shared" si="132"/>
        <v>#DIV/0!</v>
      </c>
      <c r="P120" s="137" t="e">
        <f t="shared" si="133"/>
        <v>#DIV/0!</v>
      </c>
      <c r="Q120" s="135"/>
      <c r="R120" s="11"/>
      <c r="S120" s="92"/>
      <c r="T120" s="92"/>
    </row>
    <row r="121" spans="1:20">
      <c r="A121" t="str">
        <f t="shared" si="125"/>
        <v>Feb</v>
      </c>
      <c r="C121" s="92">
        <f>+'KC Tonnage - Enspire'!R68+'KC Tonnage - Enspire'!S68</f>
        <v>0</v>
      </c>
      <c r="D121" s="92">
        <f>+'KC Tonnage - Enspire'!P68+'KC Tonnage - Enspire'!Q68</f>
        <v>0</v>
      </c>
      <c r="E121" s="87">
        <f t="shared" si="126"/>
        <v>0</v>
      </c>
      <c r="F121" s="11"/>
      <c r="G121" s="87">
        <f t="shared" si="127"/>
        <v>0</v>
      </c>
      <c r="H121" s="131">
        <f t="shared" si="128"/>
        <v>0</v>
      </c>
      <c r="I121" s="131"/>
      <c r="J121" s="136" t="e">
        <f t="shared" si="135"/>
        <v>#DIV/0!</v>
      </c>
      <c r="K121" s="11"/>
      <c r="L121" s="136" t="e">
        <f t="shared" si="134"/>
        <v>#DIV/0!</v>
      </c>
      <c r="M121" s="11"/>
      <c r="N121" s="136" t="e">
        <f t="shared" si="131"/>
        <v>#DIV/0!</v>
      </c>
      <c r="O121" s="136" t="e">
        <f t="shared" si="132"/>
        <v>#DIV/0!</v>
      </c>
      <c r="P121" s="137" t="e">
        <f t="shared" si="133"/>
        <v>#DIV/0!</v>
      </c>
      <c r="Q121" s="135"/>
      <c r="R121" s="11"/>
      <c r="S121" s="92"/>
      <c r="T121" s="92"/>
    </row>
    <row r="122" spans="1:20">
      <c r="A122" t="str">
        <f t="shared" si="125"/>
        <v>Mar</v>
      </c>
      <c r="C122" s="92">
        <f>+'KC Tonnage - Enspire'!R72+'KC Tonnage - Enspire'!S72</f>
        <v>0</v>
      </c>
      <c r="D122" s="92">
        <f>+'KC Tonnage - Enspire'!P72+'KC Tonnage - Enspire'!Q72</f>
        <v>0</v>
      </c>
      <c r="E122" s="87">
        <f t="shared" si="126"/>
        <v>0</v>
      </c>
      <c r="F122" s="11"/>
      <c r="G122" s="87">
        <f t="shared" si="127"/>
        <v>0</v>
      </c>
      <c r="H122" s="131">
        <f t="shared" si="128"/>
        <v>0</v>
      </c>
      <c r="I122" s="131"/>
      <c r="J122" s="136" t="e">
        <f t="shared" si="135"/>
        <v>#DIV/0!</v>
      </c>
      <c r="K122" s="11"/>
      <c r="L122" s="136" t="e">
        <f t="shared" si="134"/>
        <v>#DIV/0!</v>
      </c>
      <c r="M122" s="11"/>
      <c r="N122" s="136" t="e">
        <f t="shared" si="131"/>
        <v>#DIV/0!</v>
      </c>
      <c r="O122" s="136" t="e">
        <f t="shared" si="132"/>
        <v>#DIV/0!</v>
      </c>
      <c r="P122" s="137" t="e">
        <f t="shared" si="133"/>
        <v>#DIV/0!</v>
      </c>
      <c r="Q122" s="135"/>
      <c r="R122" s="11"/>
      <c r="S122" s="92"/>
      <c r="T122" s="92"/>
    </row>
    <row r="123" spans="1:20">
      <c r="A123" t="str">
        <f t="shared" si="125"/>
        <v>Apr</v>
      </c>
      <c r="C123" s="92">
        <f>+'KC Tonnage - Enspire'!R76+'KC Tonnage - Enspire'!S76</f>
        <v>0</v>
      </c>
      <c r="D123" s="92">
        <f>+'KC Tonnage - Enspire'!P76+'KC Tonnage - Enspire'!Q76</f>
        <v>0</v>
      </c>
      <c r="E123" s="87">
        <f t="shared" si="126"/>
        <v>0</v>
      </c>
      <c r="F123" s="11"/>
      <c r="G123" s="87">
        <f t="shared" si="127"/>
        <v>0</v>
      </c>
      <c r="H123" s="131">
        <f t="shared" si="128"/>
        <v>0</v>
      </c>
      <c r="I123" s="131"/>
      <c r="J123" s="136" t="e">
        <f t="shared" si="135"/>
        <v>#DIV/0!</v>
      </c>
      <c r="K123" s="11"/>
      <c r="L123" s="136" t="e">
        <f t="shared" si="134"/>
        <v>#DIV/0!</v>
      </c>
      <c r="M123" s="11"/>
      <c r="N123" s="136" t="e">
        <f t="shared" si="131"/>
        <v>#DIV/0!</v>
      </c>
      <c r="O123" s="136" t="e">
        <f t="shared" si="132"/>
        <v>#DIV/0!</v>
      </c>
      <c r="P123" s="137" t="e">
        <f t="shared" si="133"/>
        <v>#DIV/0!</v>
      </c>
      <c r="Q123" s="135"/>
      <c r="R123" s="11"/>
      <c r="S123" s="92"/>
      <c r="T123" s="92"/>
    </row>
    <row r="124" spans="1:20">
      <c r="A124" t="str">
        <f t="shared" si="125"/>
        <v>May</v>
      </c>
      <c r="C124" s="92">
        <f>+'KC Tonnage - Enspire'!R80+'KC Tonnage - Enspire'!S80</f>
        <v>0</v>
      </c>
      <c r="D124" s="92">
        <f>+'KC Tonnage - Enspire'!P80+'KC Tonnage - Enspire'!Q80</f>
        <v>0</v>
      </c>
      <c r="E124" s="87">
        <f t="shared" si="126"/>
        <v>0</v>
      </c>
      <c r="F124" s="11"/>
      <c r="G124" s="87">
        <f t="shared" si="127"/>
        <v>0</v>
      </c>
      <c r="H124" s="131">
        <f t="shared" si="128"/>
        <v>0</v>
      </c>
      <c r="I124" s="131"/>
      <c r="J124" s="136" t="e">
        <f t="shared" si="135"/>
        <v>#DIV/0!</v>
      </c>
      <c r="K124" s="11"/>
      <c r="L124" s="136" t="e">
        <f t="shared" si="134"/>
        <v>#DIV/0!</v>
      </c>
      <c r="M124" s="11"/>
      <c r="N124" s="136" t="e">
        <f t="shared" si="131"/>
        <v>#DIV/0!</v>
      </c>
      <c r="O124" s="136" t="e">
        <f t="shared" si="132"/>
        <v>#DIV/0!</v>
      </c>
      <c r="P124" s="137" t="e">
        <f t="shared" si="133"/>
        <v>#DIV/0!</v>
      </c>
      <c r="Q124" s="135"/>
      <c r="R124" s="11"/>
      <c r="S124" s="92"/>
      <c r="T124" s="92"/>
    </row>
    <row r="125" spans="1:20">
      <c r="A125" t="str">
        <f t="shared" si="125"/>
        <v>Jun</v>
      </c>
      <c r="C125" s="92">
        <f>+'KC Tonnage - Enspire'!R84+'KC Tonnage - Enspire'!S84</f>
        <v>0</v>
      </c>
      <c r="D125" s="92">
        <f>+'KC Tonnage - Enspire'!P84+'KC Tonnage - Enspire'!Q84</f>
        <v>0</v>
      </c>
      <c r="E125" s="87">
        <f t="shared" si="126"/>
        <v>0</v>
      </c>
      <c r="F125" s="11"/>
      <c r="G125" s="87">
        <f t="shared" si="127"/>
        <v>0</v>
      </c>
      <c r="H125" s="131">
        <f t="shared" si="128"/>
        <v>0</v>
      </c>
      <c r="I125" s="131"/>
      <c r="J125" s="136" t="e">
        <f t="shared" si="135"/>
        <v>#DIV/0!</v>
      </c>
      <c r="K125" s="11"/>
      <c r="L125" s="136" t="e">
        <f t="shared" si="134"/>
        <v>#DIV/0!</v>
      </c>
      <c r="M125" s="11"/>
      <c r="N125" s="136" t="e">
        <f t="shared" si="131"/>
        <v>#DIV/0!</v>
      </c>
      <c r="O125" s="136" t="e">
        <f t="shared" si="132"/>
        <v>#DIV/0!</v>
      </c>
      <c r="P125" s="137" t="e">
        <f t="shared" si="133"/>
        <v>#DIV/0!</v>
      </c>
      <c r="Q125" s="135"/>
      <c r="R125" s="11"/>
      <c r="S125" s="92"/>
      <c r="T125" s="92"/>
    </row>
    <row r="126" spans="1:20">
      <c r="A126" t="str">
        <f t="shared" si="125"/>
        <v>Jul</v>
      </c>
      <c r="C126" s="92">
        <f>+'KC Tonnage - Enspire'!R88+'KC Tonnage - Enspire'!S88</f>
        <v>0</v>
      </c>
      <c r="D126" s="92">
        <f>+'KC Tonnage - Enspire'!P88+'KC Tonnage - Enspire'!Q88</f>
        <v>0</v>
      </c>
      <c r="E126" s="87">
        <f t="shared" si="126"/>
        <v>0</v>
      </c>
      <c r="F126" s="11"/>
      <c r="G126" s="87">
        <f t="shared" si="127"/>
        <v>0</v>
      </c>
      <c r="H126" s="131">
        <f t="shared" si="128"/>
        <v>0</v>
      </c>
      <c r="I126" s="131"/>
      <c r="J126" s="136" t="e">
        <f t="shared" si="135"/>
        <v>#DIV/0!</v>
      </c>
      <c r="K126" s="11"/>
      <c r="L126" s="136" t="e">
        <f t="shared" si="134"/>
        <v>#DIV/0!</v>
      </c>
      <c r="M126" s="11"/>
      <c r="N126" s="136" t="e">
        <f t="shared" si="131"/>
        <v>#DIV/0!</v>
      </c>
      <c r="O126" s="136" t="e">
        <f t="shared" si="132"/>
        <v>#DIV/0!</v>
      </c>
      <c r="P126" s="137" t="e">
        <f t="shared" si="133"/>
        <v>#DIV/0!</v>
      </c>
      <c r="Q126" s="135"/>
      <c r="R126" s="11"/>
      <c r="S126" s="92"/>
      <c r="T126" s="92"/>
    </row>
    <row r="127" spans="1:20">
      <c r="A127" t="str">
        <f t="shared" si="125"/>
        <v>Aug</v>
      </c>
      <c r="C127" s="92">
        <f>+'KC Tonnage - Enspire'!R92+'KC Tonnage - Enspire'!S92</f>
        <v>0</v>
      </c>
      <c r="D127" s="92">
        <f>+'KC Tonnage - Enspire'!P92+'KC Tonnage - Enspire'!Q92</f>
        <v>0</v>
      </c>
      <c r="E127" s="87">
        <f t="shared" si="126"/>
        <v>0</v>
      </c>
      <c r="F127" s="11"/>
      <c r="G127" s="87">
        <f t="shared" si="127"/>
        <v>0</v>
      </c>
      <c r="H127" s="131">
        <f t="shared" si="128"/>
        <v>0</v>
      </c>
      <c r="I127" s="131"/>
      <c r="J127" s="136" t="e">
        <f t="shared" si="135"/>
        <v>#DIV/0!</v>
      </c>
      <c r="K127" s="11"/>
      <c r="L127" s="136" t="e">
        <f t="shared" si="134"/>
        <v>#DIV/0!</v>
      </c>
      <c r="M127" s="11"/>
      <c r="N127" s="136" t="e">
        <f t="shared" si="131"/>
        <v>#DIV/0!</v>
      </c>
      <c r="O127" s="136" t="e">
        <f t="shared" si="132"/>
        <v>#DIV/0!</v>
      </c>
      <c r="P127" s="137" t="e">
        <f t="shared" si="133"/>
        <v>#DIV/0!</v>
      </c>
      <c r="Q127" s="135"/>
      <c r="R127" s="11"/>
      <c r="S127" s="92"/>
      <c r="T127" s="92"/>
    </row>
    <row r="128" spans="1:20" ht="14">
      <c r="A128" t="str">
        <f t="shared" si="125"/>
        <v>Sep</v>
      </c>
      <c r="C128" s="393">
        <f>+'KC Tonnage - Enspire'!R96+'KC Tonnage - Enspire'!S96</f>
        <v>0</v>
      </c>
      <c r="D128" s="393">
        <f>+'KC Tonnage - Enspire'!P96+'KC Tonnage - Enspire'!Q96</f>
        <v>0</v>
      </c>
      <c r="E128" s="73">
        <f t="shared" si="126"/>
        <v>0</v>
      </c>
      <c r="F128" s="11"/>
      <c r="G128" s="140">
        <f t="shared" si="127"/>
        <v>0</v>
      </c>
      <c r="H128" s="149">
        <f>+G128+E128</f>
        <v>0</v>
      </c>
      <c r="I128" s="131"/>
      <c r="J128" s="139" t="e">
        <f t="shared" si="135"/>
        <v>#DIV/0!</v>
      </c>
      <c r="K128" s="138"/>
      <c r="L128" s="139" t="e">
        <f t="shared" si="134"/>
        <v>#DIV/0!</v>
      </c>
      <c r="M128" s="187"/>
      <c r="N128" s="139" t="e">
        <f t="shared" si="131"/>
        <v>#DIV/0!</v>
      </c>
      <c r="O128" s="139" t="e">
        <f t="shared" si="132"/>
        <v>#DIV/0!</v>
      </c>
      <c r="P128" s="142" t="e">
        <f t="shared" si="133"/>
        <v>#DIV/0!</v>
      </c>
      <c r="Q128" s="135"/>
      <c r="R128" s="11"/>
      <c r="S128" s="11"/>
      <c r="T128" s="11"/>
    </row>
    <row r="129" spans="1:20" ht="14.5">
      <c r="C129" s="143">
        <f>SUM(C105:C128)</f>
        <v>525.04413276147909</v>
      </c>
      <c r="D129" s="143">
        <f t="shared" ref="D129:O129" si="136">SUM(D105:D128)</f>
        <v>868.89358696883994</v>
      </c>
      <c r="E129" s="143">
        <f t="shared" si="136"/>
        <v>1393.9377197303188</v>
      </c>
      <c r="F129" s="143"/>
      <c r="G129" s="143">
        <f t="shared" si="136"/>
        <v>3241.4177463839942</v>
      </c>
      <c r="H129" s="143">
        <f t="shared" si="136"/>
        <v>4635.3554661143135</v>
      </c>
      <c r="I129" s="143"/>
      <c r="J129" s="145" t="e">
        <f t="shared" si="136"/>
        <v>#DIV/0!</v>
      </c>
      <c r="K129" s="145"/>
      <c r="L129" s="144" t="e">
        <f t="shared" si="136"/>
        <v>#DIV/0!</v>
      </c>
      <c r="M129" s="144"/>
      <c r="N129" s="144" t="e">
        <f t="shared" si="136"/>
        <v>#DIV/0!</v>
      </c>
      <c r="O129" s="144" t="e">
        <f t="shared" si="136"/>
        <v>#DIV/0!</v>
      </c>
      <c r="P129" s="145" t="e">
        <f>(O129+N129)/H129</f>
        <v>#DIV/0!</v>
      </c>
      <c r="Q129" s="146"/>
      <c r="R129" s="11"/>
      <c r="S129" s="11"/>
      <c r="T129" s="11"/>
    </row>
    <row r="130" spans="1:20" ht="15.5">
      <c r="B130" s="71" t="s">
        <v>92</v>
      </c>
      <c r="C130" s="162">
        <f>+C129/E129</f>
        <v>0.37666254763739221</v>
      </c>
      <c r="D130" s="163">
        <f>+D129/E129</f>
        <v>0.62333745236260796</v>
      </c>
      <c r="E130" s="133">
        <f>+E129/C59</f>
        <v>0.10316714329433879</v>
      </c>
      <c r="F130" s="11"/>
      <c r="G130" s="133">
        <f>+G129/D59</f>
        <v>0.11110643647171019</v>
      </c>
      <c r="H130" s="133">
        <f>+H129/E59</f>
        <v>0.108593369459343</v>
      </c>
      <c r="I130" s="133"/>
      <c r="J130" s="11"/>
      <c r="K130" s="11"/>
      <c r="L130" s="11"/>
      <c r="M130" s="11"/>
      <c r="N130" s="133" t="e">
        <f>+N129/G59</f>
        <v>#DIV/0!</v>
      </c>
      <c r="O130" s="133" t="e">
        <f>+O129/H59</f>
        <v>#DIV/0!</v>
      </c>
      <c r="P130" s="11"/>
      <c r="Q130" s="133"/>
      <c r="R130" s="91"/>
      <c r="S130" s="11"/>
      <c r="T130" s="11"/>
    </row>
    <row r="131" spans="1:20">
      <c r="C131" s="11"/>
      <c r="D131" s="11"/>
      <c r="E131" s="11"/>
      <c r="F131" s="11"/>
      <c r="G131" s="11"/>
      <c r="H131" s="11"/>
      <c r="I131" s="11"/>
      <c r="J131" s="11"/>
      <c r="K131" s="11"/>
      <c r="L131" s="11"/>
      <c r="M131" s="11"/>
      <c r="N131" s="11"/>
      <c r="O131" s="11"/>
      <c r="P131" s="11"/>
      <c r="Q131" s="11"/>
      <c r="R131" s="11"/>
      <c r="S131" s="11"/>
      <c r="T131" s="11"/>
    </row>
    <row r="132" spans="1:20">
      <c r="C132" s="11"/>
      <c r="D132" s="11"/>
      <c r="E132" s="87"/>
      <c r="F132" s="11"/>
      <c r="G132" s="11"/>
      <c r="H132" s="11"/>
      <c r="I132" s="11"/>
      <c r="J132" s="11"/>
      <c r="K132" s="11"/>
      <c r="L132" s="11"/>
      <c r="M132" s="11"/>
      <c r="N132" s="11"/>
      <c r="O132" s="11"/>
      <c r="P132" s="11"/>
      <c r="Q132" s="11"/>
      <c r="R132" s="11"/>
      <c r="S132" s="11"/>
      <c r="T132" s="11"/>
    </row>
    <row r="133" spans="1:20" ht="15.5">
      <c r="A133" s="69"/>
      <c r="C133" s="150"/>
      <c r="D133" s="150"/>
      <c r="E133" s="151"/>
      <c r="F133" s="11"/>
      <c r="G133" s="152"/>
      <c r="H133" s="152"/>
      <c r="I133" s="11"/>
      <c r="J133" s="11"/>
      <c r="K133" s="11"/>
      <c r="L133" s="11"/>
      <c r="M133" s="11"/>
      <c r="N133" s="155"/>
      <c r="O133" s="155"/>
      <c r="P133" s="155"/>
      <c r="Q133" s="11"/>
      <c r="R133" s="11"/>
      <c r="S133" s="11"/>
      <c r="T133" s="11"/>
    </row>
    <row r="134" spans="1:20">
      <c r="C134" s="11"/>
      <c r="D134" s="11"/>
      <c r="F134" s="11"/>
      <c r="G134" s="11"/>
      <c r="H134" s="11"/>
      <c r="I134" s="11"/>
      <c r="J134" s="11"/>
      <c r="K134" s="11"/>
      <c r="L134" s="11"/>
      <c r="M134" s="11"/>
      <c r="N134" s="11"/>
      <c r="O134" s="11"/>
      <c r="P134" s="11"/>
      <c r="Q134" s="11"/>
      <c r="R134" s="11"/>
      <c r="S134" s="11"/>
      <c r="T134" s="11"/>
    </row>
    <row r="135" spans="1:20">
      <c r="C135" s="11"/>
      <c r="D135" s="11"/>
      <c r="F135" s="11"/>
      <c r="G135" s="11"/>
      <c r="H135" s="11"/>
      <c r="I135" s="11"/>
      <c r="J135" s="11"/>
      <c r="K135" s="11"/>
      <c r="L135" s="11"/>
      <c r="M135" s="11"/>
      <c r="N135" s="11"/>
      <c r="O135" s="11"/>
      <c r="P135" s="11"/>
      <c r="Q135" s="11"/>
      <c r="R135" s="11"/>
      <c r="S135" s="11"/>
      <c r="T135" s="11"/>
    </row>
    <row r="159" spans="5:5">
      <c r="E159" s="87"/>
    </row>
    <row r="160" spans="5:5">
      <c r="E160" s="87"/>
    </row>
    <row r="161" spans="5:5">
      <c r="E161" s="87"/>
    </row>
    <row r="162" spans="5:5">
      <c r="E162" s="87"/>
    </row>
    <row r="163" spans="5:5">
      <c r="E163" s="87"/>
    </row>
    <row r="164" spans="5:5">
      <c r="E164" s="87"/>
    </row>
    <row r="165" spans="5:5">
      <c r="E165" s="87"/>
    </row>
  </sheetData>
  <mergeCells count="5">
    <mergeCell ref="C4:E4"/>
    <mergeCell ref="G4:J4"/>
    <mergeCell ref="C71:E71"/>
    <mergeCell ref="G71:H71"/>
    <mergeCell ref="R70:S70"/>
  </mergeCells>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X97"/>
  <sheetViews>
    <sheetView workbookViewId="0">
      <pane xSplit="2" ySplit="1" topLeftCell="F26" activePane="bottomRight" state="frozen"/>
      <selection pane="topRight" activeCell="C1" sqref="C1"/>
      <selection pane="bottomLeft" activeCell="A2" sqref="A2"/>
      <selection pane="bottomRight" activeCell="C51" sqref="C51:S52"/>
    </sheetView>
  </sheetViews>
  <sheetFormatPr defaultRowHeight="12.5"/>
  <cols>
    <col min="1" max="1" width="14.453125" bestFit="1" customWidth="1"/>
    <col min="2" max="3" width="8.54296875" bestFit="1" customWidth="1"/>
    <col min="4" max="4" width="9.26953125" bestFit="1" customWidth="1"/>
    <col min="5" max="5" width="7.453125" bestFit="1" customWidth="1"/>
    <col min="6" max="6" width="6.7265625" bestFit="1" customWidth="1"/>
    <col min="7" max="7" width="12.1796875" bestFit="1" customWidth="1"/>
    <col min="8" max="8" width="8.26953125" bestFit="1" customWidth="1"/>
    <col min="9" max="9" width="10.26953125" bestFit="1" customWidth="1"/>
    <col min="10" max="10" width="14.7265625" bestFit="1" customWidth="1"/>
    <col min="11" max="11" width="6.7265625" bestFit="1" customWidth="1"/>
    <col min="12" max="12" width="9.54296875" bestFit="1" customWidth="1"/>
    <col min="13" max="13" width="11.7265625" bestFit="1" customWidth="1"/>
    <col min="14" max="14" width="11.54296875" bestFit="1" customWidth="1"/>
    <col min="15" max="15" width="7.81640625" bestFit="1" customWidth="1"/>
    <col min="16" max="16" width="16.26953125" bestFit="1" customWidth="1"/>
    <col min="17" max="17" width="11.26953125" bestFit="1" customWidth="1"/>
    <col min="18" max="18" width="16.26953125" bestFit="1" customWidth="1"/>
    <col min="19" max="19" width="17.453125" bestFit="1" customWidth="1"/>
    <col min="20" max="20" width="11" bestFit="1" customWidth="1"/>
    <col min="22" max="22" width="10.26953125" bestFit="1" customWidth="1"/>
    <col min="24" max="24" width="10.26953125" bestFit="1" customWidth="1"/>
  </cols>
  <sheetData>
    <row r="1" spans="1:23" ht="14.5">
      <c r="A1" s="56" t="s">
        <v>155</v>
      </c>
      <c r="B1" s="56" t="s">
        <v>156</v>
      </c>
      <c r="C1" s="56" t="s">
        <v>157</v>
      </c>
      <c r="D1" s="56" t="s">
        <v>158</v>
      </c>
      <c r="E1" s="56" t="s">
        <v>159</v>
      </c>
      <c r="F1" s="56" t="s">
        <v>160</v>
      </c>
      <c r="G1" s="56" t="s">
        <v>161</v>
      </c>
      <c r="H1" s="56" t="s">
        <v>162</v>
      </c>
      <c r="I1" s="56" t="s">
        <v>163</v>
      </c>
      <c r="J1" s="56" t="s">
        <v>164</v>
      </c>
      <c r="K1" s="56" t="s">
        <v>165</v>
      </c>
      <c r="L1" s="56" t="s">
        <v>166</v>
      </c>
      <c r="M1" s="56" t="s">
        <v>167</v>
      </c>
      <c r="N1" s="56" t="s">
        <v>168</v>
      </c>
      <c r="O1" s="56" t="s">
        <v>169</v>
      </c>
      <c r="P1" s="56" t="s">
        <v>170</v>
      </c>
      <c r="Q1" s="56" t="s">
        <v>171</v>
      </c>
      <c r="R1" s="56" t="s">
        <v>264</v>
      </c>
      <c r="S1" s="56" t="s">
        <v>259</v>
      </c>
      <c r="T1" s="56" t="s">
        <v>172</v>
      </c>
      <c r="U1" s="56"/>
      <c r="V1" s="14" t="s">
        <v>65</v>
      </c>
    </row>
    <row r="2" spans="1:23" ht="14.5">
      <c r="A2" s="56" t="s">
        <v>173</v>
      </c>
      <c r="B2" s="56"/>
      <c r="C2" s="56"/>
      <c r="D2" s="56"/>
      <c r="E2" s="56"/>
      <c r="F2" s="56"/>
      <c r="G2" s="56"/>
      <c r="H2" s="56"/>
      <c r="I2" s="56"/>
      <c r="J2" s="56"/>
      <c r="K2" s="56"/>
      <c r="L2" s="56"/>
      <c r="M2" s="56"/>
      <c r="N2" s="56"/>
      <c r="O2" s="56"/>
      <c r="P2" s="56"/>
      <c r="Q2" s="56"/>
      <c r="R2" s="56"/>
      <c r="S2" s="56"/>
      <c r="T2" s="56"/>
      <c r="U2" s="56"/>
      <c r="V2" s="14"/>
    </row>
    <row r="3" spans="1:23">
      <c r="A3" t="s">
        <v>19</v>
      </c>
      <c r="B3" t="s">
        <v>174</v>
      </c>
      <c r="C3" s="406">
        <f>INDEX('[3]NS MV SEA SS TA October 23'!$A$1:$AM$6,MATCH($A3,'[3]NS MV SEA SS TA October 23'!$A$1:$A6,0),MATCH(C$1,'[3]NS MV SEA SS TA October 23'!$A$1:$AM$1,0))</f>
        <v>12.8161885547532</v>
      </c>
      <c r="D3" s="406">
        <f>INDEX('[3]NS MV SEA SS TA October 23'!$A$1:$AM$6,MATCH($A3,'[3]NS MV SEA SS TA October 23'!$A$1:$A6,0),MATCH(D$1,'[3]NS MV SEA SS TA October 23'!$A$1:$AM$1,0))</f>
        <v>383.90366841540498</v>
      </c>
      <c r="E3" s="406">
        <f>INDEX('[3]NS MV SEA SS TA October 23'!$A$1:$AM$6,MATCH($A3,'[3]NS MV SEA SS TA October 23'!$A$1:$A6,0),MATCH(E$1,'[3]NS MV SEA SS TA October 23'!$A$1:$AM$1,0))</f>
        <v>0</v>
      </c>
      <c r="F3" s="406">
        <f>INDEX('[3]NS MV SEA SS TA October 23'!$A$1:$AM$6,MATCH($A3,'[3]NS MV SEA SS TA October 23'!$A$1:$A6,0),MATCH(F$1,'[3]NS MV SEA SS TA October 23'!$A$1:$AM$1,0))</f>
        <v>64.562303587225301</v>
      </c>
      <c r="G3" s="406">
        <f>INDEX('[3]NS MV SEA SS TA October 23'!$A$1:$AM$6,MATCH($A3,'[3]NS MV SEA SS TA October 23'!$A$1:$A6,0),MATCH(G$1,'[3]NS MV SEA SS TA October 23'!$A$1:$AM$1,0))</f>
        <v>425.26156449078701</v>
      </c>
      <c r="H3" s="406">
        <f>INDEX('[3]NS MV SEA SS TA October 23'!$A$1:$AM$6,MATCH($A3,'[3]NS MV SEA SS TA October 23'!$A$1:$A6,0),MATCH(H$1,'[3]NS MV SEA SS TA October 23'!$A$1:$AM$1,0))</f>
        <v>583.11876706649298</v>
      </c>
      <c r="I3" s="406">
        <f>INDEX('[3]NS MV SEA SS TA October 23'!$A$1:$AM$6,MATCH($A3,'[3]NS MV SEA SS TA October 23'!$A$1:$A6,0),MATCH(I$1,'[3]NS MV SEA SS TA October 23'!$A$1:$AM$1,0))</f>
        <v>91.859978690082201</v>
      </c>
      <c r="J3" s="406">
        <f>INDEX('[3]NS MV SEA SS TA October 23'!$A$1:$AM$6,MATCH($A3,'[3]NS MV SEA SS TA October 23'!$A$1:$A6,0),MATCH(J$1,'[3]NS MV SEA SS TA October 23'!$A$1:$AM$1,0))</f>
        <v>55.547415015129403</v>
      </c>
      <c r="K3" s="406">
        <f>INDEX('[3]NS MV SEA SS TA October 23'!$A$1:$AM$6,MATCH($A3,'[3]NS MV SEA SS TA October 23'!$A$1:$A6,0),MATCH(K$1,'[3]NS MV SEA SS TA October 23'!$A$1:$AM$1,0))</f>
        <v>27.8752659688646</v>
      </c>
      <c r="L3" s="406">
        <f>INDEX('[3]NS MV SEA SS TA October 23'!$A$1:$AM$6,MATCH($A3,'[3]NS MV SEA SS TA October 23'!$A$1:$A6,0),MATCH(L$1,'[3]NS MV SEA SS TA October 23'!$A$1:$AM$1,0))</f>
        <v>341.445863789128</v>
      </c>
      <c r="M3" s="406">
        <f>INDEX('[3]NS MV SEA SS TA October 23'!$A$1:$AM$6,MATCH($A3,'[3]NS MV SEA SS TA October 23'!$A$1:$A6,0),MATCH(M$1,'[3]NS MV SEA SS TA October 23'!$A$1:$AM$1,0))</f>
        <v>5.7678849566776699E-2</v>
      </c>
      <c r="N3" s="406">
        <f>INDEX('[3]NS MV SEA SS TA October 23'!$A$1:$AM$6,MATCH($A3,'[3]NS MV SEA SS TA October 23'!$A$1:$A6,0),MATCH(N$1,'[3]NS MV SEA SS TA October 23'!$A$1:$AM$1,0))</f>
        <v>127.534693177184</v>
      </c>
      <c r="O3" s="406">
        <f>INDEX('[3]NS MV SEA SS TA October 23'!$A$1:$AM$6,MATCH($A3,'[3]NS MV SEA SS TA October 23'!$A$1:$A6,0),MATCH(O$1,'[3]NS MV SEA SS TA October 23'!$A$1:$AM$1,0))</f>
        <v>98.695310729660704</v>
      </c>
      <c r="P3" s="406">
        <f>INDEX('[3]NS MV SEA SS TA October 23'!$A$1:$AM$6,MATCH($A3,'[3]NS MV SEA SS TA October 23'!$A$1:$A6,0),MATCH(P$1,'[3]NS MV SEA SS TA October 23'!$A$1:$AM$1,0))</f>
        <v>141.43036696424801</v>
      </c>
      <c r="Q3" s="406">
        <f>INDEX('[3]NS MV SEA SS TA October 23'!$A$1:$AM$6,MATCH($A3,'[3]NS MV SEA SS TA October 23'!$A$1:$A6,0),MATCH(Q$1,'[3]NS MV SEA SS TA October 23'!$A$1:$AM$1,0))</f>
        <v>349.13065538436399</v>
      </c>
      <c r="R3" s="406">
        <f>INDEX('[3]NS MV SEA SS TA October 23'!$A$1:$AM$6,MATCH($A3,'[3]NS MV SEA SS TA October 23'!$A$1:$A6,0),MATCH(R$1,'[3]NS MV SEA SS TA October 23'!$A$1:$AM$1,0))</f>
        <v>358.08214815126098</v>
      </c>
      <c r="S3" s="406">
        <f>INDEX('[3]NS MV SEA SS TA October 23'!$A$1:$AM$6,MATCH($A3,'[3]NS MV SEA SS TA October 23'!$A$1:$A6,0),MATCH(S$1,'[3]NS MV SEA SS TA October 23'!$A$1:$AM$1,0))</f>
        <v>54.884201792247303</v>
      </c>
      <c r="T3" s="47">
        <f>SUM(C3:S3)</f>
        <v>3116.2060706264006</v>
      </c>
      <c r="V3" s="181">
        <f>+S3+R3+Q3+P3</f>
        <v>903.52737229212028</v>
      </c>
    </row>
    <row r="4" spans="1:23">
      <c r="A4" t="s">
        <v>175</v>
      </c>
      <c r="B4" t="s">
        <v>174</v>
      </c>
      <c r="C4" s="406">
        <f>INDEX('[3]NS MV SEA SS TA October 23'!$A$1:$AM$6,MATCH($A4,'[3]NS MV SEA SS TA October 23'!$A$1:$A7,0),MATCH(C$1,'[3]NS MV SEA SS TA October 23'!$A$1:$AM$1,0))</f>
        <v>9.9600585733628205E-2</v>
      </c>
      <c r="D4" s="406">
        <f>INDEX('[3]NS MV SEA SS TA October 23'!$A$1:$AM$6,MATCH($A4,'[3]NS MV SEA SS TA October 23'!$A$1:$A7,0),MATCH(D$1,'[3]NS MV SEA SS TA October 23'!$A$1:$AM$1,0))</f>
        <v>140.28271941932601</v>
      </c>
      <c r="E4" s="406">
        <f>INDEX('[3]NS MV SEA SS TA October 23'!$A$1:$AM$6,MATCH($A4,'[3]NS MV SEA SS TA October 23'!$A$1:$A7,0),MATCH(E$1,'[3]NS MV SEA SS TA October 23'!$A$1:$AM$1,0))</f>
        <v>1.92033205085847</v>
      </c>
      <c r="F4" s="406">
        <f>INDEX('[3]NS MV SEA SS TA October 23'!$A$1:$AM$6,MATCH($A4,'[3]NS MV SEA SS TA October 23'!$A$1:$A7,0),MATCH(F$1,'[3]NS MV SEA SS TA October 23'!$A$1:$AM$1,0))</f>
        <v>1.24524915452048</v>
      </c>
      <c r="G4" s="406">
        <f>INDEX('[3]NS MV SEA SS TA October 23'!$A$1:$AM$6,MATCH($A4,'[3]NS MV SEA SS TA October 23'!$A$1:$A7,0),MATCH(G$1,'[3]NS MV SEA SS TA October 23'!$A$1:$AM$1,0))</f>
        <v>123.90933859526599</v>
      </c>
      <c r="H4" s="406">
        <f>INDEX('[3]NS MV SEA SS TA October 23'!$A$1:$AM$6,MATCH($A4,'[3]NS MV SEA SS TA October 23'!$A$1:$A7,0),MATCH(H$1,'[3]NS MV SEA SS TA October 23'!$A$1:$AM$1,0))</f>
        <v>270.52123525686198</v>
      </c>
      <c r="I4" s="406">
        <f>INDEX('[3]NS MV SEA SS TA October 23'!$A$1:$AM$6,MATCH($A4,'[3]NS MV SEA SS TA October 23'!$A$1:$A7,0),MATCH(I$1,'[3]NS MV SEA SS TA October 23'!$A$1:$AM$1,0))</f>
        <v>22.489506378550601</v>
      </c>
      <c r="J4" s="406">
        <f>INDEX('[3]NS MV SEA SS TA October 23'!$A$1:$AM$6,MATCH($A4,'[3]NS MV SEA SS TA October 23'!$A$1:$A7,0),MATCH(J$1,'[3]NS MV SEA SS TA October 23'!$A$1:$AM$1,0))</f>
        <v>3.5060008908764599</v>
      </c>
      <c r="K4" s="406">
        <f>INDEX('[3]NS MV SEA SS TA October 23'!$A$1:$AM$6,MATCH($A4,'[3]NS MV SEA SS TA October 23'!$A$1:$A7,0),MATCH(K$1,'[3]NS MV SEA SS TA October 23'!$A$1:$AM$1,0))</f>
        <v>2.6808146256025802</v>
      </c>
      <c r="L4" s="406">
        <f>INDEX('[3]NS MV SEA SS TA October 23'!$A$1:$AM$6,MATCH($A4,'[3]NS MV SEA SS TA October 23'!$A$1:$A7,0),MATCH(L$1,'[3]NS MV SEA SS TA October 23'!$A$1:$AM$1,0))</f>
        <v>188.18687389985001</v>
      </c>
      <c r="M4" s="406">
        <f>INDEX('[3]NS MV SEA SS TA October 23'!$A$1:$AM$6,MATCH($A4,'[3]NS MV SEA SS TA October 23'!$A$1:$A7,0),MATCH(M$1,'[3]NS MV SEA SS TA October 23'!$A$1:$AM$1,0))</f>
        <v>0</v>
      </c>
      <c r="N4" s="406">
        <f>INDEX('[3]NS MV SEA SS TA October 23'!$A$1:$AM$6,MATCH($A4,'[3]NS MV SEA SS TA October 23'!$A$1:$A7,0),MATCH(N$1,'[3]NS MV SEA SS TA October 23'!$A$1:$AM$1,0))</f>
        <v>1.4050814283772499</v>
      </c>
      <c r="O4" s="406">
        <f>INDEX('[3]NS MV SEA SS TA October 23'!$A$1:$AM$6,MATCH($A4,'[3]NS MV SEA SS TA October 23'!$A$1:$A7,0),MATCH(O$1,'[3]NS MV SEA SS TA October 23'!$A$1:$AM$1,0))</f>
        <v>46.926953648364702</v>
      </c>
      <c r="P4" s="406">
        <f>INDEX('[3]NS MV SEA SS TA October 23'!$A$1:$AM$6,MATCH($A4,'[3]NS MV SEA SS TA October 23'!$A$1:$A7,0),MATCH(P$1,'[3]NS MV SEA SS TA October 23'!$A$1:$AM$1,0))</f>
        <v>4.7123917711783703</v>
      </c>
      <c r="Q4" s="406">
        <f>INDEX('[3]NS MV SEA SS TA October 23'!$A$1:$AM$6,MATCH($A4,'[3]NS MV SEA SS TA October 23'!$A$1:$A7,0),MATCH(Q$1,'[3]NS MV SEA SS TA October 23'!$A$1:$AM$1,0))</f>
        <v>64.7775912124618</v>
      </c>
      <c r="R4" s="406">
        <f>INDEX('[3]NS MV SEA SS TA October 23'!$A$1:$AM$6,MATCH($A4,'[3]NS MV SEA SS TA October 23'!$A$1:$A7,0),MATCH(R$1,'[3]NS MV SEA SS TA October 23'!$A$1:$AM$1,0))</f>
        <v>7.2920933234979097</v>
      </c>
      <c r="S4" s="406">
        <f>INDEX('[3]NS MV SEA SS TA October 23'!$A$1:$AM$6,MATCH($A4,'[3]NS MV SEA SS TA October 23'!$A$1:$A7,0),MATCH(S$1,'[3]NS MV SEA SS TA October 23'!$A$1:$AM$1,0))</f>
        <v>39.272317066611599</v>
      </c>
      <c r="T4" s="47">
        <f t="shared" ref="T4:T8" si="0">SUM(C4:S4)</f>
        <v>919.22809930793778</v>
      </c>
      <c r="V4" s="181">
        <f>+S4+R4+Q4+P4</f>
        <v>116.05439337374969</v>
      </c>
      <c r="W4" s="181"/>
    </row>
    <row r="5" spans="1:23">
      <c r="C5" s="406"/>
      <c r="D5" s="406"/>
      <c r="E5" s="406"/>
      <c r="F5" s="406"/>
      <c r="G5" s="406"/>
      <c r="H5" s="406"/>
      <c r="I5" s="406"/>
      <c r="J5" s="406"/>
      <c r="K5" s="406"/>
      <c r="L5" s="406"/>
      <c r="M5" s="406"/>
      <c r="N5" s="406"/>
      <c r="O5" s="406"/>
      <c r="P5" s="406"/>
      <c r="Q5" s="406"/>
      <c r="R5" s="406"/>
      <c r="S5" s="406"/>
      <c r="T5" s="47"/>
      <c r="V5" s="181">
        <f t="shared" ref="V5:V68" si="1">+S5+R5+Q5+P5</f>
        <v>0</v>
      </c>
    </row>
    <row r="6" spans="1:23" ht="14.5">
      <c r="A6" s="56" t="s">
        <v>176</v>
      </c>
      <c r="C6" s="89"/>
      <c r="D6" s="89"/>
      <c r="E6" s="89"/>
      <c r="F6" s="89"/>
      <c r="G6" s="89"/>
      <c r="H6" s="89"/>
      <c r="I6" s="89"/>
      <c r="J6" s="89"/>
      <c r="K6" s="89"/>
      <c r="L6" s="89"/>
      <c r="M6" s="89"/>
      <c r="N6" s="89"/>
      <c r="O6" s="89"/>
      <c r="P6" s="89"/>
      <c r="Q6" s="89"/>
      <c r="R6" s="89"/>
      <c r="S6" s="89"/>
      <c r="T6" s="47"/>
      <c r="V6" s="181">
        <f t="shared" si="1"/>
        <v>0</v>
      </c>
    </row>
    <row r="7" spans="1:23">
      <c r="A7" t="s">
        <v>19</v>
      </c>
      <c r="B7" t="s">
        <v>174</v>
      </c>
      <c r="C7" s="406">
        <f>INDEX('[4]NS MV SEA SS TA November 23'!$A$1:$AM$6,MATCH($A7,'[4]NS MV SEA SS TA November 23'!$A$1:$A10,0),MATCH(C$1,'[4]NS MV SEA SS TA November 23'!$A$1:$AM$1,0))</f>
        <v>13.949019570000001</v>
      </c>
      <c r="D7" s="406">
        <f>INDEX('[4]NS MV SEA SS TA November 23'!$A$1:$AM$6,MATCH($A7,'[4]NS MV SEA SS TA November 23'!$A$1:$A10,0),MATCH(D$1,'[4]NS MV SEA SS TA November 23'!$A$1:$AM$1,0))</f>
        <v>440.21079309999999</v>
      </c>
      <c r="E7" s="406">
        <f>INDEX('[4]NS MV SEA SS TA November 23'!$A$1:$AM$6,MATCH($A7,'[4]NS MV SEA SS TA November 23'!$A$1:$A10,0),MATCH(E$1,'[4]NS MV SEA SS TA November 23'!$A$1:$AM$1,0))</f>
        <v>0</v>
      </c>
      <c r="F7" s="406">
        <f>INDEX('[4]NS MV SEA SS TA November 23'!$A$1:$AM$6,MATCH($A7,'[4]NS MV SEA SS TA November 23'!$A$1:$A10,0),MATCH(F$1,'[4]NS MV SEA SS TA November 23'!$A$1:$AM$1,0))</f>
        <v>66.182372689999994</v>
      </c>
      <c r="G7" s="406">
        <f>INDEX('[4]NS MV SEA SS TA November 23'!$A$1:$AM$6,MATCH($A7,'[4]NS MV SEA SS TA November 23'!$A$1:$A10,0),MATCH(G$1,'[4]NS MV SEA SS TA November 23'!$A$1:$AM$1,0))</f>
        <v>486.06961030000002</v>
      </c>
      <c r="H7" s="406">
        <f>INDEX('[4]NS MV SEA SS TA November 23'!$A$1:$AM$6,MATCH($A7,'[4]NS MV SEA SS TA November 23'!$A$1:$A10,0),MATCH(H$1,'[4]NS MV SEA SS TA November 23'!$A$1:$AM$1,0))</f>
        <v>586.26562750000005</v>
      </c>
      <c r="I7" s="406">
        <f>INDEX('[4]NS MV SEA SS TA November 23'!$A$1:$AM$6,MATCH($A7,'[4]NS MV SEA SS TA November 23'!$A$1:$A10,0),MATCH(I$1,'[4]NS MV SEA SS TA November 23'!$A$1:$AM$1,0))</f>
        <v>87.402874409999995</v>
      </c>
      <c r="J7" s="406">
        <f>INDEX('[4]NS MV SEA SS TA November 23'!$A$1:$AM$6,MATCH($A7,'[4]NS MV SEA SS TA November 23'!$A$1:$A10,0),MATCH(J$1,'[4]NS MV SEA SS TA November 23'!$A$1:$AM$1,0))</f>
        <v>52.29907214</v>
      </c>
      <c r="K7" s="406">
        <f>INDEX('[4]NS MV SEA SS TA November 23'!$A$1:$AM$6,MATCH($A7,'[4]NS MV SEA SS TA November 23'!$A$1:$A10,0),MATCH(K$1,'[4]NS MV SEA SS TA November 23'!$A$1:$AM$1,0))</f>
        <v>31.357905519999999</v>
      </c>
      <c r="L7" s="406">
        <f>INDEX('[4]NS MV SEA SS TA November 23'!$A$1:$AM$6,MATCH($A7,'[4]NS MV SEA SS TA November 23'!$A$1:$A10,0),MATCH(L$1,'[4]NS MV SEA SS TA November 23'!$A$1:$AM$1,0))</f>
        <v>346.04211700000002</v>
      </c>
      <c r="M7" s="406">
        <f>INDEX('[4]NS MV SEA SS TA November 23'!$A$1:$AM$6,MATCH($A7,'[4]NS MV SEA SS TA November 23'!$A$1:$A10,0),MATCH(M$1,'[4]NS MV SEA SS TA November 23'!$A$1:$AM$1,0))</f>
        <v>3.3785750000000003E-2</v>
      </c>
      <c r="N7" s="406">
        <f>INDEX('[4]NS MV SEA SS TA November 23'!$A$1:$AM$6,MATCH($A7,'[4]NS MV SEA SS TA November 23'!$A$1:$A10,0),MATCH(N$1,'[4]NS MV SEA SS TA November 23'!$A$1:$AM$1,0))</f>
        <v>120.1187496</v>
      </c>
      <c r="O7" s="406">
        <f>INDEX('[4]NS MV SEA SS TA November 23'!$A$1:$AM$6,MATCH($A7,'[4]NS MV SEA SS TA November 23'!$A$1:$A10,0),MATCH(O$1,'[4]NS MV SEA SS TA November 23'!$A$1:$AM$1,0))</f>
        <v>3.1510446440000002</v>
      </c>
      <c r="P7" s="406">
        <f>INDEX('[4]NS MV SEA SS TA November 23'!$A$1:$AM$6,MATCH($A7,'[4]NS MV SEA SS TA November 23'!$A$1:$A10,0),MATCH(P$1,'[4]NS MV SEA SS TA November 23'!$A$1:$AM$1,0))</f>
        <v>185.7993448</v>
      </c>
      <c r="Q7" s="406">
        <f>INDEX('[4]NS MV SEA SS TA November 23'!$A$1:$AM$6,MATCH($A7,'[4]NS MV SEA SS TA November 23'!$A$1:$A10,0),MATCH(Q$1,'[4]NS MV SEA SS TA November 23'!$A$1:$AM$1,0))</f>
        <v>314.79406289999997</v>
      </c>
      <c r="R7" s="406">
        <f>INDEX('[4]NS MV SEA SS TA November 23'!$A$1:$AM$6,MATCH($A7,'[4]NS MV SEA SS TA November 23'!$A$1:$A10,0),MATCH(R$1,'[4]NS MV SEA SS TA November 23'!$A$1:$AM$1,0))</f>
        <v>345.26211219999999</v>
      </c>
      <c r="S7" s="406">
        <f>INDEX('[4]NS MV SEA SS TA November 23'!$A$1:$AM$6,MATCH($A7,'[4]NS MV SEA SS TA November 23'!$A$1:$A10,0),MATCH(S$1,'[4]NS MV SEA SS TA November 23'!$A$1:$AM$1,0))</f>
        <v>52.735547480000001</v>
      </c>
      <c r="T7" s="47">
        <f t="shared" si="0"/>
        <v>3131.6740396040004</v>
      </c>
      <c r="U7" s="47"/>
      <c r="V7" s="181">
        <f t="shared" si="1"/>
        <v>898.59106737999991</v>
      </c>
    </row>
    <row r="8" spans="1:23">
      <c r="A8" t="s">
        <v>175</v>
      </c>
      <c r="B8" t="s">
        <v>174</v>
      </c>
      <c r="C8" s="406">
        <f>INDEX('[4]NS MV SEA SS TA November 23'!$A$1:$AM$6,MATCH($A8,'[4]NS MV SEA SS TA November 23'!$A$1:$A11,0),MATCH(C$1,'[4]NS MV SEA SS TA November 23'!$A$1:$AM$1,0))</f>
        <v>8.5634177000000006E-2</v>
      </c>
      <c r="D8" s="406">
        <f>INDEX('[4]NS MV SEA SS TA November 23'!$A$1:$AM$6,MATCH($A8,'[4]NS MV SEA SS TA November 23'!$A$1:$A11,0),MATCH(D$1,'[4]NS MV SEA SS TA November 23'!$A$1:$AM$1,0))</f>
        <v>143.57344509999999</v>
      </c>
      <c r="E8" s="406">
        <f>INDEX('[4]NS MV SEA SS TA November 23'!$A$1:$AM$6,MATCH($A8,'[4]NS MV SEA SS TA November 23'!$A$1:$A11,0),MATCH(E$1,'[4]NS MV SEA SS TA November 23'!$A$1:$AM$1,0))</f>
        <v>1.7757541699999999</v>
      </c>
      <c r="F8" s="406">
        <f>INDEX('[4]NS MV SEA SS TA November 23'!$A$1:$AM$6,MATCH($A8,'[4]NS MV SEA SS TA November 23'!$A$1:$A11,0),MATCH(F$1,'[4]NS MV SEA SS TA November 23'!$A$1:$AM$1,0))</f>
        <v>1.3132542840000001</v>
      </c>
      <c r="G8" s="406">
        <f>INDEX('[4]NS MV SEA SS TA November 23'!$A$1:$AM$6,MATCH($A8,'[4]NS MV SEA SS TA November 23'!$A$1:$A11,0),MATCH(G$1,'[4]NS MV SEA SS TA November 23'!$A$1:$AM$1,0))</f>
        <v>127.00351569999999</v>
      </c>
      <c r="H8" s="406">
        <f>INDEX('[4]NS MV SEA SS TA November 23'!$A$1:$AM$6,MATCH($A8,'[4]NS MV SEA SS TA November 23'!$A$1:$A11,0),MATCH(H$1,'[4]NS MV SEA SS TA November 23'!$A$1:$AM$1,0))</f>
        <v>268.19212709999999</v>
      </c>
      <c r="I8" s="406">
        <f>INDEX('[4]NS MV SEA SS TA November 23'!$A$1:$AM$6,MATCH($A8,'[4]NS MV SEA SS TA November 23'!$A$1:$A11,0),MATCH(I$1,'[4]NS MV SEA SS TA November 23'!$A$1:$AM$1,0))</f>
        <v>23.567461510000001</v>
      </c>
      <c r="J8" s="406">
        <f>INDEX('[4]NS MV SEA SS TA November 23'!$A$1:$AM$6,MATCH($A8,'[4]NS MV SEA SS TA November 23'!$A$1:$A11,0),MATCH(J$1,'[4]NS MV SEA SS TA November 23'!$A$1:$AM$1,0))</f>
        <v>3.3546151160000002</v>
      </c>
      <c r="K8" s="406">
        <f>INDEX('[4]NS MV SEA SS TA November 23'!$A$1:$AM$6,MATCH($A8,'[4]NS MV SEA SS TA November 23'!$A$1:$A11,0),MATCH(K$1,'[4]NS MV SEA SS TA November 23'!$A$1:$AM$1,0))</f>
        <v>2.4382164550000001</v>
      </c>
      <c r="L8" s="406">
        <f>INDEX('[4]NS MV SEA SS TA November 23'!$A$1:$AM$6,MATCH($A8,'[4]NS MV SEA SS TA November 23'!$A$1:$A11,0),MATCH(L$1,'[4]NS MV SEA SS TA November 23'!$A$1:$AM$1,0))</f>
        <v>190.7026199</v>
      </c>
      <c r="M8" s="406">
        <f>INDEX('[4]NS MV SEA SS TA November 23'!$A$1:$AM$6,MATCH($A8,'[4]NS MV SEA SS TA November 23'!$A$1:$A11,0),MATCH(M$1,'[4]NS MV SEA SS TA November 23'!$A$1:$AM$1,0))</f>
        <v>0</v>
      </c>
      <c r="N8" s="406">
        <f>INDEX('[4]NS MV SEA SS TA November 23'!$A$1:$AM$6,MATCH($A8,'[4]NS MV SEA SS TA November 23'!$A$1:$A11,0),MATCH(N$1,'[4]NS MV SEA SS TA November 23'!$A$1:$AM$1,0))</f>
        <v>1.749464608</v>
      </c>
      <c r="O8" s="406">
        <f>INDEX('[4]NS MV SEA SS TA November 23'!$A$1:$AM$6,MATCH($A8,'[4]NS MV SEA SS TA November 23'!$A$1:$A11,0),MATCH(O$1,'[4]NS MV SEA SS TA November 23'!$A$1:$AM$1,0))</f>
        <v>6.1887162000000003E-2</v>
      </c>
      <c r="P8" s="406">
        <f>INDEX('[4]NS MV SEA SS TA November 23'!$A$1:$AM$6,MATCH($A8,'[4]NS MV SEA SS TA November 23'!$A$1:$A11,0),MATCH(P$1,'[4]NS MV SEA SS TA November 23'!$A$1:$AM$1,0))</f>
        <v>5.0792495720000002</v>
      </c>
      <c r="Q8" s="406">
        <f>INDEX('[4]NS MV SEA SS TA November 23'!$A$1:$AM$6,MATCH($A8,'[4]NS MV SEA SS TA November 23'!$A$1:$A11,0),MATCH(Q$1,'[4]NS MV SEA SS TA November 23'!$A$1:$AM$1,0))</f>
        <v>69.713041489999995</v>
      </c>
      <c r="R8" s="406">
        <f>INDEX('[4]NS MV SEA SS TA November 23'!$A$1:$AM$6,MATCH($A8,'[4]NS MV SEA SS TA November 23'!$A$1:$A11,0),MATCH(R$1,'[4]NS MV SEA SS TA November 23'!$A$1:$AM$1,0))</f>
        <v>7.5571103500000003</v>
      </c>
      <c r="S8" s="406">
        <f>INDEX('[4]NS MV SEA SS TA November 23'!$A$1:$AM$6,MATCH($A8,'[4]NS MV SEA SS TA November 23'!$A$1:$A11,0),MATCH(S$1,'[4]NS MV SEA SS TA November 23'!$A$1:$AM$1,0))</f>
        <v>42.073453839999999</v>
      </c>
      <c r="T8" s="47">
        <f t="shared" si="0"/>
        <v>888.24085053399995</v>
      </c>
      <c r="U8" s="47"/>
      <c r="V8" s="181">
        <f t="shared" si="1"/>
        <v>124.42285525199999</v>
      </c>
      <c r="W8" s="181"/>
    </row>
    <row r="9" spans="1:23">
      <c r="C9" s="406"/>
      <c r="D9" s="406"/>
      <c r="E9" s="406"/>
      <c r="F9" s="406"/>
      <c r="G9" s="406"/>
      <c r="H9" s="406"/>
      <c r="I9" s="406"/>
      <c r="J9" s="406"/>
      <c r="K9" s="406"/>
      <c r="L9" s="406"/>
      <c r="M9" s="406"/>
      <c r="N9" s="406"/>
      <c r="O9" s="406"/>
      <c r="P9" s="406"/>
      <c r="Q9" s="406"/>
      <c r="R9" s="406"/>
      <c r="S9" s="406"/>
      <c r="T9" s="47"/>
      <c r="U9" s="47"/>
      <c r="V9" s="181">
        <f t="shared" si="1"/>
        <v>0</v>
      </c>
    </row>
    <row r="10" spans="1:23" ht="14.5">
      <c r="A10" s="56" t="s">
        <v>177</v>
      </c>
      <c r="C10" s="406"/>
      <c r="D10" s="406"/>
      <c r="E10" s="406"/>
      <c r="F10" s="406"/>
      <c r="G10" s="406"/>
      <c r="H10" s="406"/>
      <c r="I10" s="406"/>
      <c r="J10" s="406"/>
      <c r="K10" s="406"/>
      <c r="L10" s="406"/>
      <c r="M10" s="406"/>
      <c r="N10" s="406"/>
      <c r="O10" s="406"/>
      <c r="P10" s="406"/>
      <c r="Q10" s="406"/>
      <c r="R10" s="406"/>
      <c r="S10" s="406"/>
      <c r="T10" s="47"/>
      <c r="U10" s="47"/>
      <c r="V10" s="181">
        <f t="shared" si="1"/>
        <v>0</v>
      </c>
    </row>
    <row r="11" spans="1:23">
      <c r="A11" t="s">
        <v>19</v>
      </c>
      <c r="B11" t="s">
        <v>174</v>
      </c>
      <c r="C11" s="406">
        <f>INDEX('[5]NS MV SEA SS TA December 23'!$A$1:$AL$6,MATCH($A11,'[5]NS MV SEA SS TA December 23'!$A$1:$A14,0),MATCH(C$1,'[5]NS MV SEA SS TA December 23'!$A$1:$AL$1,0))</f>
        <v>14.940303050000001</v>
      </c>
      <c r="D11" s="406">
        <f>INDEX('[5]NS MV SEA SS TA December 23'!$A$1:$AL$6,MATCH($A11,'[5]NS MV SEA SS TA December 23'!$A$1:$A14,0),MATCH(D$1,'[5]NS MV SEA SS TA December 23'!$A$1:$AL$1,0))</f>
        <v>395.6094903</v>
      </c>
      <c r="E11" s="406">
        <f>INDEX('[5]NS MV SEA SS TA December 23'!$A$1:$AL$6,MATCH($A11,'[5]NS MV SEA SS TA December 23'!$A$1:$A14,0),MATCH(E$1,'[5]NS MV SEA SS TA December 23'!$A$1:$AL$1,0))</f>
        <v>0</v>
      </c>
      <c r="F11" s="406">
        <f>INDEX('[5]NS MV SEA SS TA December 23'!$A$1:$AL$6,MATCH($A11,'[5]NS MV SEA SS TA December 23'!$A$1:$A14,0),MATCH(F$1,'[5]NS MV SEA SS TA December 23'!$A$1:$AL$1,0))</f>
        <v>74.579558239999997</v>
      </c>
      <c r="G11" s="406">
        <f>INDEX('[5]NS MV SEA SS TA December 23'!$A$1:$AL$6,MATCH($A11,'[5]NS MV SEA SS TA December 23'!$A$1:$A14,0),MATCH(G$1,'[5]NS MV SEA SS TA December 23'!$A$1:$AL$1,0))</f>
        <v>421.26437850000002</v>
      </c>
      <c r="H11" s="406">
        <f>INDEX('[5]NS MV SEA SS TA December 23'!$A$1:$AL$6,MATCH($A11,'[5]NS MV SEA SS TA December 23'!$A$1:$A14,0),MATCH(H$1,'[5]NS MV SEA SS TA December 23'!$A$1:$AL$1,0))</f>
        <v>594.99638830000004</v>
      </c>
      <c r="I11" s="406">
        <f>INDEX('[5]NS MV SEA SS TA December 23'!$A$1:$AL$6,MATCH($A11,'[5]NS MV SEA SS TA December 23'!$A$1:$A14,0),MATCH(I$1,'[5]NS MV SEA SS TA December 23'!$A$1:$AL$1,0))</f>
        <v>94.908833430000001</v>
      </c>
      <c r="J11" s="406">
        <f>INDEX('[5]NS MV SEA SS TA December 23'!$A$1:$AL$6,MATCH($A11,'[5]NS MV SEA SS TA December 23'!$A$1:$A14,0),MATCH(J$1,'[5]NS MV SEA SS TA December 23'!$A$1:$AL$1,0))</f>
        <v>56.31700086</v>
      </c>
      <c r="K11" s="406">
        <f>INDEX('[5]NS MV SEA SS TA December 23'!$A$1:$AL$6,MATCH($A11,'[5]NS MV SEA SS TA December 23'!$A$1:$A14,0),MATCH(K$1,'[5]NS MV SEA SS TA December 23'!$A$1:$AL$1,0))</f>
        <v>25.702570569999999</v>
      </c>
      <c r="L11" s="406">
        <f>INDEX('[5]NS MV SEA SS TA December 23'!$A$1:$AL$6,MATCH($A11,'[5]NS MV SEA SS TA December 23'!$A$1:$A14,0),MATCH(L$1,'[5]NS MV SEA SS TA December 23'!$A$1:$AL$1,0))</f>
        <v>362.44513929999999</v>
      </c>
      <c r="M11" s="406">
        <f>INDEX('[5]NS MV SEA SS TA December 23'!$A$1:$AL$6,MATCH($A11,'[5]NS MV SEA SS TA December 23'!$A$1:$A14,0),MATCH(M$1,'[5]NS MV SEA SS TA December 23'!$A$1:$AL$1,0))</f>
        <v>3.7063011999999999E-2</v>
      </c>
      <c r="N11" s="406">
        <f>INDEX('[5]NS MV SEA SS TA December 23'!$A$1:$AL$6,MATCH($A11,'[5]NS MV SEA SS TA December 23'!$A$1:$A14,0),MATCH(N$1,'[5]NS MV SEA SS TA December 23'!$A$1:$AL$1,0))</f>
        <v>120.5256411</v>
      </c>
      <c r="O11" s="406">
        <v>0</v>
      </c>
      <c r="P11" s="406">
        <f>INDEX('[5]NS MV SEA SS TA December 23'!$A$1:$AL$6,MATCH($A11,'[5]NS MV SEA SS TA December 23'!$A$1:$A14,0),MATCH(P$1,'[5]NS MV SEA SS TA December 23'!$A$1:$AL$1,0))</f>
        <v>155.42607899999999</v>
      </c>
      <c r="Q11" s="406">
        <f>INDEX('[5]NS MV SEA SS TA December 23'!$A$1:$AL$6,MATCH($A11,'[5]NS MV SEA SS TA December 23'!$A$1:$A14,0),MATCH(Q$1,'[5]NS MV SEA SS TA December 23'!$A$1:$AL$1,0))</f>
        <v>315.37138670000002</v>
      </c>
      <c r="R11" s="406">
        <f>INDEX('[5]NS MV SEA SS TA December 23'!$A$1:$AL$6,MATCH($A11,'[5]NS MV SEA SS TA December 23'!$A$1:$A14,0),MATCH(R$1,'[5]NS MV SEA SS TA December 23'!$A$1:$AL$1,0))</f>
        <v>364.04363599999999</v>
      </c>
      <c r="S11" s="406">
        <f>INDEX('[5]NS MV SEA SS TA December 23'!$A$1:$AL$6,MATCH($A11,'[5]NS MV SEA SS TA December 23'!$A$1:$A14,0),MATCH(S$1,'[5]NS MV SEA SS TA December 23'!$A$1:$AL$1,0))</f>
        <v>63.604277150000001</v>
      </c>
      <c r="T11" s="47">
        <f>SUM(C11:S11)</f>
        <v>3059.7717455120001</v>
      </c>
      <c r="U11" s="47"/>
      <c r="V11" s="181">
        <f t="shared" si="1"/>
        <v>898.44537885</v>
      </c>
    </row>
    <row r="12" spans="1:23">
      <c r="A12" t="s">
        <v>175</v>
      </c>
      <c r="B12" t="s">
        <v>174</v>
      </c>
      <c r="C12" s="406">
        <f>INDEX('[5]NS MV SEA SS TA December 23'!$A$1:$AL$6,MATCH($A12,'[5]NS MV SEA SS TA December 23'!$A$1:$A15,0),MATCH(C$1,'[5]NS MV SEA SS TA December 23'!$A$1:$AL$1,0))</f>
        <v>9.4109302000000006E-2</v>
      </c>
      <c r="D12" s="406">
        <f>INDEX('[5]NS MV SEA SS TA December 23'!$A$1:$AL$6,MATCH($A12,'[5]NS MV SEA SS TA December 23'!$A$1:$A15,0),MATCH(D$1,'[5]NS MV SEA SS TA December 23'!$A$1:$AL$1,0))</f>
        <v>141.46313369999999</v>
      </c>
      <c r="E12" s="406">
        <f>INDEX('[5]NS MV SEA SS TA December 23'!$A$1:$AL$6,MATCH($A12,'[5]NS MV SEA SS TA December 23'!$A$1:$A15,0),MATCH(E$1,'[5]NS MV SEA SS TA December 23'!$A$1:$AL$1,0))</f>
        <v>1.955102162</v>
      </c>
      <c r="F12" s="406">
        <f>INDEX('[5]NS MV SEA SS TA December 23'!$A$1:$AL$6,MATCH($A12,'[5]NS MV SEA SS TA December 23'!$A$1:$A15,0),MATCH(F$1,'[5]NS MV SEA SS TA December 23'!$A$1:$AL$1,0))</f>
        <v>1.1920558889999999</v>
      </c>
      <c r="G12" s="406">
        <f>INDEX('[5]NS MV SEA SS TA December 23'!$A$1:$AL$6,MATCH($A12,'[5]NS MV SEA SS TA December 23'!$A$1:$A15,0),MATCH(G$1,'[5]NS MV SEA SS TA December 23'!$A$1:$AL$1,0))</f>
        <v>130.7325285</v>
      </c>
      <c r="H12" s="406">
        <f>INDEX('[5]NS MV SEA SS TA December 23'!$A$1:$AL$6,MATCH($A12,'[5]NS MV SEA SS TA December 23'!$A$1:$A15,0),MATCH(H$1,'[5]NS MV SEA SS TA December 23'!$A$1:$AL$1,0))</f>
        <v>291.39524870000002</v>
      </c>
      <c r="I12" s="406">
        <f>INDEX('[5]NS MV SEA SS TA December 23'!$A$1:$AL$6,MATCH($A12,'[5]NS MV SEA SS TA December 23'!$A$1:$A15,0),MATCH(I$1,'[5]NS MV SEA SS TA December 23'!$A$1:$AL$1,0))</f>
        <v>24.347031600000001</v>
      </c>
      <c r="J12" s="406">
        <f>INDEX('[5]NS MV SEA SS TA December 23'!$A$1:$AL$6,MATCH($A12,'[5]NS MV SEA SS TA December 23'!$A$1:$A15,0),MATCH(J$1,'[5]NS MV SEA SS TA December 23'!$A$1:$AL$1,0))</f>
        <v>3.9904482830000001</v>
      </c>
      <c r="K12" s="406">
        <f>INDEX('[5]NS MV SEA SS TA December 23'!$A$1:$AL$6,MATCH($A12,'[5]NS MV SEA SS TA December 23'!$A$1:$A15,0),MATCH(K$1,'[5]NS MV SEA SS TA December 23'!$A$1:$AL$1,0))</f>
        <v>2.4643411209999999</v>
      </c>
      <c r="L12" s="406">
        <f>INDEX('[5]NS MV SEA SS TA December 23'!$A$1:$AL$6,MATCH($A12,'[5]NS MV SEA SS TA December 23'!$A$1:$A15,0),MATCH(L$1,'[5]NS MV SEA SS TA December 23'!$A$1:$AL$1,0))</f>
        <v>188.59208219999999</v>
      </c>
      <c r="M12" s="406">
        <f>INDEX('[5]NS MV SEA SS TA December 23'!$A$1:$AL$6,MATCH($A12,'[5]NS MV SEA SS TA December 23'!$A$1:$A15,0),MATCH(M$1,'[5]NS MV SEA SS TA December 23'!$A$1:$AL$1,0))</f>
        <v>0</v>
      </c>
      <c r="N12" s="406">
        <f>INDEX('[5]NS MV SEA SS TA December 23'!$A$1:$AL$6,MATCH($A12,'[5]NS MV SEA SS TA December 23'!$A$1:$A15,0),MATCH(N$1,'[5]NS MV SEA SS TA December 23'!$A$1:$AL$1,0))</f>
        <v>1.593502591</v>
      </c>
      <c r="O12" s="406">
        <v>0</v>
      </c>
      <c r="P12" s="406">
        <f>INDEX('[5]NS MV SEA SS TA December 23'!$A$1:$AL$6,MATCH($A12,'[5]NS MV SEA SS TA December 23'!$A$1:$A15,0),MATCH(P$1,'[5]NS MV SEA SS TA December 23'!$A$1:$AL$1,0))</f>
        <v>5.2987944760000003</v>
      </c>
      <c r="Q12" s="406">
        <f>INDEX('[5]NS MV SEA SS TA December 23'!$A$1:$AL$6,MATCH($A12,'[5]NS MV SEA SS TA December 23'!$A$1:$A15,0),MATCH(Q$1,'[5]NS MV SEA SS TA December 23'!$A$1:$AL$1,0))</f>
        <v>73.403252109999997</v>
      </c>
      <c r="R12" s="406">
        <f>INDEX('[5]NS MV SEA SS TA December 23'!$A$1:$AL$6,MATCH($A12,'[5]NS MV SEA SS TA December 23'!$A$1:$A15,0),MATCH(R$1,'[5]NS MV SEA SS TA December 23'!$A$1:$AL$1,0))</f>
        <v>8.1418138580000008</v>
      </c>
      <c r="S12" s="406">
        <f>INDEX('[5]NS MV SEA SS TA December 23'!$A$1:$AL$6,MATCH($A12,'[5]NS MV SEA SS TA December 23'!$A$1:$A15,0),MATCH(S$1,'[5]NS MV SEA SS TA December 23'!$A$1:$AL$1,0))</f>
        <v>41.860682699999998</v>
      </c>
      <c r="T12" s="47">
        <f t="shared" ref="T12:T16" si="2">SUM(C12:S12)</f>
        <v>916.52412719199992</v>
      </c>
      <c r="U12" s="47"/>
      <c r="V12" s="181">
        <f t="shared" si="1"/>
        <v>128.70454314400001</v>
      </c>
      <c r="W12" s="181"/>
    </row>
    <row r="13" spans="1:23">
      <c r="C13" s="89"/>
      <c r="D13" s="89"/>
      <c r="E13" s="89"/>
      <c r="F13" s="89"/>
      <c r="G13" s="89"/>
      <c r="H13" s="89"/>
      <c r="I13" s="89"/>
      <c r="J13" s="89"/>
      <c r="K13" s="89"/>
      <c r="L13" s="89"/>
      <c r="M13" s="89"/>
      <c r="N13" s="89"/>
      <c r="O13" s="89"/>
      <c r="P13" s="89"/>
      <c r="Q13" s="89"/>
      <c r="R13" s="89"/>
      <c r="S13" s="89"/>
      <c r="T13" s="47"/>
      <c r="V13" s="181">
        <f t="shared" si="1"/>
        <v>0</v>
      </c>
    </row>
    <row r="14" spans="1:23" ht="14.5">
      <c r="A14" s="56" t="s">
        <v>186</v>
      </c>
      <c r="C14" s="89"/>
      <c r="D14" s="89"/>
      <c r="E14" s="89"/>
      <c r="F14" s="89"/>
      <c r="G14" s="89"/>
      <c r="H14" s="89"/>
      <c r="I14" s="89"/>
      <c r="J14" s="89"/>
      <c r="K14" s="89"/>
      <c r="L14" s="89"/>
      <c r="M14" s="89"/>
      <c r="N14" s="89"/>
      <c r="O14" s="89"/>
      <c r="P14" s="89"/>
      <c r="Q14" s="89"/>
      <c r="R14" s="89"/>
      <c r="S14" s="89"/>
      <c r="T14" s="47"/>
      <c r="V14" s="181">
        <f t="shared" si="1"/>
        <v>0</v>
      </c>
    </row>
    <row r="15" spans="1:23">
      <c r="A15" t="s">
        <v>19</v>
      </c>
      <c r="B15" t="s">
        <v>174</v>
      </c>
      <c r="C15" s="406">
        <f>INDEX('[6]PricingDashboard - MUNI_SHARE p'!$A$1:$AL$6,MATCH($A15,'[6]PricingDashboard - MUNI_SHARE p'!$A$1:$A18,0),MATCH(C$1,'[6]PricingDashboard - MUNI_SHARE p'!$A$1:$AL$1,0))</f>
        <v>13.583582396217199</v>
      </c>
      <c r="D15" s="406">
        <f>INDEX('[6]PricingDashboard - MUNI_SHARE p'!$A$1:$AL$6,MATCH($A15,'[6]PricingDashboard - MUNI_SHARE p'!$A$1:$A18,0),MATCH(D$1,'[6]PricingDashboard - MUNI_SHARE p'!$A$1:$AL$1,0))</f>
        <v>353.90210959931801</v>
      </c>
      <c r="E15" s="406">
        <f>INDEX('[6]PricingDashboard - MUNI_SHARE p'!$A$1:$AL$6,MATCH($A15,'[6]PricingDashboard - MUNI_SHARE p'!$A$1:$A18,0),MATCH(E$1,'[6]PricingDashboard - MUNI_SHARE p'!$A$1:$AL$1,0))</f>
        <v>0</v>
      </c>
      <c r="F15" s="406">
        <f>INDEX('[6]PricingDashboard - MUNI_SHARE p'!$A$1:$AL$6,MATCH($A15,'[6]PricingDashboard - MUNI_SHARE p'!$A$1:$A18,0),MATCH(F$1,'[6]PricingDashboard - MUNI_SHARE p'!$A$1:$AL$1,0))</f>
        <v>68.914388296181599</v>
      </c>
      <c r="G15" s="406">
        <f>INDEX('[6]PricingDashboard - MUNI_SHARE p'!$A$1:$AL$6,MATCH($A15,'[6]PricingDashboard - MUNI_SHARE p'!$A$1:$A18,0),MATCH(G$1,'[6]PricingDashboard - MUNI_SHARE p'!$A$1:$AL$1,0))</f>
        <v>406.98820452831399</v>
      </c>
      <c r="H15" s="406">
        <f>INDEX('[6]PricingDashboard - MUNI_SHARE p'!$A$1:$AL$6,MATCH($A15,'[6]PricingDashboard - MUNI_SHARE p'!$A$1:$A18,0),MATCH(H$1,'[6]PricingDashboard - MUNI_SHARE p'!$A$1:$AL$1,0))</f>
        <v>583.35346303685606</v>
      </c>
      <c r="I15" s="406">
        <f>INDEX('[6]PricingDashboard - MUNI_SHARE p'!$A$1:$AL$6,MATCH($A15,'[6]PricingDashboard - MUNI_SHARE p'!$A$1:$A18,0),MATCH(I$1,'[6]PricingDashboard - MUNI_SHARE p'!$A$1:$AL$1,0))</f>
        <v>134.71599864606799</v>
      </c>
      <c r="J15" s="406">
        <f>INDEX('[6]PricingDashboard - MUNI_SHARE p'!$A$1:$AL$6,MATCH($A15,'[6]PricingDashboard - MUNI_SHARE p'!$A$1:$A18,0),MATCH(J$1,'[6]PricingDashboard - MUNI_SHARE p'!$A$1:$AL$1,0))</f>
        <v>84.383259817036105</v>
      </c>
      <c r="K15" s="406">
        <f>INDEX('[6]PricingDashboard - MUNI_SHARE p'!$A$1:$AL$6,MATCH($A15,'[6]PricingDashboard - MUNI_SHARE p'!$A$1:$A18,0),MATCH(K$1,'[6]PricingDashboard - MUNI_SHARE p'!$A$1:$AL$1,0))</f>
        <v>41.425497782295601</v>
      </c>
      <c r="L15" s="406">
        <f>INDEX('[6]PricingDashboard - MUNI_SHARE p'!$A$1:$AL$6,MATCH($A15,'[6]PricingDashboard - MUNI_SHARE p'!$A$1:$A18,0),MATCH(L$1,'[6]PricingDashboard - MUNI_SHARE p'!$A$1:$AL$1,0))</f>
        <v>345.15221472000701</v>
      </c>
      <c r="M15" s="406">
        <f>INDEX('[6]PricingDashboard - MUNI_SHARE p'!$A$1:$AL$6,MATCH($A15,'[6]PricingDashboard - MUNI_SHARE p'!$A$1:$A18,0),MATCH(M$1,'[6]PricingDashboard - MUNI_SHARE p'!$A$1:$AL$1,0))</f>
        <v>3.4882603638609802E-2</v>
      </c>
      <c r="N15" s="406">
        <f>INDEX('[6]PricingDashboard - MUNI_SHARE p'!$A$1:$AL$6,MATCH($A15,'[6]PricingDashboard - MUNI_SHARE p'!$A$1:$A18,0),MATCH(N$1,'[6]PricingDashboard - MUNI_SHARE p'!$A$1:$AL$1,0))</f>
        <v>118.7963785443</v>
      </c>
      <c r="O15" s="406">
        <v>0</v>
      </c>
      <c r="P15" s="406">
        <f>INDEX('[6]PricingDashboard - MUNI_SHARE p'!$A$1:$AL$6,MATCH($A15,'[6]PricingDashboard - MUNI_SHARE p'!$A$1:$A18,0),MATCH(P$1,'[6]PricingDashboard - MUNI_SHARE p'!$A$1:$AL$1,0))</f>
        <v>159.61100328038799</v>
      </c>
      <c r="Q15" s="406">
        <f>INDEX('[6]PricingDashboard - MUNI_SHARE p'!$A$1:$AL$6,MATCH($A15,'[6]PricingDashboard - MUNI_SHARE p'!$A$1:$A18,0),MATCH(Q$1,'[6]PricingDashboard - MUNI_SHARE p'!$A$1:$AL$1,0))</f>
        <v>332.31465725889097</v>
      </c>
      <c r="R15" s="406">
        <f>INDEX('[6]PricingDashboard - MUNI_SHARE p'!$A$1:$AL$6,MATCH($A15,'[6]PricingDashboard - MUNI_SHARE p'!$A$1:$A18,0),MATCH(R$1,'[6]PricingDashboard - MUNI_SHARE p'!$A$1:$AL$1,0))</f>
        <v>355.12168972575398</v>
      </c>
      <c r="S15" s="406">
        <f>INDEX('[6]PricingDashboard - MUNI_SHARE p'!$A$1:$AL$6,MATCH($A15,'[6]PricingDashboard - MUNI_SHARE p'!$A$1:$A18,0),MATCH(S$1,'[6]PricingDashboard - MUNI_SHARE p'!$A$1:$AL$1,0))</f>
        <v>56.496708205092197</v>
      </c>
      <c r="T15" s="47">
        <f t="shared" si="2"/>
        <v>3054.7940384403573</v>
      </c>
      <c r="V15" s="181">
        <f t="shared" si="1"/>
        <v>903.54405847012515</v>
      </c>
    </row>
    <row r="16" spans="1:23">
      <c r="A16" t="s">
        <v>175</v>
      </c>
      <c r="B16" t="s">
        <v>174</v>
      </c>
      <c r="C16" s="406">
        <f>INDEX('[6]PricingDashboard - MUNI_SHARE p'!$A$1:$AL$6,MATCH($A16,'[6]PricingDashboard - MUNI_SHARE p'!$A$1:$A19,0),MATCH(C$1,'[6]PricingDashboard - MUNI_SHARE p'!$A$1:$AL$1,0))</f>
        <v>0.111899950334046</v>
      </c>
      <c r="D16" s="406">
        <f>INDEX('[6]PricingDashboard - MUNI_SHARE p'!$A$1:$AL$6,MATCH($A16,'[6]PricingDashboard - MUNI_SHARE p'!$A$1:$A19,0),MATCH(D$1,'[6]PricingDashboard - MUNI_SHARE p'!$A$1:$AL$1,0))</f>
        <v>143.333623940736</v>
      </c>
      <c r="E16" s="406">
        <f>INDEX('[6]PricingDashboard - MUNI_SHARE p'!$A$1:$AL$6,MATCH($A16,'[6]PricingDashboard - MUNI_SHARE p'!$A$1:$A19,0),MATCH(E$1,'[6]PricingDashboard - MUNI_SHARE p'!$A$1:$AL$1,0))</f>
        <v>1.9280099947619</v>
      </c>
      <c r="F16" s="406">
        <f>INDEX('[6]PricingDashboard - MUNI_SHARE p'!$A$1:$AL$6,MATCH($A16,'[6]PricingDashboard - MUNI_SHARE p'!$A$1:$A19,0),MATCH(F$1,'[6]PricingDashboard - MUNI_SHARE p'!$A$1:$AL$1,0))</f>
        <v>1.0416668657925401</v>
      </c>
      <c r="G16" s="406">
        <f>INDEX('[6]PricingDashboard - MUNI_SHARE p'!$A$1:$AL$6,MATCH($A16,'[6]PricingDashboard - MUNI_SHARE p'!$A$1:$A19,0),MATCH(G$1,'[6]PricingDashboard - MUNI_SHARE p'!$A$1:$AL$1,0))</f>
        <v>135.14719183828001</v>
      </c>
      <c r="H16" s="406">
        <f>INDEX('[6]PricingDashboard - MUNI_SHARE p'!$A$1:$AL$6,MATCH($A16,'[6]PricingDashboard - MUNI_SHARE p'!$A$1:$A19,0),MATCH(H$1,'[6]PricingDashboard - MUNI_SHARE p'!$A$1:$AL$1,0))</f>
        <v>293.74058504584099</v>
      </c>
      <c r="I16" s="406">
        <f>INDEX('[6]PricingDashboard - MUNI_SHARE p'!$A$1:$AL$6,MATCH($A16,'[6]PricingDashboard - MUNI_SHARE p'!$A$1:$A19,0),MATCH(I$1,'[6]PricingDashboard - MUNI_SHARE p'!$A$1:$AL$1,0))</f>
        <v>25.102793097224701</v>
      </c>
      <c r="J16" s="406">
        <f>INDEX('[6]PricingDashboard - MUNI_SHARE p'!$A$1:$AL$6,MATCH($A16,'[6]PricingDashboard - MUNI_SHARE p'!$A$1:$A19,0),MATCH(J$1,'[6]PricingDashboard - MUNI_SHARE p'!$A$1:$AL$1,0))</f>
        <v>3.9919957647041899</v>
      </c>
      <c r="K16" s="406">
        <f>INDEX('[6]PricingDashboard - MUNI_SHARE p'!$A$1:$AL$6,MATCH($A16,'[6]PricingDashboard - MUNI_SHARE p'!$A$1:$A19,0),MATCH(K$1,'[6]PricingDashboard - MUNI_SHARE p'!$A$1:$AL$1,0))</f>
        <v>2.4852542072489099</v>
      </c>
      <c r="L16" s="406">
        <f>INDEX('[6]PricingDashboard - MUNI_SHARE p'!$A$1:$AL$6,MATCH($A16,'[6]PricingDashboard - MUNI_SHARE p'!$A$1:$A19,0),MATCH(L$1,'[6]PricingDashboard - MUNI_SHARE p'!$A$1:$AL$1,0))</f>
        <v>202.58563936655599</v>
      </c>
      <c r="M16" s="406">
        <f>INDEX('[6]PricingDashboard - MUNI_SHARE p'!$A$1:$AL$6,MATCH($A16,'[6]PricingDashboard - MUNI_SHARE p'!$A$1:$A19,0),MATCH(M$1,'[6]PricingDashboard - MUNI_SHARE p'!$A$1:$AL$1,0))</f>
        <v>0</v>
      </c>
      <c r="N16" s="406">
        <f>INDEX('[6]PricingDashboard - MUNI_SHARE p'!$A$1:$AL$6,MATCH($A16,'[6]PricingDashboard - MUNI_SHARE p'!$A$1:$A19,0),MATCH(N$1,'[6]PricingDashboard - MUNI_SHARE p'!$A$1:$AL$1,0))</f>
        <v>1.49243032250301</v>
      </c>
      <c r="O16" s="406">
        <v>0</v>
      </c>
      <c r="P16" s="406">
        <f>INDEX('[6]PricingDashboard - MUNI_SHARE p'!$A$1:$AL$6,MATCH($A16,'[6]PricingDashboard - MUNI_SHARE p'!$A$1:$A19,0),MATCH(P$1,'[6]PricingDashboard - MUNI_SHARE p'!$A$1:$AL$1,0))</f>
        <v>5.1116156620951596</v>
      </c>
      <c r="Q16" s="406">
        <f>INDEX('[6]PricingDashboard - MUNI_SHARE p'!$A$1:$AL$6,MATCH($A16,'[6]PricingDashboard - MUNI_SHARE p'!$A$1:$A19,0),MATCH(Q$1,'[6]PricingDashboard - MUNI_SHARE p'!$A$1:$AL$1,0))</f>
        <v>75.0245887020493</v>
      </c>
      <c r="R16" s="406">
        <f>INDEX('[6]PricingDashboard - MUNI_SHARE p'!$A$1:$AL$6,MATCH($A16,'[6]PricingDashboard - MUNI_SHARE p'!$A$1:$A19,0),MATCH(R$1,'[6]PricingDashboard - MUNI_SHARE p'!$A$1:$AL$1,0))</f>
        <v>8.8962654774235599</v>
      </c>
      <c r="S16" s="406">
        <f>INDEX('[6]PricingDashboard - MUNI_SHARE p'!$A$1:$AL$6,MATCH($A16,'[6]PricingDashboard - MUNI_SHARE p'!$A$1:$A19,0),MATCH(S$1,'[6]PricingDashboard - MUNI_SHARE p'!$A$1:$AL$1,0))</f>
        <v>37.447816163750801</v>
      </c>
      <c r="T16" s="47">
        <f t="shared" si="2"/>
        <v>937.44137639930091</v>
      </c>
      <c r="V16" s="181">
        <f t="shared" si="1"/>
        <v>126.48028600531883</v>
      </c>
      <c r="W16" s="181"/>
    </row>
    <row r="17" spans="1:23">
      <c r="C17" s="89"/>
      <c r="D17" s="89"/>
      <c r="E17" s="89"/>
      <c r="F17" s="89"/>
      <c r="G17" s="89"/>
      <c r="H17" s="89"/>
      <c r="I17" s="89"/>
      <c r="J17" s="89"/>
      <c r="K17" s="89"/>
      <c r="L17" s="89"/>
      <c r="M17" s="89"/>
      <c r="N17" s="89"/>
      <c r="O17" s="89"/>
      <c r="P17" s="89"/>
      <c r="Q17" s="89"/>
      <c r="R17" s="89"/>
      <c r="S17" s="89"/>
      <c r="V17" s="181">
        <f t="shared" si="1"/>
        <v>0</v>
      </c>
    </row>
    <row r="18" spans="1:23" ht="14.5">
      <c r="A18" s="56" t="s">
        <v>187</v>
      </c>
      <c r="C18" s="89"/>
      <c r="D18" s="89"/>
      <c r="E18" s="89"/>
      <c r="F18" s="89"/>
      <c r="G18" s="89"/>
      <c r="H18" s="89"/>
      <c r="I18" s="89"/>
      <c r="J18" s="89"/>
      <c r="K18" s="89"/>
      <c r="L18" s="89"/>
      <c r="M18" s="89"/>
      <c r="N18" s="89"/>
      <c r="O18" s="89"/>
      <c r="P18" s="89"/>
      <c r="Q18" s="89"/>
      <c r="R18" s="89"/>
      <c r="S18" s="89"/>
      <c r="V18" s="181">
        <f t="shared" si="1"/>
        <v>0</v>
      </c>
    </row>
    <row r="19" spans="1:23">
      <c r="A19" t="s">
        <v>19</v>
      </c>
      <c r="B19" t="s">
        <v>174</v>
      </c>
      <c r="C19" s="406">
        <f>INDEX('[7]PricingDashboard - MUNI_SHARE p'!$A$1:$AL$6,MATCH($A15,'[7]PricingDashboard - MUNI_SHARE p'!$A$1:$A18,0),MATCH(C$1,'[7]PricingDashboard - MUNI_SHARE p'!$A$1:$AL$1,0))</f>
        <v>19.5011068839876</v>
      </c>
      <c r="D19" s="406">
        <f>INDEX('[7]PricingDashboard - MUNI_SHARE p'!$A$1:$AL$6,MATCH($A15,'[7]PricingDashboard - MUNI_SHARE p'!$A$1:$A18,0),MATCH(D$1,'[7]PricingDashboard - MUNI_SHARE p'!$A$1:$AL$1,0))</f>
        <v>276.72393986710802</v>
      </c>
      <c r="E19" s="406">
        <f>INDEX('[7]PricingDashboard - MUNI_SHARE p'!$A$1:$AL$6,MATCH($A15,'[7]PricingDashboard - MUNI_SHARE p'!$A$1:$A18,0),MATCH(E$1,'[7]PricingDashboard - MUNI_SHARE p'!$A$1:$AL$1,0))</f>
        <v>0</v>
      </c>
      <c r="F19" s="406">
        <f>INDEX('[7]PricingDashboard - MUNI_SHARE p'!$A$1:$AL$6,MATCH($A15,'[7]PricingDashboard - MUNI_SHARE p'!$A$1:$A18,0),MATCH(F$1,'[7]PricingDashboard - MUNI_SHARE p'!$A$1:$AL$1,0))</f>
        <v>65.159508800648098</v>
      </c>
      <c r="G19" s="406">
        <f>INDEX('[7]PricingDashboard - MUNI_SHARE p'!$A$1:$AL$6,MATCH($A15,'[7]PricingDashboard - MUNI_SHARE p'!$A$1:$A18,0),MATCH(G$1,'[7]PricingDashboard - MUNI_SHARE p'!$A$1:$AL$1,0))</f>
        <v>336.48146402410202</v>
      </c>
      <c r="H19" s="406">
        <f>INDEX('[7]PricingDashboard - MUNI_SHARE p'!$A$1:$AL$6,MATCH($A15,'[7]PricingDashboard - MUNI_SHARE p'!$A$1:$A18,0),MATCH(H$1,'[7]PricingDashboard - MUNI_SHARE p'!$A$1:$AL$1,0))</f>
        <v>542.83023154738999</v>
      </c>
      <c r="I19" s="406">
        <f>INDEX('[7]PricingDashboard - MUNI_SHARE p'!$A$1:$AL$6,MATCH($A15,'[7]PricingDashboard - MUNI_SHARE p'!$A$1:$A18,0),MATCH(I$1,'[7]PricingDashboard - MUNI_SHARE p'!$A$1:$AL$1,0))</f>
        <v>91.409442120601</v>
      </c>
      <c r="J19" s="406">
        <f>INDEX('[7]PricingDashboard - MUNI_SHARE p'!$A$1:$AL$6,MATCH($A15,'[7]PricingDashboard - MUNI_SHARE p'!$A$1:$A18,0),MATCH(J$1,'[7]PricingDashboard - MUNI_SHARE p'!$A$1:$AL$1,0))</f>
        <v>40.617660453118603</v>
      </c>
      <c r="K19" s="406">
        <f>INDEX('[7]PricingDashboard - MUNI_SHARE p'!$A$1:$AL$6,MATCH($A15,'[7]PricingDashboard - MUNI_SHARE p'!$A$1:$A18,0),MATCH(K$1,'[7]PricingDashboard - MUNI_SHARE p'!$A$1:$AL$1,0))</f>
        <v>25.346337114579899</v>
      </c>
      <c r="L19" s="406">
        <f>INDEX('[7]PricingDashboard - MUNI_SHARE p'!$A$1:$AL$6,MATCH($A15,'[7]PricingDashboard - MUNI_SHARE p'!$A$1:$A18,0),MATCH(L$1,'[7]PricingDashboard - MUNI_SHARE p'!$A$1:$AL$1,0))</f>
        <v>325.02439342141503</v>
      </c>
      <c r="M19" s="406">
        <f>INDEX('[7]PricingDashboard - MUNI_SHARE p'!$A$1:$AL$6,MATCH($A15,'[7]PricingDashboard - MUNI_SHARE p'!$A$1:$A18,0),MATCH(M$1,'[7]PricingDashboard - MUNI_SHARE p'!$A$1:$AL$1,0))</f>
        <v>3.2789868425630399E-2</v>
      </c>
      <c r="N19" s="406">
        <f>INDEX('[7]PricingDashboard - MUNI_SHARE p'!$A$1:$AL$6,MATCH($A15,'[7]PricingDashboard - MUNI_SHARE p'!$A$1:$A18,0),MATCH(N$1,'[7]PricingDashboard - MUNI_SHARE p'!$A$1:$AL$1,0))</f>
        <v>108.256786076748</v>
      </c>
      <c r="O19" s="406">
        <v>0</v>
      </c>
      <c r="P19" s="406">
        <f>INDEX('[7]PricingDashboard - MUNI_SHARE p'!$A$1:$AL$6,MATCH($A15,'[7]PricingDashboard - MUNI_SHARE p'!$A$1:$A18,0),MATCH(P$1,'[7]PricingDashboard - MUNI_SHARE p'!$A$1:$AL$1,0))</f>
        <v>128.998573220954</v>
      </c>
      <c r="Q19" s="406">
        <f>INDEX('[7]PricingDashboard - MUNI_SHARE p'!$A$1:$AL$6,MATCH($A15,'[7]PricingDashboard - MUNI_SHARE p'!$A$1:$A18,0),MATCH(Q$1,'[7]PricingDashboard - MUNI_SHARE p'!$A$1:$AL$1,0))</f>
        <v>245.674574461942</v>
      </c>
      <c r="R19" s="406">
        <f>INDEX('[7]PricingDashboard - MUNI_SHARE p'!$A$1:$AL$6,MATCH($A15,'[7]PricingDashboard - MUNI_SHARE p'!$A$1:$A18,0),MATCH(R$1,'[7]PricingDashboard - MUNI_SHARE p'!$A$1:$AL$1,0))</f>
        <v>321.78751567304101</v>
      </c>
      <c r="S19" s="406">
        <f>INDEX('[7]PricingDashboard - MUNI_SHARE p'!$A$1:$AL$6,MATCH($A15,'[7]PricingDashboard - MUNI_SHARE p'!$A$1:$A18,0),MATCH(S$1,'[7]PricingDashboard - MUNI_SHARE p'!$A$1:$AL$1,0))</f>
        <v>52.778227061384897</v>
      </c>
      <c r="T19" s="47">
        <f>SUM(C19:S19)</f>
        <v>2580.6225505954458</v>
      </c>
      <c r="V19" s="181">
        <f t="shared" si="1"/>
        <v>749.23889041732184</v>
      </c>
    </row>
    <row r="20" spans="1:23">
      <c r="A20" t="s">
        <v>175</v>
      </c>
      <c r="B20" t="s">
        <v>174</v>
      </c>
      <c r="C20" s="406">
        <f>INDEX('[7]PricingDashboard - MUNI_SHARE p'!$A$1:$AL$6,MATCH($A16,'[7]PricingDashboard - MUNI_SHARE p'!$A$1:$A19,0),MATCH(C$1,'[7]PricingDashboard - MUNI_SHARE p'!$A$1:$AL$1,0))</f>
        <v>7.7243273701518803E-2</v>
      </c>
      <c r="D20" s="406">
        <f>INDEX('[7]PricingDashboard - MUNI_SHARE p'!$A$1:$AL$6,MATCH($A16,'[7]PricingDashboard - MUNI_SHARE p'!$A$1:$A19,0),MATCH(D$1,'[7]PricingDashboard - MUNI_SHARE p'!$A$1:$AL$1,0))</f>
        <v>122.366046372545</v>
      </c>
      <c r="E20" s="406">
        <f>INDEX('[7]PricingDashboard - MUNI_SHARE p'!$A$1:$AL$6,MATCH($A16,'[7]PricingDashboard - MUNI_SHARE p'!$A$1:$A19,0),MATCH(E$1,'[7]PricingDashboard - MUNI_SHARE p'!$A$1:$AL$1,0))</f>
        <v>1.8122442544081301</v>
      </c>
      <c r="F20" s="406">
        <f>INDEX('[7]PricingDashboard - MUNI_SHARE p'!$A$1:$AL$6,MATCH($A16,'[7]PricingDashboard - MUNI_SHARE p'!$A$1:$A19,0),MATCH(F$1,'[7]PricingDashboard - MUNI_SHARE p'!$A$1:$AL$1,0))</f>
        <v>1.2275491269026799</v>
      </c>
      <c r="G20" s="406">
        <f>INDEX('[7]PricingDashboard - MUNI_SHARE p'!$A$1:$AL$6,MATCH($A16,'[7]PricingDashboard - MUNI_SHARE p'!$A$1:$A19,0),MATCH(G$1,'[7]PricingDashboard - MUNI_SHARE p'!$A$1:$AL$1,0))</f>
        <v>119.823680823469</v>
      </c>
      <c r="H20" s="406">
        <f>INDEX('[7]PricingDashboard - MUNI_SHARE p'!$A$1:$AL$6,MATCH($A16,'[7]PricingDashboard - MUNI_SHARE p'!$A$1:$A19,0),MATCH(H$1,'[7]PricingDashboard - MUNI_SHARE p'!$A$1:$AL$1,0))</f>
        <v>249.81893182642801</v>
      </c>
      <c r="I20" s="406">
        <f>INDEX('[7]PricingDashboard - MUNI_SHARE p'!$A$1:$AL$6,MATCH($A16,'[7]PricingDashboard - MUNI_SHARE p'!$A$1:$A19,0),MATCH(I$1,'[7]PricingDashboard - MUNI_SHARE p'!$A$1:$AL$1,0))</f>
        <v>21.985464510005698</v>
      </c>
      <c r="J20" s="406">
        <f>INDEX('[7]PricingDashboard - MUNI_SHARE p'!$A$1:$AL$6,MATCH($A16,'[7]PricingDashboard - MUNI_SHARE p'!$A$1:$A19,0),MATCH(J$1,'[7]PricingDashboard - MUNI_SHARE p'!$A$1:$AL$1,0))</f>
        <v>2.7961518164272601</v>
      </c>
      <c r="K20" s="406">
        <f>INDEX('[7]PricingDashboard - MUNI_SHARE p'!$A$1:$AL$6,MATCH($A16,'[7]PricingDashboard - MUNI_SHARE p'!$A$1:$A19,0),MATCH(K$1,'[7]PricingDashboard - MUNI_SHARE p'!$A$1:$AL$1,0))</f>
        <v>2.4343521120409202</v>
      </c>
      <c r="L20" s="406">
        <f>INDEX('[7]PricingDashboard - MUNI_SHARE p'!$A$1:$AL$6,MATCH($A16,'[7]PricingDashboard - MUNI_SHARE p'!$A$1:$A19,0),MATCH(L$1,'[7]PricingDashboard - MUNI_SHARE p'!$A$1:$AL$1,0))</f>
        <v>169.71915092327899</v>
      </c>
      <c r="M20" s="406">
        <f>INDEX('[7]PricingDashboard - MUNI_SHARE p'!$A$1:$AL$6,MATCH($A16,'[7]PricingDashboard - MUNI_SHARE p'!$A$1:$A19,0),MATCH(M$1,'[7]PricingDashboard - MUNI_SHARE p'!$A$1:$AL$1,0))</f>
        <v>0</v>
      </c>
      <c r="N20" s="406">
        <f>INDEX('[7]PricingDashboard - MUNI_SHARE p'!$A$1:$AL$6,MATCH($A16,'[7]PricingDashboard - MUNI_SHARE p'!$A$1:$A19,0),MATCH(N$1,'[7]PricingDashboard - MUNI_SHARE p'!$A$1:$AL$1,0))</f>
        <v>1.4824687678977999</v>
      </c>
      <c r="O20" s="406">
        <v>0</v>
      </c>
      <c r="P20" s="406">
        <f>INDEX('[7]PricingDashboard - MUNI_SHARE p'!$A$1:$AL$6,MATCH($A16,'[7]PricingDashboard - MUNI_SHARE p'!$A$1:$A19,0),MATCH(P$1,'[7]PricingDashboard - MUNI_SHARE p'!$A$1:$AL$1,0))</f>
        <v>5.8647994330920001</v>
      </c>
      <c r="Q20" s="406">
        <f>INDEX('[7]PricingDashboard - MUNI_SHARE p'!$A$1:$AL$6,MATCH($A16,'[7]PricingDashboard - MUNI_SHARE p'!$A$1:$A19,0),MATCH(Q$1,'[7]PricingDashboard - MUNI_SHARE p'!$A$1:$AL$1,0))</f>
        <v>57.545182725975401</v>
      </c>
      <c r="R20" s="406">
        <f>INDEX('[7]PricingDashboard - MUNI_SHARE p'!$A$1:$AL$6,MATCH($A16,'[7]PricingDashboard - MUNI_SHARE p'!$A$1:$A19,0),MATCH(R$1,'[7]PricingDashboard - MUNI_SHARE p'!$A$1:$AL$1,0))</f>
        <v>7.35476748786889</v>
      </c>
      <c r="S20" s="406">
        <f>INDEX('[7]PricingDashboard - MUNI_SHARE p'!$A$1:$AL$6,MATCH($A16,'[7]PricingDashboard - MUNI_SHARE p'!$A$1:$A19,0),MATCH(S$1,'[7]PricingDashboard - MUNI_SHARE p'!$A$1:$AL$1,0))</f>
        <v>31.955970298090101</v>
      </c>
      <c r="T20" s="47">
        <f t="shared" ref="T20:T36" si="3">SUM(C20:S20)</f>
        <v>796.26400375213143</v>
      </c>
      <c r="V20" s="181">
        <f t="shared" si="1"/>
        <v>102.72071994502639</v>
      </c>
      <c r="W20" s="181"/>
    </row>
    <row r="21" spans="1:23">
      <c r="C21" s="89"/>
      <c r="D21" s="89"/>
      <c r="E21" s="89"/>
      <c r="F21" s="89"/>
      <c r="G21" s="89"/>
      <c r="H21" s="89"/>
      <c r="I21" s="89"/>
      <c r="J21" s="89"/>
      <c r="K21" s="89"/>
      <c r="L21" s="89"/>
      <c r="M21" s="89"/>
      <c r="N21" s="89"/>
      <c r="O21" s="89"/>
      <c r="P21" s="89"/>
      <c r="Q21" s="89"/>
      <c r="R21" s="89"/>
      <c r="S21" s="89"/>
      <c r="T21" s="47"/>
      <c r="V21" s="181">
        <f t="shared" si="1"/>
        <v>0</v>
      </c>
    </row>
    <row r="22" spans="1:23" ht="14.5">
      <c r="A22" s="56" t="s">
        <v>188</v>
      </c>
      <c r="C22" s="89"/>
      <c r="D22" s="89"/>
      <c r="E22" s="89"/>
      <c r="F22" s="89"/>
      <c r="G22" s="89"/>
      <c r="H22" s="89"/>
      <c r="I22" s="89"/>
      <c r="J22" s="89"/>
      <c r="K22" s="89"/>
      <c r="L22" s="89"/>
      <c r="M22" s="89"/>
      <c r="N22" s="89"/>
      <c r="O22" s="89"/>
      <c r="P22" s="89"/>
      <c r="Q22" s="89"/>
      <c r="R22" s="89"/>
      <c r="S22" s="89"/>
      <c r="T22" s="47"/>
      <c r="V22" s="181">
        <f t="shared" si="1"/>
        <v>0</v>
      </c>
    </row>
    <row r="23" spans="1:23">
      <c r="A23" t="s">
        <v>19</v>
      </c>
      <c r="B23" t="s">
        <v>174</v>
      </c>
      <c r="C23" s="406">
        <f>INDEX('[8]PricingDashboard - MUNI_SHARE p'!$A$1:$AZ$6,MATCH($A19,'[8]PricingDashboard - MUNI_SHARE p'!$A$1:$A22,0),MATCH(C$1,'[8]PricingDashboard - MUNI_SHARE p'!$A$1:$AZ$1,0))</f>
        <v>17.8373805362098</v>
      </c>
      <c r="D23" s="406">
        <f>INDEX('[8]PricingDashboard - MUNI_SHARE p'!$A$1:$AZ$6,MATCH($A19,'[8]PricingDashboard - MUNI_SHARE p'!$A$1:$A22,0),MATCH(D$1,'[8]PricingDashboard - MUNI_SHARE p'!$A$1:$AZ$1,0))</f>
        <v>363.06189442978501</v>
      </c>
      <c r="E23" s="406">
        <f>INDEX('[8]PricingDashboard - MUNI_SHARE p'!$A$1:$AZ$6,MATCH($A19,'[8]PricingDashboard - MUNI_SHARE p'!$A$1:$A22,0),MATCH(E$1,'[8]PricingDashboard - MUNI_SHARE p'!$A$1:$AZ$1,0))</f>
        <v>0</v>
      </c>
      <c r="F23" s="406">
        <f>INDEX('[8]PricingDashboard - MUNI_SHARE p'!$A$1:$AZ$6,MATCH($A19,'[8]PricingDashboard - MUNI_SHARE p'!$A$1:$A22,0),MATCH(F$1,'[8]PricingDashboard - MUNI_SHARE p'!$A$1:$AZ$1,0))</f>
        <v>80.833950170369803</v>
      </c>
      <c r="G23" s="406">
        <f>INDEX('[8]PricingDashboard - MUNI_SHARE p'!$A$1:$AZ$6,MATCH($A19,'[8]PricingDashboard - MUNI_SHARE p'!$A$1:$A22,0),MATCH(G$1,'[8]PricingDashboard - MUNI_SHARE p'!$A$1:$AZ$1,0))</f>
        <v>390.36536202188103</v>
      </c>
      <c r="H23" s="406">
        <f>INDEX('[8]PricingDashboard - MUNI_SHARE p'!$A$1:$AZ$6,MATCH($A19,'[8]PricingDashboard - MUNI_SHARE p'!$A$1:$A22,0),MATCH(H$1,'[8]PricingDashboard - MUNI_SHARE p'!$A$1:$AZ$1,0))</f>
        <v>527.88160792634994</v>
      </c>
      <c r="I23" s="406">
        <f>INDEX('[8]PricingDashboard - MUNI_SHARE p'!$A$1:$AZ$6,MATCH($A19,'[8]PricingDashboard - MUNI_SHARE p'!$A$1:$A22,0),MATCH(I$1,'[8]PricingDashboard - MUNI_SHARE p'!$A$1:$AZ$1,0))</f>
        <v>70.713303540256803</v>
      </c>
      <c r="J23" s="406">
        <f>INDEX('[8]PricingDashboard - MUNI_SHARE p'!$A$1:$AZ$6,MATCH($A19,'[8]PricingDashboard - MUNI_SHARE p'!$A$1:$A22,0),MATCH(J$1,'[8]PricingDashboard - MUNI_SHARE p'!$A$1:$AZ$1,0))</f>
        <v>53.553662087098097</v>
      </c>
      <c r="K23" s="406">
        <f>INDEX('[8]PricingDashboard - MUNI_SHARE p'!$A$1:$AZ$6,MATCH($A19,'[8]PricingDashboard - MUNI_SHARE p'!$A$1:$A22,0),MATCH(K$1,'[8]PricingDashboard - MUNI_SHARE p'!$A$1:$AZ$1,0))</f>
        <v>30.987201726143301</v>
      </c>
      <c r="L23" s="406">
        <f>INDEX('[8]PricingDashboard - MUNI_SHARE p'!$A$1:$AZ$6,MATCH($A19,'[8]PricingDashboard - MUNI_SHARE p'!$A$1:$A22,0),MATCH(L$1,'[8]PricingDashboard - MUNI_SHARE p'!$A$1:$AZ$1,0))</f>
        <v>263.80583006393601</v>
      </c>
      <c r="M23" s="406">
        <f>INDEX('[8]PricingDashboard - MUNI_SHARE p'!$A$1:$AZ$6,MATCH($A19,'[8]PricingDashboard - MUNI_SHARE p'!$A$1:$A22,0),MATCH(M$1,'[8]PricingDashboard - MUNI_SHARE p'!$A$1:$AZ$1,0))</f>
        <v>4.4902664264288301E-2</v>
      </c>
      <c r="N23" s="406">
        <f>INDEX('[8]PricingDashboard - MUNI_SHARE p'!$A$1:$AZ$6,MATCH($A19,'[8]PricingDashboard - MUNI_SHARE p'!$A$1:$A22,0),MATCH(N$1,'[8]PricingDashboard - MUNI_SHARE p'!$A$1:$AZ$1,0))</f>
        <v>103.04600797375601</v>
      </c>
      <c r="O23" s="406">
        <f>INDEX('[8]PricingDashboard - MUNI_SHARE p'!$A$1:$AZ$6,MATCH($A19,'[8]PricingDashboard - MUNI_SHARE p'!$A$1:$A22,0),MATCH(O$1,'[8]PricingDashboard - MUNI_SHARE p'!$A$1:$AZ$1,0))</f>
        <v>0</v>
      </c>
      <c r="P23" s="406">
        <f>INDEX('[8]PricingDashboard - MUNI_SHARE p'!$A$1:$AZ$6,MATCH($A19,'[8]PricingDashboard - MUNI_SHARE p'!$A$1:$A22,0),MATCH(P$1,'[8]PricingDashboard - MUNI_SHARE p'!$A$1:$AZ$1,0))</f>
        <v>145.30641984070101</v>
      </c>
      <c r="Q23" s="406">
        <f>INDEX('[8]PricingDashboard - MUNI_SHARE p'!$A$1:$AZ$6,MATCH($A19,'[8]PricingDashboard - MUNI_SHARE p'!$A$1:$A22,0),MATCH(Q$1,'[8]PricingDashboard - MUNI_SHARE p'!$A$1:$AZ$1,0))</f>
        <v>267.614881081796</v>
      </c>
      <c r="R23" s="406">
        <f>INDEX('[8]PricingDashboard - MUNI_SHARE p'!$A$1:$AZ$6,MATCH($A19,'[8]PricingDashboard - MUNI_SHARE p'!$A$1:$A22,0),MATCH(R$1,'[8]PricingDashboard - MUNI_SHARE p'!$A$1:$AZ$1,0))</f>
        <v>426.59913762647699</v>
      </c>
      <c r="S23" s="406">
        <f>INDEX('[8]PricingDashboard - MUNI_SHARE p'!$A$1:$AZ$6,MATCH($A19,'[8]PricingDashboard - MUNI_SHARE p'!$A$1:$A22,0),MATCH(S$1,'[8]PricingDashboard - MUNI_SHARE p'!$A$1:$AZ$1,0))</f>
        <v>68.231965107952007</v>
      </c>
      <c r="T23" s="47">
        <f t="shared" si="3"/>
        <v>2809.8835067969758</v>
      </c>
      <c r="V23" s="181">
        <f t="shared" si="1"/>
        <v>907.75240365692594</v>
      </c>
    </row>
    <row r="24" spans="1:23">
      <c r="A24" t="s">
        <v>175</v>
      </c>
      <c r="B24" t="s">
        <v>174</v>
      </c>
      <c r="C24" s="406">
        <f>INDEX('[8]PricingDashboard - MUNI_SHARE p'!$A$1:$AZ$6,MATCH($A20,'[8]PricingDashboard - MUNI_SHARE p'!$A$1:$A23,0),MATCH(C$1,'[8]PricingDashboard - MUNI_SHARE p'!$A$1:$AZ$1,0))</f>
        <v>8.9143828917461795E-2</v>
      </c>
      <c r="D24" s="406">
        <f>INDEX('[8]PricingDashboard - MUNI_SHARE p'!$A$1:$AZ$6,MATCH($A20,'[8]PricingDashboard - MUNI_SHARE p'!$A$1:$A23,0),MATCH(D$1,'[8]PricingDashboard - MUNI_SHARE p'!$A$1:$AZ$1,0))</f>
        <v>115.651649504413</v>
      </c>
      <c r="E24" s="406">
        <f>INDEX('[8]PricingDashboard - MUNI_SHARE p'!$A$1:$AZ$6,MATCH($A20,'[8]PricingDashboard - MUNI_SHARE p'!$A$1:$A23,0),MATCH(E$1,'[8]PricingDashboard - MUNI_SHARE p'!$A$1:$AZ$1,0))</f>
        <v>1.5467425088106299</v>
      </c>
      <c r="F24" s="406">
        <f>INDEX('[8]PricingDashboard - MUNI_SHARE p'!$A$1:$AZ$6,MATCH($A20,'[8]PricingDashboard - MUNI_SHARE p'!$A$1:$A23,0),MATCH(F$1,'[8]PricingDashboard - MUNI_SHARE p'!$A$1:$AZ$1,0))</f>
        <v>1.2366931188516199</v>
      </c>
      <c r="G24" s="406">
        <f>INDEX('[8]PricingDashboard - MUNI_SHARE p'!$A$1:$AZ$6,MATCH($A20,'[8]PricingDashboard - MUNI_SHARE p'!$A$1:$A23,0),MATCH(G$1,'[8]PricingDashboard - MUNI_SHARE p'!$A$1:$AZ$1,0))</f>
        <v>97.589314819779602</v>
      </c>
      <c r="H24" s="406">
        <f>INDEX('[8]PricingDashboard - MUNI_SHARE p'!$A$1:$AZ$6,MATCH($A20,'[8]PricingDashboard - MUNI_SHARE p'!$A$1:$A23,0),MATCH(H$1,'[8]PricingDashboard - MUNI_SHARE p'!$A$1:$AZ$1,0))</f>
        <v>182.80490074391801</v>
      </c>
      <c r="I24" s="406">
        <f>INDEX('[8]PricingDashboard - MUNI_SHARE p'!$A$1:$AZ$6,MATCH($A20,'[8]PricingDashboard - MUNI_SHARE p'!$A$1:$A23,0),MATCH(I$1,'[8]PricingDashboard - MUNI_SHARE p'!$A$1:$AZ$1,0))</f>
        <v>20.486341096304098</v>
      </c>
      <c r="J24" s="406">
        <f>INDEX('[8]PricingDashboard - MUNI_SHARE p'!$A$1:$AZ$6,MATCH($A20,'[8]PricingDashboard - MUNI_SHARE p'!$A$1:$A23,0),MATCH(J$1,'[8]PricingDashboard - MUNI_SHARE p'!$A$1:$AZ$1,0))</f>
        <v>2.5967406307299998</v>
      </c>
      <c r="K24" s="406">
        <f>INDEX('[8]PricingDashboard - MUNI_SHARE p'!$A$1:$AZ$6,MATCH($A20,'[8]PricingDashboard - MUNI_SHARE p'!$A$1:$A23,0),MATCH(K$1,'[8]PricingDashboard - MUNI_SHARE p'!$A$1:$AZ$1,0))</f>
        <v>1.6381457123698799</v>
      </c>
      <c r="L24" s="406">
        <f>INDEX('[8]PricingDashboard - MUNI_SHARE p'!$A$1:$AZ$6,MATCH($A20,'[8]PricingDashboard - MUNI_SHARE p'!$A$1:$A23,0),MATCH(L$1,'[8]PricingDashboard - MUNI_SHARE p'!$A$1:$AZ$1,0))</f>
        <v>132.05331896477099</v>
      </c>
      <c r="M24" s="406">
        <f>INDEX('[8]PricingDashboard - MUNI_SHARE p'!$A$1:$AZ$6,MATCH($A20,'[8]PricingDashboard - MUNI_SHARE p'!$A$1:$A23,0),MATCH(M$1,'[8]PricingDashboard - MUNI_SHARE p'!$A$1:$AZ$1,0))</f>
        <v>0</v>
      </c>
      <c r="N24" s="406">
        <f>INDEX('[8]PricingDashboard - MUNI_SHARE p'!$A$1:$AZ$6,MATCH($A20,'[8]PricingDashboard - MUNI_SHARE p'!$A$1:$A23,0),MATCH(N$1,'[8]PricingDashboard - MUNI_SHARE p'!$A$1:$AZ$1,0))</f>
        <v>1.4757253198790401</v>
      </c>
      <c r="O24" s="406">
        <f>INDEX('[8]PricingDashboard - MUNI_SHARE p'!$A$1:$AZ$6,MATCH($A20,'[8]PricingDashboard - MUNI_SHARE p'!$A$1:$A23,0),MATCH(O$1,'[8]PricingDashboard - MUNI_SHARE p'!$A$1:$AZ$1,0))</f>
        <v>0</v>
      </c>
      <c r="P24" s="406">
        <f>INDEX('[8]PricingDashboard - MUNI_SHARE p'!$A$1:$AZ$6,MATCH($A20,'[8]PricingDashboard - MUNI_SHARE p'!$A$1:$A23,0),MATCH(P$1,'[8]PricingDashboard - MUNI_SHARE p'!$A$1:$AZ$1,0))</f>
        <v>5.3328605904249002</v>
      </c>
      <c r="Q24" s="406">
        <f>INDEX('[8]PricingDashboard - MUNI_SHARE p'!$A$1:$AZ$6,MATCH($A20,'[8]PricingDashboard - MUNI_SHARE p'!$A$1:$A23,0),MATCH(Q$1,'[8]PricingDashboard - MUNI_SHARE p'!$A$1:$AZ$1,0))</f>
        <v>59.294215249961198</v>
      </c>
      <c r="R24" s="406">
        <f>INDEX('[8]PricingDashboard - MUNI_SHARE p'!$A$1:$AZ$6,MATCH($A20,'[8]PricingDashboard - MUNI_SHARE p'!$A$1:$A23,0),MATCH(R$1,'[8]PricingDashboard - MUNI_SHARE p'!$A$1:$AZ$1,0))</f>
        <v>6.7564349164117496</v>
      </c>
      <c r="S24" s="406">
        <f>INDEX('[8]PricingDashboard - MUNI_SHARE p'!$A$1:$AZ$6,MATCH($A20,'[8]PricingDashboard - MUNI_SHARE p'!$A$1:$A23,0),MATCH(S$1,'[8]PricingDashboard - MUNI_SHARE p'!$A$1:$AZ$1,0))</f>
        <v>30.8426215104612</v>
      </c>
      <c r="T24" s="47">
        <f t="shared" si="3"/>
        <v>659.39484851600344</v>
      </c>
      <c r="V24" s="181">
        <f t="shared" si="1"/>
        <v>102.22613226725905</v>
      </c>
      <c r="W24" s="181"/>
    </row>
    <row r="25" spans="1:23">
      <c r="C25" s="89"/>
      <c r="D25" s="89"/>
      <c r="E25" s="89"/>
      <c r="F25" s="89"/>
      <c r="G25" s="89"/>
      <c r="H25" s="89"/>
      <c r="I25" s="89"/>
      <c r="J25" s="89"/>
      <c r="K25" s="89"/>
      <c r="L25" s="89"/>
      <c r="M25" s="89"/>
      <c r="N25" s="89"/>
      <c r="O25" s="89"/>
      <c r="P25" s="89"/>
      <c r="Q25" s="89"/>
      <c r="R25" s="89"/>
      <c r="S25" s="89"/>
      <c r="T25" s="47"/>
      <c r="V25" s="181">
        <f t="shared" si="1"/>
        <v>0</v>
      </c>
    </row>
    <row r="26" spans="1:23" ht="14.5">
      <c r="A26" s="56" t="s">
        <v>189</v>
      </c>
      <c r="C26" s="89"/>
      <c r="D26" s="89"/>
      <c r="E26" s="89"/>
      <c r="F26" s="89"/>
      <c r="G26" s="89"/>
      <c r="H26" s="89"/>
      <c r="I26" s="89"/>
      <c r="J26" s="89"/>
      <c r="K26" s="89"/>
      <c r="L26" s="89"/>
      <c r="M26" s="89"/>
      <c r="N26" s="89"/>
      <c r="O26" s="89"/>
      <c r="P26" s="89"/>
      <c r="Q26" s="89"/>
      <c r="R26" s="89"/>
      <c r="S26" s="89"/>
      <c r="T26" s="47"/>
      <c r="V26" s="181">
        <f t="shared" si="1"/>
        <v>0</v>
      </c>
    </row>
    <row r="27" spans="1:23">
      <c r="A27" t="s">
        <v>19</v>
      </c>
      <c r="B27" t="s">
        <v>174</v>
      </c>
      <c r="C27" s="406">
        <f>INDEX('[9]PricingDashboard - MUNI_SHARE p'!$A$1:$AZ$6,MATCH($A23,'[9]PricingDashboard - MUNI_SHARE p'!$A$1:$A26,0),MATCH(C$1,'[9]PricingDashboard - MUNI_SHARE p'!$A$1:$AZ$1,0))</f>
        <v>17.337719369999999</v>
      </c>
      <c r="D27" s="406">
        <f>INDEX('[9]PricingDashboard - MUNI_SHARE p'!$A$1:$AZ$6,MATCH($A23,'[9]PricingDashboard - MUNI_SHARE p'!$A$1:$A26,0),MATCH(D$1,'[9]PricingDashboard - MUNI_SHARE p'!$A$1:$AZ$1,0))</f>
        <v>1.9785054E-2</v>
      </c>
      <c r="E27" s="406">
        <f>INDEX('[9]PricingDashboard - MUNI_SHARE p'!$A$1:$AZ$6,MATCH($A23,'[9]PricingDashboard - MUNI_SHARE p'!$A$1:$A26,0),MATCH(E$1,'[9]PricingDashboard - MUNI_SHARE p'!$A$1:$AZ$1,0))</f>
        <v>0</v>
      </c>
      <c r="F27" s="406">
        <f>INDEX('[9]PricingDashboard - MUNI_SHARE p'!$A$1:$AZ$6,MATCH($A23,'[9]PricingDashboard - MUNI_SHARE p'!$A$1:$A26,0),MATCH(F$1,'[9]PricingDashboard - MUNI_SHARE p'!$A$1:$AZ$1,0))</f>
        <v>56.414999350000002</v>
      </c>
      <c r="G27" s="406">
        <f>INDEX('[9]PricingDashboard - MUNI_SHARE p'!$A$1:$AZ$6,MATCH($A23,'[9]PricingDashboard - MUNI_SHARE p'!$A$1:$A26,0),MATCH(G$1,'[9]PricingDashboard - MUNI_SHARE p'!$A$1:$AZ$1,0))</f>
        <v>422.32385970000001</v>
      </c>
      <c r="H27" s="406">
        <f>INDEX('[9]PricingDashboard - MUNI_SHARE p'!$A$1:$AZ$6,MATCH($A23,'[9]PricingDashboard - MUNI_SHARE p'!$A$1:$A26,0),MATCH(H$1,'[9]PricingDashboard - MUNI_SHARE p'!$A$1:$AZ$1,0))</f>
        <v>558.35089819999996</v>
      </c>
      <c r="I27" s="406">
        <f>INDEX('[9]PricingDashboard - MUNI_SHARE p'!$A$1:$AZ$6,MATCH($A23,'[9]PricingDashboard - MUNI_SHARE p'!$A$1:$A26,0),MATCH(I$1,'[9]PricingDashboard - MUNI_SHARE p'!$A$1:$AZ$1,0))</f>
        <v>68.712624590000004</v>
      </c>
      <c r="J27" s="406">
        <f>INDEX('[9]PricingDashboard - MUNI_SHARE p'!$A$1:$AZ$6,MATCH($A23,'[9]PricingDashboard - MUNI_SHARE p'!$A$1:$A26,0),MATCH(J$1,'[9]PricingDashboard - MUNI_SHARE p'!$A$1:$AZ$1,0))</f>
        <v>47.203692250000003</v>
      </c>
      <c r="K27" s="406">
        <f>INDEX('[9]PricingDashboard - MUNI_SHARE p'!$A$1:$AZ$6,MATCH($A23,'[9]PricingDashboard - MUNI_SHARE p'!$A$1:$A26,0),MATCH(K$1,'[9]PricingDashboard - MUNI_SHARE p'!$A$1:$AZ$1,0))</f>
        <v>30.1996462</v>
      </c>
      <c r="L27" s="406">
        <f>INDEX('[9]PricingDashboard - MUNI_SHARE p'!$A$1:$AZ$6,MATCH($A23,'[9]PricingDashboard - MUNI_SHARE p'!$A$1:$A26,0),MATCH(L$1,'[9]PricingDashboard - MUNI_SHARE p'!$A$1:$AZ$1,0))</f>
        <v>274.08992480000001</v>
      </c>
      <c r="M27" s="406">
        <f>INDEX('[9]PricingDashboard - MUNI_SHARE p'!$A$1:$AZ$6,MATCH($A23,'[9]PricingDashboard - MUNI_SHARE p'!$A$1:$A26,0),MATCH(M$1,'[9]PricingDashboard - MUNI_SHARE p'!$A$1:$AZ$1,0))</f>
        <v>7.9859356000000006E-2</v>
      </c>
      <c r="N27" s="406">
        <f>INDEX('[9]PricingDashboard - MUNI_SHARE p'!$A$1:$AZ$6,MATCH($A23,'[9]PricingDashboard - MUNI_SHARE p'!$A$1:$A26,0),MATCH(N$1,'[9]PricingDashboard - MUNI_SHARE p'!$A$1:$AZ$1,0))</f>
        <v>105.8117405</v>
      </c>
      <c r="O27" s="406">
        <f>INDEX('[9]PricingDashboard - MUNI_SHARE p'!$A$1:$AZ$6,MATCH($A23,'[9]PricingDashboard - MUNI_SHARE p'!$A$1:$A26,0),MATCH(O$1,'[9]PricingDashboard - MUNI_SHARE p'!$A$1:$AZ$1,0))</f>
        <v>0</v>
      </c>
      <c r="P27" s="406">
        <f>INDEX('[9]PricingDashboard - MUNI_SHARE p'!$A$1:$AZ$6,MATCH($A23,'[9]PricingDashboard - MUNI_SHARE p'!$A$1:$A26,0),MATCH(P$1,'[9]PricingDashboard - MUNI_SHARE p'!$A$1:$AZ$1,0))</f>
        <v>169.43128909999999</v>
      </c>
      <c r="Q27" s="406">
        <f>INDEX('[9]PricingDashboard - MUNI_SHARE p'!$A$1:$AZ$6,MATCH($A23,'[9]PricingDashboard - MUNI_SHARE p'!$A$1:$A26,0),MATCH(Q$1,'[9]PricingDashboard - MUNI_SHARE p'!$A$1:$AZ$1,0))</f>
        <v>285.93053600000002</v>
      </c>
      <c r="R27" s="406">
        <f>INDEX('[9]PricingDashboard - MUNI_SHARE p'!$A$1:$AZ$6,MATCH($A23,'[9]PricingDashboard - MUNI_SHARE p'!$A$1:$A26,0),MATCH(R$1,'[9]PricingDashboard - MUNI_SHARE p'!$A$1:$AZ$1,0))</f>
        <v>469.7262834</v>
      </c>
      <c r="S27" s="406">
        <f>INDEX('[9]PricingDashboard - MUNI_SHARE p'!$A$1:$AZ$6,MATCH($A23,'[9]PricingDashboard - MUNI_SHARE p'!$A$1:$A26,0),MATCH(S$1,'[9]PricingDashboard - MUNI_SHARE p'!$A$1:$AZ$1,0))</f>
        <v>71.157722289999995</v>
      </c>
      <c r="T27" s="47">
        <f t="shared" si="3"/>
        <v>2576.79058016</v>
      </c>
      <c r="V27" s="181">
        <f t="shared" si="1"/>
        <v>996.2458307899999</v>
      </c>
    </row>
    <row r="28" spans="1:23">
      <c r="A28" t="s">
        <v>175</v>
      </c>
      <c r="B28" t="s">
        <v>174</v>
      </c>
      <c r="C28" s="406">
        <f>INDEX('[9]PricingDashboard - MUNI_SHARE p'!$A$1:$AZ$6,MATCH($A24,'[9]PricingDashboard - MUNI_SHARE p'!$A$1:$A27,0),MATCH(C$1,'[9]PricingDashboard - MUNI_SHARE p'!$A$1:$AZ$1,0))</f>
        <v>6.3755827000000001E-2</v>
      </c>
      <c r="D28" s="406">
        <f>INDEX('[9]PricingDashboard - MUNI_SHARE p'!$A$1:$AZ$6,MATCH($A24,'[9]PricingDashboard - MUNI_SHARE p'!$A$1:$A27,0),MATCH(D$1,'[9]PricingDashboard - MUNI_SHARE p'!$A$1:$AZ$1,0))</f>
        <v>0</v>
      </c>
      <c r="E28" s="406">
        <f>INDEX('[9]PricingDashboard - MUNI_SHARE p'!$A$1:$AZ$6,MATCH($A24,'[9]PricingDashboard - MUNI_SHARE p'!$A$1:$A27,0),MATCH(E$1,'[9]PricingDashboard - MUNI_SHARE p'!$A$1:$AZ$1,0))</f>
        <v>2.4259140349999999</v>
      </c>
      <c r="F28" s="406">
        <f>INDEX('[9]PricingDashboard - MUNI_SHARE p'!$A$1:$AZ$6,MATCH($A24,'[9]PricingDashboard - MUNI_SHARE p'!$A$1:$A27,0),MATCH(F$1,'[9]PricingDashboard - MUNI_SHARE p'!$A$1:$AZ$1,0))</f>
        <v>0.98889801200000005</v>
      </c>
      <c r="G28" s="406">
        <f>INDEX('[9]PricingDashboard - MUNI_SHARE p'!$A$1:$AZ$6,MATCH($A24,'[9]PricingDashboard - MUNI_SHARE p'!$A$1:$A27,0),MATCH(G$1,'[9]PricingDashboard - MUNI_SHARE p'!$A$1:$AZ$1,0))</f>
        <v>102.8246393</v>
      </c>
      <c r="H28" s="406">
        <f>INDEX('[9]PricingDashboard - MUNI_SHARE p'!$A$1:$AZ$6,MATCH($A24,'[9]PricingDashboard - MUNI_SHARE p'!$A$1:$A27,0),MATCH(H$1,'[9]PricingDashboard - MUNI_SHARE p'!$A$1:$AZ$1,0))</f>
        <v>201.42457350000001</v>
      </c>
      <c r="I28" s="406">
        <f>INDEX('[9]PricingDashboard - MUNI_SHARE p'!$A$1:$AZ$6,MATCH($A24,'[9]PricingDashboard - MUNI_SHARE p'!$A$1:$A27,0),MATCH(I$1,'[9]PricingDashboard - MUNI_SHARE p'!$A$1:$AZ$1,0))</f>
        <v>22.821504780000001</v>
      </c>
      <c r="J28" s="406">
        <f>INDEX('[9]PricingDashboard - MUNI_SHARE p'!$A$1:$AZ$6,MATCH($A24,'[9]PricingDashboard - MUNI_SHARE p'!$A$1:$A27,0),MATCH(J$1,'[9]PricingDashboard - MUNI_SHARE p'!$A$1:$AZ$1,0))</f>
        <v>2.7310621089999998</v>
      </c>
      <c r="K28" s="406">
        <f>INDEX('[9]PricingDashboard - MUNI_SHARE p'!$A$1:$AZ$6,MATCH($A24,'[9]PricingDashboard - MUNI_SHARE p'!$A$1:$A27,0),MATCH(K$1,'[9]PricingDashboard - MUNI_SHARE p'!$A$1:$AZ$1,0))</f>
        <v>1.5992697469999999</v>
      </c>
      <c r="L28" s="406">
        <f>INDEX('[9]PricingDashboard - MUNI_SHARE p'!$A$1:$AZ$6,MATCH($A24,'[9]PricingDashboard - MUNI_SHARE p'!$A$1:$A27,0),MATCH(L$1,'[9]PricingDashboard - MUNI_SHARE p'!$A$1:$AZ$1,0))</f>
        <v>146.92599200000001</v>
      </c>
      <c r="M28" s="406">
        <f>INDEX('[9]PricingDashboard - MUNI_SHARE p'!$A$1:$AZ$6,MATCH($A24,'[9]PricingDashboard - MUNI_SHARE p'!$A$1:$A27,0),MATCH(M$1,'[9]PricingDashboard - MUNI_SHARE p'!$A$1:$AZ$1,0))</f>
        <v>0</v>
      </c>
      <c r="N28" s="406">
        <f>INDEX('[9]PricingDashboard - MUNI_SHARE p'!$A$1:$AZ$6,MATCH($A24,'[9]PricingDashboard - MUNI_SHARE p'!$A$1:$A27,0),MATCH(N$1,'[9]PricingDashboard - MUNI_SHARE p'!$A$1:$AZ$1,0))</f>
        <v>1.364317934</v>
      </c>
      <c r="O28" s="406">
        <f>INDEX('[9]PricingDashboard - MUNI_SHARE p'!$A$1:$AZ$6,MATCH($A24,'[9]PricingDashboard - MUNI_SHARE p'!$A$1:$A27,0),MATCH(O$1,'[9]PricingDashboard - MUNI_SHARE p'!$A$1:$AZ$1,0))</f>
        <v>0</v>
      </c>
      <c r="P28" s="406">
        <f>INDEX('[9]PricingDashboard - MUNI_SHARE p'!$A$1:$AZ$6,MATCH($A24,'[9]PricingDashboard - MUNI_SHARE p'!$A$1:$A27,0),MATCH(P$1,'[9]PricingDashboard - MUNI_SHARE p'!$A$1:$AZ$1,0))</f>
        <v>4.5827317990000003</v>
      </c>
      <c r="Q28" s="406">
        <f>INDEX('[9]PricingDashboard - MUNI_SHARE p'!$A$1:$AZ$6,MATCH($A24,'[9]PricingDashboard - MUNI_SHARE p'!$A$1:$A27,0),MATCH(Q$1,'[9]PricingDashboard - MUNI_SHARE p'!$A$1:$AZ$1,0))</f>
        <v>57.219685300000002</v>
      </c>
      <c r="R28" s="406">
        <f>INDEX('[9]PricingDashboard - MUNI_SHARE p'!$A$1:$AZ$6,MATCH($A24,'[9]PricingDashboard - MUNI_SHARE p'!$A$1:$A27,0),MATCH(R$1,'[9]PricingDashboard - MUNI_SHARE p'!$A$1:$AZ$1,0))</f>
        <v>6.3954073319999996</v>
      </c>
      <c r="S28" s="406">
        <f>INDEX('[9]PricingDashboard - MUNI_SHARE p'!$A$1:$AZ$6,MATCH($A24,'[9]PricingDashboard - MUNI_SHARE p'!$A$1:$A27,0),MATCH(S$1,'[9]PricingDashboard - MUNI_SHARE p'!$A$1:$AZ$1,0))</f>
        <v>27.826559069999998</v>
      </c>
      <c r="T28" s="47">
        <f t="shared" si="3"/>
        <v>579.19431074500005</v>
      </c>
      <c r="V28" s="181">
        <f t="shared" si="1"/>
        <v>96.024383501000003</v>
      </c>
      <c r="W28" s="181"/>
    </row>
    <row r="29" spans="1:23">
      <c r="C29" s="89"/>
      <c r="D29" s="89"/>
      <c r="E29" s="89"/>
      <c r="F29" s="89"/>
      <c r="G29" s="89"/>
      <c r="H29" s="89"/>
      <c r="I29" s="89"/>
      <c r="J29" s="89"/>
      <c r="K29" s="89"/>
      <c r="L29" s="89"/>
      <c r="M29" s="89"/>
      <c r="N29" s="89"/>
      <c r="O29" s="89"/>
      <c r="P29" s="89"/>
      <c r="Q29" s="89"/>
      <c r="R29" s="89"/>
      <c r="S29" s="89"/>
      <c r="T29" s="47"/>
      <c r="V29" s="181"/>
    </row>
    <row r="30" spans="1:23" ht="14.5">
      <c r="A30" s="56" t="s">
        <v>52</v>
      </c>
      <c r="C30" s="89"/>
      <c r="D30" s="89"/>
      <c r="E30" s="89"/>
      <c r="F30" s="89"/>
      <c r="G30" s="89"/>
      <c r="H30" s="89"/>
      <c r="I30" s="89"/>
      <c r="J30" s="89"/>
      <c r="K30" s="89"/>
      <c r="L30" s="89"/>
      <c r="M30" s="89"/>
      <c r="N30" s="89"/>
      <c r="O30" s="89"/>
      <c r="P30" s="89"/>
      <c r="Q30" s="89"/>
      <c r="R30" s="89"/>
      <c r="S30" s="89"/>
      <c r="T30" s="47"/>
      <c r="V30" s="181"/>
    </row>
    <row r="31" spans="1:23">
      <c r="A31" t="s">
        <v>19</v>
      </c>
      <c r="B31" t="s">
        <v>174</v>
      </c>
      <c r="C31" s="406">
        <f>INDEX('[10]PricingDashboard - MUNI_SHARE p'!$A$1:$AZ$6,MATCH($A27,'[10]PricingDashboard - MUNI_SHARE p'!$A$1:$A30,0),MATCH(C$1,'[10]PricingDashboard - MUNI_SHARE p'!$A$1:$AZ$1,0))</f>
        <v>17.267959512854901</v>
      </c>
      <c r="D31" s="406">
        <f>INDEX('[10]PricingDashboard - MUNI_SHARE p'!$A$1:$AZ$6,MATCH($A27,'[10]PricingDashboard - MUNI_SHARE p'!$A$1:$A30,0),MATCH(D$1,'[10]PricingDashboard - MUNI_SHARE p'!$A$1:$AZ$1,0))</f>
        <v>402.68744511013898</v>
      </c>
      <c r="E31" s="406">
        <v>0</v>
      </c>
      <c r="F31" s="406">
        <f>INDEX('[10]PricingDashboard - MUNI_SHARE p'!$A$1:$AZ$6,MATCH($A27,'[10]PricingDashboard - MUNI_SHARE p'!$A$1:$A30,0),MATCH(F$1,'[10]PricingDashboard - MUNI_SHARE p'!$A$1:$AZ$1,0))</f>
        <v>73.456266264050001</v>
      </c>
      <c r="G31" s="406">
        <f>INDEX('[10]PricingDashboard - MUNI_SHARE p'!$A$1:$AZ$6,MATCH($A27,'[10]PricingDashboard - MUNI_SHARE p'!$A$1:$A30,0),MATCH(G$1,'[10]PricingDashboard - MUNI_SHARE p'!$A$1:$AZ$1,0))</f>
        <v>435.70854986384001</v>
      </c>
      <c r="H31" s="406">
        <f>INDEX('[10]PricingDashboard - MUNI_SHARE p'!$A$1:$AZ$6,MATCH($A27,'[10]PricingDashboard - MUNI_SHARE p'!$A$1:$A30,0),MATCH(H$1,'[10]PricingDashboard - MUNI_SHARE p'!$A$1:$AZ$1,0))</f>
        <v>582.30496679685302</v>
      </c>
      <c r="I31" s="406">
        <f>INDEX('[10]PricingDashboard - MUNI_SHARE p'!$A$1:$AZ$6,MATCH($A27,'[10]PricingDashboard - MUNI_SHARE p'!$A$1:$A30,0),MATCH(I$1,'[10]PricingDashboard - MUNI_SHARE p'!$A$1:$AZ$1,0))</f>
        <v>68.012564287005702</v>
      </c>
      <c r="J31" s="406">
        <f>INDEX('[10]PricingDashboard - MUNI_SHARE p'!$A$1:$AZ$6,MATCH($A27,'[10]PricingDashboard - MUNI_SHARE p'!$A$1:$A30,0),MATCH(J$1,'[10]PricingDashboard - MUNI_SHARE p'!$A$1:$AZ$1,0))</f>
        <v>51.146986418282196</v>
      </c>
      <c r="K31" s="406">
        <f>INDEX('[10]PricingDashboard - MUNI_SHARE p'!$A$1:$AZ$6,MATCH($A27,'[10]PricingDashboard - MUNI_SHARE p'!$A$1:$A30,0),MATCH(K$1,'[10]PricingDashboard - MUNI_SHARE p'!$A$1:$AZ$1,0))</f>
        <v>32.493306247678198</v>
      </c>
      <c r="L31" s="406">
        <f>INDEX('[10]PricingDashboard - MUNI_SHARE p'!$A$1:$AZ$6,MATCH($A27,'[10]PricingDashboard - MUNI_SHARE p'!$A$1:$A30,0),MATCH(L$1,'[10]PricingDashboard - MUNI_SHARE p'!$A$1:$AZ$1,0))</f>
        <v>298.43224522755003</v>
      </c>
      <c r="M31" s="406">
        <v>0</v>
      </c>
      <c r="N31" s="406">
        <f>INDEX('[10]PricingDashboard - MUNI_SHARE p'!$A$1:$AZ$6,MATCH($A27,'[10]PricingDashboard - MUNI_SHARE p'!$A$1:$A30,0),MATCH(N$1,'[10]PricingDashboard - MUNI_SHARE p'!$A$1:$AZ$1,0))</f>
        <v>105.179935341307</v>
      </c>
      <c r="O31" s="406">
        <f>INDEX('[10]PricingDashboard - MUNI_SHARE p'!$A$1:$AZ$6,MATCH($A27,'[10]PricingDashboard - MUNI_SHARE p'!$A$1:$A30,0),MATCH(O$1,'[10]PricingDashboard - MUNI_SHARE p'!$A$1:$AZ$1,0))</f>
        <v>0</v>
      </c>
      <c r="P31" s="406">
        <f>INDEX('[10]PricingDashboard - MUNI_SHARE p'!$A$1:$AZ$6,MATCH($A27,'[10]PricingDashboard - MUNI_SHARE p'!$A$1:$A30,0),MATCH(P$1,'[10]PricingDashboard - MUNI_SHARE p'!$A$1:$AZ$1,0))</f>
        <v>171.72135282165999</v>
      </c>
      <c r="Q31" s="406">
        <f>INDEX('[10]PricingDashboard - MUNI_SHARE p'!$A$1:$AZ$6,MATCH($A27,'[10]PricingDashboard - MUNI_SHARE p'!$A$1:$A30,0),MATCH(Q$1,'[10]PricingDashboard - MUNI_SHARE p'!$A$1:$AZ$1,0))</f>
        <v>280.65870251858001</v>
      </c>
      <c r="R31" s="406">
        <f>INDEX('[10]PricingDashboard - MUNI_SHARE p'!$A$1:$AZ$6,MATCH($A27,'[10]PricingDashboard - MUNI_SHARE p'!$A$1:$A30,0),MATCH(R$1,'[10]PricingDashboard - MUNI_SHARE p'!$A$1:$AZ$1,0))</f>
        <v>503.630116626524</v>
      </c>
      <c r="S31" s="406">
        <f>INDEX('[10]PricingDashboard - MUNI_SHARE p'!$A$1:$AZ$6,MATCH($A27,'[10]PricingDashboard - MUNI_SHARE p'!$A$1:$A30,0),MATCH(S$1,'[10]PricingDashboard - MUNI_SHARE p'!$A$1:$AZ$1,0))</f>
        <v>79.130605751750096</v>
      </c>
      <c r="T31" s="47">
        <f t="shared" si="3"/>
        <v>3101.8310027880739</v>
      </c>
      <c r="V31" s="181">
        <f t="shared" si="1"/>
        <v>1035.1407777185141</v>
      </c>
    </row>
    <row r="32" spans="1:23">
      <c r="A32" t="s">
        <v>175</v>
      </c>
      <c r="B32" t="s">
        <v>174</v>
      </c>
      <c r="C32" s="406">
        <f>INDEX('[10]PricingDashboard - MUNI_SHARE p'!$A$1:$AZ$6,MATCH($A28,'[10]PricingDashboard - MUNI_SHARE p'!$A$1:$A31,0),MATCH(C$1,'[10]PricingDashboard - MUNI_SHARE p'!$A$1:$AZ$1,0))</f>
        <v>6.4899358961779896E-2</v>
      </c>
      <c r="D32" s="406">
        <f>INDEX('[10]PricingDashboard - MUNI_SHARE p'!$A$1:$AZ$6,MATCH($A28,'[10]PricingDashboard - MUNI_SHARE p'!$A$1:$A31,0),MATCH(D$1,'[10]PricingDashboard - MUNI_SHARE p'!$A$1:$AZ$1,0))</f>
        <v>119.807230586705</v>
      </c>
      <c r="E32" s="406">
        <v>0</v>
      </c>
      <c r="F32" s="406">
        <f>INDEX('[10]PricingDashboard - MUNI_SHARE p'!$A$1:$AZ$6,MATCH($A28,'[10]PricingDashboard - MUNI_SHARE p'!$A$1:$A31,0),MATCH(F$1,'[10]PricingDashboard - MUNI_SHARE p'!$A$1:$AZ$1,0))</f>
        <v>1.30270967517778</v>
      </c>
      <c r="G32" s="406">
        <f>INDEX('[10]PricingDashboard - MUNI_SHARE p'!$A$1:$AZ$6,MATCH($A28,'[10]PricingDashboard - MUNI_SHARE p'!$A$1:$A31,0),MATCH(G$1,'[10]PricingDashboard - MUNI_SHARE p'!$A$1:$AZ$1,0))</f>
        <v>107.10418943052299</v>
      </c>
      <c r="H32" s="406">
        <f>INDEX('[10]PricingDashboard - MUNI_SHARE p'!$A$1:$AZ$6,MATCH($A28,'[10]PricingDashboard - MUNI_SHARE p'!$A$1:$A31,0),MATCH(H$1,'[10]PricingDashboard - MUNI_SHARE p'!$A$1:$AZ$1,0))</f>
        <v>199.332696734801</v>
      </c>
      <c r="I32" s="406">
        <f>INDEX('[10]PricingDashboard - MUNI_SHARE p'!$A$1:$AZ$6,MATCH($A28,'[10]PricingDashboard - MUNI_SHARE p'!$A$1:$A31,0),MATCH(I$1,'[10]PricingDashboard - MUNI_SHARE p'!$A$1:$AZ$1,0))</f>
        <v>21.0475954351162</v>
      </c>
      <c r="J32" s="406">
        <f>INDEX('[10]PricingDashboard - MUNI_SHARE p'!$A$1:$AZ$6,MATCH($A28,'[10]PricingDashboard - MUNI_SHARE p'!$A$1:$A31,0),MATCH(J$1,'[10]PricingDashboard - MUNI_SHARE p'!$A$1:$AZ$1,0))</f>
        <v>3.20552827019258</v>
      </c>
      <c r="K32" s="406">
        <f>INDEX('[10]PricingDashboard - MUNI_SHARE p'!$A$1:$AZ$6,MATCH($A28,'[10]PricingDashboard - MUNI_SHARE p'!$A$1:$A31,0),MATCH(K$1,'[10]PricingDashboard - MUNI_SHARE p'!$A$1:$AZ$1,0))</f>
        <v>1.9873171651743999</v>
      </c>
      <c r="L32" s="406">
        <f>INDEX('[10]PricingDashboard - MUNI_SHARE p'!$A$1:$AZ$6,MATCH($A28,'[10]PricingDashboard - MUNI_SHARE p'!$A$1:$A31,0),MATCH(L$1,'[10]PricingDashboard - MUNI_SHARE p'!$A$1:$AZ$1,0))</f>
        <v>143.61497653097501</v>
      </c>
      <c r="M32" s="406">
        <v>0</v>
      </c>
      <c r="N32" s="406">
        <f>INDEX('[10]PricingDashboard - MUNI_SHARE p'!$A$1:$AZ$6,MATCH($A28,'[10]PricingDashboard - MUNI_SHARE p'!$A$1:$A31,0),MATCH(N$1,'[10]PricingDashboard - MUNI_SHARE p'!$A$1:$AZ$1,0))</f>
        <v>1.7074288908516999</v>
      </c>
      <c r="O32" s="406">
        <f>INDEX('[10]PricingDashboard - MUNI_SHARE p'!$A$1:$AZ$6,MATCH($A28,'[10]PricingDashboard - MUNI_SHARE p'!$A$1:$A31,0),MATCH(O$1,'[10]PricingDashboard - MUNI_SHARE p'!$A$1:$AZ$1,0))</f>
        <v>0</v>
      </c>
      <c r="P32" s="406">
        <f>INDEX('[10]PricingDashboard - MUNI_SHARE p'!$A$1:$AZ$6,MATCH($A28,'[10]PricingDashboard - MUNI_SHARE p'!$A$1:$A31,0),MATCH(P$1,'[10]PricingDashboard - MUNI_SHARE p'!$A$1:$AZ$1,0))</f>
        <v>5.3131028048397804</v>
      </c>
      <c r="Q32" s="406">
        <f>INDEX('[10]PricingDashboard - MUNI_SHARE p'!$A$1:$AZ$6,MATCH($A28,'[10]PricingDashboard - MUNI_SHARE p'!$A$1:$A31,0),MATCH(Q$1,'[10]PricingDashboard - MUNI_SHARE p'!$A$1:$AZ$1,0))</f>
        <v>59.822731398828601</v>
      </c>
      <c r="R32" s="406">
        <f>INDEX('[10]PricingDashboard - MUNI_SHARE p'!$A$1:$AZ$6,MATCH($A28,'[10]PricingDashboard - MUNI_SHARE p'!$A$1:$A31,0),MATCH(R$1,'[10]PricingDashboard - MUNI_SHARE p'!$A$1:$AZ$1,0))</f>
        <v>7.4830998054261801</v>
      </c>
      <c r="S32" s="406">
        <f>INDEX('[10]PricingDashboard - MUNI_SHARE p'!$A$1:$AZ$6,MATCH($A28,'[10]PricingDashboard - MUNI_SHARE p'!$A$1:$A31,0),MATCH(S$1,'[10]PricingDashboard - MUNI_SHARE p'!$A$1:$AZ$1,0))</f>
        <v>29.985061072221399</v>
      </c>
      <c r="T32" s="47">
        <f t="shared" si="3"/>
        <v>701.77856715979442</v>
      </c>
      <c r="V32" s="181">
        <f t="shared" si="1"/>
        <v>102.60399508131596</v>
      </c>
      <c r="W32" s="181"/>
    </row>
    <row r="33" spans="1:23">
      <c r="C33" s="89"/>
      <c r="D33" s="89"/>
      <c r="E33" s="89"/>
      <c r="F33" s="89"/>
      <c r="G33" s="89"/>
      <c r="H33" s="89"/>
      <c r="I33" s="89"/>
      <c r="J33" s="89"/>
      <c r="K33" s="89"/>
      <c r="L33" s="89"/>
      <c r="M33" s="89"/>
      <c r="N33" s="89"/>
      <c r="O33" s="89"/>
      <c r="P33" s="89"/>
      <c r="Q33" s="89"/>
      <c r="R33" s="89"/>
      <c r="S33" s="89"/>
      <c r="T33" s="47"/>
      <c r="V33" s="181"/>
    </row>
    <row r="34" spans="1:23" ht="14.5">
      <c r="A34" s="56" t="s">
        <v>194</v>
      </c>
      <c r="C34" s="89"/>
      <c r="D34" s="89"/>
      <c r="E34" s="89"/>
      <c r="F34" s="89"/>
      <c r="G34" s="89"/>
      <c r="H34" s="89"/>
      <c r="I34" s="89"/>
      <c r="J34" s="89"/>
      <c r="K34" s="89"/>
      <c r="L34" s="89"/>
      <c r="M34" s="89"/>
      <c r="N34" s="89"/>
      <c r="O34" s="89"/>
      <c r="P34" s="89"/>
      <c r="Q34" s="89"/>
      <c r="R34" s="89"/>
      <c r="S34" s="89"/>
      <c r="T34" s="47"/>
      <c r="V34" s="181"/>
    </row>
    <row r="35" spans="1:23">
      <c r="A35" t="s">
        <v>19</v>
      </c>
      <c r="B35" t="s">
        <v>174</v>
      </c>
      <c r="C35" s="406">
        <f>INDEX('[11]PricingDashboard - MUNI_SHARE p'!$A$1:$AZ$6,MATCH($A31,'[11]PricingDashboard - MUNI_SHARE p'!$A$1:$A34,0),MATCH(C$1,'[11]PricingDashboard - MUNI_SHARE p'!$A$1:$AZ$1,0))</f>
        <v>17.5827556814308</v>
      </c>
      <c r="D35" s="406">
        <f>INDEX('[11]PricingDashboard - MUNI_SHARE p'!$A$1:$AZ$6,MATCH($A31,'[11]PricingDashboard - MUNI_SHARE p'!$A$1:$A34,0),MATCH(D$1,'[11]PricingDashboard - MUNI_SHARE p'!$A$1:$AZ$1,0))</f>
        <v>342.01170681218201</v>
      </c>
      <c r="E35" s="406">
        <v>0</v>
      </c>
      <c r="F35" s="406">
        <f>INDEX('[11]PricingDashboard - MUNI_SHARE p'!$A$1:$AZ$6,MATCH($A31,'[11]PricingDashboard - MUNI_SHARE p'!$A$1:$A34,0),MATCH(F$1,'[11]PricingDashboard - MUNI_SHARE p'!$A$1:$AZ$1,0))</f>
        <v>63.478480816597802</v>
      </c>
      <c r="G35" s="406">
        <f>INDEX('[11]PricingDashboard - MUNI_SHARE p'!$A$1:$AZ$6,MATCH($A31,'[11]PricingDashboard - MUNI_SHARE p'!$A$1:$A34,0),MATCH(G$1,'[11]PricingDashboard - MUNI_SHARE p'!$A$1:$AZ$1,0))</f>
        <v>385.63170435948302</v>
      </c>
      <c r="H35" s="406">
        <f>INDEX('[11]PricingDashboard - MUNI_SHARE p'!$A$1:$AZ$6,MATCH($A31,'[11]PricingDashboard - MUNI_SHARE p'!$A$1:$A34,0),MATCH(H$1,'[11]PricingDashboard - MUNI_SHARE p'!$A$1:$AZ$1,0))</f>
        <v>525.67599144343001</v>
      </c>
      <c r="I35" s="406">
        <f>INDEX('[11]PricingDashboard - MUNI_SHARE p'!$A$1:$AZ$6,MATCH($A31,'[11]PricingDashboard - MUNI_SHARE p'!$A$1:$A34,0),MATCH(I$1,'[11]PricingDashboard - MUNI_SHARE p'!$A$1:$AZ$1,0))</f>
        <v>70.044581543485805</v>
      </c>
      <c r="J35" s="406">
        <f>INDEX('[11]PricingDashboard - MUNI_SHARE p'!$A$1:$AZ$6,MATCH($A31,'[11]PricingDashboard - MUNI_SHARE p'!$A$1:$A34,0),MATCH(J$1,'[11]PricingDashboard - MUNI_SHARE p'!$A$1:$AZ$1,0))</f>
        <v>63.229809374040698</v>
      </c>
      <c r="K35" s="406">
        <f>INDEX('[11]PricingDashboard - MUNI_SHARE p'!$A$1:$AZ$6,MATCH($A31,'[11]PricingDashboard - MUNI_SHARE p'!$A$1:$A34,0),MATCH(K$1,'[11]PricingDashboard - MUNI_SHARE p'!$A$1:$AZ$1,0))</f>
        <v>30.4859854727844</v>
      </c>
      <c r="L35" s="406">
        <f>INDEX('[11]PricingDashboard - MUNI_SHARE p'!$A$1:$AZ$6,MATCH($A31,'[11]PricingDashboard - MUNI_SHARE p'!$A$1:$A34,0),MATCH(L$1,'[11]PricingDashboard - MUNI_SHARE p'!$A$1:$AZ$1,0))</f>
        <v>275.513431602477</v>
      </c>
      <c r="M35" s="406">
        <v>0</v>
      </c>
      <c r="N35" s="406">
        <f>INDEX('[11]PricingDashboard - MUNI_SHARE p'!$A$1:$AZ$6,MATCH($A31,'[11]PricingDashboard - MUNI_SHARE p'!$A$1:$A34,0),MATCH(N$1,'[11]PricingDashboard - MUNI_SHARE p'!$A$1:$AZ$1,0))</f>
        <v>101.43105877977101</v>
      </c>
      <c r="O35" s="406">
        <v>0</v>
      </c>
      <c r="P35" s="406">
        <f>INDEX('[11]PricingDashboard - MUNI_SHARE p'!$A$1:$AZ$6,MATCH($A31,'[11]PricingDashboard - MUNI_SHARE p'!$A$1:$A34,0),MATCH(P$1,'[11]PricingDashboard - MUNI_SHARE p'!$A$1:$AZ$1,0))</f>
        <v>147.062616621698</v>
      </c>
      <c r="Q35" s="406">
        <f>INDEX('[11]PricingDashboard - MUNI_SHARE p'!$A$1:$AZ$6,MATCH($A31,'[11]PricingDashboard - MUNI_SHARE p'!$A$1:$A34,0),MATCH(Q$1,'[11]PricingDashboard - MUNI_SHARE p'!$A$1:$AZ$1,0))</f>
        <v>260.18726598367903</v>
      </c>
      <c r="R35" s="406">
        <f>INDEX('[11]PricingDashboard - MUNI_SHARE p'!$A$1:$AZ$6,MATCH($A31,'[11]PricingDashboard - MUNI_SHARE p'!$A$1:$A34,0),MATCH(R$1,'[11]PricingDashboard - MUNI_SHARE p'!$A$1:$AZ$1,0))</f>
        <v>436.726470392723</v>
      </c>
      <c r="S35" s="406">
        <f>INDEX('[11]PricingDashboard - MUNI_SHARE p'!$A$1:$AZ$6,MATCH($A31,'[11]PricingDashboard - MUNI_SHARE p'!$A$1:$A34,0),MATCH(S$1,'[11]PricingDashboard - MUNI_SHARE p'!$A$1:$AZ$1,0))</f>
        <v>68.860355766935896</v>
      </c>
      <c r="T35" s="47">
        <f t="shared" si="3"/>
        <v>2787.9222146507191</v>
      </c>
      <c r="V35" s="181">
        <f t="shared" si="1"/>
        <v>912.83670876503595</v>
      </c>
    </row>
    <row r="36" spans="1:23" ht="12" customHeight="1">
      <c r="A36" t="s">
        <v>175</v>
      </c>
      <c r="B36" t="s">
        <v>174</v>
      </c>
      <c r="C36" s="406">
        <f>INDEX('[11]PricingDashboard - MUNI_SHARE p'!$A$1:$AZ$6,MATCH($A32,'[11]PricingDashboard - MUNI_SHARE p'!$A$1:$A35,0),MATCH(C$1,'[11]PricingDashboard - MUNI_SHARE p'!$A$1:$AZ$1,0))</f>
        <v>8.3580680700665197E-2</v>
      </c>
      <c r="D36" s="406">
        <f>INDEX('[11]PricingDashboard - MUNI_SHARE p'!$A$1:$AZ$6,MATCH($A32,'[11]PricingDashboard - MUNI_SHARE p'!$A$1:$A35,0),MATCH(D$1,'[11]PricingDashboard - MUNI_SHARE p'!$A$1:$AZ$1,0))</f>
        <v>120.19301774008601</v>
      </c>
      <c r="E36" s="406">
        <v>0</v>
      </c>
      <c r="F36" s="406">
        <f>INDEX('[11]PricingDashboard - MUNI_SHARE p'!$A$1:$AZ$6,MATCH($A32,'[11]PricingDashboard - MUNI_SHARE p'!$A$1:$A35,0),MATCH(F$1,'[11]PricingDashboard - MUNI_SHARE p'!$A$1:$AZ$1,0))</f>
        <v>1.06160479726117</v>
      </c>
      <c r="G36" s="406">
        <f>INDEX('[11]PricingDashboard - MUNI_SHARE p'!$A$1:$AZ$6,MATCH($A32,'[11]PricingDashboard - MUNI_SHARE p'!$A$1:$A35,0),MATCH(G$1,'[11]PricingDashboard - MUNI_SHARE p'!$A$1:$AZ$1,0))</f>
        <v>100.96272329415299</v>
      </c>
      <c r="H36" s="406">
        <f>INDEX('[11]PricingDashboard - MUNI_SHARE p'!$A$1:$AZ$6,MATCH($A32,'[11]PricingDashboard - MUNI_SHARE p'!$A$1:$A35,0),MATCH(H$1,'[11]PricingDashboard - MUNI_SHARE p'!$A$1:$AZ$1,0))</f>
        <v>187.988248617468</v>
      </c>
      <c r="I36" s="406">
        <f>INDEX('[11]PricingDashboard - MUNI_SHARE p'!$A$1:$AZ$6,MATCH($A32,'[11]PricingDashboard - MUNI_SHARE p'!$A$1:$A35,0),MATCH(I$1,'[11]PricingDashboard - MUNI_SHARE p'!$A$1:$AZ$1,0))</f>
        <v>20.1628662648241</v>
      </c>
      <c r="J36" s="406">
        <f>INDEX('[11]PricingDashboard - MUNI_SHARE p'!$A$1:$AZ$6,MATCH($A32,'[11]PricingDashboard - MUNI_SHARE p'!$A$1:$A35,0),MATCH(J$1,'[11]PricingDashboard - MUNI_SHARE p'!$A$1:$AZ$1,0))</f>
        <v>2.46454545025107</v>
      </c>
      <c r="K36" s="406">
        <f>INDEX('[11]PricingDashboard - MUNI_SHARE p'!$A$1:$AZ$6,MATCH($A32,'[11]PricingDashboard - MUNI_SHARE p'!$A$1:$A35,0),MATCH(K$1,'[11]PricingDashboard - MUNI_SHARE p'!$A$1:$AZ$1,0))</f>
        <v>1.9848431452041599</v>
      </c>
      <c r="L36" s="406">
        <f>INDEX('[11]PricingDashboard - MUNI_SHARE p'!$A$1:$AZ$6,MATCH($A32,'[11]PricingDashboard - MUNI_SHARE p'!$A$1:$A35,0),MATCH(L$1,'[11]PricingDashboard - MUNI_SHARE p'!$A$1:$AZ$1,0))</f>
        <v>128.54140289662101</v>
      </c>
      <c r="M36" s="406">
        <v>0</v>
      </c>
      <c r="N36" s="406">
        <f>INDEX('[11]PricingDashboard - MUNI_SHARE p'!$A$1:$AZ$6,MATCH($A32,'[11]PricingDashboard - MUNI_SHARE p'!$A$1:$A35,0),MATCH(N$1,'[11]PricingDashboard - MUNI_SHARE p'!$A$1:$AZ$1,0))</f>
        <v>1.4204991289737501</v>
      </c>
      <c r="O36" s="406">
        <v>0</v>
      </c>
      <c r="P36" s="406">
        <f>INDEX('[11]PricingDashboard - MUNI_SHARE p'!$A$1:$AZ$6,MATCH($A32,'[11]PricingDashboard - MUNI_SHARE p'!$A$1:$A35,0),MATCH(P$1,'[11]PricingDashboard - MUNI_SHARE p'!$A$1:$AZ$1,0))</f>
        <v>5.8286299878991397</v>
      </c>
      <c r="Q36" s="406">
        <f>INDEX('[11]PricingDashboard - MUNI_SHARE p'!$A$1:$AZ$6,MATCH($A32,'[11]PricingDashboard - MUNI_SHARE p'!$A$1:$A35,0),MATCH(Q$1,'[11]PricingDashboard - MUNI_SHARE p'!$A$1:$AZ$1,0))</f>
        <v>52.909122683034198</v>
      </c>
      <c r="R36" s="406">
        <f>INDEX('[11]PricingDashboard - MUNI_SHARE p'!$A$1:$AZ$6,MATCH($A32,'[11]PricingDashboard - MUNI_SHARE p'!$A$1:$A35,0),MATCH(R$1,'[11]PricingDashboard - MUNI_SHARE p'!$A$1:$AZ$1,0))</f>
        <v>6.4245482617363301</v>
      </c>
      <c r="S36" s="406">
        <f>INDEX('[11]PricingDashboard - MUNI_SHARE p'!$A$1:$AZ$6,MATCH($A32,'[11]PricingDashboard - MUNI_SHARE p'!$A$1:$A35,0),MATCH(S$1,'[11]PricingDashboard - MUNI_SHARE p'!$A$1:$AZ$1,0))</f>
        <v>28.648110227979299</v>
      </c>
      <c r="T36" s="47">
        <f t="shared" si="3"/>
        <v>658.67374317619181</v>
      </c>
      <c r="V36" s="181">
        <f t="shared" si="1"/>
        <v>93.810411160648968</v>
      </c>
      <c r="W36" s="181"/>
    </row>
    <row r="37" spans="1:23">
      <c r="C37" s="89"/>
      <c r="D37" s="89"/>
      <c r="E37" s="89"/>
      <c r="F37" s="89"/>
      <c r="G37" s="89"/>
      <c r="H37" s="89"/>
      <c r="I37" s="89"/>
      <c r="J37" s="89"/>
      <c r="K37" s="89"/>
      <c r="L37" s="89"/>
      <c r="M37" s="89"/>
      <c r="N37" s="89"/>
      <c r="O37" s="89"/>
      <c r="P37" s="89"/>
      <c r="Q37" s="89"/>
      <c r="R37" s="89"/>
      <c r="S37" s="89"/>
      <c r="V37" s="181">
        <f t="shared" si="1"/>
        <v>0</v>
      </c>
    </row>
    <row r="38" spans="1:23" ht="14.5">
      <c r="A38" s="56" t="s">
        <v>195</v>
      </c>
      <c r="C38" s="89"/>
      <c r="D38" s="89"/>
      <c r="E38" s="89"/>
      <c r="F38" s="89"/>
      <c r="G38" s="89"/>
      <c r="H38" s="89"/>
      <c r="I38" s="89"/>
      <c r="J38" s="89"/>
      <c r="K38" s="89"/>
      <c r="L38" s="89"/>
      <c r="M38" s="89"/>
      <c r="N38" s="89"/>
      <c r="O38" s="89"/>
      <c r="P38" s="89"/>
      <c r="Q38" s="89"/>
      <c r="R38" s="89"/>
      <c r="S38" s="89"/>
      <c r="T38" s="47"/>
      <c r="V38" s="181">
        <f t="shared" si="1"/>
        <v>0</v>
      </c>
    </row>
    <row r="39" spans="1:23">
      <c r="A39" t="s">
        <v>19</v>
      </c>
      <c r="B39" t="s">
        <v>174</v>
      </c>
      <c r="C39" s="406">
        <v>16.579999999999998</v>
      </c>
      <c r="D39" s="406">
        <v>402.42</v>
      </c>
      <c r="E39" s="406">
        <f t="shared" ref="E39:O39" si="4">E35</f>
        <v>0</v>
      </c>
      <c r="F39" s="406">
        <v>63.91</v>
      </c>
      <c r="G39" s="406">
        <v>488.23</v>
      </c>
      <c r="H39" s="406">
        <v>581.20000000000005</v>
      </c>
      <c r="I39" s="406">
        <v>85.07</v>
      </c>
      <c r="J39" s="406">
        <v>74.260000000000005</v>
      </c>
      <c r="K39" s="406">
        <v>45.62</v>
      </c>
      <c r="L39" s="406">
        <v>299.72000000000003</v>
      </c>
      <c r="M39" s="406">
        <f t="shared" si="4"/>
        <v>0</v>
      </c>
      <c r="N39" s="406">
        <v>119.97</v>
      </c>
      <c r="O39" s="406">
        <f t="shared" si="4"/>
        <v>0</v>
      </c>
      <c r="P39" s="406">
        <v>192.66</v>
      </c>
      <c r="Q39" s="406">
        <v>256.17</v>
      </c>
      <c r="R39" s="406">
        <v>483.76</v>
      </c>
      <c r="S39" s="406">
        <v>69.64</v>
      </c>
      <c r="T39" s="47">
        <f t="shared" ref="T39:T40" si="5">SUM(C39:S39)</f>
        <v>3179.2099999999996</v>
      </c>
      <c r="V39" s="181">
        <f t="shared" si="1"/>
        <v>1002.2299999999999</v>
      </c>
    </row>
    <row r="40" spans="1:23">
      <c r="A40" t="s">
        <v>175</v>
      </c>
      <c r="B40" t="s">
        <v>174</v>
      </c>
      <c r="C40" s="406">
        <v>0.03</v>
      </c>
      <c r="D40" s="406">
        <v>116.53</v>
      </c>
      <c r="E40" s="406">
        <f t="shared" ref="E40:O40" si="6">E36</f>
        <v>0</v>
      </c>
      <c r="F40" s="406">
        <v>0.94</v>
      </c>
      <c r="G40" s="406">
        <v>101.34</v>
      </c>
      <c r="H40" s="406">
        <v>213.79</v>
      </c>
      <c r="I40" s="406">
        <v>23.04</v>
      </c>
      <c r="J40" s="406">
        <v>3.13</v>
      </c>
      <c r="K40" s="406">
        <v>1.63</v>
      </c>
      <c r="L40" s="406">
        <v>148.69</v>
      </c>
      <c r="M40" s="406">
        <f t="shared" si="6"/>
        <v>0</v>
      </c>
      <c r="N40" s="406">
        <v>1.69</v>
      </c>
      <c r="O40" s="406">
        <f t="shared" si="6"/>
        <v>0</v>
      </c>
      <c r="P40" s="406">
        <v>6.4</v>
      </c>
      <c r="Q40" s="406">
        <v>57.87</v>
      </c>
      <c r="R40" s="406">
        <v>8.34</v>
      </c>
      <c r="S40" s="406">
        <v>30.18</v>
      </c>
      <c r="T40" s="47">
        <f t="shared" si="5"/>
        <v>713.6</v>
      </c>
      <c r="V40" s="181">
        <f t="shared" si="1"/>
        <v>102.78999999999999</v>
      </c>
      <c r="W40" s="181"/>
    </row>
    <row r="41" spans="1:23">
      <c r="C41" s="89"/>
      <c r="D41" s="89"/>
      <c r="E41" s="89"/>
      <c r="F41" s="89"/>
      <c r="G41" s="89"/>
      <c r="H41" s="89"/>
      <c r="I41" s="89"/>
      <c r="J41" s="89"/>
      <c r="K41" s="89"/>
      <c r="L41" s="89"/>
      <c r="M41" s="89"/>
      <c r="N41" s="89"/>
      <c r="O41" s="89"/>
      <c r="P41" s="89"/>
      <c r="Q41" s="89"/>
      <c r="R41" s="89"/>
      <c r="S41" s="89"/>
      <c r="V41" s="181">
        <f t="shared" si="1"/>
        <v>0</v>
      </c>
    </row>
    <row r="42" spans="1:23" ht="14.5">
      <c r="A42" s="56" t="s">
        <v>196</v>
      </c>
      <c r="C42" s="89"/>
      <c r="D42" s="89"/>
      <c r="E42" s="89"/>
      <c r="F42" s="89"/>
      <c r="G42" s="89"/>
      <c r="H42" s="89"/>
      <c r="I42" s="89"/>
      <c r="J42" s="89"/>
      <c r="K42" s="89"/>
      <c r="L42" s="89"/>
      <c r="M42" s="89"/>
      <c r="N42" s="89"/>
      <c r="O42" s="89"/>
      <c r="P42" s="89"/>
      <c r="Q42" s="89"/>
      <c r="R42" s="89"/>
      <c r="S42" s="89"/>
      <c r="T42" s="47"/>
      <c r="V42" s="181">
        <f t="shared" si="1"/>
        <v>0</v>
      </c>
    </row>
    <row r="43" spans="1:23">
      <c r="A43" t="s">
        <v>19</v>
      </c>
      <c r="B43" t="s">
        <v>174</v>
      </c>
      <c r="C43" s="406">
        <v>17.27</v>
      </c>
      <c r="D43" s="406">
        <v>402.69</v>
      </c>
      <c r="E43" s="406">
        <f t="shared" ref="E43:O43" si="7">E39</f>
        <v>0</v>
      </c>
      <c r="F43" s="406">
        <v>73.459999999999994</v>
      </c>
      <c r="G43" s="406">
        <v>435.71</v>
      </c>
      <c r="H43" s="406">
        <v>582.29999999999995</v>
      </c>
      <c r="I43" s="406">
        <v>68.010000000000005</v>
      </c>
      <c r="J43" s="406">
        <v>51.15</v>
      </c>
      <c r="K43" s="406">
        <v>32.49</v>
      </c>
      <c r="L43" s="406">
        <v>298.43</v>
      </c>
      <c r="M43" s="406">
        <f t="shared" si="7"/>
        <v>0</v>
      </c>
      <c r="N43" s="406">
        <v>105.18</v>
      </c>
      <c r="O43" s="406">
        <f t="shared" si="7"/>
        <v>0</v>
      </c>
      <c r="P43" s="406">
        <v>171.72</v>
      </c>
      <c r="Q43" s="406">
        <v>280.66000000000003</v>
      </c>
      <c r="R43" s="406">
        <v>503.63</v>
      </c>
      <c r="S43" s="406">
        <v>79.13</v>
      </c>
      <c r="T43" s="47">
        <f t="shared" ref="T43:T44" si="8">SUM(C43:S43)</f>
        <v>3101.83</v>
      </c>
      <c r="V43" s="181">
        <f t="shared" si="1"/>
        <v>1035.1400000000001</v>
      </c>
    </row>
    <row r="44" spans="1:23">
      <c r="A44" t="s">
        <v>175</v>
      </c>
      <c r="B44" t="s">
        <v>174</v>
      </c>
      <c r="C44" s="406">
        <v>0.06</v>
      </c>
      <c r="D44" s="406">
        <v>119.81</v>
      </c>
      <c r="E44" s="406">
        <f t="shared" ref="E44:O44" si="9">E40</f>
        <v>0</v>
      </c>
      <c r="F44" s="406">
        <v>1.3</v>
      </c>
      <c r="G44" s="406">
        <v>107.1</v>
      </c>
      <c r="H44" s="406">
        <v>199.33</v>
      </c>
      <c r="I44" s="406">
        <v>21.05</v>
      </c>
      <c r="J44" s="406">
        <v>3.21</v>
      </c>
      <c r="K44" s="406">
        <v>1.99</v>
      </c>
      <c r="L44" s="406">
        <v>143.61000000000001</v>
      </c>
      <c r="M44" s="406">
        <f t="shared" si="9"/>
        <v>0</v>
      </c>
      <c r="N44" s="406">
        <v>1.71</v>
      </c>
      <c r="O44" s="406">
        <f t="shared" si="9"/>
        <v>0</v>
      </c>
      <c r="P44" s="406">
        <v>5.31</v>
      </c>
      <c r="Q44" s="406">
        <v>59.82</v>
      </c>
      <c r="R44" s="406">
        <v>7.48</v>
      </c>
      <c r="S44" s="406">
        <v>29.99</v>
      </c>
      <c r="T44" s="47">
        <f t="shared" si="8"/>
        <v>701.7700000000001</v>
      </c>
      <c r="V44" s="181">
        <f t="shared" si="1"/>
        <v>102.6</v>
      </c>
      <c r="W44" s="181"/>
    </row>
    <row r="45" spans="1:23">
      <c r="C45" s="89"/>
      <c r="D45" s="89"/>
      <c r="E45" s="89"/>
      <c r="F45" s="89"/>
      <c r="G45" s="89"/>
      <c r="H45" s="89"/>
      <c r="I45" s="89"/>
      <c r="J45" s="89"/>
      <c r="K45" s="89"/>
      <c r="L45" s="89"/>
      <c r="M45" s="89"/>
      <c r="N45" s="89"/>
      <c r="O45" s="89"/>
      <c r="P45" s="89"/>
      <c r="Q45" s="89"/>
      <c r="R45" s="89"/>
      <c r="S45" s="89"/>
      <c r="V45" s="181">
        <f t="shared" si="1"/>
        <v>0</v>
      </c>
    </row>
    <row r="46" spans="1:23" ht="14.5">
      <c r="A46" s="56" t="s">
        <v>197</v>
      </c>
      <c r="C46" s="89"/>
      <c r="D46" s="89"/>
      <c r="E46" s="89"/>
      <c r="F46" s="89"/>
      <c r="G46" s="89"/>
      <c r="H46" s="89"/>
      <c r="I46" s="89"/>
      <c r="J46" s="89"/>
      <c r="K46" s="89"/>
      <c r="L46" s="89"/>
      <c r="M46" s="89"/>
      <c r="N46" s="89"/>
      <c r="O46" s="89"/>
      <c r="P46" s="89"/>
      <c r="Q46" s="89"/>
      <c r="R46" s="89"/>
      <c r="S46" s="89"/>
      <c r="T46" s="47"/>
      <c r="V46" s="181">
        <f t="shared" si="1"/>
        <v>0</v>
      </c>
    </row>
    <row r="47" spans="1:23" s="22" customFormat="1">
      <c r="A47" s="22" t="s">
        <v>19</v>
      </c>
      <c r="B47" s="22" t="s">
        <v>174</v>
      </c>
      <c r="C47" s="406">
        <v>15.13</v>
      </c>
      <c r="D47" s="406">
        <v>344.98</v>
      </c>
      <c r="E47" s="406">
        <f t="shared" ref="E47:O47" si="10">E43</f>
        <v>0</v>
      </c>
      <c r="F47" s="406">
        <v>59.45</v>
      </c>
      <c r="G47" s="406">
        <v>367.34</v>
      </c>
      <c r="H47" s="406">
        <v>536.91</v>
      </c>
      <c r="I47" s="406">
        <v>70.58</v>
      </c>
      <c r="J47" s="406">
        <v>48.09</v>
      </c>
      <c r="K47" s="406">
        <v>30.62</v>
      </c>
      <c r="L47" s="406">
        <v>278.91000000000003</v>
      </c>
      <c r="M47" s="406">
        <f t="shared" si="10"/>
        <v>0</v>
      </c>
      <c r="N47" s="406">
        <v>99.87</v>
      </c>
      <c r="O47" s="406">
        <f t="shared" si="10"/>
        <v>0</v>
      </c>
      <c r="P47" s="406">
        <v>145.72999999999999</v>
      </c>
      <c r="Q47" s="406">
        <v>261.45999999999998</v>
      </c>
      <c r="R47" s="406">
        <v>461.88</v>
      </c>
      <c r="S47" s="406">
        <v>68.34</v>
      </c>
      <c r="T47" s="426">
        <f t="shared" ref="T47:T48" si="11">SUM(C47:S47)</f>
        <v>2789.29</v>
      </c>
      <c r="V47" s="427">
        <f t="shared" si="1"/>
        <v>937.41000000000008</v>
      </c>
    </row>
    <row r="48" spans="1:23" s="22" customFormat="1">
      <c r="A48" s="22" t="s">
        <v>175</v>
      </c>
      <c r="B48" s="22" t="s">
        <v>174</v>
      </c>
      <c r="C48" s="406">
        <v>0.04</v>
      </c>
      <c r="D48" s="406">
        <v>117.6</v>
      </c>
      <c r="E48" s="406">
        <f t="shared" ref="E48:O48" si="12">E44</f>
        <v>0</v>
      </c>
      <c r="F48" s="406">
        <v>1</v>
      </c>
      <c r="G48" s="406">
        <v>100.3</v>
      </c>
      <c r="H48" s="406">
        <v>191.4</v>
      </c>
      <c r="I48" s="406">
        <v>22.4</v>
      </c>
      <c r="J48" s="406">
        <v>2.56</v>
      </c>
      <c r="K48" s="406">
        <v>2.09</v>
      </c>
      <c r="L48" s="406">
        <v>129.58000000000001</v>
      </c>
      <c r="M48" s="406">
        <f t="shared" si="12"/>
        <v>0</v>
      </c>
      <c r="N48" s="406">
        <v>1.36</v>
      </c>
      <c r="O48" s="406">
        <f t="shared" si="12"/>
        <v>0</v>
      </c>
      <c r="P48" s="406">
        <v>5.53</v>
      </c>
      <c r="Q48" s="406">
        <v>55.8</v>
      </c>
      <c r="R48" s="406">
        <v>6.87</v>
      </c>
      <c r="S48" s="406">
        <v>29.55</v>
      </c>
      <c r="T48" s="426">
        <f t="shared" si="11"/>
        <v>666.07999999999993</v>
      </c>
      <c r="V48" s="427">
        <f t="shared" si="1"/>
        <v>97.75</v>
      </c>
      <c r="W48" s="427"/>
    </row>
    <row r="49" spans="1:23">
      <c r="C49" s="89"/>
      <c r="D49" s="89"/>
      <c r="E49" s="89"/>
      <c r="F49" s="89"/>
      <c r="G49" s="89"/>
      <c r="H49" s="89"/>
      <c r="I49" s="89"/>
      <c r="J49" s="89"/>
      <c r="K49" s="89"/>
      <c r="L49" s="89"/>
      <c r="M49" s="89"/>
      <c r="N49" s="89"/>
      <c r="O49" s="89"/>
      <c r="P49" s="89"/>
      <c r="Q49" s="89"/>
      <c r="R49" s="89"/>
      <c r="S49" s="89"/>
      <c r="V49" s="181">
        <f t="shared" si="1"/>
        <v>0</v>
      </c>
    </row>
    <row r="50" spans="1:23" ht="14.5">
      <c r="A50" s="56" t="s">
        <v>198</v>
      </c>
      <c r="C50" s="89"/>
      <c r="D50" s="89"/>
      <c r="E50" s="89"/>
      <c r="F50" s="89"/>
      <c r="G50" s="89"/>
      <c r="H50" s="89"/>
      <c r="I50" s="89"/>
      <c r="J50" s="89"/>
      <c r="K50" s="89"/>
      <c r="L50" s="89"/>
      <c r="M50" s="89"/>
      <c r="N50" s="89"/>
      <c r="O50" s="89"/>
      <c r="P50" s="89"/>
      <c r="Q50" s="89"/>
      <c r="R50" s="89"/>
      <c r="S50" s="89"/>
      <c r="T50" s="47"/>
      <c r="V50" s="181">
        <f t="shared" si="1"/>
        <v>0</v>
      </c>
    </row>
    <row r="51" spans="1:23">
      <c r="A51" t="s">
        <v>19</v>
      </c>
      <c r="B51" t="s">
        <v>174</v>
      </c>
      <c r="C51" s="406">
        <f>C47</f>
        <v>15.13</v>
      </c>
      <c r="D51" s="406">
        <f t="shared" ref="D51:S51" si="13">D47</f>
        <v>344.98</v>
      </c>
      <c r="E51" s="406">
        <f t="shared" si="13"/>
        <v>0</v>
      </c>
      <c r="F51" s="406">
        <f t="shared" si="13"/>
        <v>59.45</v>
      </c>
      <c r="G51" s="406">
        <f t="shared" si="13"/>
        <v>367.34</v>
      </c>
      <c r="H51" s="406">
        <f t="shared" si="13"/>
        <v>536.91</v>
      </c>
      <c r="I51" s="406">
        <f t="shared" si="13"/>
        <v>70.58</v>
      </c>
      <c r="J51" s="406">
        <f t="shared" si="13"/>
        <v>48.09</v>
      </c>
      <c r="K51" s="406">
        <f t="shared" si="13"/>
        <v>30.62</v>
      </c>
      <c r="L51" s="406">
        <f t="shared" si="13"/>
        <v>278.91000000000003</v>
      </c>
      <c r="M51" s="406">
        <f t="shared" si="13"/>
        <v>0</v>
      </c>
      <c r="N51" s="406">
        <f t="shared" si="13"/>
        <v>99.87</v>
      </c>
      <c r="O51" s="406">
        <f t="shared" si="13"/>
        <v>0</v>
      </c>
      <c r="P51" s="406">
        <f t="shared" si="13"/>
        <v>145.72999999999999</v>
      </c>
      <c r="Q51" s="406">
        <f t="shared" si="13"/>
        <v>261.45999999999998</v>
      </c>
      <c r="R51" s="406">
        <f t="shared" si="13"/>
        <v>461.88</v>
      </c>
      <c r="S51" s="406">
        <f t="shared" si="13"/>
        <v>68.34</v>
      </c>
      <c r="T51" s="47">
        <f t="shared" ref="T51:T52" si="14">SUM(C51:S51)</f>
        <v>2789.29</v>
      </c>
      <c r="V51" s="181">
        <f t="shared" si="1"/>
        <v>937.41000000000008</v>
      </c>
    </row>
    <row r="52" spans="1:23">
      <c r="A52" t="s">
        <v>175</v>
      </c>
      <c r="B52" t="s">
        <v>174</v>
      </c>
      <c r="C52" s="406">
        <f>C48</f>
        <v>0.04</v>
      </c>
      <c r="D52" s="406">
        <f t="shared" ref="D52:S52" si="15">D48</f>
        <v>117.6</v>
      </c>
      <c r="E52" s="406">
        <f t="shared" si="15"/>
        <v>0</v>
      </c>
      <c r="F52" s="406">
        <f t="shared" si="15"/>
        <v>1</v>
      </c>
      <c r="G52" s="406">
        <f t="shared" si="15"/>
        <v>100.3</v>
      </c>
      <c r="H52" s="406">
        <f t="shared" si="15"/>
        <v>191.4</v>
      </c>
      <c r="I52" s="406">
        <f t="shared" si="15"/>
        <v>22.4</v>
      </c>
      <c r="J52" s="406">
        <f t="shared" si="15"/>
        <v>2.56</v>
      </c>
      <c r="K52" s="406">
        <f t="shared" si="15"/>
        <v>2.09</v>
      </c>
      <c r="L52" s="406">
        <f t="shared" si="15"/>
        <v>129.58000000000001</v>
      </c>
      <c r="M52" s="406">
        <f t="shared" si="15"/>
        <v>0</v>
      </c>
      <c r="N52" s="406">
        <f t="shared" si="15"/>
        <v>1.36</v>
      </c>
      <c r="O52" s="406">
        <f t="shared" si="15"/>
        <v>0</v>
      </c>
      <c r="P52" s="406">
        <f t="shared" si="15"/>
        <v>5.53</v>
      </c>
      <c r="Q52" s="406">
        <f t="shared" si="15"/>
        <v>55.8</v>
      </c>
      <c r="R52" s="406">
        <f t="shared" si="15"/>
        <v>6.87</v>
      </c>
      <c r="S52" s="406">
        <f t="shared" si="15"/>
        <v>29.55</v>
      </c>
      <c r="T52" s="47">
        <f t="shared" si="14"/>
        <v>666.07999999999993</v>
      </c>
      <c r="V52" s="181">
        <f t="shared" si="1"/>
        <v>97.75</v>
      </c>
      <c r="W52" s="181"/>
    </row>
    <row r="53" spans="1:23">
      <c r="C53" s="89"/>
      <c r="D53" s="89"/>
      <c r="E53" s="89"/>
      <c r="F53" s="89"/>
      <c r="G53" s="89"/>
      <c r="H53" s="89"/>
      <c r="I53" s="89"/>
      <c r="J53" s="89"/>
      <c r="K53" s="89"/>
      <c r="L53" s="89"/>
      <c r="M53" s="89"/>
      <c r="N53" s="89"/>
      <c r="O53" s="89"/>
      <c r="P53" s="89"/>
      <c r="Q53" s="89"/>
      <c r="R53" s="89"/>
      <c r="S53" s="89"/>
      <c r="V53" s="181">
        <f t="shared" si="1"/>
        <v>0</v>
      </c>
    </row>
    <row r="54" spans="1:23" ht="14.5">
      <c r="A54" s="56" t="s">
        <v>199</v>
      </c>
      <c r="C54" s="89"/>
      <c r="D54" s="89"/>
      <c r="E54" s="89"/>
      <c r="F54" s="89"/>
      <c r="G54" s="89"/>
      <c r="H54" s="89"/>
      <c r="I54" s="89"/>
      <c r="J54" s="89"/>
      <c r="K54" s="89"/>
      <c r="L54" s="89"/>
      <c r="M54" s="89"/>
      <c r="N54" s="89"/>
      <c r="O54" s="89"/>
      <c r="P54" s="89"/>
      <c r="Q54" s="89"/>
      <c r="R54" s="89"/>
      <c r="S54" s="89"/>
      <c r="T54" s="47"/>
      <c r="V54" s="181">
        <f t="shared" si="1"/>
        <v>0</v>
      </c>
    </row>
    <row r="55" spans="1:23">
      <c r="A55" t="s">
        <v>19</v>
      </c>
      <c r="B55" t="s">
        <v>174</v>
      </c>
      <c r="C55" s="406"/>
      <c r="D55" s="406"/>
      <c r="E55" s="406"/>
      <c r="F55" s="406"/>
      <c r="G55" s="406"/>
      <c r="H55" s="406"/>
      <c r="I55" s="406"/>
      <c r="J55" s="406"/>
      <c r="K55" s="406"/>
      <c r="L55" s="406"/>
      <c r="M55" s="406"/>
      <c r="N55" s="406"/>
      <c r="O55" s="406"/>
      <c r="P55" s="406"/>
      <c r="Q55" s="406"/>
      <c r="R55" s="406"/>
      <c r="S55" s="406"/>
      <c r="T55" s="47">
        <f t="shared" ref="T55:T56" si="16">SUM(C55:S55)</f>
        <v>0</v>
      </c>
      <c r="V55" s="181">
        <f t="shared" si="1"/>
        <v>0</v>
      </c>
    </row>
    <row r="56" spans="1:23">
      <c r="A56" t="s">
        <v>175</v>
      </c>
      <c r="B56" t="s">
        <v>174</v>
      </c>
      <c r="C56" s="406"/>
      <c r="D56" s="406"/>
      <c r="E56" s="406"/>
      <c r="F56" s="406"/>
      <c r="G56" s="406"/>
      <c r="H56" s="406"/>
      <c r="I56" s="406"/>
      <c r="J56" s="406"/>
      <c r="K56" s="406"/>
      <c r="L56" s="406"/>
      <c r="M56" s="406"/>
      <c r="N56" s="406"/>
      <c r="O56" s="406"/>
      <c r="P56" s="406"/>
      <c r="Q56" s="406"/>
      <c r="R56" s="406"/>
      <c r="S56" s="406"/>
      <c r="T56" s="47">
        <f t="shared" si="16"/>
        <v>0</v>
      </c>
      <c r="V56" s="181">
        <f t="shared" si="1"/>
        <v>0</v>
      </c>
      <c r="W56" s="181"/>
    </row>
    <row r="57" spans="1:23">
      <c r="C57" s="89"/>
      <c r="D57" s="89"/>
      <c r="E57" s="89"/>
      <c r="F57" s="89"/>
      <c r="G57" s="89"/>
      <c r="H57" s="89"/>
      <c r="I57" s="89"/>
      <c r="J57" s="89"/>
      <c r="K57" s="89"/>
      <c r="L57" s="89"/>
      <c r="M57" s="89"/>
      <c r="N57" s="89"/>
      <c r="O57" s="89"/>
      <c r="P57" s="89"/>
      <c r="Q57" s="89"/>
      <c r="R57" s="89"/>
      <c r="S57" s="89"/>
      <c r="V57" s="181">
        <f t="shared" si="1"/>
        <v>0</v>
      </c>
    </row>
    <row r="58" spans="1:23" ht="14.5">
      <c r="A58" s="56" t="s">
        <v>185</v>
      </c>
      <c r="C58" s="89"/>
      <c r="D58" s="89"/>
      <c r="E58" s="89"/>
      <c r="F58" s="89"/>
      <c r="G58" s="89"/>
      <c r="H58" s="89"/>
      <c r="I58" s="89"/>
      <c r="J58" s="89"/>
      <c r="K58" s="89"/>
      <c r="L58" s="89"/>
      <c r="M58" s="89"/>
      <c r="N58" s="89"/>
      <c r="O58" s="89"/>
      <c r="P58" s="89"/>
      <c r="Q58" s="89"/>
      <c r="R58" s="89"/>
      <c r="S58" s="89"/>
      <c r="T58" s="47"/>
      <c r="V58" s="181">
        <f t="shared" si="1"/>
        <v>0</v>
      </c>
    </row>
    <row r="59" spans="1:23">
      <c r="A59" t="s">
        <v>19</v>
      </c>
      <c r="B59" t="s">
        <v>174</v>
      </c>
      <c r="C59" s="406"/>
      <c r="D59" s="406"/>
      <c r="E59" s="406"/>
      <c r="F59" s="406"/>
      <c r="G59" s="406"/>
      <c r="H59" s="406"/>
      <c r="I59" s="406"/>
      <c r="J59" s="406"/>
      <c r="K59" s="406"/>
      <c r="L59" s="406"/>
      <c r="M59" s="406"/>
      <c r="N59" s="406"/>
      <c r="O59" s="406"/>
      <c r="P59" s="406"/>
      <c r="Q59" s="406"/>
      <c r="R59" s="406"/>
      <c r="S59" s="406"/>
      <c r="T59" s="47">
        <f t="shared" ref="T59:T60" si="17">SUM(C59:S59)</f>
        <v>0</v>
      </c>
      <c r="V59" s="181">
        <f t="shared" si="1"/>
        <v>0</v>
      </c>
    </row>
    <row r="60" spans="1:23">
      <c r="A60" t="s">
        <v>175</v>
      </c>
      <c r="B60" t="s">
        <v>174</v>
      </c>
      <c r="C60" s="406"/>
      <c r="D60" s="406"/>
      <c r="E60" s="406"/>
      <c r="F60" s="406"/>
      <c r="G60" s="406"/>
      <c r="H60" s="406"/>
      <c r="I60" s="406"/>
      <c r="J60" s="406"/>
      <c r="K60" s="406"/>
      <c r="L60" s="406"/>
      <c r="M60" s="406"/>
      <c r="N60" s="406"/>
      <c r="O60" s="406"/>
      <c r="P60" s="406"/>
      <c r="Q60" s="406"/>
      <c r="R60" s="406"/>
      <c r="S60" s="406"/>
      <c r="T60" s="47">
        <f t="shared" si="17"/>
        <v>0</v>
      </c>
      <c r="V60" s="181">
        <f t="shared" si="1"/>
        <v>0</v>
      </c>
      <c r="W60" s="181"/>
    </row>
    <row r="61" spans="1:23">
      <c r="C61" s="89"/>
      <c r="D61" s="89"/>
      <c r="E61" s="89"/>
      <c r="F61" s="89"/>
      <c r="G61" s="89"/>
      <c r="H61" s="89"/>
      <c r="I61" s="89"/>
      <c r="J61" s="89"/>
      <c r="K61" s="89"/>
      <c r="L61" s="89"/>
      <c r="M61" s="89"/>
      <c r="N61" s="89"/>
      <c r="O61" s="89"/>
      <c r="P61" s="89"/>
      <c r="Q61" s="89"/>
      <c r="R61" s="89"/>
      <c r="S61" s="89"/>
      <c r="V61" s="181">
        <f t="shared" si="1"/>
        <v>0</v>
      </c>
    </row>
    <row r="62" spans="1:23" ht="14.5">
      <c r="A62" s="56" t="s">
        <v>200</v>
      </c>
      <c r="C62" s="89"/>
      <c r="D62" s="89"/>
      <c r="E62" s="89"/>
      <c r="F62" s="89"/>
      <c r="G62" s="89"/>
      <c r="H62" s="89"/>
      <c r="I62" s="89"/>
      <c r="J62" s="89"/>
      <c r="K62" s="89"/>
      <c r="L62" s="89"/>
      <c r="M62" s="89"/>
      <c r="N62" s="89"/>
      <c r="O62" s="89"/>
      <c r="P62" s="89"/>
      <c r="Q62" s="89"/>
      <c r="R62" s="89"/>
      <c r="S62" s="89"/>
      <c r="T62" s="47"/>
      <c r="V62" s="181">
        <f t="shared" si="1"/>
        <v>0</v>
      </c>
    </row>
    <row r="63" spans="1:23">
      <c r="A63" t="s">
        <v>19</v>
      </c>
      <c r="B63" t="s">
        <v>174</v>
      </c>
      <c r="C63" s="406"/>
      <c r="D63" s="406"/>
      <c r="E63" s="406"/>
      <c r="F63" s="406"/>
      <c r="G63" s="406"/>
      <c r="H63" s="406"/>
      <c r="I63" s="406"/>
      <c r="J63" s="406"/>
      <c r="K63" s="406"/>
      <c r="L63" s="406"/>
      <c r="M63" s="406"/>
      <c r="N63" s="406"/>
      <c r="O63" s="406"/>
      <c r="P63" s="406"/>
      <c r="Q63" s="406"/>
      <c r="R63" s="406"/>
      <c r="S63" s="406"/>
      <c r="T63" s="47">
        <f t="shared" ref="T63:T64" si="18">SUM(C63:S63)</f>
        <v>0</v>
      </c>
      <c r="V63" s="181">
        <f t="shared" si="1"/>
        <v>0</v>
      </c>
    </row>
    <row r="64" spans="1:23">
      <c r="A64" t="s">
        <v>175</v>
      </c>
      <c r="B64" t="s">
        <v>174</v>
      </c>
      <c r="C64" s="406"/>
      <c r="D64" s="406"/>
      <c r="E64" s="406"/>
      <c r="F64" s="406"/>
      <c r="G64" s="406"/>
      <c r="H64" s="406"/>
      <c r="I64" s="406"/>
      <c r="J64" s="406"/>
      <c r="K64" s="406"/>
      <c r="L64" s="406"/>
      <c r="M64" s="406"/>
      <c r="N64" s="406"/>
      <c r="O64" s="406"/>
      <c r="P64" s="406"/>
      <c r="Q64" s="406"/>
      <c r="R64" s="406"/>
      <c r="S64" s="406"/>
      <c r="T64" s="47">
        <f t="shared" si="18"/>
        <v>0</v>
      </c>
      <c r="V64" s="181">
        <f t="shared" si="1"/>
        <v>0</v>
      </c>
      <c r="W64" s="181"/>
    </row>
    <row r="65" spans="1:23">
      <c r="C65" s="89"/>
      <c r="D65" s="89"/>
      <c r="E65" s="89"/>
      <c r="F65" s="89"/>
      <c r="G65" s="89"/>
      <c r="H65" s="89"/>
      <c r="I65" s="89"/>
      <c r="J65" s="89"/>
      <c r="K65" s="89"/>
      <c r="L65" s="89"/>
      <c r="M65" s="89"/>
      <c r="N65" s="89"/>
      <c r="O65" s="89"/>
      <c r="P65" s="89"/>
      <c r="Q65" s="89"/>
      <c r="R65" s="89"/>
      <c r="S65" s="89"/>
      <c r="V65" s="181">
        <f t="shared" si="1"/>
        <v>0</v>
      </c>
    </row>
    <row r="66" spans="1:23" ht="14.5">
      <c r="A66" s="56" t="s">
        <v>201</v>
      </c>
      <c r="C66" s="89"/>
      <c r="D66" s="89"/>
      <c r="E66" s="89"/>
      <c r="F66" s="89"/>
      <c r="G66" s="89"/>
      <c r="H66" s="89"/>
      <c r="I66" s="89"/>
      <c r="J66" s="89"/>
      <c r="K66" s="89"/>
      <c r="L66" s="89"/>
      <c r="M66" s="89"/>
      <c r="N66" s="89"/>
      <c r="O66" s="89"/>
      <c r="P66" s="89"/>
      <c r="Q66" s="89"/>
      <c r="R66" s="89"/>
      <c r="S66" s="89"/>
      <c r="T66" s="47"/>
      <c r="V66" s="181">
        <f t="shared" si="1"/>
        <v>0</v>
      </c>
    </row>
    <row r="67" spans="1:23">
      <c r="A67" t="s">
        <v>19</v>
      </c>
      <c r="B67" t="s">
        <v>174</v>
      </c>
      <c r="C67" s="406"/>
      <c r="D67" s="406"/>
      <c r="E67" s="406"/>
      <c r="F67" s="406"/>
      <c r="G67" s="406"/>
      <c r="H67" s="406"/>
      <c r="I67" s="406"/>
      <c r="J67" s="406"/>
      <c r="K67" s="406"/>
      <c r="L67" s="406"/>
      <c r="M67" s="406"/>
      <c r="N67" s="406"/>
      <c r="O67" s="406"/>
      <c r="P67" s="406"/>
      <c r="Q67" s="406"/>
      <c r="R67" s="406"/>
      <c r="S67" s="406"/>
      <c r="T67" s="47">
        <f t="shared" ref="T67:T68" si="19">SUM(C67:S67)</f>
        <v>0</v>
      </c>
      <c r="V67" s="181">
        <f t="shared" si="1"/>
        <v>0</v>
      </c>
    </row>
    <row r="68" spans="1:23">
      <c r="A68" t="s">
        <v>175</v>
      </c>
      <c r="B68" t="s">
        <v>174</v>
      </c>
      <c r="C68" s="406"/>
      <c r="D68" s="406"/>
      <c r="E68" s="406"/>
      <c r="F68" s="406"/>
      <c r="G68" s="406"/>
      <c r="H68" s="406"/>
      <c r="I68" s="406"/>
      <c r="J68" s="406"/>
      <c r="K68" s="406"/>
      <c r="L68" s="406"/>
      <c r="M68" s="406"/>
      <c r="N68" s="406"/>
      <c r="O68" s="406"/>
      <c r="P68" s="406"/>
      <c r="Q68" s="406"/>
      <c r="R68" s="406"/>
      <c r="S68" s="406"/>
      <c r="T68" s="47">
        <f t="shared" si="19"/>
        <v>0</v>
      </c>
      <c r="V68" s="181">
        <f t="shared" si="1"/>
        <v>0</v>
      </c>
      <c r="W68" s="181"/>
    </row>
    <row r="69" spans="1:23">
      <c r="C69" s="89"/>
      <c r="D69" s="89"/>
      <c r="E69" s="89"/>
      <c r="F69" s="89"/>
      <c r="G69" s="89"/>
      <c r="H69" s="89"/>
      <c r="I69" s="89"/>
      <c r="J69" s="89"/>
      <c r="K69" s="89"/>
      <c r="L69" s="89"/>
      <c r="M69" s="89"/>
      <c r="N69" s="89"/>
      <c r="O69" s="89"/>
      <c r="P69" s="89"/>
      <c r="Q69" s="89"/>
      <c r="R69" s="89"/>
      <c r="S69" s="89"/>
      <c r="V69" s="181">
        <f t="shared" ref="V69:V92" si="20">+S69+R69+Q69+P69</f>
        <v>0</v>
      </c>
    </row>
    <row r="70" spans="1:23" ht="14.5">
      <c r="A70" s="56" t="s">
        <v>188</v>
      </c>
      <c r="C70" s="89"/>
      <c r="D70" s="89"/>
      <c r="E70" s="89"/>
      <c r="F70" s="89"/>
      <c r="G70" s="89"/>
      <c r="H70" s="89"/>
      <c r="I70" s="89"/>
      <c r="J70" s="89"/>
      <c r="K70" s="89"/>
      <c r="L70" s="89"/>
      <c r="M70" s="89"/>
      <c r="N70" s="89"/>
      <c r="O70" s="89"/>
      <c r="P70" s="89"/>
      <c r="Q70" s="89"/>
      <c r="R70" s="89"/>
      <c r="S70" s="89"/>
      <c r="T70" s="47"/>
      <c r="V70" s="181">
        <f t="shared" si="20"/>
        <v>0</v>
      </c>
    </row>
    <row r="71" spans="1:23">
      <c r="A71" t="s">
        <v>19</v>
      </c>
      <c r="B71" t="s">
        <v>174</v>
      </c>
      <c r="C71" s="406"/>
      <c r="D71" s="406"/>
      <c r="E71" s="406"/>
      <c r="F71" s="406"/>
      <c r="G71" s="406"/>
      <c r="H71" s="406"/>
      <c r="I71" s="406"/>
      <c r="J71" s="406"/>
      <c r="K71" s="406"/>
      <c r="L71" s="406"/>
      <c r="M71" s="406"/>
      <c r="N71" s="406"/>
      <c r="O71" s="406"/>
      <c r="P71" s="406"/>
      <c r="Q71" s="406"/>
      <c r="R71" s="406"/>
      <c r="S71" s="406"/>
      <c r="T71" s="47">
        <f t="shared" ref="T71:T72" si="21">SUM(C71:S71)</f>
        <v>0</v>
      </c>
      <c r="V71" s="181">
        <f t="shared" si="20"/>
        <v>0</v>
      </c>
    </row>
    <row r="72" spans="1:23">
      <c r="A72" t="s">
        <v>175</v>
      </c>
      <c r="B72" t="s">
        <v>174</v>
      </c>
      <c r="C72" s="406"/>
      <c r="D72" s="406"/>
      <c r="E72" s="406"/>
      <c r="F72" s="406"/>
      <c r="G72" s="406"/>
      <c r="H72" s="406"/>
      <c r="I72" s="406"/>
      <c r="J72" s="406"/>
      <c r="K72" s="406"/>
      <c r="L72" s="406"/>
      <c r="M72" s="406"/>
      <c r="N72" s="406"/>
      <c r="O72" s="406"/>
      <c r="P72" s="406"/>
      <c r="Q72" s="406"/>
      <c r="R72" s="406"/>
      <c r="S72" s="406"/>
      <c r="T72" s="47">
        <f t="shared" si="21"/>
        <v>0</v>
      </c>
      <c r="V72" s="181">
        <f t="shared" si="20"/>
        <v>0</v>
      </c>
      <c r="W72" s="181"/>
    </row>
    <row r="73" spans="1:23">
      <c r="C73" s="89"/>
      <c r="D73" s="89"/>
      <c r="E73" s="89"/>
      <c r="F73" s="89"/>
      <c r="G73" s="89"/>
      <c r="H73" s="89"/>
      <c r="I73" s="89"/>
      <c r="J73" s="89"/>
      <c r="K73" s="89"/>
      <c r="L73" s="89"/>
      <c r="M73" s="89"/>
      <c r="N73" s="89"/>
      <c r="O73" s="89"/>
      <c r="P73" s="89"/>
      <c r="Q73" s="89"/>
      <c r="R73" s="89"/>
      <c r="S73" s="89"/>
      <c r="V73" s="181">
        <f t="shared" si="20"/>
        <v>0</v>
      </c>
    </row>
    <row r="74" spans="1:23" ht="14.5">
      <c r="A74" s="56" t="s">
        <v>189</v>
      </c>
      <c r="C74" s="89"/>
      <c r="D74" s="89"/>
      <c r="E74" s="89"/>
      <c r="F74" s="89"/>
      <c r="G74" s="89"/>
      <c r="H74" s="89"/>
      <c r="I74" s="89"/>
      <c r="J74" s="89"/>
      <c r="K74" s="89"/>
      <c r="L74" s="89"/>
      <c r="M74" s="89"/>
      <c r="N74" s="89"/>
      <c r="O74" s="89"/>
      <c r="P74" s="89"/>
      <c r="Q74" s="89"/>
      <c r="R74" s="89"/>
      <c r="S74" s="89"/>
      <c r="T74" s="47"/>
      <c r="V74" s="181">
        <f t="shared" si="20"/>
        <v>0</v>
      </c>
    </row>
    <row r="75" spans="1:23">
      <c r="A75" t="s">
        <v>19</v>
      </c>
      <c r="B75" t="s">
        <v>174</v>
      </c>
      <c r="C75" s="406"/>
      <c r="D75" s="406"/>
      <c r="E75" s="406"/>
      <c r="F75" s="406"/>
      <c r="G75" s="406"/>
      <c r="H75" s="406"/>
      <c r="I75" s="406"/>
      <c r="J75" s="406"/>
      <c r="K75" s="406"/>
      <c r="L75" s="406"/>
      <c r="M75" s="406"/>
      <c r="N75" s="406"/>
      <c r="O75" s="406"/>
      <c r="P75" s="406"/>
      <c r="Q75" s="406"/>
      <c r="R75" s="406"/>
      <c r="S75" s="406"/>
      <c r="T75" s="47">
        <f t="shared" ref="T75:T76" si="22">SUM(C75:S75)</f>
        <v>0</v>
      </c>
      <c r="V75" s="181">
        <f t="shared" si="20"/>
        <v>0</v>
      </c>
    </row>
    <row r="76" spans="1:23">
      <c r="A76" t="s">
        <v>175</v>
      </c>
      <c r="B76" t="s">
        <v>174</v>
      </c>
      <c r="C76" s="406"/>
      <c r="D76" s="406"/>
      <c r="E76" s="406"/>
      <c r="F76" s="406"/>
      <c r="G76" s="406"/>
      <c r="H76" s="406"/>
      <c r="I76" s="406"/>
      <c r="J76" s="406"/>
      <c r="K76" s="406"/>
      <c r="L76" s="406"/>
      <c r="M76" s="406"/>
      <c r="N76" s="406"/>
      <c r="O76" s="406"/>
      <c r="P76" s="406"/>
      <c r="Q76" s="406"/>
      <c r="R76" s="406"/>
      <c r="S76" s="406"/>
      <c r="T76" s="47">
        <f t="shared" si="22"/>
        <v>0</v>
      </c>
      <c r="V76" s="181">
        <f t="shared" si="20"/>
        <v>0</v>
      </c>
      <c r="W76" s="181"/>
    </row>
    <row r="77" spans="1:23">
      <c r="C77" s="89"/>
      <c r="D77" s="89"/>
      <c r="E77" s="89"/>
      <c r="F77" s="89"/>
      <c r="G77" s="89"/>
      <c r="H77" s="89"/>
      <c r="I77" s="89"/>
      <c r="J77" s="89"/>
      <c r="K77" s="89"/>
      <c r="L77" s="89"/>
      <c r="M77" s="89"/>
      <c r="N77" s="89"/>
      <c r="O77" s="89"/>
      <c r="P77" s="89"/>
      <c r="Q77" s="89"/>
      <c r="R77" s="89"/>
      <c r="S77" s="89"/>
      <c r="V77" s="181">
        <f t="shared" si="20"/>
        <v>0</v>
      </c>
    </row>
    <row r="78" spans="1:23" ht="14.5">
      <c r="A78" s="56" t="s">
        <v>52</v>
      </c>
      <c r="C78" s="89"/>
      <c r="D78" s="89"/>
      <c r="E78" s="89"/>
      <c r="F78" s="89"/>
      <c r="G78" s="89"/>
      <c r="H78" s="89"/>
      <c r="I78" s="89"/>
      <c r="J78" s="89"/>
      <c r="K78" s="89"/>
      <c r="L78" s="89"/>
      <c r="M78" s="89"/>
      <c r="N78" s="89"/>
      <c r="O78" s="89"/>
      <c r="P78" s="89"/>
      <c r="Q78" s="89"/>
      <c r="R78" s="89"/>
      <c r="S78" s="89"/>
      <c r="T78" s="47"/>
      <c r="V78" s="181">
        <f t="shared" si="20"/>
        <v>0</v>
      </c>
    </row>
    <row r="79" spans="1:23">
      <c r="A79" t="s">
        <v>19</v>
      </c>
      <c r="B79" t="s">
        <v>174</v>
      </c>
      <c r="C79" s="406"/>
      <c r="D79" s="406"/>
      <c r="E79" s="406"/>
      <c r="F79" s="406"/>
      <c r="G79" s="406"/>
      <c r="H79" s="406"/>
      <c r="I79" s="406"/>
      <c r="J79" s="406"/>
      <c r="K79" s="406"/>
      <c r="L79" s="406"/>
      <c r="M79" s="406"/>
      <c r="N79" s="406"/>
      <c r="O79" s="406"/>
      <c r="P79" s="406"/>
      <c r="Q79" s="406"/>
      <c r="R79" s="406"/>
      <c r="S79" s="406"/>
      <c r="T79" s="47">
        <f t="shared" ref="T79:T80" si="23">SUM(C79:S79)</f>
        <v>0</v>
      </c>
      <c r="V79" s="181">
        <f t="shared" si="20"/>
        <v>0</v>
      </c>
    </row>
    <row r="80" spans="1:23">
      <c r="A80" t="s">
        <v>175</v>
      </c>
      <c r="B80" t="s">
        <v>174</v>
      </c>
      <c r="C80" s="406"/>
      <c r="D80" s="406"/>
      <c r="E80" s="406"/>
      <c r="F80" s="406"/>
      <c r="G80" s="406"/>
      <c r="H80" s="406"/>
      <c r="I80" s="406"/>
      <c r="J80" s="406"/>
      <c r="K80" s="406"/>
      <c r="L80" s="406"/>
      <c r="M80" s="406"/>
      <c r="N80" s="406"/>
      <c r="O80" s="406"/>
      <c r="P80" s="406"/>
      <c r="Q80" s="406"/>
      <c r="R80" s="406"/>
      <c r="S80" s="406"/>
      <c r="T80" s="47">
        <f t="shared" si="23"/>
        <v>0</v>
      </c>
      <c r="V80" s="181">
        <f t="shared" si="20"/>
        <v>0</v>
      </c>
      <c r="W80" s="181"/>
    </row>
    <row r="81" spans="1:24">
      <c r="C81" s="89"/>
      <c r="D81" s="89"/>
      <c r="E81" s="89"/>
      <c r="F81" s="89"/>
      <c r="G81" s="89"/>
      <c r="H81" s="89"/>
      <c r="I81" s="89"/>
      <c r="J81" s="89"/>
      <c r="K81" s="89"/>
      <c r="L81" s="89"/>
      <c r="M81" s="89"/>
      <c r="N81" s="89"/>
      <c r="O81" s="89"/>
      <c r="P81" s="89"/>
      <c r="Q81" s="89"/>
      <c r="R81" s="89"/>
      <c r="S81" s="89"/>
      <c r="V81" s="181">
        <f t="shared" si="20"/>
        <v>0</v>
      </c>
    </row>
    <row r="82" spans="1:24" ht="14.5">
      <c r="A82" s="56" t="s">
        <v>194</v>
      </c>
      <c r="C82" s="89"/>
      <c r="D82" s="89"/>
      <c r="E82" s="89"/>
      <c r="F82" s="89"/>
      <c r="G82" s="89"/>
      <c r="H82" s="89"/>
      <c r="I82" s="89"/>
      <c r="J82" s="89"/>
      <c r="K82" s="89"/>
      <c r="L82" s="89"/>
      <c r="M82" s="89"/>
      <c r="N82" s="89"/>
      <c r="O82" s="89"/>
      <c r="P82" s="89"/>
      <c r="Q82" s="89"/>
      <c r="R82" s="89"/>
      <c r="S82" s="89"/>
      <c r="T82" s="47"/>
      <c r="V82" s="181">
        <f t="shared" si="20"/>
        <v>0</v>
      </c>
    </row>
    <row r="83" spans="1:24">
      <c r="A83" t="s">
        <v>19</v>
      </c>
      <c r="B83" t="s">
        <v>174</v>
      </c>
      <c r="C83" s="406"/>
      <c r="D83" s="406"/>
      <c r="E83" s="406"/>
      <c r="F83" s="406"/>
      <c r="G83" s="406"/>
      <c r="H83" s="406"/>
      <c r="I83" s="406"/>
      <c r="J83" s="406"/>
      <c r="K83" s="406"/>
      <c r="L83" s="406"/>
      <c r="M83" s="406"/>
      <c r="N83" s="406"/>
      <c r="O83" s="406"/>
      <c r="P83" s="406"/>
      <c r="Q83" s="406"/>
      <c r="R83" s="406"/>
      <c r="S83" s="406"/>
      <c r="T83" s="47">
        <f t="shared" ref="T83:T84" si="24">SUM(C83:S83)</f>
        <v>0</v>
      </c>
      <c r="V83" s="181">
        <f t="shared" si="20"/>
        <v>0</v>
      </c>
    </row>
    <row r="84" spans="1:24">
      <c r="A84" t="s">
        <v>175</v>
      </c>
      <c r="B84" t="s">
        <v>174</v>
      </c>
      <c r="C84" s="406"/>
      <c r="D84" s="406"/>
      <c r="E84" s="406"/>
      <c r="F84" s="406"/>
      <c r="G84" s="406"/>
      <c r="H84" s="406"/>
      <c r="I84" s="406"/>
      <c r="J84" s="406"/>
      <c r="K84" s="406"/>
      <c r="L84" s="406"/>
      <c r="M84" s="406"/>
      <c r="N84" s="406"/>
      <c r="O84" s="406"/>
      <c r="P84" s="406"/>
      <c r="Q84" s="406"/>
      <c r="R84" s="406"/>
      <c r="S84" s="406"/>
      <c r="T84" s="47">
        <f t="shared" si="24"/>
        <v>0</v>
      </c>
      <c r="V84" s="181">
        <f t="shared" si="20"/>
        <v>0</v>
      </c>
      <c r="W84" s="181"/>
    </row>
    <row r="85" spans="1:24">
      <c r="C85" s="89"/>
      <c r="D85" s="89"/>
      <c r="E85" s="89"/>
      <c r="F85" s="89"/>
      <c r="G85" s="89"/>
      <c r="H85" s="89"/>
      <c r="I85" s="89"/>
      <c r="J85" s="89"/>
      <c r="K85" s="89"/>
      <c r="L85" s="89"/>
      <c r="M85" s="89"/>
      <c r="N85" s="89"/>
      <c r="O85" s="89"/>
      <c r="P85" s="89"/>
      <c r="Q85" s="89"/>
      <c r="R85" s="89"/>
      <c r="S85" s="89"/>
      <c r="V85" s="181">
        <f t="shared" si="20"/>
        <v>0</v>
      </c>
    </row>
    <row r="86" spans="1:24" ht="14.5">
      <c r="A86" s="56" t="s">
        <v>195</v>
      </c>
      <c r="C86" s="89"/>
      <c r="D86" s="89"/>
      <c r="E86" s="89"/>
      <c r="F86" s="89"/>
      <c r="G86" s="89"/>
      <c r="H86" s="89"/>
      <c r="I86" s="89"/>
      <c r="J86" s="89"/>
      <c r="K86" s="89"/>
      <c r="L86" s="89"/>
      <c r="M86" s="89"/>
      <c r="N86" s="89"/>
      <c r="O86" s="89"/>
      <c r="P86" s="89"/>
      <c r="Q86" s="89"/>
      <c r="R86" s="89"/>
      <c r="S86" s="89"/>
      <c r="T86" s="47"/>
      <c r="V86" s="181">
        <f t="shared" si="20"/>
        <v>0</v>
      </c>
    </row>
    <row r="87" spans="1:24">
      <c r="A87" t="s">
        <v>19</v>
      </c>
      <c r="B87" t="s">
        <v>174</v>
      </c>
      <c r="C87" s="406"/>
      <c r="D87" s="406"/>
      <c r="E87" s="406"/>
      <c r="F87" s="406"/>
      <c r="G87" s="406"/>
      <c r="H87" s="406"/>
      <c r="I87" s="406"/>
      <c r="J87" s="406"/>
      <c r="K87" s="406"/>
      <c r="L87" s="406"/>
      <c r="M87" s="406"/>
      <c r="N87" s="406"/>
      <c r="O87" s="406"/>
      <c r="P87" s="406"/>
      <c r="Q87" s="406"/>
      <c r="R87" s="406"/>
      <c r="S87" s="406"/>
      <c r="T87" s="47">
        <f t="shared" ref="T87:T88" si="25">SUM(C87:S87)</f>
        <v>0</v>
      </c>
      <c r="V87" s="181">
        <f t="shared" si="20"/>
        <v>0</v>
      </c>
    </row>
    <row r="88" spans="1:24">
      <c r="A88" t="s">
        <v>175</v>
      </c>
      <c r="B88" t="s">
        <v>174</v>
      </c>
      <c r="C88" s="406"/>
      <c r="D88" s="406"/>
      <c r="E88" s="406"/>
      <c r="F88" s="406"/>
      <c r="G88" s="406"/>
      <c r="H88" s="406"/>
      <c r="I88" s="406"/>
      <c r="J88" s="406"/>
      <c r="K88" s="406"/>
      <c r="L88" s="406"/>
      <c r="M88" s="406"/>
      <c r="N88" s="406"/>
      <c r="O88" s="406"/>
      <c r="P88" s="406"/>
      <c r="Q88" s="406"/>
      <c r="R88" s="406"/>
      <c r="S88" s="406"/>
      <c r="T88" s="47">
        <f t="shared" si="25"/>
        <v>0</v>
      </c>
      <c r="V88" s="181">
        <f t="shared" si="20"/>
        <v>0</v>
      </c>
      <c r="W88" s="181"/>
    </row>
    <row r="89" spans="1:24">
      <c r="C89" s="89"/>
      <c r="D89" s="89"/>
      <c r="E89" s="89"/>
      <c r="F89" s="89"/>
      <c r="G89" s="89"/>
      <c r="H89" s="89"/>
      <c r="I89" s="89"/>
      <c r="J89" s="89"/>
      <c r="K89" s="89"/>
      <c r="L89" s="89"/>
      <c r="M89" s="89"/>
      <c r="N89" s="89"/>
      <c r="O89" s="89"/>
      <c r="P89" s="89"/>
      <c r="Q89" s="89"/>
      <c r="R89" s="89"/>
      <c r="S89" s="89"/>
      <c r="V89" s="181"/>
    </row>
    <row r="90" spans="1:24" ht="14.5">
      <c r="A90" s="56" t="s">
        <v>196</v>
      </c>
      <c r="C90" s="89"/>
      <c r="D90" s="89"/>
      <c r="E90" s="89"/>
      <c r="F90" s="89"/>
      <c r="G90" s="89"/>
      <c r="H90" s="89"/>
      <c r="I90" s="89"/>
      <c r="J90" s="89"/>
      <c r="K90" s="89"/>
      <c r="L90" s="89"/>
      <c r="M90" s="89"/>
      <c r="N90" s="89"/>
      <c r="O90" s="89"/>
      <c r="P90" s="89"/>
      <c r="Q90" s="89"/>
      <c r="R90" s="89"/>
      <c r="S90" s="89"/>
      <c r="T90" s="47"/>
      <c r="V90" s="181"/>
    </row>
    <row r="91" spans="1:24">
      <c r="A91" t="s">
        <v>19</v>
      </c>
      <c r="B91" t="s">
        <v>174</v>
      </c>
      <c r="C91" s="406"/>
      <c r="D91" s="406"/>
      <c r="E91" s="406"/>
      <c r="F91" s="406"/>
      <c r="G91" s="406"/>
      <c r="H91" s="406"/>
      <c r="I91" s="406"/>
      <c r="J91" s="406"/>
      <c r="K91" s="406"/>
      <c r="L91" s="406"/>
      <c r="M91" s="406"/>
      <c r="N91" s="406"/>
      <c r="O91" s="406"/>
      <c r="P91" s="406"/>
      <c r="Q91" s="406"/>
      <c r="R91" s="406"/>
      <c r="S91" s="406"/>
      <c r="T91" s="47">
        <f t="shared" ref="T91:T92" si="26">SUM(C91:S91)</f>
        <v>0</v>
      </c>
      <c r="V91" s="181">
        <f t="shared" si="20"/>
        <v>0</v>
      </c>
    </row>
    <row r="92" spans="1:24">
      <c r="A92" t="s">
        <v>175</v>
      </c>
      <c r="B92" t="s">
        <v>174</v>
      </c>
      <c r="C92" s="406"/>
      <c r="D92" s="406"/>
      <c r="E92" s="406"/>
      <c r="F92" s="406"/>
      <c r="G92" s="406"/>
      <c r="H92" s="406"/>
      <c r="I92" s="406"/>
      <c r="J92" s="406"/>
      <c r="K92" s="406"/>
      <c r="L92" s="406"/>
      <c r="M92" s="406"/>
      <c r="N92" s="406"/>
      <c r="O92" s="406"/>
      <c r="P92" s="406"/>
      <c r="Q92" s="406"/>
      <c r="R92" s="406"/>
      <c r="S92" s="406"/>
      <c r="T92" s="47">
        <f t="shared" si="26"/>
        <v>0</v>
      </c>
      <c r="V92" s="181">
        <f t="shared" si="20"/>
        <v>0</v>
      </c>
      <c r="W92" s="181"/>
    </row>
    <row r="93" spans="1:24">
      <c r="C93" s="89"/>
      <c r="D93" s="89"/>
      <c r="E93" s="89"/>
      <c r="F93" s="89"/>
      <c r="G93" s="89"/>
      <c r="H93" s="89"/>
      <c r="I93" s="89"/>
      <c r="J93" s="89"/>
      <c r="K93" s="89"/>
      <c r="L93" s="89"/>
      <c r="M93" s="89"/>
      <c r="N93" s="89"/>
      <c r="O93" s="89"/>
      <c r="P93" s="89"/>
      <c r="Q93" s="89"/>
      <c r="R93" s="89"/>
      <c r="S93" s="89"/>
    </row>
    <row r="94" spans="1:24" ht="14.5">
      <c r="A94" s="56" t="s">
        <v>197</v>
      </c>
      <c r="C94" s="89"/>
      <c r="D94" s="89"/>
      <c r="E94" s="89"/>
      <c r="F94" s="89"/>
      <c r="G94" s="89"/>
      <c r="H94" s="89"/>
      <c r="I94" s="89"/>
      <c r="J94" s="89"/>
      <c r="K94" s="89"/>
      <c r="L94" s="89"/>
      <c r="M94" s="89"/>
      <c r="N94" s="89"/>
      <c r="O94" s="89"/>
      <c r="P94" s="89"/>
      <c r="Q94" s="89"/>
      <c r="R94" s="89"/>
      <c r="S94" s="89"/>
      <c r="T94" s="47"/>
      <c r="V94" s="181"/>
      <c r="W94" s="181"/>
      <c r="X94" s="181"/>
    </row>
    <row r="95" spans="1:24">
      <c r="A95" t="s">
        <v>19</v>
      </c>
      <c r="B95" t="s">
        <v>174</v>
      </c>
      <c r="C95" s="406"/>
      <c r="D95" s="406"/>
      <c r="E95" s="406"/>
      <c r="F95" s="406"/>
      <c r="G95" s="406"/>
      <c r="H95" s="406"/>
      <c r="I95" s="406"/>
      <c r="J95" s="406"/>
      <c r="K95" s="406"/>
      <c r="L95" s="406"/>
      <c r="M95" s="406"/>
      <c r="N95" s="406"/>
      <c r="O95" s="406"/>
      <c r="P95" s="406"/>
      <c r="Q95" s="406"/>
      <c r="R95" s="406"/>
      <c r="S95" s="406"/>
      <c r="T95" s="47">
        <f t="shared" ref="T95:T96" si="27">SUM(C95:S95)</f>
        <v>0</v>
      </c>
      <c r="V95" s="181">
        <f t="shared" ref="V95:V96" si="28">+S95+R95+Q95+P95</f>
        <v>0</v>
      </c>
    </row>
    <row r="96" spans="1:24">
      <c r="A96" t="s">
        <v>175</v>
      </c>
      <c r="B96" t="s">
        <v>174</v>
      </c>
      <c r="C96" s="406"/>
      <c r="D96" s="406"/>
      <c r="E96" s="406"/>
      <c r="F96" s="406"/>
      <c r="G96" s="406"/>
      <c r="H96" s="406"/>
      <c r="I96" s="406"/>
      <c r="J96" s="406"/>
      <c r="K96" s="406"/>
      <c r="L96" s="406"/>
      <c r="M96" s="406"/>
      <c r="N96" s="406"/>
      <c r="O96" s="406"/>
      <c r="P96" s="406"/>
      <c r="Q96" s="406"/>
      <c r="R96" s="406"/>
      <c r="S96" s="406"/>
      <c r="T96" s="47">
        <f t="shared" si="27"/>
        <v>0</v>
      </c>
      <c r="V96" s="181">
        <f t="shared" si="28"/>
        <v>0</v>
      </c>
      <c r="W96" s="181"/>
    </row>
    <row r="97" spans="22:24">
      <c r="V97" s="181"/>
      <c r="W97" s="181"/>
      <c r="X97" s="1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R100"/>
  <sheetViews>
    <sheetView workbookViewId="0">
      <pane xSplit="2" ySplit="1" topLeftCell="C29" activePane="bottomRight" state="frozen"/>
      <selection pane="topRight" activeCell="C1" sqref="C1"/>
      <selection pane="bottomLeft" activeCell="A2" sqref="A2"/>
      <selection pane="bottomRight" activeCell="C51" sqref="C51"/>
    </sheetView>
  </sheetViews>
  <sheetFormatPr defaultRowHeight="12.5"/>
  <cols>
    <col min="1" max="1" width="14.453125" bestFit="1" customWidth="1"/>
    <col min="2" max="2" width="8.54296875" bestFit="1" customWidth="1"/>
    <col min="3" max="3" width="9.26953125" bestFit="1" customWidth="1"/>
    <col min="4" max="4" width="9.26953125" customWidth="1"/>
    <col min="5" max="5" width="14" bestFit="1" customWidth="1"/>
    <col min="6" max="6" width="12" bestFit="1" customWidth="1"/>
    <col min="7" max="7" width="12.1796875" bestFit="1" customWidth="1"/>
    <col min="8" max="8" width="12.453125" bestFit="1" customWidth="1"/>
    <col min="9" max="9" width="15" bestFit="1" customWidth="1"/>
    <col min="10" max="10" width="10.26953125" bestFit="1" customWidth="1"/>
    <col min="11" max="11" width="10.1796875" bestFit="1" customWidth="1"/>
    <col min="12" max="12" width="18" bestFit="1" customWidth="1"/>
    <col min="14" max="14" width="16.26953125" bestFit="1" customWidth="1"/>
    <col min="15" max="15" width="14.453125" bestFit="1" customWidth="1"/>
    <col min="16" max="16" width="11" bestFit="1" customWidth="1"/>
    <col min="18" max="18" width="9.26953125" bestFit="1" customWidth="1"/>
  </cols>
  <sheetData>
    <row r="1" spans="1:18" ht="14.5">
      <c r="A1" s="56" t="s">
        <v>155</v>
      </c>
      <c r="B1" s="56" t="s">
        <v>156</v>
      </c>
      <c r="C1" s="56" t="s">
        <v>178</v>
      </c>
      <c r="D1" s="56" t="s">
        <v>327</v>
      </c>
      <c r="E1" s="56" t="s">
        <v>328</v>
      </c>
      <c r="F1" s="56" t="s">
        <v>329</v>
      </c>
      <c r="G1" s="56" t="s">
        <v>179</v>
      </c>
      <c r="H1" s="56" t="s">
        <v>180</v>
      </c>
      <c r="I1" s="56" t="s">
        <v>330</v>
      </c>
      <c r="J1" s="56" t="s">
        <v>72</v>
      </c>
      <c r="K1" s="56" t="s">
        <v>181</v>
      </c>
      <c r="L1" s="56" t="s">
        <v>182</v>
      </c>
      <c r="M1" s="56" t="s">
        <v>183</v>
      </c>
      <c r="N1" s="56" t="s">
        <v>265</v>
      </c>
      <c r="O1" s="56" t="s">
        <v>184</v>
      </c>
      <c r="P1" s="56" t="s">
        <v>172</v>
      </c>
      <c r="Q1" s="56"/>
      <c r="R1" s="56" t="s">
        <v>65</v>
      </c>
    </row>
    <row r="2" spans="1:18" ht="14.5">
      <c r="A2" s="56" t="s">
        <v>173</v>
      </c>
      <c r="B2" s="56"/>
      <c r="C2" s="56"/>
      <c r="D2" s="56"/>
      <c r="E2" s="56"/>
      <c r="F2" s="56"/>
      <c r="G2" s="56"/>
      <c r="H2" s="56"/>
      <c r="I2" s="56"/>
      <c r="J2" s="56"/>
      <c r="K2" s="56"/>
      <c r="L2" s="56"/>
      <c r="M2" s="56"/>
      <c r="N2" s="56"/>
      <c r="O2" s="56"/>
      <c r="P2" s="56"/>
      <c r="Q2" s="56"/>
      <c r="R2" s="56"/>
    </row>
    <row r="3" spans="1:18">
      <c r="A3" t="s">
        <v>19</v>
      </c>
      <c r="B3" t="s">
        <v>174</v>
      </c>
      <c r="C3" s="406">
        <f>INDEX('[3]NS MV SEA SS TA October 23'!$A$1:$AM$6,MATCH($A3,'[3]NS MV SEA SS TA October 23'!$A$1:$A6,0),MATCH(C$1,'[3]NS MV SEA SS TA October 23'!$A$1:$AM$1,0))</f>
        <v>84.963964703747095</v>
      </c>
      <c r="D3" s="406">
        <f>INDEX('[3]NS MV SEA SS TA October 23'!$A$1:$AM$6,MATCH($A3,'[3]NS MV SEA SS TA October 23'!$A$1:$A6,0),MATCH(D$1,'[3]NS MV SEA SS TA October 23'!$A$1:$AM$1,0))</f>
        <v>32.247082615445201</v>
      </c>
      <c r="E3" s="406">
        <f>INDEX('[3]NS MV SEA SS TA October 23'!$A$1:$AM$6,MATCH($A3,'[3]NS MV SEA SS TA October 23'!$A$1:$A6,0),MATCH(E$1,'[3]NS MV SEA SS TA October 23'!$A$1:$AM$1,0))</f>
        <v>3.8623254260827702</v>
      </c>
      <c r="F3" s="406">
        <f>INDEX('[3]NS MV SEA SS TA October 23'!$A$1:$AM$6,MATCH($A3,'[3]NS MV SEA SS TA October 23'!$A$1:$A6,0),MATCH(F$1,'[3]NS MV SEA SS TA October 23'!$A$1:$AM$1,0))</f>
        <v>41.812368025661698</v>
      </c>
      <c r="G3" s="406">
        <f>INDEX('[3]NS MV SEA SS TA October 23'!$A$1:$AM$6,MATCH($A3,'[3]NS MV SEA SS TA October 23'!$A$1:$A6,0),MATCH(G$1,'[3]NS MV SEA SS TA October 23'!$A$1:$AM$1,0))</f>
        <v>22.262812135347801</v>
      </c>
      <c r="H3" s="406">
        <f>INDEX('[3]NS MV SEA SS TA October 23'!$A$1:$AM$6,MATCH($A3,'[3]NS MV SEA SS TA October 23'!$A$1:$A6,0),MATCH(H$1,'[3]NS MV SEA SS TA October 23'!$A$1:$AM$1,0))</f>
        <v>187.523161385028</v>
      </c>
      <c r="I3" s="406">
        <f>INDEX('[3]NS MV SEA SS TA October 23'!$A$1:$AM$6,MATCH($A3,'[3]NS MV SEA SS TA October 23'!$A$1:$A6,0),MATCH(I$1,'[3]NS MV SEA SS TA October 23'!$A$1:$AM$1,0))</f>
        <v>100.562295661992</v>
      </c>
      <c r="J3" s="406">
        <f>INDEX('[3]NS MV SEA SS TA October 23'!$A$1:$AM$6,MATCH($A3,'[3]NS MV SEA SS TA October 23'!$A$1:$A6,0),MATCH(J$1,'[3]NS MV SEA SS TA October 23'!$A$1:$AM$1,0))</f>
        <v>432.69391757534601</v>
      </c>
      <c r="K3" s="406">
        <f>INDEX('[3]NS MV SEA SS TA October 23'!$A$1:$AM$6,MATCH($A3,'[3]NS MV SEA SS TA October 23'!$A$1:$A6,0),MATCH(K$1,'[3]NS MV SEA SS TA October 23'!$A$1:$AM$1,0))</f>
        <v>173.11324779990099</v>
      </c>
      <c r="L3" s="406">
        <f>INDEX('[3]NS MV SEA SS TA October 23'!$A$1:$AM$6,MATCH($A3,'[3]NS MV SEA SS TA October 23'!$A$1:$A6,0),MATCH(L$1,'[3]NS MV SEA SS TA October 23'!$A$1:$AM$1,0))</f>
        <v>80.486019635471806</v>
      </c>
      <c r="M3" s="406">
        <f>INDEX('[3]NS MV SEA SS TA October 23'!$A$1:$AM$6,MATCH($A3,'[3]NS MV SEA SS TA October 23'!$A$1:$A6,0),MATCH(M$1,'[3]NS MV SEA SS TA October 23'!$A$1:$AM$1,0))</f>
        <v>107.70748631308901</v>
      </c>
      <c r="N3" s="406">
        <f>INDEX('[3]NS MV SEA SS TA October 23'!$A$1:$AM$6,MATCH($A3,'[3]NS MV SEA SS TA October 23'!$A$1:$A6,0),MATCH(N$1,'[3]NS MV SEA SS TA October 23'!$A$1:$AM$1,0))</f>
        <v>1081.53001214545</v>
      </c>
      <c r="O3" s="406">
        <f>INDEX('[3]NS MV SEA SS TA October 23'!$A$1:$AM$6,MATCH($A3,'[3]NS MV SEA SS TA October 23'!$A$1:$A6,0),MATCH(O$1,'[3]NS MV SEA SS TA October 23'!$A$1:$AM$1,0))</f>
        <v>497.05350690682701</v>
      </c>
      <c r="P3" s="47">
        <f>SUM(C3:O3)</f>
        <v>2845.8182003293891</v>
      </c>
      <c r="R3" s="181">
        <f>+O3+N3+I3+F3+E3+D3</f>
        <v>1757.0675907814589</v>
      </c>
    </row>
    <row r="4" spans="1:18">
      <c r="A4" t="s">
        <v>175</v>
      </c>
      <c r="B4" t="s">
        <v>174</v>
      </c>
      <c r="C4" s="406">
        <f>INDEX('[3]NS MV SEA SS TA October 23'!$A$1:$AM$6,MATCH($A4,'[3]NS MV SEA SS TA October 23'!$A$1:$A7,0),MATCH(C$1,'[3]NS MV SEA SS TA October 23'!$A$1:$AM$1,0))</f>
        <v>10.273362886725799</v>
      </c>
      <c r="D4" s="406">
        <f>INDEX('[3]NS MV SEA SS TA October 23'!$A$1:$AM$6,MATCH($A4,'[3]NS MV SEA SS TA October 23'!$A$1:$A7,0),MATCH(D$1,'[3]NS MV SEA SS TA October 23'!$A$1:$AM$1,0))</f>
        <v>3.2716802182651501E-2</v>
      </c>
      <c r="E4" s="406">
        <f>INDEX('[3]NS MV SEA SS TA October 23'!$A$1:$AM$6,MATCH($A4,'[3]NS MV SEA SS TA October 23'!$A$1:$A7,0),MATCH(E$1,'[3]NS MV SEA SS TA October 23'!$A$1:$AM$1,0))</f>
        <v>1.65849239298303</v>
      </c>
      <c r="F4" s="406">
        <f>INDEX('[3]NS MV SEA SS TA October 23'!$A$1:$AM$6,MATCH($A4,'[3]NS MV SEA SS TA October 23'!$A$1:$A7,0),MATCH(F$1,'[3]NS MV SEA SS TA October 23'!$A$1:$AM$1,0))</f>
        <v>27.763879186558299</v>
      </c>
      <c r="G4" s="406">
        <f>INDEX('[3]NS MV SEA SS TA October 23'!$A$1:$AM$6,MATCH($A4,'[3]NS MV SEA SS TA October 23'!$A$1:$A7,0),MATCH(G$1,'[3]NS MV SEA SS TA October 23'!$A$1:$AM$1,0))</f>
        <v>0.39308078616157199</v>
      </c>
      <c r="H4" s="406">
        <f>INDEX('[3]NS MV SEA SS TA October 23'!$A$1:$AM$6,MATCH($A4,'[3]NS MV SEA SS TA October 23'!$A$1:$A7,0),MATCH(H$1,'[3]NS MV SEA SS TA October 23'!$A$1:$AM$1,0))</f>
        <v>2.9500579602603398</v>
      </c>
      <c r="I4" s="406">
        <f>INDEX('[3]NS MV SEA SS TA October 23'!$A$1:$AM$6,MATCH($A4,'[3]NS MV SEA SS TA October 23'!$A$1:$A7,0),MATCH(I$1,'[3]NS MV SEA SS TA October 23'!$A$1:$AM$1,0))</f>
        <v>33.702075371952397</v>
      </c>
      <c r="J4" s="406">
        <f>INDEX('[3]NS MV SEA SS TA October 23'!$A$1:$AM$6,MATCH($A4,'[3]NS MV SEA SS TA October 23'!$A$1:$A7,0),MATCH(J$1,'[3]NS MV SEA SS TA October 23'!$A$1:$AM$1,0))</f>
        <v>52.338408198221401</v>
      </c>
      <c r="K4" s="406">
        <f>INDEX('[3]NS MV SEA SS TA October 23'!$A$1:$AM$6,MATCH($A4,'[3]NS MV SEA SS TA October 23'!$A$1:$A7,0),MATCH(K$1,'[3]NS MV SEA SS TA October 23'!$A$1:$AM$1,0))</f>
        <v>22.746649302600801</v>
      </c>
      <c r="L4" s="406">
        <f>INDEX('[3]NS MV SEA SS TA October 23'!$A$1:$AM$6,MATCH($A4,'[3]NS MV SEA SS TA October 23'!$A$1:$A7,0),MATCH(L$1,'[3]NS MV SEA SS TA October 23'!$A$1:$AM$1,0))</f>
        <v>38.434405571670901</v>
      </c>
      <c r="M4" s="406">
        <f>INDEX('[3]NS MV SEA SS TA October 23'!$A$1:$AM$6,MATCH($A4,'[3]NS MV SEA SS TA October 23'!$A$1:$A7,0),MATCH(M$1,'[3]NS MV SEA SS TA October 23'!$A$1:$AM$1,0))</f>
        <v>24.140980881207799</v>
      </c>
      <c r="N4" s="406">
        <f>INDEX('[3]NS MV SEA SS TA October 23'!$A$1:$AM$6,MATCH($A4,'[3]NS MV SEA SS TA October 23'!$A$1:$A7,0),MATCH(N$1,'[3]NS MV SEA SS TA October 23'!$A$1:$AM$1,0))</f>
        <v>200.050968815499</v>
      </c>
      <c r="O4" s="406">
        <f>INDEX('[3]NS MV SEA SS TA October 23'!$A$1:$AM$6,MATCH($A4,'[3]NS MV SEA SS TA October 23'!$A$1:$A7,0),MATCH(O$1,'[3]NS MV SEA SS TA October 23'!$A$1:$AM$1,0))</f>
        <v>5.7265974331948701</v>
      </c>
      <c r="P4" s="47">
        <f>SUM(C4:O4)</f>
        <v>420.21167558921888</v>
      </c>
      <c r="R4" s="181">
        <f>+O4+N4+I4+F4+E4+D4</f>
        <v>268.93473000237026</v>
      </c>
    </row>
    <row r="5" spans="1:18">
      <c r="C5" s="406"/>
      <c r="D5" s="406"/>
      <c r="E5" s="406"/>
      <c r="F5" s="406"/>
      <c r="G5" s="406"/>
      <c r="H5" s="406"/>
      <c r="I5" s="406"/>
      <c r="J5" s="406"/>
      <c r="K5" s="406"/>
      <c r="L5" s="406"/>
      <c r="M5" s="406"/>
      <c r="N5" s="406"/>
      <c r="O5" s="406"/>
      <c r="P5" s="47"/>
      <c r="R5" s="181"/>
    </row>
    <row r="6" spans="1:18" ht="14.5">
      <c r="A6" s="56" t="s">
        <v>176</v>
      </c>
      <c r="C6" s="89"/>
      <c r="D6" s="89"/>
      <c r="E6" s="89"/>
      <c r="F6" s="89"/>
      <c r="G6" s="89"/>
      <c r="H6" s="89"/>
      <c r="I6" s="89"/>
      <c r="J6" s="89"/>
      <c r="K6" s="89"/>
      <c r="L6" s="89"/>
      <c r="M6" s="89"/>
      <c r="N6" s="89"/>
      <c r="O6" s="89"/>
      <c r="R6" s="181"/>
    </row>
    <row r="7" spans="1:18">
      <c r="A7" t="s">
        <v>19</v>
      </c>
      <c r="B7" t="s">
        <v>174</v>
      </c>
      <c r="C7" s="406">
        <f>INDEX('[4]NS MV SEA SS TA November 23'!$A$1:$AM$6,MATCH($A7,'[4]NS MV SEA SS TA November 23'!$A$1:$A10,0),MATCH(C$1,'[4]NS MV SEA SS TA November 23'!$A$1:$AM$1,0))</f>
        <v>73.174941630000006</v>
      </c>
      <c r="D7" s="406">
        <f>INDEX('[4]NS MV SEA SS TA November 23'!$A$1:$AM$6,MATCH($A7,'[4]NS MV SEA SS TA November 23'!$A$1:$A10,0),MATCH(D$1,'[4]NS MV SEA SS TA November 23'!$A$1:$AM$1,0))</f>
        <v>34.446145629999997</v>
      </c>
      <c r="E7" s="406">
        <f>INDEX('[4]NS MV SEA SS TA November 23'!$A$1:$AM$6,MATCH($A7,'[4]NS MV SEA SS TA November 23'!$A$1:$A10,0),MATCH(E$1,'[4]NS MV SEA SS TA November 23'!$A$1:$AM$1,0))</f>
        <v>3.6979841229999999</v>
      </c>
      <c r="F7" s="406">
        <f>INDEX('[4]NS MV SEA SS TA November 23'!$A$1:$AM$6,MATCH($A7,'[4]NS MV SEA SS TA November 23'!$A$1:$A10,0),MATCH(F$1,'[4]NS MV SEA SS TA November 23'!$A$1:$AM$1,0))</f>
        <v>38.68898695</v>
      </c>
      <c r="G7" s="406">
        <f>INDEX('[4]NS MV SEA SS TA November 23'!$A$1:$AM$6,MATCH($A7,'[4]NS MV SEA SS TA November 23'!$A$1:$A10,0),MATCH(G$1,'[4]NS MV SEA SS TA November 23'!$A$1:$AM$1,0))</f>
        <v>33.419579159999998</v>
      </c>
      <c r="H7" s="406">
        <f>INDEX('[4]NS MV SEA SS TA November 23'!$A$1:$AM$6,MATCH($A7,'[4]NS MV SEA SS TA November 23'!$A$1:$A10,0),MATCH(H$1,'[4]NS MV SEA SS TA November 23'!$A$1:$AM$1,0))</f>
        <v>233.2042581</v>
      </c>
      <c r="I7" s="406">
        <f>INDEX('[4]NS MV SEA SS TA November 23'!$A$1:$AM$6,MATCH($A7,'[4]NS MV SEA SS TA November 23'!$A$1:$A10,0),MATCH(I$1,'[4]NS MV SEA SS TA November 23'!$A$1:$AM$1,0))</f>
        <v>80.018800880000001</v>
      </c>
      <c r="J7" s="406">
        <f>INDEX('[4]NS MV SEA SS TA November 23'!$A$1:$AM$6,MATCH($A7,'[4]NS MV SEA SS TA November 23'!$A$1:$A10,0),MATCH(J$1,'[4]NS MV SEA SS TA November 23'!$A$1:$AM$1,0))</f>
        <v>460.38647470000001</v>
      </c>
      <c r="K7" s="406">
        <f>INDEX('[4]NS MV SEA SS TA November 23'!$A$1:$AM$6,MATCH($A7,'[4]NS MV SEA SS TA November 23'!$A$1:$A10,0),MATCH(K$1,'[4]NS MV SEA SS TA November 23'!$A$1:$AM$1,0))</f>
        <v>146.58313939999999</v>
      </c>
      <c r="L7" s="406">
        <f>INDEX('[4]NS MV SEA SS TA November 23'!$A$1:$AM$6,MATCH($A7,'[4]NS MV SEA SS TA November 23'!$A$1:$A10,0),MATCH(L$1,'[4]NS MV SEA SS TA November 23'!$A$1:$AM$1,0))</f>
        <v>110.85035809999999</v>
      </c>
      <c r="M7" s="406">
        <f>INDEX('[4]NS MV SEA SS TA November 23'!$A$1:$AM$6,MATCH($A7,'[4]NS MV SEA SS TA November 23'!$A$1:$A10,0),MATCH(M$1,'[4]NS MV SEA SS TA November 23'!$A$1:$AM$1,0))</f>
        <v>89.945677020000005</v>
      </c>
      <c r="N7" s="406">
        <f>INDEX('[4]NS MV SEA SS TA November 23'!$A$1:$AM$6,MATCH($A7,'[4]NS MV SEA SS TA November 23'!$A$1:$A10,0),MATCH(N$1,'[4]NS MV SEA SS TA November 23'!$A$1:$AM$1,0))</f>
        <v>1156.07889</v>
      </c>
      <c r="O7" s="406">
        <f>INDEX('[4]NS MV SEA SS TA November 23'!$A$1:$AM$6,MATCH($A7,'[4]NS MV SEA SS TA November 23'!$A$1:$A10,0),MATCH(O$1,'[4]NS MV SEA SS TA November 23'!$A$1:$AM$1,0))</f>
        <v>501.61981780000002</v>
      </c>
      <c r="P7" s="47">
        <f>SUM(C7:O7)</f>
        <v>2962.1150534929998</v>
      </c>
      <c r="Q7" s="47"/>
      <c r="R7" s="181">
        <f>+O7+N7+I7+F7+E7+D7</f>
        <v>1814.5506253830001</v>
      </c>
    </row>
    <row r="8" spans="1:18">
      <c r="A8" t="s">
        <v>175</v>
      </c>
      <c r="B8" t="s">
        <v>174</v>
      </c>
      <c r="C8" s="406">
        <f>INDEX('[4]NS MV SEA SS TA November 23'!$A$1:$AM$6,MATCH($A8,'[4]NS MV SEA SS TA November 23'!$A$1:$A11,0),MATCH(C$1,'[4]NS MV SEA SS TA November 23'!$A$1:$AM$1,0))</f>
        <v>10.17552218</v>
      </c>
      <c r="D8" s="406">
        <f>INDEX('[4]NS MV SEA SS TA November 23'!$A$1:$AM$6,MATCH($A8,'[4]NS MV SEA SS TA November 23'!$A$1:$A11,0),MATCH(D$1,'[4]NS MV SEA SS TA November 23'!$A$1:$AM$1,0))</f>
        <v>5.0512626999999997E-2</v>
      </c>
      <c r="E8" s="406">
        <f>INDEX('[4]NS MV SEA SS TA November 23'!$A$1:$AM$6,MATCH($A8,'[4]NS MV SEA SS TA November 23'!$A$1:$A11,0),MATCH(E$1,'[4]NS MV SEA SS TA November 23'!$A$1:$AM$1,0))</f>
        <v>1.4049537510000001</v>
      </c>
      <c r="F8" s="406">
        <f>INDEX('[4]NS MV SEA SS TA November 23'!$A$1:$AM$6,MATCH($A8,'[4]NS MV SEA SS TA November 23'!$A$1:$A11,0),MATCH(F$1,'[4]NS MV SEA SS TA November 23'!$A$1:$AM$1,0))</f>
        <v>27.038526919999999</v>
      </c>
      <c r="G8" s="406">
        <f>INDEX('[4]NS MV SEA SS TA November 23'!$A$1:$AM$6,MATCH($A8,'[4]NS MV SEA SS TA November 23'!$A$1:$A11,0),MATCH(G$1,'[4]NS MV SEA SS TA November 23'!$A$1:$AM$1,0))</f>
        <v>0.32638698300000002</v>
      </c>
      <c r="H8" s="406">
        <f>INDEX('[4]NS MV SEA SS TA November 23'!$A$1:$AM$6,MATCH($A8,'[4]NS MV SEA SS TA November 23'!$A$1:$A11,0),MATCH(H$1,'[4]NS MV SEA SS TA November 23'!$A$1:$AM$1,0))</f>
        <v>4.5178078199999998</v>
      </c>
      <c r="I8" s="406">
        <f>INDEX('[4]NS MV SEA SS TA November 23'!$A$1:$AM$6,MATCH($A8,'[4]NS MV SEA SS TA November 23'!$A$1:$A11,0),MATCH(I$1,'[4]NS MV SEA SS TA November 23'!$A$1:$AM$1,0))</f>
        <v>36.510662019999998</v>
      </c>
      <c r="J8" s="406">
        <f>INDEX('[4]NS MV SEA SS TA November 23'!$A$1:$AM$6,MATCH($A8,'[4]NS MV SEA SS TA November 23'!$A$1:$A11,0),MATCH(J$1,'[4]NS MV SEA SS TA November 23'!$A$1:$AM$1,0))</f>
        <v>54.729997249999997</v>
      </c>
      <c r="K8" s="406">
        <f>INDEX('[4]NS MV SEA SS TA November 23'!$A$1:$AM$6,MATCH($A8,'[4]NS MV SEA SS TA November 23'!$A$1:$A11,0),MATCH(K$1,'[4]NS MV SEA SS TA November 23'!$A$1:$AM$1,0))</f>
        <v>22.159764590000002</v>
      </c>
      <c r="L8" s="406">
        <f>INDEX('[4]NS MV SEA SS TA November 23'!$A$1:$AM$6,MATCH($A8,'[4]NS MV SEA SS TA November 23'!$A$1:$A11,0),MATCH(L$1,'[4]NS MV SEA SS TA November 23'!$A$1:$AM$1,0))</f>
        <v>39.388905819999998</v>
      </c>
      <c r="M8" s="406">
        <f>INDEX('[4]NS MV SEA SS TA November 23'!$A$1:$AM$6,MATCH($A8,'[4]NS MV SEA SS TA November 23'!$A$1:$A11,0),MATCH(M$1,'[4]NS MV SEA SS TA November 23'!$A$1:$AM$1,0))</f>
        <v>23.05491164</v>
      </c>
      <c r="N8" s="406">
        <f>INDEX('[4]NS MV SEA SS TA November 23'!$A$1:$AM$6,MATCH($A8,'[4]NS MV SEA SS TA November 23'!$A$1:$A11,0),MATCH(N$1,'[4]NS MV SEA SS TA November 23'!$A$1:$AM$1,0))</f>
        <v>208.0328701</v>
      </c>
      <c r="O8" s="406">
        <f>INDEX('[4]NS MV SEA SS TA November 23'!$A$1:$AM$6,MATCH($A8,'[4]NS MV SEA SS TA November 23'!$A$1:$A11,0),MATCH(O$1,'[4]NS MV SEA SS TA November 23'!$A$1:$AM$1,0))</f>
        <v>4.8121432789999998</v>
      </c>
      <c r="P8" s="47">
        <f>SUM(C8:O8)</f>
        <v>432.20296497999999</v>
      </c>
      <c r="Q8" s="47"/>
      <c r="R8" s="181">
        <f>+O8+N8+I8+F8+E8+D8</f>
        <v>277.84966869699997</v>
      </c>
    </row>
    <row r="9" spans="1:18">
      <c r="C9" s="89"/>
      <c r="D9" s="89"/>
      <c r="E9" s="89"/>
      <c r="F9" s="89"/>
      <c r="G9" s="89"/>
      <c r="H9" s="89"/>
      <c r="I9" s="89"/>
      <c r="J9" s="89"/>
      <c r="K9" s="89"/>
      <c r="L9" s="89"/>
      <c r="M9" s="89"/>
      <c r="N9" s="89"/>
      <c r="O9" s="89"/>
      <c r="R9" s="181"/>
    </row>
    <row r="10" spans="1:18" ht="14.5">
      <c r="A10" s="56" t="s">
        <v>185</v>
      </c>
      <c r="C10" s="89"/>
      <c r="D10" s="89"/>
      <c r="E10" s="89"/>
      <c r="F10" s="89"/>
      <c r="G10" s="89"/>
      <c r="H10" s="89"/>
      <c r="I10" s="89"/>
      <c r="J10" s="89"/>
      <c r="K10" s="89"/>
      <c r="L10" s="89"/>
      <c r="M10" s="89"/>
      <c r="N10" s="89"/>
      <c r="O10" s="89"/>
      <c r="R10" s="181"/>
    </row>
    <row r="11" spans="1:18">
      <c r="A11" t="s">
        <v>19</v>
      </c>
      <c r="B11" t="s">
        <v>174</v>
      </c>
      <c r="C11" s="406">
        <f>INDEX('[5]NS MV SEA SS TA December 23'!$A$1:$AL$6,MATCH($A11,'[5]NS MV SEA SS TA December 23'!$A$1:$A14,0),MATCH(C$1,'[5]NS MV SEA SS TA December 23'!$A$1:$AL$1,0))</f>
        <v>83.5627645</v>
      </c>
      <c r="D11" s="406">
        <f>INDEX('[5]NS MV SEA SS TA December 23'!$A$1:$AL$6,MATCH($A11,'[5]NS MV SEA SS TA December 23'!$A$1:$A14,0),MATCH(D$1,'[5]NS MV SEA SS TA December 23'!$A$1:$AL$1,0))</f>
        <v>36.289934760000001</v>
      </c>
      <c r="E11" s="406">
        <f>INDEX('[5]NS MV SEA SS TA December 23'!$A$1:$AL$6,MATCH($A11,'[5]NS MV SEA SS TA December 23'!$A$1:$A14,0),MATCH(E$1,'[5]NS MV SEA SS TA December 23'!$A$1:$AL$1,0))</f>
        <v>4.1645717930000004</v>
      </c>
      <c r="F11" s="406">
        <f>INDEX('[5]NS MV SEA SS TA December 23'!$A$1:$AL$6,MATCH($A11,'[5]NS MV SEA SS TA December 23'!$A$1:$A14,0),MATCH(F$1,'[5]NS MV SEA SS TA December 23'!$A$1:$AL$1,0))</f>
        <v>43.43013002</v>
      </c>
      <c r="G11" s="406">
        <f>INDEX('[5]NS MV SEA SS TA December 23'!$A$1:$AL$6,MATCH($A11,'[5]NS MV SEA SS TA December 23'!$A$1:$A14,0),MATCH(G$1,'[5]NS MV SEA SS TA December 23'!$A$1:$AL$1,0))</f>
        <v>25.175684489999998</v>
      </c>
      <c r="H11" s="406">
        <f>INDEX('[5]NS MV SEA SS TA December 23'!$A$1:$AL$6,MATCH($A11,'[5]NS MV SEA SS TA December 23'!$A$1:$A14,0),MATCH(H$1,'[5]NS MV SEA SS TA December 23'!$A$1:$AL$1,0))</f>
        <v>227.22284819999999</v>
      </c>
      <c r="I11" s="406">
        <f>INDEX('[5]NS MV SEA SS TA December 23'!$A$1:$AL$6,MATCH($A11,'[5]NS MV SEA SS TA December 23'!$A$1:$A14,0),MATCH(I$1,'[5]NS MV SEA SS TA December 23'!$A$1:$AL$1,0))</f>
        <v>85.107077320000002</v>
      </c>
      <c r="J11" s="406">
        <f>INDEX('[5]NS MV SEA SS TA December 23'!$A$1:$AL$6,MATCH($A11,'[5]NS MV SEA SS TA December 23'!$A$1:$A14,0),MATCH(J$1,'[5]NS MV SEA SS TA December 23'!$A$1:$AL$1,0))</f>
        <v>455.3140492</v>
      </c>
      <c r="K11" s="406">
        <f>INDEX('[5]NS MV SEA SS TA December 23'!$A$1:$AL$6,MATCH($A11,'[5]NS MV SEA SS TA December 23'!$A$1:$A14,0),MATCH(K$1,'[5]NS MV SEA SS TA December 23'!$A$1:$AL$1,0))</f>
        <v>142.82857820000001</v>
      </c>
      <c r="L11" s="406">
        <f>INDEX('[5]NS MV SEA SS TA December 23'!$A$1:$AL$6,MATCH($A11,'[5]NS MV SEA SS TA December 23'!$A$1:$A14,0),MATCH(L$1,'[5]NS MV SEA SS TA December 23'!$A$1:$AL$1,0))</f>
        <v>90.284610020000002</v>
      </c>
      <c r="M11" s="406">
        <f>INDEX('[5]NS MV SEA SS TA December 23'!$A$1:$AL$6,MATCH($A11,'[5]NS MV SEA SS TA December 23'!$A$1:$A14,0),MATCH(M$1,'[5]NS MV SEA SS TA December 23'!$A$1:$AL$1,0))</f>
        <v>101.0095415</v>
      </c>
      <c r="N11" s="406">
        <f>INDEX('[5]NS MV SEA SS TA December 23'!$A$1:$AL$6,MATCH($A11,'[5]NS MV SEA SS TA December 23'!$A$1:$A14,0),MATCH(N$1,'[5]NS MV SEA SS TA December 23'!$A$1:$AL$1,0))</f>
        <v>1157.3747840000001</v>
      </c>
      <c r="O11" s="406">
        <f>INDEX('[5]NS MV SEA SS TA December 23'!$A$1:$AL$6,MATCH($A11,'[5]NS MV SEA SS TA December 23'!$A$1:$A14,0),MATCH(O$1,'[5]NS MV SEA SS TA December 23'!$A$1:$AL$1,0))</f>
        <v>503.1162933</v>
      </c>
      <c r="P11" s="47">
        <f>SUM(C11:O11)</f>
        <v>2954.8808673030003</v>
      </c>
      <c r="R11" s="181">
        <f>+O11+N11+I11+F11+E11+D11</f>
        <v>1829.4827911930001</v>
      </c>
    </row>
    <row r="12" spans="1:18">
      <c r="A12" t="s">
        <v>175</v>
      </c>
      <c r="B12" t="s">
        <v>174</v>
      </c>
      <c r="C12" s="406">
        <f>INDEX('[5]NS MV SEA SS TA December 23'!$A$1:$AL$6,MATCH($A12,'[5]NS MV SEA SS TA December 23'!$A$1:$A15,0),MATCH(C$1,'[5]NS MV SEA SS TA December 23'!$A$1:$AL$1,0))</f>
        <v>10.401331170000001</v>
      </c>
      <c r="D12" s="406">
        <f>INDEX('[5]NS MV SEA SS TA December 23'!$A$1:$AL$6,MATCH($A12,'[5]NS MV SEA SS TA December 23'!$A$1:$A15,0),MATCH(D$1,'[5]NS MV SEA SS TA December 23'!$A$1:$AL$1,0))</f>
        <v>3.8667468000000003E-2</v>
      </c>
      <c r="E12" s="406">
        <f>INDEX('[5]NS MV SEA SS TA December 23'!$A$1:$AL$6,MATCH($A12,'[5]NS MV SEA SS TA December 23'!$A$1:$A15,0),MATCH(E$1,'[5]NS MV SEA SS TA December 23'!$A$1:$AL$1,0))</f>
        <v>1.4827155489999999</v>
      </c>
      <c r="F12" s="406">
        <f>INDEX('[5]NS MV SEA SS TA December 23'!$A$1:$AL$6,MATCH($A12,'[5]NS MV SEA SS TA December 23'!$A$1:$A15,0),MATCH(F$1,'[5]NS MV SEA SS TA December 23'!$A$1:$AL$1,0))</f>
        <v>27.458767770000001</v>
      </c>
      <c r="G12" s="406">
        <f>INDEX('[5]NS MV SEA SS TA December 23'!$A$1:$AL$6,MATCH($A12,'[5]NS MV SEA SS TA December 23'!$A$1:$A15,0),MATCH(G$1,'[5]NS MV SEA SS TA December 23'!$A$1:$AL$1,0))</f>
        <v>0.26623432000000002</v>
      </c>
      <c r="H12" s="406">
        <f>INDEX('[5]NS MV SEA SS TA December 23'!$A$1:$AL$6,MATCH($A12,'[5]NS MV SEA SS TA December 23'!$A$1:$A15,0),MATCH(H$1,'[5]NS MV SEA SS TA December 23'!$A$1:$AL$1,0))</f>
        <v>3.5436737890000001</v>
      </c>
      <c r="I12" s="406">
        <f>INDEX('[5]NS MV SEA SS TA December 23'!$A$1:$AL$6,MATCH($A12,'[5]NS MV SEA SS TA December 23'!$A$1:$A15,0),MATCH(I$1,'[5]NS MV SEA SS TA December 23'!$A$1:$AL$1,0))</f>
        <v>35.716126760000002</v>
      </c>
      <c r="J12" s="406">
        <f>INDEX('[5]NS MV SEA SS TA December 23'!$A$1:$AL$6,MATCH($A12,'[5]NS MV SEA SS TA December 23'!$A$1:$A15,0),MATCH(J$1,'[5]NS MV SEA SS TA December 23'!$A$1:$AL$1,0))</f>
        <v>53.811483969999998</v>
      </c>
      <c r="K12" s="406">
        <f>INDEX('[5]NS MV SEA SS TA December 23'!$A$1:$AL$6,MATCH($A12,'[5]NS MV SEA SS TA December 23'!$A$1:$A15,0),MATCH(K$1,'[5]NS MV SEA SS TA December 23'!$A$1:$AL$1,0))</f>
        <v>20.376850170000001</v>
      </c>
      <c r="L12" s="406">
        <f>INDEX('[5]NS MV SEA SS TA December 23'!$A$1:$AL$6,MATCH($A12,'[5]NS MV SEA SS TA December 23'!$A$1:$A15,0),MATCH(L$1,'[5]NS MV SEA SS TA December 23'!$A$1:$AL$1,0))</f>
        <v>40.06934116</v>
      </c>
      <c r="M12" s="406">
        <f>INDEX('[5]NS MV SEA SS TA December 23'!$A$1:$AL$6,MATCH($A12,'[5]NS MV SEA SS TA December 23'!$A$1:$A15,0),MATCH(M$1,'[5]NS MV SEA SS TA December 23'!$A$1:$AL$1,0))</f>
        <v>23.908264070000001</v>
      </c>
      <c r="N12" s="406">
        <f>INDEX('[5]NS MV SEA SS TA December 23'!$A$1:$AL$6,MATCH($A12,'[5]NS MV SEA SS TA December 23'!$A$1:$A15,0),MATCH(N$1,'[5]NS MV SEA SS TA December 23'!$A$1:$AL$1,0))</f>
        <v>198.725978</v>
      </c>
      <c r="O12" s="406">
        <f>INDEX('[5]NS MV SEA SS TA December 23'!$A$1:$AL$6,MATCH($A12,'[5]NS MV SEA SS TA December 23'!$A$1:$A15,0),MATCH(O$1,'[5]NS MV SEA SS TA December 23'!$A$1:$AL$1,0))</f>
        <v>4.0709633429999998</v>
      </c>
      <c r="P12" s="47">
        <f>SUM(C12:O12)</f>
        <v>419.87039753900001</v>
      </c>
      <c r="R12" s="181">
        <f>+O12+N12+I12+F12+E12+D12</f>
        <v>267.49321888999998</v>
      </c>
    </row>
    <row r="13" spans="1:18">
      <c r="C13" s="89"/>
      <c r="D13" s="89"/>
      <c r="E13" s="89"/>
      <c r="F13" s="89"/>
      <c r="G13" s="89"/>
      <c r="H13" s="89"/>
      <c r="I13" s="89"/>
      <c r="J13" s="89"/>
      <c r="K13" s="89"/>
      <c r="L13" s="89"/>
      <c r="M13" s="89"/>
      <c r="N13" s="89"/>
      <c r="O13" s="89"/>
      <c r="R13" s="181"/>
    </row>
    <row r="14" spans="1:18" ht="14.5">
      <c r="A14" s="56" t="s">
        <v>186</v>
      </c>
      <c r="C14" s="89"/>
      <c r="D14" s="89"/>
      <c r="E14" s="89"/>
      <c r="F14" s="89"/>
      <c r="G14" s="89"/>
      <c r="H14" s="89"/>
      <c r="I14" s="89"/>
      <c r="J14" s="89"/>
      <c r="K14" s="89"/>
      <c r="L14" s="89"/>
      <c r="M14" s="89"/>
      <c r="N14" s="89"/>
      <c r="O14" s="89"/>
      <c r="R14" s="181"/>
    </row>
    <row r="15" spans="1:18">
      <c r="A15" t="s">
        <v>19</v>
      </c>
      <c r="B15" t="s">
        <v>174</v>
      </c>
      <c r="C15" s="406">
        <f>INDEX('[6]PricingDashboard - MUNI_SHARE p'!$A$1:$AL$6,MATCH($A15,'[6]PricingDashboard - MUNI_SHARE p'!$A$1:$A18,0),MATCH(C$1,'[6]PricingDashboard - MUNI_SHARE p'!$A$1:$AL$1,0))</f>
        <v>89.923040048728794</v>
      </c>
      <c r="D15" s="406">
        <f>INDEX('[6]PricingDashboard - MUNI_SHARE p'!$A$1:$AL$6,MATCH($A15,'[6]PricingDashboard - MUNI_SHARE p'!$A$1:$A18,0),MATCH(D$1,'[6]PricingDashboard - MUNI_SHARE p'!$A$1:$AL$1,0))</f>
        <v>40.953258043882698</v>
      </c>
      <c r="E15" s="406">
        <f>INDEX('[6]PricingDashboard - MUNI_SHARE p'!$A$1:$AL$6,MATCH($A15,'[6]PricingDashboard - MUNI_SHARE p'!$A$1:$A18,0),MATCH(E$1,'[6]PricingDashboard - MUNI_SHARE p'!$A$1:$AL$1,0))</f>
        <v>3.49800486418405</v>
      </c>
      <c r="F15" s="406">
        <f>INDEX('[6]PricingDashboard - MUNI_SHARE p'!$A$1:$AL$6,MATCH($A15,'[6]PricingDashboard - MUNI_SHARE p'!$A$1:$A18,0),MATCH(F$1,'[6]PricingDashboard - MUNI_SHARE p'!$A$1:$AL$1,0))</f>
        <v>41.528813005454602</v>
      </c>
      <c r="G15" s="406">
        <f>INDEX('[6]PricingDashboard - MUNI_SHARE p'!$A$1:$AL$6,MATCH($A15,'[6]PricingDashboard - MUNI_SHARE p'!$A$1:$A18,0),MATCH(G$1,'[6]PricingDashboard - MUNI_SHARE p'!$A$1:$AL$1,0))</f>
        <v>23.747241888393901</v>
      </c>
      <c r="H15" s="406">
        <f>INDEX('[6]PricingDashboard - MUNI_SHARE p'!$A$1:$AL$6,MATCH($A15,'[6]PricingDashboard - MUNI_SHARE p'!$A$1:$A18,0),MATCH(H$1,'[6]PricingDashboard - MUNI_SHARE p'!$A$1:$AL$1,0))</f>
        <v>264.13095886642202</v>
      </c>
      <c r="I15" s="406">
        <f>INDEX('[6]PricingDashboard - MUNI_SHARE p'!$A$1:$AL$6,MATCH($A15,'[6]PricingDashboard - MUNI_SHARE p'!$A$1:$A18,0),MATCH(I$1,'[6]PricingDashboard - MUNI_SHARE p'!$A$1:$AL$1,0))</f>
        <v>87.907489006737507</v>
      </c>
      <c r="J15" s="406">
        <f>INDEX('[6]PricingDashboard - MUNI_SHARE p'!$A$1:$AL$6,MATCH($A15,'[6]PricingDashboard - MUNI_SHARE p'!$A$1:$A18,0),MATCH(J$1,'[6]PricingDashboard - MUNI_SHARE p'!$A$1:$AL$1,0))</f>
        <v>481.14267246359202</v>
      </c>
      <c r="K15" s="406">
        <f>INDEX('[6]PricingDashboard - MUNI_SHARE p'!$A$1:$AL$6,MATCH($A15,'[6]PricingDashboard - MUNI_SHARE p'!$A$1:$A18,0),MATCH(K$1,'[6]PricingDashboard - MUNI_SHARE p'!$A$1:$AL$1,0))</f>
        <v>131.440621383262</v>
      </c>
      <c r="L15" s="406">
        <f>INDEX('[6]PricingDashboard - MUNI_SHARE p'!$A$1:$AL$6,MATCH($A15,'[6]PricingDashboard - MUNI_SHARE p'!$A$1:$A18,0),MATCH(L$1,'[6]PricingDashboard - MUNI_SHARE p'!$A$1:$AL$1,0))</f>
        <v>99.572054916947195</v>
      </c>
      <c r="M15" s="406">
        <f>INDEX('[6]PricingDashboard - MUNI_SHARE p'!$A$1:$AL$6,MATCH($A15,'[6]PricingDashboard - MUNI_SHARE p'!$A$1:$A18,0),MATCH(M$1,'[6]PricingDashboard - MUNI_SHARE p'!$A$1:$AL$1,0))</f>
        <v>124.012362605989</v>
      </c>
      <c r="N15" s="406">
        <f>INDEX('[6]PricingDashboard - MUNI_SHARE p'!$A$1:$AL$6,MATCH($A15,'[6]PricingDashboard - MUNI_SHARE p'!$A$1:$A18,0),MATCH(N$1,'[6]PricingDashboard - MUNI_SHARE p'!$A$1:$AL$1,0))</f>
        <v>1101.3421423217401</v>
      </c>
      <c r="O15" s="406">
        <f>INDEX('[6]PricingDashboard - MUNI_SHARE p'!$A$1:$AL$6,MATCH($A15,'[6]PricingDashboard - MUNI_SHARE p'!$A$1:$A18,0),MATCH(O$1,'[6]PricingDashboard - MUNI_SHARE p'!$A$1:$AL$1,0))</f>
        <v>509.633891124142</v>
      </c>
      <c r="P15" s="47">
        <f>SUM(C15:O15)</f>
        <v>2998.8325505394755</v>
      </c>
      <c r="R15" s="181">
        <f>+O15+N15+I15+F15+E15+D15</f>
        <v>1784.8635983661406</v>
      </c>
    </row>
    <row r="16" spans="1:18">
      <c r="A16" t="s">
        <v>175</v>
      </c>
      <c r="B16" t="s">
        <v>174</v>
      </c>
      <c r="C16" s="406">
        <f>INDEX('[6]PricingDashboard - MUNI_SHARE p'!$A$1:$AL$6,MATCH($A16,'[6]PricingDashboard - MUNI_SHARE p'!$A$1:$A19,0),MATCH(C$1,'[6]PricingDashboard - MUNI_SHARE p'!$A$1:$AL$1,0))</f>
        <v>10.9296045374131</v>
      </c>
      <c r="D16" s="406">
        <f>INDEX('[6]PricingDashboard - MUNI_SHARE p'!$A$1:$AL$6,MATCH($A16,'[6]PricingDashboard - MUNI_SHARE p'!$A$1:$A19,0),MATCH(D$1,'[6]PricingDashboard - MUNI_SHARE p'!$A$1:$AL$1,0))</f>
        <v>3.4921960030048702E-2</v>
      </c>
      <c r="E16" s="406">
        <f>INDEX('[6]PricingDashboard - MUNI_SHARE p'!$A$1:$AL$6,MATCH($A16,'[6]PricingDashboard - MUNI_SHARE p'!$A$1:$A19,0),MATCH(E$1,'[6]PricingDashboard - MUNI_SHARE p'!$A$1:$AL$1,0))</f>
        <v>1.7443137745812201</v>
      </c>
      <c r="F16" s="406">
        <f>INDEX('[6]PricingDashboard - MUNI_SHARE p'!$A$1:$AL$6,MATCH($A16,'[6]PricingDashboard - MUNI_SHARE p'!$A$1:$A19,0),MATCH(F$1,'[6]PricingDashboard - MUNI_SHARE p'!$A$1:$AL$1,0))</f>
        <v>29.914706037793501</v>
      </c>
      <c r="G16" s="406">
        <f>INDEX('[6]PricingDashboard - MUNI_SHARE p'!$A$1:$AL$6,MATCH($A16,'[6]PricingDashboard - MUNI_SHARE p'!$A$1:$A19,0),MATCH(G$1,'[6]PricingDashboard - MUNI_SHARE p'!$A$1:$AL$1,0))</f>
        <v>0.44910653771646902</v>
      </c>
      <c r="H16" s="406">
        <f>INDEX('[6]PricingDashboard - MUNI_SHARE p'!$A$1:$AL$6,MATCH($A16,'[6]PricingDashboard - MUNI_SHARE p'!$A$1:$A19,0),MATCH(H$1,'[6]PricingDashboard - MUNI_SHARE p'!$A$1:$AL$1,0))</f>
        <v>2.0386199437104899</v>
      </c>
      <c r="I16" s="406">
        <f>INDEX('[6]PricingDashboard - MUNI_SHARE p'!$A$1:$AL$6,MATCH($A16,'[6]PricingDashboard - MUNI_SHARE p'!$A$1:$A19,0),MATCH(I$1,'[6]PricingDashboard - MUNI_SHARE p'!$A$1:$AL$1,0))</f>
        <v>36.347794887412597</v>
      </c>
      <c r="J16" s="406">
        <f>INDEX('[6]PricingDashboard - MUNI_SHARE p'!$A$1:$AL$6,MATCH($A16,'[6]PricingDashboard - MUNI_SHARE p'!$A$1:$A19,0),MATCH(J$1,'[6]PricingDashboard - MUNI_SHARE p'!$A$1:$AL$1,0))</f>
        <v>65.276784073551298</v>
      </c>
      <c r="K16" s="406">
        <f>INDEX('[6]PricingDashboard - MUNI_SHARE p'!$A$1:$AL$6,MATCH($A16,'[6]PricingDashboard - MUNI_SHARE p'!$A$1:$A19,0),MATCH(K$1,'[6]PricingDashboard - MUNI_SHARE p'!$A$1:$AL$1,0))</f>
        <v>19.4640604987123</v>
      </c>
      <c r="L16" s="406">
        <f>INDEX('[6]PricingDashboard - MUNI_SHARE p'!$A$1:$AL$6,MATCH($A16,'[6]PricingDashboard - MUNI_SHARE p'!$A$1:$A19,0),MATCH(L$1,'[6]PricingDashboard - MUNI_SHARE p'!$A$1:$AL$1,0))</f>
        <v>42.440857215740003</v>
      </c>
      <c r="M16" s="406">
        <f>INDEX('[6]PricingDashboard - MUNI_SHARE p'!$A$1:$AL$6,MATCH($A16,'[6]PricingDashboard - MUNI_SHARE p'!$A$1:$A19,0),MATCH(M$1,'[6]PricingDashboard - MUNI_SHARE p'!$A$1:$AL$1,0))</f>
        <v>22.343487448079099</v>
      </c>
      <c r="N16" s="406">
        <f>INDEX('[6]PricingDashboard - MUNI_SHARE p'!$A$1:$AL$6,MATCH($A16,'[6]PricingDashboard - MUNI_SHARE p'!$A$1:$A19,0),MATCH(N$1,'[6]PricingDashboard - MUNI_SHARE p'!$A$1:$AL$1,0))</f>
        <v>224.27467335011801</v>
      </c>
      <c r="O16" s="406">
        <f>INDEX('[6]PricingDashboard - MUNI_SHARE p'!$A$1:$AL$6,MATCH($A16,'[6]PricingDashboard - MUNI_SHARE p'!$A$1:$A19,0),MATCH(O$1,'[6]PricingDashboard - MUNI_SHARE p'!$A$1:$AL$1,0))</f>
        <v>4.5183854291554297</v>
      </c>
      <c r="P16" s="47">
        <f>SUM(C16:O16)</f>
        <v>459.77731569401357</v>
      </c>
      <c r="R16" s="181">
        <f>+O16+N16+I16+F16+E16+D16</f>
        <v>296.83479543909078</v>
      </c>
    </row>
    <row r="17" spans="1:18">
      <c r="C17" s="89"/>
      <c r="D17" s="89"/>
      <c r="E17" s="89"/>
      <c r="F17" s="89"/>
      <c r="G17" s="89"/>
      <c r="H17" s="89"/>
      <c r="I17" s="89"/>
      <c r="J17" s="89"/>
      <c r="K17" s="89"/>
      <c r="L17" s="89"/>
      <c r="M17" s="89"/>
      <c r="N17" s="89"/>
      <c r="O17" s="89"/>
      <c r="R17" s="181"/>
    </row>
    <row r="18" spans="1:18" ht="14.5">
      <c r="A18" s="56" t="s">
        <v>187</v>
      </c>
      <c r="C18" s="89"/>
      <c r="D18" s="89"/>
      <c r="E18" s="89"/>
      <c r="F18" s="89"/>
      <c r="G18" s="89"/>
      <c r="H18" s="89"/>
      <c r="I18" s="89"/>
      <c r="J18" s="89"/>
      <c r="K18" s="89"/>
      <c r="L18" s="89"/>
      <c r="M18" s="89"/>
      <c r="N18" s="89"/>
      <c r="O18" s="89"/>
      <c r="R18" s="181"/>
    </row>
    <row r="19" spans="1:18">
      <c r="A19" s="47" t="s">
        <v>19</v>
      </c>
      <c r="B19" s="47" t="s">
        <v>174</v>
      </c>
      <c r="C19" s="406">
        <f>INDEX('[7]PricingDashboard - MUNI_SHARE p'!$A$1:$AL$6,MATCH($A15,'[7]PricingDashboard - MUNI_SHARE p'!$A$1:$A18,0),MATCH(C$1,'[7]PricingDashboard - MUNI_SHARE p'!$A$1:$AL$1,0))</f>
        <v>91.950228308637804</v>
      </c>
      <c r="D19" s="406">
        <f>INDEX('[7]PricingDashboard - MUNI_SHARE p'!$A$1:$AL$6,MATCH($A15,'[7]PricingDashboard - MUNI_SHARE p'!$A$1:$A18,0),MATCH(D$1,'[7]PricingDashboard - MUNI_SHARE p'!$A$1:$AL$1,0))</f>
        <v>31.636010213557899</v>
      </c>
      <c r="E19" s="406">
        <f>INDEX('[7]PricingDashboard - MUNI_SHARE p'!$A$1:$AL$6,MATCH($A15,'[7]PricingDashboard - MUNI_SHARE p'!$A$1:$A18,0),MATCH(E$1,'[7]PricingDashboard - MUNI_SHARE p'!$A$1:$AL$1,0))</f>
        <v>3.38874661266146</v>
      </c>
      <c r="F19" s="406">
        <f>INDEX('[7]PricingDashboard - MUNI_SHARE p'!$A$1:$AL$6,MATCH($A15,'[7]PricingDashboard - MUNI_SHARE p'!$A$1:$A18,0),MATCH(F$1,'[7]PricingDashboard - MUNI_SHARE p'!$A$1:$AL$1,0))</f>
        <v>42.687921655544102</v>
      </c>
      <c r="G19" s="406">
        <f>INDEX('[7]PricingDashboard - MUNI_SHARE p'!$A$1:$AL$6,MATCH($A15,'[7]PricingDashboard - MUNI_SHARE p'!$A$1:$A18,0),MATCH(G$1,'[7]PricingDashboard - MUNI_SHARE p'!$A$1:$AL$1,0))</f>
        <v>21.535539326407601</v>
      </c>
      <c r="H19" s="406">
        <f>INDEX('[7]PricingDashboard - MUNI_SHARE p'!$A$1:$AL$6,MATCH($A15,'[7]PricingDashboard - MUNI_SHARE p'!$A$1:$A18,0),MATCH(H$1,'[7]PricingDashboard - MUNI_SHARE p'!$A$1:$AL$1,0))</f>
        <v>204.813200307111</v>
      </c>
      <c r="I19" s="406">
        <f>INDEX('[7]PricingDashboard - MUNI_SHARE p'!$A$1:$AL$6,MATCH($A15,'[7]PricingDashboard - MUNI_SHARE p'!$A$1:$A18,0),MATCH(I$1,'[7]PricingDashboard - MUNI_SHARE p'!$A$1:$AL$1,0))</f>
        <v>75.382009149720602</v>
      </c>
      <c r="J19" s="406">
        <f>INDEX('[7]PricingDashboard - MUNI_SHARE p'!$A$1:$AL$6,MATCH($A15,'[7]PricingDashboard - MUNI_SHARE p'!$A$1:$A18,0),MATCH(J$1,'[7]PricingDashboard - MUNI_SHARE p'!$A$1:$AL$1,0))</f>
        <v>428.40298597720198</v>
      </c>
      <c r="K19" s="406">
        <f>INDEX('[7]PricingDashboard - MUNI_SHARE p'!$A$1:$AL$6,MATCH($A15,'[7]PricingDashboard - MUNI_SHARE p'!$A$1:$A18,0),MATCH(K$1,'[7]PricingDashboard - MUNI_SHARE p'!$A$1:$AL$1,0))</f>
        <v>137.50431324288101</v>
      </c>
      <c r="L19" s="406">
        <f>INDEX('[7]PricingDashboard - MUNI_SHARE p'!$A$1:$AL$6,MATCH($A15,'[7]PricingDashboard - MUNI_SHARE p'!$A$1:$A18,0),MATCH(L$1,'[7]PricingDashboard - MUNI_SHARE p'!$A$1:$AL$1,0))</f>
        <v>79.638996962641798</v>
      </c>
      <c r="M19" s="406">
        <f>INDEX('[7]PricingDashboard - MUNI_SHARE p'!$A$1:$AL$6,MATCH($A15,'[7]PricingDashboard - MUNI_SHARE p'!$A$1:$A18,0),MATCH(M$1,'[7]PricingDashboard - MUNI_SHARE p'!$A$1:$AL$1,0))</f>
        <v>82.142934862575899</v>
      </c>
      <c r="N19" s="406">
        <f>INDEX('[7]PricingDashboard - MUNI_SHARE p'!$A$1:$AL$6,MATCH($A15,'[7]PricingDashboard - MUNI_SHARE p'!$A$1:$A18,0),MATCH(N$1,'[7]PricingDashboard - MUNI_SHARE p'!$A$1:$AL$1,0))</f>
        <v>1038.51777894623</v>
      </c>
      <c r="O19" s="406">
        <f>INDEX('[7]PricingDashboard - MUNI_SHARE p'!$A$1:$AL$6,MATCH($A15,'[7]PricingDashboard - MUNI_SHARE p'!$A$1:$A18,0),MATCH(O$1,'[7]PricingDashboard - MUNI_SHARE p'!$A$1:$AL$1,0))</f>
        <v>506.254538178563</v>
      </c>
      <c r="P19" s="47">
        <f>SUM(C19:O19)</f>
        <v>2743.8552037437339</v>
      </c>
      <c r="R19" s="181">
        <f>+O19+N19+I19+F19+E19+D19</f>
        <v>1697.8670047562771</v>
      </c>
    </row>
    <row r="20" spans="1:18">
      <c r="A20" s="47" t="s">
        <v>175</v>
      </c>
      <c r="B20" s="47" t="s">
        <v>174</v>
      </c>
      <c r="C20" s="406">
        <f>INDEX('[7]PricingDashboard - MUNI_SHARE p'!$A$1:$AL$6,MATCH($A16,'[7]PricingDashboard - MUNI_SHARE p'!$A$1:$A19,0),MATCH(C$1,'[7]PricingDashboard - MUNI_SHARE p'!$A$1:$AL$1,0))</f>
        <v>8.3020808686684902</v>
      </c>
      <c r="D20" s="406">
        <f>INDEX('[7]PricingDashboard - MUNI_SHARE p'!$A$1:$AL$6,MATCH($A16,'[7]PricingDashboard - MUNI_SHARE p'!$A$1:$A19,0),MATCH(D$1,'[7]PricingDashboard - MUNI_SHARE p'!$A$1:$AL$1,0))</f>
        <v>3.2789868425630399E-2</v>
      </c>
      <c r="E20" s="406">
        <f>INDEX('[7]PricingDashboard - MUNI_SHARE p'!$A$1:$AL$6,MATCH($A16,'[7]PricingDashboard - MUNI_SHARE p'!$A$1:$A19,0),MATCH(E$1,'[7]PricingDashboard - MUNI_SHARE p'!$A$1:$AL$1,0))</f>
        <v>1.3117673152800899</v>
      </c>
      <c r="F20" s="406">
        <f>INDEX('[7]PricingDashboard - MUNI_SHARE p'!$A$1:$AL$6,MATCH($A16,'[7]PricingDashboard - MUNI_SHARE p'!$A$1:$A19,0),MATCH(F$1,'[7]PricingDashboard - MUNI_SHARE p'!$A$1:$AL$1,0))</f>
        <v>25.400067552022499</v>
      </c>
      <c r="G20" s="406">
        <f>INDEX('[7]PricingDashboard - MUNI_SHARE p'!$A$1:$AL$6,MATCH($A16,'[7]PricingDashboard - MUNI_SHARE p'!$A$1:$A19,0),MATCH(G$1,'[7]PricingDashboard - MUNI_SHARE p'!$A$1:$AL$1,0))</f>
        <v>0.31749283984089099</v>
      </c>
      <c r="H20" s="406">
        <f>INDEX('[7]PricingDashboard - MUNI_SHARE p'!$A$1:$AL$6,MATCH($A16,'[7]PricingDashboard - MUNI_SHARE p'!$A$1:$A19,0),MATCH(H$1,'[7]PricingDashboard - MUNI_SHARE p'!$A$1:$AL$1,0))</f>
        <v>0.458578720545186</v>
      </c>
      <c r="I20" s="406">
        <f>INDEX('[7]PricingDashboard - MUNI_SHARE p'!$A$1:$AL$6,MATCH($A16,'[7]PricingDashboard - MUNI_SHARE p'!$A$1:$A19,0),MATCH(I$1,'[7]PricingDashboard - MUNI_SHARE p'!$A$1:$AL$1,0))</f>
        <v>33.144171582882102</v>
      </c>
      <c r="J20" s="406">
        <f>INDEX('[7]PricingDashboard - MUNI_SHARE p'!$A$1:$AL$6,MATCH($A16,'[7]PricingDashboard - MUNI_SHARE p'!$A$1:$A19,0),MATCH(J$1,'[7]PricingDashboard - MUNI_SHARE p'!$A$1:$AL$1,0))</f>
        <v>50.0624837862349</v>
      </c>
      <c r="K20" s="406">
        <f>INDEX('[7]PricingDashboard - MUNI_SHARE p'!$A$1:$AL$6,MATCH($A16,'[7]PricingDashboard - MUNI_SHARE p'!$A$1:$A19,0),MATCH(K$1,'[7]PricingDashboard - MUNI_SHARE p'!$A$1:$AL$1,0))</f>
        <v>17.135985239234401</v>
      </c>
      <c r="L20" s="406">
        <f>INDEX('[7]PricingDashboard - MUNI_SHARE p'!$A$1:$AL$6,MATCH($A16,'[7]PricingDashboard - MUNI_SHARE p'!$A$1:$A19,0),MATCH(L$1,'[7]PricingDashboard - MUNI_SHARE p'!$A$1:$AL$1,0))</f>
        <v>37.387698291923201</v>
      </c>
      <c r="M20" s="406">
        <f>INDEX('[7]PricingDashboard - MUNI_SHARE p'!$A$1:$AL$6,MATCH($A16,'[7]PricingDashboard - MUNI_SHARE p'!$A$1:$A19,0),MATCH(M$1,'[7]PricingDashboard - MUNI_SHARE p'!$A$1:$AL$1,0))</f>
        <v>20.406515747308799</v>
      </c>
      <c r="N20" s="406">
        <f>INDEX('[7]PricingDashboard - MUNI_SHARE p'!$A$1:$AL$6,MATCH($A16,'[7]PricingDashboard - MUNI_SHARE p'!$A$1:$A19,0),MATCH(N$1,'[7]PricingDashboard - MUNI_SHARE p'!$A$1:$AL$1,0))</f>
        <v>211.49793033215801</v>
      </c>
      <c r="O20" s="406">
        <f>INDEX('[7]PricingDashboard - MUNI_SHARE p'!$A$1:$AL$6,MATCH($A16,'[7]PricingDashboard - MUNI_SHARE p'!$A$1:$A19,0),MATCH(O$1,'[7]PricingDashboard - MUNI_SHARE p'!$A$1:$AL$1,0))</f>
        <v>4.03313892852844</v>
      </c>
      <c r="P20" s="47">
        <f>SUM(C20:O20)</f>
        <v>409.49070107305266</v>
      </c>
      <c r="R20" s="181">
        <f>+O20+N20+I20+F20+E20+D20</f>
        <v>275.41986557929675</v>
      </c>
    </row>
    <row r="21" spans="1:18">
      <c r="C21" s="89"/>
      <c r="D21" s="89"/>
      <c r="E21" s="89"/>
      <c r="F21" s="89"/>
      <c r="G21" s="89"/>
      <c r="H21" s="89"/>
      <c r="I21" s="89"/>
      <c r="J21" s="89"/>
      <c r="K21" s="89"/>
      <c r="L21" s="89"/>
      <c r="M21" s="89"/>
      <c r="N21" s="89"/>
      <c r="O21" s="89"/>
      <c r="R21" s="181"/>
    </row>
    <row r="22" spans="1:18" ht="14.5">
      <c r="A22" s="56" t="s">
        <v>188</v>
      </c>
      <c r="C22" s="89"/>
      <c r="D22" s="89"/>
      <c r="E22" s="89"/>
      <c r="F22" s="89"/>
      <c r="G22" s="89"/>
      <c r="H22" s="89"/>
      <c r="I22" s="89"/>
      <c r="J22" s="89"/>
      <c r="K22" s="89"/>
      <c r="L22" s="89"/>
      <c r="M22" s="89"/>
      <c r="N22" s="89"/>
      <c r="O22" s="89"/>
      <c r="R22" s="181"/>
    </row>
    <row r="23" spans="1:18">
      <c r="A23" s="47" t="s">
        <v>19</v>
      </c>
      <c r="B23" s="47" t="s">
        <v>174</v>
      </c>
      <c r="C23" s="406">
        <f>INDEX('[8]PricingDashboard - MUNI_SHARE p'!$A$1:$AZ$6,MATCH($A19,'[8]PricingDashboard - MUNI_SHARE p'!$A$1:$A22,0),MATCH(C$1,'[8]PricingDashboard - MUNI_SHARE p'!$A$1:$AZ$1,0))</f>
        <v>86.682908147640305</v>
      </c>
      <c r="D23" s="406">
        <f>INDEX('[8]PricingDashboard - MUNI_SHARE p'!$A$1:$AZ$6,MATCH($A19,'[8]PricingDashboard - MUNI_SHARE p'!$A$1:$A22,0),MATCH(D$1,'[8]PricingDashboard - MUNI_SHARE p'!$A$1:$AZ$1,0))</f>
        <v>46.330765294809503</v>
      </c>
      <c r="E23" s="406">
        <f>INDEX('[8]PricingDashboard - MUNI_SHARE p'!$A$1:$AZ$6,MATCH($A19,'[8]PricingDashboard - MUNI_SHARE p'!$A$1:$A22,0),MATCH(E$1,'[8]PricingDashboard - MUNI_SHARE p'!$A$1:$AZ$1,0))</f>
        <v>4.4736641530336003</v>
      </c>
      <c r="F23" s="406">
        <f>INDEX('[8]PricingDashboard - MUNI_SHARE p'!$A$1:$AZ$6,MATCH($A19,'[8]PricingDashboard - MUNI_SHARE p'!$A$1:$A22,0),MATCH(F$1,'[8]PricingDashboard - MUNI_SHARE p'!$A$1:$AZ$1,0))</f>
        <v>45.358204170373803</v>
      </c>
      <c r="G23" s="406">
        <f>INDEX('[8]PricingDashboard - MUNI_SHARE p'!$A$1:$AZ$6,MATCH($A19,'[8]PricingDashboard - MUNI_SHARE p'!$A$1:$A22,0),MATCH(G$1,'[8]PricingDashboard - MUNI_SHARE p'!$A$1:$AZ$1,0))</f>
        <v>22.986179593168199</v>
      </c>
      <c r="H23" s="406">
        <f>INDEX('[8]PricingDashboard - MUNI_SHARE p'!$A$1:$AZ$6,MATCH($A19,'[8]PricingDashboard - MUNI_SHARE p'!$A$1:$A22,0),MATCH(H$1,'[8]PricingDashboard - MUNI_SHARE p'!$A$1:$AZ$1,0))</f>
        <v>215.76395837866801</v>
      </c>
      <c r="I23" s="406">
        <f>INDEX('[8]PricingDashboard - MUNI_SHARE p'!$A$1:$AZ$6,MATCH($A19,'[8]PricingDashboard - MUNI_SHARE p'!$A$1:$A22,0),MATCH(I$1,'[8]PricingDashboard - MUNI_SHARE p'!$A$1:$AZ$1,0))</f>
        <v>92.622635728370895</v>
      </c>
      <c r="J23" s="406">
        <f>INDEX('[8]PricingDashboard - MUNI_SHARE p'!$A$1:$AZ$6,MATCH($A19,'[8]PricingDashboard - MUNI_SHARE p'!$A$1:$A22,0),MATCH(J$1,'[8]PricingDashboard - MUNI_SHARE p'!$A$1:$AZ$1,0))</f>
        <v>412.21165267077998</v>
      </c>
      <c r="K23" s="406">
        <f>INDEX('[8]PricingDashboard - MUNI_SHARE p'!$A$1:$AZ$6,MATCH($A19,'[8]PricingDashboard - MUNI_SHARE p'!$A$1:$A22,0),MATCH(K$1,'[8]PricingDashboard - MUNI_SHARE p'!$A$1:$AZ$1,0))</f>
        <v>117.93890525900299</v>
      </c>
      <c r="L23" s="406">
        <f>INDEX('[8]PricingDashboard - MUNI_SHARE p'!$A$1:$AZ$6,MATCH($A19,'[8]PricingDashboard - MUNI_SHARE p'!$A$1:$A22,0),MATCH(L$1,'[8]PricingDashboard - MUNI_SHARE p'!$A$1:$AZ$1,0))</f>
        <v>97.656288155907802</v>
      </c>
      <c r="M23" s="406">
        <f>INDEX('[8]PricingDashboard - MUNI_SHARE p'!$A$1:$AZ$6,MATCH($A19,'[8]PricingDashboard - MUNI_SHARE p'!$A$1:$A22,0),MATCH(M$1,'[8]PricingDashboard - MUNI_SHARE p'!$A$1:$AZ$1,0))</f>
        <v>114.89924614980799</v>
      </c>
      <c r="N23" s="406">
        <f>INDEX('[8]PricingDashboard - MUNI_SHARE p'!$A$1:$AZ$6,MATCH($A19,'[8]PricingDashboard - MUNI_SHARE p'!$A$1:$A22,0),MATCH(N$1,'[8]PricingDashboard - MUNI_SHARE p'!$A$1:$AZ$1,0))</f>
        <v>1365.2106571926199</v>
      </c>
      <c r="O23" s="406">
        <f>INDEX('[8]PricingDashboard - MUNI_SHARE p'!$A$1:$AZ$6,MATCH($A19,'[8]PricingDashboard - MUNI_SHARE p'!$A$1:$A22,0),MATCH(O$1,'[8]PricingDashboard - MUNI_SHARE p'!$A$1:$AZ$1,0))</f>
        <v>579.40273359380603</v>
      </c>
      <c r="P23" s="47">
        <f>SUM(C23:O23)</f>
        <v>3201.5377984879888</v>
      </c>
      <c r="R23" s="181">
        <f>+O23+N23+I23+F23+E23+D23</f>
        <v>2133.3986601330139</v>
      </c>
    </row>
    <row r="24" spans="1:18">
      <c r="A24" s="47" t="s">
        <v>175</v>
      </c>
      <c r="B24" s="47" t="s">
        <v>174</v>
      </c>
      <c r="C24" s="406">
        <f>INDEX('[8]PricingDashboard - MUNI_SHARE p'!$A$1:$AZ$6,MATCH($A20,'[8]PricingDashboard - MUNI_SHARE p'!$A$1:$A23,0),MATCH(C$1,'[8]PricingDashboard - MUNI_SHARE p'!$A$1:$AZ$1,0))</f>
        <v>7.6529674281642297</v>
      </c>
      <c r="D24" s="406">
        <f>INDEX('[8]PricingDashboard - MUNI_SHARE p'!$A$1:$AZ$6,MATCH($A20,'[8]PricingDashboard - MUNI_SHARE p'!$A$1:$A23,0),MATCH(D$1,'[8]PricingDashboard - MUNI_SHARE p'!$A$1:$AZ$1,0))</f>
        <v>4.0057028082413897E-2</v>
      </c>
      <c r="E24" s="406">
        <f>INDEX('[8]PricingDashboard - MUNI_SHARE p'!$A$1:$AZ$6,MATCH($A20,'[8]PricingDashboard - MUNI_SHARE p'!$A$1:$A23,0),MATCH(E$1,'[8]PricingDashboard - MUNI_SHARE p'!$A$1:$AZ$1,0))</f>
        <v>1.3461535474699799</v>
      </c>
      <c r="F24" s="406">
        <f>INDEX('[8]PricingDashboard - MUNI_SHARE p'!$A$1:$AZ$6,MATCH($A20,'[8]PricingDashboard - MUNI_SHARE p'!$A$1:$A23,0),MATCH(F$1,'[8]PricingDashboard - MUNI_SHARE p'!$A$1:$AZ$1,0))</f>
        <v>20.492415326660801</v>
      </c>
      <c r="G24" s="406">
        <f>INDEX('[8]PricingDashboard - MUNI_SHARE p'!$A$1:$AZ$6,MATCH($A20,'[8]PricingDashboard - MUNI_SHARE p'!$A$1:$A23,0),MATCH(G$1,'[8]PricingDashboard - MUNI_SHARE p'!$A$1:$AZ$1,0))</f>
        <v>0.25816645650370701</v>
      </c>
      <c r="H24" s="406">
        <f>INDEX('[8]PricingDashboard - MUNI_SHARE p'!$A$1:$AZ$6,MATCH($A20,'[8]PricingDashboard - MUNI_SHARE p'!$A$1:$A23,0),MATCH(H$1,'[8]PricingDashboard - MUNI_SHARE p'!$A$1:$AZ$1,0))</f>
        <v>1.7230889301574901</v>
      </c>
      <c r="I24" s="406">
        <f>INDEX('[8]PricingDashboard - MUNI_SHARE p'!$A$1:$AZ$6,MATCH($A20,'[8]PricingDashboard - MUNI_SHARE p'!$A$1:$A23,0),MATCH(I$1,'[8]PricingDashboard - MUNI_SHARE p'!$A$1:$AZ$1,0))</f>
        <v>27.511654907232501</v>
      </c>
      <c r="J24" s="406">
        <f>INDEX('[8]PricingDashboard - MUNI_SHARE p'!$A$1:$AZ$6,MATCH($A20,'[8]PricingDashboard - MUNI_SHARE p'!$A$1:$A23,0),MATCH(J$1,'[8]PricingDashboard - MUNI_SHARE p'!$A$1:$AZ$1,0))</f>
        <v>44.1669077352432</v>
      </c>
      <c r="K24" s="406">
        <f>INDEX('[8]PricingDashboard - MUNI_SHARE p'!$A$1:$AZ$6,MATCH($A20,'[8]PricingDashboard - MUNI_SHARE p'!$A$1:$A23,0),MATCH(K$1,'[8]PricingDashboard - MUNI_SHARE p'!$A$1:$AZ$1,0))</f>
        <v>12.9065257794835</v>
      </c>
      <c r="L24" s="406">
        <f>INDEX('[8]PricingDashboard - MUNI_SHARE p'!$A$1:$AZ$6,MATCH($A20,'[8]PricingDashboard - MUNI_SHARE p'!$A$1:$A23,0),MATCH(L$1,'[8]PricingDashboard - MUNI_SHARE p'!$A$1:$AZ$1,0))</f>
        <v>33.419985958650599</v>
      </c>
      <c r="M24" s="406">
        <f>INDEX('[8]PricingDashboard - MUNI_SHARE p'!$A$1:$AZ$6,MATCH($A20,'[8]PricingDashboard - MUNI_SHARE p'!$A$1:$A23,0),MATCH(M$1,'[8]PricingDashboard - MUNI_SHARE p'!$A$1:$AZ$1,0))</f>
        <v>16.233850503610501</v>
      </c>
      <c r="N24" s="406">
        <f>INDEX('[8]PricingDashboard - MUNI_SHARE p'!$A$1:$AZ$6,MATCH($A20,'[8]PricingDashboard - MUNI_SHARE p'!$A$1:$A23,0),MATCH(N$1,'[8]PricingDashboard - MUNI_SHARE p'!$A$1:$AZ$1,0))</f>
        <v>171.15776094693399</v>
      </c>
      <c r="O24" s="406">
        <f>INDEX('[8]PricingDashboard - MUNI_SHARE p'!$A$1:$AZ$6,MATCH($A20,'[8]PricingDashboard - MUNI_SHARE p'!$A$1:$A23,0),MATCH(O$1,'[8]PricingDashboard - MUNI_SHARE p'!$A$1:$AZ$1,0))</f>
        <v>3.4138141155351698</v>
      </c>
      <c r="P24" s="47">
        <f>SUM(C24:O24)</f>
        <v>340.3233486637281</v>
      </c>
      <c r="R24" s="181">
        <f>+O24+N24+I24+F24+E24+D24</f>
        <v>223.96185587191482</v>
      </c>
    </row>
    <row r="25" spans="1:18">
      <c r="C25" s="89"/>
      <c r="D25" s="89"/>
      <c r="E25" s="89"/>
      <c r="F25" s="89"/>
      <c r="G25" s="89"/>
      <c r="H25" s="89"/>
      <c r="I25" s="89"/>
      <c r="J25" s="89"/>
      <c r="K25" s="89"/>
      <c r="L25" s="89"/>
      <c r="M25" s="89"/>
      <c r="N25" s="89"/>
      <c r="O25" s="89"/>
      <c r="R25" s="181"/>
    </row>
    <row r="26" spans="1:18" ht="14.5">
      <c r="A26" s="56" t="s">
        <v>189</v>
      </c>
      <c r="C26" s="89"/>
      <c r="D26" s="89"/>
      <c r="E26" s="89"/>
      <c r="F26" s="89"/>
      <c r="G26" s="89"/>
      <c r="H26" s="89"/>
      <c r="I26" s="89"/>
      <c r="J26" s="89"/>
      <c r="K26" s="89"/>
      <c r="L26" s="89"/>
      <c r="M26" s="89"/>
      <c r="N26" s="89"/>
      <c r="O26" s="89"/>
      <c r="R26" s="181"/>
    </row>
    <row r="27" spans="1:18">
      <c r="A27" s="47" t="s">
        <v>19</v>
      </c>
      <c r="B27" s="47" t="s">
        <v>174</v>
      </c>
      <c r="C27" s="406">
        <f>INDEX('[9]PricingDashboard - MUNI_SHARE p'!$A$1:$AZ$6,MATCH($A23,'[9]PricingDashboard - MUNI_SHARE p'!$A$1:$A26,0),MATCH(C$1,'[9]PricingDashboard - MUNI_SHARE p'!$A$1:$AZ$1,0))</f>
        <v>112.76884200000001</v>
      </c>
      <c r="D27" s="406">
        <f>INDEX('[9]PricingDashboard - MUNI_SHARE p'!$A$1:$AZ$6,MATCH($A23,'[9]PricingDashboard - MUNI_SHARE p'!$A$1:$A26,0),MATCH(D$1,'[9]PricingDashboard - MUNI_SHARE p'!$A$1:$AZ$1,0))</f>
        <v>39.035162010000001</v>
      </c>
      <c r="E27" s="406">
        <f>INDEX('[9]PricingDashboard - MUNI_SHARE p'!$A$1:$AZ$6,MATCH($A23,'[9]PricingDashboard - MUNI_SHARE p'!$A$1:$A26,0),MATCH(E$1,'[9]PricingDashboard - MUNI_SHARE p'!$A$1:$AZ$1,0))</f>
        <v>5.6609173000000004</v>
      </c>
      <c r="F27" s="406">
        <f>INDEX('[9]PricingDashboard - MUNI_SHARE p'!$A$1:$AZ$6,MATCH($A23,'[9]PricingDashboard - MUNI_SHARE p'!$A$1:$A26,0),MATCH(F$1,'[9]PricingDashboard - MUNI_SHARE p'!$A$1:$AZ$1,0))</f>
        <v>48.16892335</v>
      </c>
      <c r="G27" s="406">
        <f>INDEX('[9]PricingDashboard - MUNI_SHARE p'!$A$1:$AZ$6,MATCH($A23,'[9]PricingDashboard - MUNI_SHARE p'!$A$1:$A26,0),MATCH(G$1,'[9]PricingDashboard - MUNI_SHARE p'!$A$1:$AZ$1,0))</f>
        <v>23.131848730000002</v>
      </c>
      <c r="H27" s="406">
        <f>INDEX('[9]PricingDashboard - MUNI_SHARE p'!$A$1:$AZ$6,MATCH($A23,'[9]PricingDashboard - MUNI_SHARE p'!$A$1:$A26,0),MATCH(H$1,'[9]PricingDashboard - MUNI_SHARE p'!$A$1:$AZ$1,0))</f>
        <v>213.70197569999999</v>
      </c>
      <c r="I27" s="406">
        <f>INDEX('[9]PricingDashboard - MUNI_SHARE p'!$A$1:$AZ$6,MATCH($A23,'[9]PricingDashboard - MUNI_SHARE p'!$A$1:$A26,0),MATCH(I$1,'[9]PricingDashboard - MUNI_SHARE p'!$A$1:$AZ$1,0))</f>
        <v>117.5789218</v>
      </c>
      <c r="J27" s="406">
        <f>INDEX('[9]PricingDashboard - MUNI_SHARE p'!$A$1:$AZ$6,MATCH($A23,'[9]PricingDashboard - MUNI_SHARE p'!$A$1:$A26,0),MATCH(J$1,'[9]PricingDashboard - MUNI_SHARE p'!$A$1:$AZ$1,0))</f>
        <v>456.33448979999997</v>
      </c>
      <c r="K27" s="406">
        <f>INDEX('[9]PricingDashboard - MUNI_SHARE p'!$A$1:$AZ$6,MATCH($A23,'[9]PricingDashboard - MUNI_SHARE p'!$A$1:$A26,0),MATCH(K$1,'[9]PricingDashboard - MUNI_SHARE p'!$A$1:$AZ$1,0))</f>
        <v>123.7150492</v>
      </c>
      <c r="L27" s="406">
        <f>INDEX('[9]PricingDashboard - MUNI_SHARE p'!$A$1:$AZ$6,MATCH($A23,'[9]PricingDashboard - MUNI_SHARE p'!$A$1:$A26,0),MATCH(L$1,'[9]PricingDashboard - MUNI_SHARE p'!$A$1:$AZ$1,0))</f>
        <v>97.95559093</v>
      </c>
      <c r="M27" s="406">
        <f>INDEX('[9]PricingDashboard - MUNI_SHARE p'!$A$1:$AZ$6,MATCH($A23,'[9]PricingDashboard - MUNI_SHARE p'!$A$1:$A26,0),MATCH(M$1,'[9]PricingDashboard - MUNI_SHARE p'!$A$1:$AZ$1,0))</f>
        <v>127.4939605</v>
      </c>
      <c r="N27" s="406">
        <f>INDEX('[9]PricingDashboard - MUNI_SHARE p'!$A$1:$AZ$6,MATCH($A23,'[9]PricingDashboard - MUNI_SHARE p'!$A$1:$A26,0),MATCH(N$1,'[9]PricingDashboard - MUNI_SHARE p'!$A$1:$AZ$1,0))</f>
        <v>1298.8607</v>
      </c>
      <c r="O27" s="406">
        <f>INDEX('[9]PricingDashboard - MUNI_SHARE p'!$A$1:$AZ$6,MATCH($A23,'[9]PricingDashboard - MUNI_SHARE p'!$A$1:$A26,0),MATCH(O$1,'[9]PricingDashboard - MUNI_SHARE p'!$A$1:$AZ$1,0))</f>
        <v>611.14213219999999</v>
      </c>
      <c r="P27" s="47">
        <f>SUM(C27:O27)</f>
        <v>3275.5485135200001</v>
      </c>
      <c r="R27" s="181">
        <f>+O27+N27+I27+F27+E27+D27</f>
        <v>2120.4467566600001</v>
      </c>
    </row>
    <row r="28" spans="1:18">
      <c r="A28" s="47" t="s">
        <v>175</v>
      </c>
      <c r="B28" s="47" t="s">
        <v>174</v>
      </c>
      <c r="C28" s="406">
        <f>INDEX('[9]PricingDashboard - MUNI_SHARE p'!$A$1:$AZ$6,MATCH($A24,'[9]PricingDashboard - MUNI_SHARE p'!$A$1:$A27,0),MATCH(C$1,'[9]PricingDashboard - MUNI_SHARE p'!$A$1:$AZ$1,0))</f>
        <v>7.5903524969999996</v>
      </c>
      <c r="D28" s="406">
        <f>INDEX('[9]PricingDashboard - MUNI_SHARE p'!$A$1:$AZ$6,MATCH($A24,'[9]PricingDashboard - MUNI_SHARE p'!$A$1:$A27,0),MATCH(D$1,'[9]PricingDashboard - MUNI_SHARE p'!$A$1:$AZ$1,0))</f>
        <v>4.3588072999999998E-2</v>
      </c>
      <c r="E28" s="406">
        <f>INDEX('[9]PricingDashboard - MUNI_SHARE p'!$A$1:$AZ$6,MATCH($A24,'[9]PricingDashboard - MUNI_SHARE p'!$A$1:$A27,0),MATCH(E$1,'[9]PricingDashboard - MUNI_SHARE p'!$A$1:$AZ$1,0))</f>
        <v>1.578759314</v>
      </c>
      <c r="F28" s="406">
        <f>INDEX('[9]PricingDashboard - MUNI_SHARE p'!$A$1:$AZ$6,MATCH($A24,'[9]PricingDashboard - MUNI_SHARE p'!$A$1:$A27,0),MATCH(F$1,'[9]PricingDashboard - MUNI_SHARE p'!$A$1:$AZ$1,0))</f>
        <v>23.164975720000001</v>
      </c>
      <c r="G28" s="406">
        <f>INDEX('[9]PricingDashboard - MUNI_SHARE p'!$A$1:$AZ$6,MATCH($A24,'[9]PricingDashboard - MUNI_SHARE p'!$A$1:$A27,0),MATCH(G$1,'[9]PricingDashboard - MUNI_SHARE p'!$A$1:$AZ$1,0))</f>
        <v>0.32317713799999997</v>
      </c>
      <c r="H28" s="406">
        <f>INDEX('[9]PricingDashboard - MUNI_SHARE p'!$A$1:$AZ$6,MATCH($A24,'[9]PricingDashboard - MUNI_SHARE p'!$A$1:$A27,0),MATCH(H$1,'[9]PricingDashboard - MUNI_SHARE p'!$A$1:$AZ$1,0))</f>
        <v>0.71873048299999998</v>
      </c>
      <c r="I28" s="406">
        <f>INDEX('[9]PricingDashboard - MUNI_SHARE p'!$A$1:$AZ$6,MATCH($A24,'[9]PricingDashboard - MUNI_SHARE p'!$A$1:$A27,0),MATCH(I$1,'[9]PricingDashboard - MUNI_SHARE p'!$A$1:$AZ$1,0))</f>
        <v>29.901647759999999</v>
      </c>
      <c r="J28" s="406">
        <f>INDEX('[9]PricingDashboard - MUNI_SHARE p'!$A$1:$AZ$6,MATCH($A24,'[9]PricingDashboard - MUNI_SHARE p'!$A$1:$A27,0),MATCH(J$1,'[9]PricingDashboard - MUNI_SHARE p'!$A$1:$AZ$1,0))</f>
        <v>44.972015820000003</v>
      </c>
      <c r="K28" s="406">
        <f>INDEX('[9]PricingDashboard - MUNI_SHARE p'!$A$1:$AZ$6,MATCH($A24,'[9]PricingDashboard - MUNI_SHARE p'!$A$1:$A27,0),MATCH(K$1,'[9]PricingDashboard - MUNI_SHARE p'!$A$1:$AZ$1,0))</f>
        <v>13.973754339999999</v>
      </c>
      <c r="L28" s="406">
        <f>INDEX('[9]PricingDashboard - MUNI_SHARE p'!$A$1:$AZ$6,MATCH($A24,'[9]PricingDashboard - MUNI_SHARE p'!$A$1:$A27,0),MATCH(L$1,'[9]PricingDashboard - MUNI_SHARE p'!$A$1:$AZ$1,0))</f>
        <v>36.091825069999999</v>
      </c>
      <c r="M28" s="406">
        <f>INDEX('[9]PricingDashboard - MUNI_SHARE p'!$A$1:$AZ$6,MATCH($A24,'[9]PricingDashboard - MUNI_SHARE p'!$A$1:$A27,0),MATCH(M$1,'[9]PricingDashboard - MUNI_SHARE p'!$A$1:$AZ$1,0))</f>
        <v>16.51653997</v>
      </c>
      <c r="N28" s="406">
        <f>INDEX('[9]PricingDashboard - MUNI_SHARE p'!$A$1:$AZ$6,MATCH($A24,'[9]PricingDashboard - MUNI_SHARE p'!$A$1:$A27,0),MATCH(N$1,'[9]PricingDashboard - MUNI_SHARE p'!$A$1:$AZ$1,0))</f>
        <v>170.7866022</v>
      </c>
      <c r="O28" s="406">
        <f>INDEX('[9]PricingDashboard - MUNI_SHARE p'!$A$1:$AZ$6,MATCH($A24,'[9]PricingDashboard - MUNI_SHARE p'!$A$1:$A27,0),MATCH(O$1,'[9]PricingDashboard - MUNI_SHARE p'!$A$1:$AZ$1,0))</f>
        <v>3.5133243539999999</v>
      </c>
      <c r="P28" s="47">
        <f>SUM(C28:O28)</f>
        <v>349.17529273900004</v>
      </c>
      <c r="R28" s="181">
        <f>+O28+N28+I28+F28+E28+D28</f>
        <v>228.98889742099999</v>
      </c>
    </row>
    <row r="29" spans="1:18">
      <c r="C29" s="89"/>
      <c r="D29" s="89"/>
      <c r="E29" s="89"/>
      <c r="F29" s="89"/>
      <c r="G29" s="89"/>
      <c r="H29" s="89"/>
      <c r="I29" s="89"/>
      <c r="J29" s="89"/>
      <c r="K29" s="89"/>
      <c r="L29" s="89"/>
      <c r="M29" s="89"/>
      <c r="N29" s="89"/>
      <c r="O29" s="89"/>
      <c r="R29" s="181"/>
    </row>
    <row r="30" spans="1:18" ht="14.5">
      <c r="A30" s="56" t="s">
        <v>52</v>
      </c>
      <c r="C30" s="89"/>
      <c r="D30" s="89"/>
      <c r="E30" s="89"/>
      <c r="F30" s="89"/>
      <c r="G30" s="89"/>
      <c r="H30" s="89"/>
      <c r="I30" s="89"/>
      <c r="J30" s="89"/>
      <c r="K30" s="89"/>
      <c r="L30" s="89"/>
      <c r="M30" s="89"/>
      <c r="N30" s="89"/>
      <c r="O30" s="89"/>
      <c r="R30" s="181"/>
    </row>
    <row r="31" spans="1:18">
      <c r="A31" s="47" t="s">
        <v>19</v>
      </c>
      <c r="B31" s="47" t="s">
        <v>174</v>
      </c>
      <c r="C31" s="406">
        <f>INDEX('[10]PricingDashboard - MUNI_SHARE p'!$A$1:$AZ$6,MATCH($A27,'[10]PricingDashboard - MUNI_SHARE p'!$A$1:$A30,0),MATCH(C$1,'[10]PricingDashboard - MUNI_SHARE p'!$A$1:$AZ$1,0))</f>
        <v>113.52084175504</v>
      </c>
      <c r="D31" s="406">
        <f>INDEX('[10]PricingDashboard - MUNI_SHARE p'!$A$1:$AZ$6,MATCH($A27,'[10]PricingDashboard - MUNI_SHARE p'!$A$1:$A30,0),MATCH(D$1,'[10]PricingDashboard - MUNI_SHARE p'!$A$1:$AZ$1,0))</f>
        <v>43.573132893064702</v>
      </c>
      <c r="E31" s="406">
        <f>INDEX('[10]PricingDashboard - MUNI_SHARE p'!$A$1:$AZ$6,MATCH($A27,'[10]PricingDashboard - MUNI_SHARE p'!$A$1:$A30,0),MATCH(E$1,'[10]PricingDashboard - MUNI_SHARE p'!$A$1:$AZ$1,0))</f>
        <v>4.9059591124436102</v>
      </c>
      <c r="F31" s="406">
        <f>INDEX('[10]PricingDashboard - MUNI_SHARE p'!$A$1:$AZ$6,MATCH($A27,'[10]PricingDashboard - MUNI_SHARE p'!$A$1:$A30,0),MATCH(F$1,'[10]PricingDashboard - MUNI_SHARE p'!$A$1:$AZ$1,0))</f>
        <v>46.128043818813197</v>
      </c>
      <c r="G31" s="406">
        <f>INDEX('[10]PricingDashboard - MUNI_SHARE p'!$A$1:$AZ$6,MATCH($A27,'[10]PricingDashboard - MUNI_SHARE p'!$A$1:$A30,0),MATCH(G$1,'[10]PricingDashboard - MUNI_SHARE p'!$A$1:$AZ$1,0))</f>
        <v>36.619905615410801</v>
      </c>
      <c r="H31" s="406">
        <f>INDEX('[10]PricingDashboard - MUNI_SHARE p'!$A$1:$AZ$6,MATCH($A27,'[10]PricingDashboard - MUNI_SHARE p'!$A$1:$A30,0),MATCH(H$1,'[10]PricingDashboard - MUNI_SHARE p'!$A$1:$AZ$1,0))</f>
        <v>7.6600968423924196E-3</v>
      </c>
      <c r="I31" s="406">
        <f>INDEX('[10]PricingDashboard - MUNI_SHARE p'!$A$1:$AZ$6,MATCH($A27,'[10]PricingDashboard - MUNI_SHARE p'!$A$1:$A30,0),MATCH(I$1,'[10]PricingDashboard - MUNI_SHARE p'!$A$1:$AZ$1,0))</f>
        <v>94.173822509970407</v>
      </c>
      <c r="J31" s="406">
        <f>INDEX('[10]PricingDashboard - MUNI_SHARE p'!$A$1:$AZ$6,MATCH($A27,'[10]PricingDashboard - MUNI_SHARE p'!$A$1:$A30,0),MATCH(J$1,'[10]PricingDashboard - MUNI_SHARE p'!$A$1:$AZ$1,0))</f>
        <v>488.41543918348401</v>
      </c>
      <c r="K31" s="406">
        <f>INDEX('[10]PricingDashboard - MUNI_SHARE p'!$A$1:$AZ$6,MATCH($A27,'[10]PricingDashboard - MUNI_SHARE p'!$A$1:$A30,0),MATCH(K$1,'[10]PricingDashboard - MUNI_SHARE p'!$A$1:$AZ$1,0))</f>
        <v>136.87832608095701</v>
      </c>
      <c r="L31" s="406">
        <f>INDEX('[10]PricingDashboard - MUNI_SHARE p'!$A$1:$AZ$6,MATCH($A27,'[10]PricingDashboard - MUNI_SHARE p'!$A$1:$A30,0),MATCH(L$1,'[10]PricingDashboard - MUNI_SHARE p'!$A$1:$AZ$1,0))</f>
        <v>120.687566488523</v>
      </c>
      <c r="M31" s="406">
        <f>INDEX('[10]PricingDashboard - MUNI_SHARE p'!$A$1:$AZ$6,MATCH($A27,'[10]PricingDashboard - MUNI_SHARE p'!$A$1:$A30,0),MATCH(M$1,'[10]PricingDashboard - MUNI_SHARE p'!$A$1:$AZ$1,0))</f>
        <v>114.048651693932</v>
      </c>
      <c r="N31" s="406">
        <f>INDEX('[10]PricingDashboard - MUNI_SHARE p'!$A$1:$AZ$6,MATCH($A27,'[10]PricingDashboard - MUNI_SHARE p'!$A$1:$A30,0),MATCH(N$1,'[10]PricingDashboard - MUNI_SHARE p'!$A$1:$AZ$1,0))</f>
        <v>1414.3951388246101</v>
      </c>
      <c r="O31" s="406">
        <f>INDEX('[10]PricingDashboard - MUNI_SHARE p'!$A$1:$AZ$6,MATCH($A27,'[10]PricingDashboard - MUNI_SHARE p'!$A$1:$A30,0),MATCH(O$1,'[10]PricingDashboard - MUNI_SHARE p'!$A$1:$AZ$1,0))</f>
        <v>634.17162925680202</v>
      </c>
      <c r="P31" s="47">
        <f>SUM(C31:O31)</f>
        <v>3247.5261173298936</v>
      </c>
      <c r="R31" s="181">
        <f>+O31+N31+I31+F31+E31+D31</f>
        <v>2237.3477264157041</v>
      </c>
    </row>
    <row r="32" spans="1:18">
      <c r="A32" s="47" t="s">
        <v>175</v>
      </c>
      <c r="B32" s="47" t="s">
        <v>174</v>
      </c>
      <c r="C32" s="406">
        <f>INDEX('[10]PricingDashboard - MUNI_SHARE p'!$A$1:$AZ$6,MATCH($A28,'[10]PricingDashboard - MUNI_SHARE p'!$A$1:$A31,0),MATCH(C$1,'[10]PricingDashboard - MUNI_SHARE p'!$A$1:$AZ$1,0))</f>
        <v>8.10138979050841</v>
      </c>
      <c r="D32" s="406">
        <f>INDEX('[10]PricingDashboard - MUNI_SHARE p'!$A$1:$AZ$6,MATCH($A28,'[10]PricingDashboard - MUNI_SHARE p'!$A$1:$A31,0),MATCH(D$1,'[10]PricingDashboard - MUNI_SHARE p'!$A$1:$AZ$1,0))</f>
        <v>6.1406049420819502E-2</v>
      </c>
      <c r="E32" s="406">
        <f>INDEX('[10]PricingDashboard - MUNI_SHARE p'!$A$1:$AZ$6,MATCH($A28,'[10]PricingDashboard - MUNI_SHARE p'!$A$1:$A31,0),MATCH(E$1,'[10]PricingDashboard - MUNI_SHARE p'!$A$1:$AZ$1,0))</f>
        <v>1.21239624152981</v>
      </c>
      <c r="F32" s="406">
        <f>INDEX('[10]PricingDashboard - MUNI_SHARE p'!$A$1:$AZ$6,MATCH($A28,'[10]PricingDashboard - MUNI_SHARE p'!$A$1:$A31,0),MATCH(F$1,'[10]PricingDashboard - MUNI_SHARE p'!$A$1:$AZ$1,0))</f>
        <v>22.005724720082899</v>
      </c>
      <c r="G32" s="406">
        <f>INDEX('[10]PricingDashboard - MUNI_SHARE p'!$A$1:$AZ$6,MATCH($A28,'[10]PricingDashboard - MUNI_SHARE p'!$A$1:$A31,0),MATCH(G$1,'[10]PricingDashboard - MUNI_SHARE p'!$A$1:$AZ$1,0))</f>
        <v>0.26270462092614</v>
      </c>
      <c r="H32" s="406">
        <f>INDEX('[10]PricingDashboard - MUNI_SHARE p'!$A$1:$AZ$6,MATCH($A28,'[10]PricingDashboard - MUNI_SHARE p'!$A$1:$A31,0),MATCH(H$1,'[10]PricingDashboard - MUNI_SHARE p'!$A$1:$AZ$1,0))</f>
        <v>0</v>
      </c>
      <c r="I32" s="406">
        <f>INDEX('[10]PricingDashboard - MUNI_SHARE p'!$A$1:$AZ$6,MATCH($A28,'[10]PricingDashboard - MUNI_SHARE p'!$A$1:$A31,0),MATCH(I$1,'[10]PricingDashboard - MUNI_SHARE p'!$A$1:$AZ$1,0))</f>
        <v>34.199664776503198</v>
      </c>
      <c r="J32" s="406">
        <f>INDEX('[10]PricingDashboard - MUNI_SHARE p'!$A$1:$AZ$6,MATCH($A28,'[10]PricingDashboard - MUNI_SHARE p'!$A$1:$A31,0),MATCH(J$1,'[10]PricingDashboard - MUNI_SHARE p'!$A$1:$AZ$1,0))</f>
        <v>48.289911941463203</v>
      </c>
      <c r="K32" s="406">
        <f>INDEX('[10]PricingDashboard - MUNI_SHARE p'!$A$1:$AZ$6,MATCH($A28,'[10]PricingDashboard - MUNI_SHARE p'!$A$1:$A31,0),MATCH(K$1,'[10]PricingDashboard - MUNI_SHARE p'!$A$1:$AZ$1,0))</f>
        <v>16.380818031647401</v>
      </c>
      <c r="L32" s="406">
        <f>INDEX('[10]PricingDashboard - MUNI_SHARE p'!$A$1:$AZ$6,MATCH($A28,'[10]PricingDashboard - MUNI_SHARE p'!$A$1:$A31,0),MATCH(L$1,'[10]PricingDashboard - MUNI_SHARE p'!$A$1:$AZ$1,0))</f>
        <v>33.773662997891599</v>
      </c>
      <c r="M32" s="406">
        <f>INDEX('[10]PricingDashboard - MUNI_SHARE p'!$A$1:$AZ$6,MATCH($A28,'[10]PricingDashboard - MUNI_SHARE p'!$A$1:$A31,0),MATCH(M$1,'[10]PricingDashboard - MUNI_SHARE p'!$A$1:$AZ$1,0))</f>
        <v>16.634150690565601</v>
      </c>
      <c r="N32" s="406">
        <f>INDEX('[10]PricingDashboard - MUNI_SHARE p'!$A$1:$AZ$6,MATCH($A28,'[10]PricingDashboard - MUNI_SHARE p'!$A$1:$A31,0),MATCH(N$1,'[10]PricingDashboard - MUNI_SHARE p'!$A$1:$AZ$1,0))</f>
        <v>178.897090803601</v>
      </c>
      <c r="O32" s="406">
        <f>INDEX('[10]PricingDashboard - MUNI_SHARE p'!$A$1:$AZ$6,MATCH($A28,'[10]PricingDashboard - MUNI_SHARE p'!$A$1:$A31,0),MATCH(O$1,'[10]PricingDashboard - MUNI_SHARE p'!$A$1:$AZ$1,0))</f>
        <v>2.83482397426451</v>
      </c>
      <c r="P32" s="47">
        <f>SUM(C32:O32)</f>
        <v>362.65374463840459</v>
      </c>
      <c r="R32" s="181">
        <f>+O32+N32+I32+F32+E32+D32</f>
        <v>239.21110656540222</v>
      </c>
    </row>
    <row r="33" spans="1:18">
      <c r="C33" s="89"/>
      <c r="D33" s="89"/>
      <c r="E33" s="89"/>
      <c r="F33" s="89"/>
      <c r="G33" s="89"/>
      <c r="H33" s="89"/>
      <c r="I33" s="89"/>
      <c r="J33" s="89"/>
      <c r="K33" s="89"/>
      <c r="L33" s="89"/>
      <c r="M33" s="89"/>
      <c r="N33" s="89"/>
      <c r="O33" s="89"/>
      <c r="R33" s="181"/>
    </row>
    <row r="34" spans="1:18" ht="14.5">
      <c r="A34" s="56" t="s">
        <v>194</v>
      </c>
      <c r="C34" s="89"/>
      <c r="D34" s="89"/>
      <c r="E34" s="89"/>
      <c r="F34" s="89"/>
      <c r="G34" s="89"/>
      <c r="H34" s="89"/>
      <c r="I34" s="89"/>
      <c r="J34" s="89"/>
      <c r="K34" s="89"/>
      <c r="L34" s="89"/>
      <c r="M34" s="89"/>
      <c r="N34" s="89"/>
      <c r="O34" s="89"/>
      <c r="R34" s="181"/>
    </row>
    <row r="35" spans="1:18">
      <c r="A35" s="47" t="s">
        <v>19</v>
      </c>
      <c r="B35" s="47" t="s">
        <v>174</v>
      </c>
      <c r="C35" s="406">
        <f>INDEX('[11]PricingDashboard - MUNI_SHARE p'!$A$1:$AZ$6,MATCH($A31,'[11]PricingDashboard - MUNI_SHARE p'!$A$1:$A34,0),MATCH(C$1,'[11]PricingDashboard - MUNI_SHARE p'!$A$1:$AZ$1,0))</f>
        <v>109.09279080980301</v>
      </c>
      <c r="D35" s="406">
        <f>INDEX('[11]PricingDashboard - MUNI_SHARE p'!$A$1:$AZ$6,MATCH($A31,'[11]PricingDashboard - MUNI_SHARE p'!$A$1:$A34,0),MATCH(D$1,'[11]PricingDashboard - MUNI_SHARE p'!$A$1:$AZ$1,0))</f>
        <v>41.725711669185799</v>
      </c>
      <c r="E35" s="406">
        <f>INDEX('[11]PricingDashboard - MUNI_SHARE p'!$A$1:$AZ$6,MATCH($A31,'[11]PricingDashboard - MUNI_SHARE p'!$A$1:$A34,0),MATCH(E$1,'[11]PricingDashboard - MUNI_SHARE p'!$A$1:$AZ$1,0))</f>
        <v>5.0685517454133002</v>
      </c>
      <c r="F35" s="406">
        <f>INDEX('[11]PricingDashboard - MUNI_SHARE p'!$A$1:$AZ$6,MATCH($A31,'[11]PricingDashboard - MUNI_SHARE p'!$A$1:$A34,0),MATCH(F$1,'[11]PricingDashboard - MUNI_SHARE p'!$A$1:$AZ$1,0))</f>
        <v>43.926813155223201</v>
      </c>
      <c r="G35" s="406">
        <f>INDEX('[11]PricingDashboard - MUNI_SHARE p'!$A$1:$AZ$6,MATCH($A31,'[11]PricingDashboard - MUNI_SHARE p'!$A$1:$A34,0),MATCH(G$1,'[11]PricingDashboard - MUNI_SHARE p'!$A$1:$AZ$1,0))</f>
        <v>20.072863448421899</v>
      </c>
      <c r="H35" s="406">
        <f>INDEX('[11]PricingDashboard - MUNI_SHARE p'!$A$1:$AZ$6,MATCH($A31,'[11]PricingDashboard - MUNI_SHARE p'!$A$1:$A34,0),MATCH(H$1,'[11]PricingDashboard - MUNI_SHARE p'!$A$1:$AZ$1,0))</f>
        <v>213.18894547093299</v>
      </c>
      <c r="I35" s="406">
        <f>INDEX('[11]PricingDashboard - MUNI_SHARE p'!$A$1:$AZ$6,MATCH($A31,'[11]PricingDashboard - MUNI_SHARE p'!$A$1:$A34,0),MATCH(I$1,'[11]PricingDashboard - MUNI_SHARE p'!$A$1:$AZ$1,0))</f>
        <v>92.908720224877499</v>
      </c>
      <c r="J35" s="406">
        <f>INDEX('[11]PricingDashboard - MUNI_SHARE p'!$A$1:$AZ$6,MATCH($A31,'[11]PricingDashboard - MUNI_SHARE p'!$A$1:$A34,0),MATCH(J$1,'[11]PricingDashboard - MUNI_SHARE p'!$A$1:$AZ$1,0))</f>
        <v>425.93519395910897</v>
      </c>
      <c r="K35" s="406">
        <f>INDEX('[11]PricingDashboard - MUNI_SHARE p'!$A$1:$AZ$6,MATCH($A31,'[11]PricingDashboard - MUNI_SHARE p'!$A$1:$A34,0),MATCH(K$1,'[11]PricingDashboard - MUNI_SHARE p'!$A$1:$AZ$1,0))</f>
        <v>120.119682031013</v>
      </c>
      <c r="L35" s="406">
        <f>INDEX('[11]PricingDashboard - MUNI_SHARE p'!$A$1:$AZ$6,MATCH($A31,'[11]PricingDashboard - MUNI_SHARE p'!$A$1:$A34,0),MATCH(L$1,'[11]PricingDashboard - MUNI_SHARE p'!$A$1:$AZ$1,0))</f>
        <v>100.25002381704201</v>
      </c>
      <c r="M35" s="406">
        <f>INDEX('[11]PricingDashboard - MUNI_SHARE p'!$A$1:$AZ$6,MATCH($A31,'[11]PricingDashboard - MUNI_SHARE p'!$A$1:$A34,0),MATCH(M$1,'[11]PricingDashboard - MUNI_SHARE p'!$A$1:$AZ$1,0))</f>
        <v>109.261383582063</v>
      </c>
      <c r="N35" s="406">
        <f>INDEX('[11]PricingDashboard - MUNI_SHARE p'!$A$1:$AZ$6,MATCH($A31,'[11]PricingDashboard - MUNI_SHARE p'!$A$1:$A34,0),MATCH(N$1,'[11]PricingDashboard - MUNI_SHARE p'!$A$1:$AZ$1,0))</f>
        <v>1243.9948142063399</v>
      </c>
      <c r="O35" s="406">
        <f>INDEX('[11]PricingDashboard - MUNI_SHARE p'!$A$1:$AZ$6,MATCH($A31,'[11]PricingDashboard - MUNI_SHARE p'!$A$1:$A34,0),MATCH(O$1,'[11]PricingDashboard - MUNI_SHARE p'!$A$1:$AZ$1,0))</f>
        <v>592.56000720930194</v>
      </c>
      <c r="P35" s="47">
        <f>SUM(C35:O35)</f>
        <v>3118.1055013287269</v>
      </c>
      <c r="R35" s="181">
        <f>+O35+N35+I35+F35+E35+D35</f>
        <v>2020.1846182103418</v>
      </c>
    </row>
    <row r="36" spans="1:18">
      <c r="A36" s="47" t="s">
        <v>175</v>
      </c>
      <c r="B36" s="47" t="s">
        <v>174</v>
      </c>
      <c r="C36" s="406">
        <f>INDEX('[11]PricingDashboard - MUNI_SHARE p'!$A$1:$AZ$6,MATCH($A32,'[11]PricingDashboard - MUNI_SHARE p'!$A$1:$A35,0),MATCH(C$1,'[11]PricingDashboard - MUNI_SHARE p'!$A$1:$AZ$1,0))</f>
        <v>7.3843340190911197</v>
      </c>
      <c r="D36" s="406">
        <f>INDEX('[11]PricingDashboard - MUNI_SHARE p'!$A$1:$AZ$6,MATCH($A32,'[11]PricingDashboard - MUNI_SHARE p'!$A$1:$A35,0),MATCH(D$1,'[11]PricingDashboard - MUNI_SHARE p'!$A$1:$AZ$1,0))</f>
        <v>4.0193933669353199E-2</v>
      </c>
      <c r="E36" s="406">
        <f>INDEX('[11]PricingDashboard - MUNI_SHARE p'!$A$1:$AZ$6,MATCH($A32,'[11]PricingDashboard - MUNI_SHARE p'!$A$1:$A35,0),MATCH(E$1,'[11]PricingDashboard - MUNI_SHARE p'!$A$1:$AZ$1,0))</f>
        <v>1.3556066709579999</v>
      </c>
      <c r="F36" s="406">
        <f>INDEX('[11]PricingDashboard - MUNI_SHARE p'!$A$1:$AZ$6,MATCH($A32,'[11]PricingDashboard - MUNI_SHARE p'!$A$1:$A35,0),MATCH(F$1,'[11]PricingDashboard - MUNI_SHARE p'!$A$1:$AZ$1,0))</f>
        <v>22.4326972700913</v>
      </c>
      <c r="G36" s="406">
        <f>INDEX('[11]PricingDashboard - MUNI_SHARE p'!$A$1:$AZ$6,MATCH($A32,'[11]PricingDashboard - MUNI_SHARE p'!$A$1:$A35,0),MATCH(G$1,'[11]PricingDashboard - MUNI_SHARE p'!$A$1:$AZ$1,0))</f>
        <v>0.29592112908061702</v>
      </c>
      <c r="H36" s="406">
        <f>INDEX('[11]PricingDashboard - MUNI_SHARE p'!$A$1:$AZ$6,MATCH($A32,'[11]PricingDashboard - MUNI_SHARE p'!$A$1:$A35,0),MATCH(H$1,'[11]PricingDashboard - MUNI_SHARE p'!$A$1:$AZ$1,0))</f>
        <v>2.1839121948481699</v>
      </c>
      <c r="I36" s="406">
        <f>INDEX('[11]PricingDashboard - MUNI_SHARE p'!$A$1:$AZ$6,MATCH($A32,'[11]PricingDashboard - MUNI_SHARE p'!$A$1:$A35,0),MATCH(I$1,'[11]PricingDashboard - MUNI_SHARE p'!$A$1:$AZ$1,0))</f>
        <v>32.5639064290731</v>
      </c>
      <c r="J36" s="406">
        <f>INDEX('[11]PricingDashboard - MUNI_SHARE p'!$A$1:$AZ$6,MATCH($A32,'[11]PricingDashboard - MUNI_SHARE p'!$A$1:$A35,0),MATCH(J$1,'[11]PricingDashboard - MUNI_SHARE p'!$A$1:$AZ$1,0))</f>
        <v>44.7509969830081</v>
      </c>
      <c r="K36" s="406">
        <f>INDEX('[11]PricingDashboard - MUNI_SHARE p'!$A$1:$AZ$6,MATCH($A32,'[11]PricingDashboard - MUNI_SHARE p'!$A$1:$A35,0),MATCH(K$1,'[11]PricingDashboard - MUNI_SHARE p'!$A$1:$AZ$1,0))</f>
        <v>14.1480873414576</v>
      </c>
      <c r="L36" s="406">
        <f>INDEX('[11]PricingDashboard - MUNI_SHARE p'!$A$1:$AZ$6,MATCH($A32,'[11]PricingDashboard - MUNI_SHARE p'!$A$1:$A35,0),MATCH(L$1,'[11]PricingDashboard - MUNI_SHARE p'!$A$1:$AZ$1,0))</f>
        <v>32.741393596606201</v>
      </c>
      <c r="M36" s="406">
        <f>INDEX('[11]PricingDashboard - MUNI_SHARE p'!$A$1:$AZ$6,MATCH($A32,'[11]PricingDashboard - MUNI_SHARE p'!$A$1:$A35,0),MATCH(M$1,'[11]PricingDashboard - MUNI_SHARE p'!$A$1:$AZ$1,0))</f>
        <v>17.015691822741601</v>
      </c>
      <c r="N36" s="406">
        <f>INDEX('[11]PricingDashboard - MUNI_SHARE p'!$A$1:$AZ$6,MATCH($A32,'[11]PricingDashboard - MUNI_SHARE p'!$A$1:$A35,0),MATCH(N$1,'[11]PricingDashboard - MUNI_SHARE p'!$A$1:$AZ$1,0))</f>
        <v>168.924525310934</v>
      </c>
      <c r="O36" s="406">
        <f>INDEX('[11]PricingDashboard - MUNI_SHARE p'!$A$1:$AZ$6,MATCH($A32,'[11]PricingDashboard - MUNI_SHARE p'!$A$1:$A35,0),MATCH(O$1,'[11]PricingDashboard - MUNI_SHARE p'!$A$1:$AZ$1,0))</f>
        <v>2.36667830319423</v>
      </c>
      <c r="P36" s="47">
        <f>SUM(C36:O36)</f>
        <v>346.20394500475345</v>
      </c>
      <c r="R36" s="181">
        <f>+O36+N36+I36+F36+E36+D36</f>
        <v>227.68360791791994</v>
      </c>
    </row>
    <row r="37" spans="1:18">
      <c r="C37" s="89"/>
      <c r="D37" s="89"/>
      <c r="E37" s="89"/>
      <c r="F37" s="89"/>
      <c r="G37" s="89"/>
      <c r="H37" s="89"/>
      <c r="I37" s="89"/>
      <c r="J37" s="89"/>
      <c r="K37" s="89"/>
      <c r="L37" s="89"/>
      <c r="M37" s="89"/>
      <c r="N37" s="89"/>
      <c r="O37" s="89"/>
      <c r="R37" s="181"/>
    </row>
    <row r="38" spans="1:18" ht="14.5">
      <c r="A38" s="56" t="s">
        <v>195</v>
      </c>
      <c r="C38" s="89"/>
      <c r="D38" s="89"/>
      <c r="E38" s="89"/>
      <c r="F38" s="89"/>
      <c r="G38" s="89"/>
      <c r="H38" s="89"/>
      <c r="I38" s="89"/>
      <c r="J38" s="89"/>
      <c r="K38" s="89"/>
      <c r="L38" s="89"/>
      <c r="M38" s="89"/>
      <c r="N38" s="89"/>
      <c r="O38" s="89"/>
      <c r="R38" s="181"/>
    </row>
    <row r="39" spans="1:18">
      <c r="A39" s="47" t="s">
        <v>19</v>
      </c>
      <c r="B39" s="47" t="s">
        <v>174</v>
      </c>
      <c r="C39" s="406">
        <v>112.99</v>
      </c>
      <c r="D39" s="406">
        <v>61.26</v>
      </c>
      <c r="E39" s="406">
        <v>5.35</v>
      </c>
      <c r="F39" s="406">
        <v>53.46</v>
      </c>
      <c r="G39" s="406">
        <v>24.47</v>
      </c>
      <c r="H39" s="406">
        <v>279.20999999999998</v>
      </c>
      <c r="I39" s="406">
        <v>106.29</v>
      </c>
      <c r="J39" s="406">
        <v>474.35</v>
      </c>
      <c r="K39" s="406">
        <v>131.16999999999999</v>
      </c>
      <c r="L39" s="406">
        <v>121.56</v>
      </c>
      <c r="M39" s="406">
        <v>147.41</v>
      </c>
      <c r="N39" s="406">
        <v>1362.79</v>
      </c>
      <c r="O39" s="406">
        <v>630.82000000000005</v>
      </c>
      <c r="P39" s="47">
        <f>SUM(C39:O39)</f>
        <v>3511.1300000000006</v>
      </c>
      <c r="R39" s="181">
        <f>+O39+N39+I39+F39+E39+D39</f>
        <v>2219.9700000000003</v>
      </c>
    </row>
    <row r="40" spans="1:18">
      <c r="A40" s="47" t="s">
        <v>175</v>
      </c>
      <c r="B40" s="47" t="s">
        <v>174</v>
      </c>
      <c r="C40" s="406">
        <v>7.14</v>
      </c>
      <c r="D40" s="406">
        <v>0.04</v>
      </c>
      <c r="E40" s="406">
        <v>1.57</v>
      </c>
      <c r="F40" s="406">
        <v>23.12</v>
      </c>
      <c r="G40" s="406">
        <v>0.37</v>
      </c>
      <c r="H40" s="406">
        <v>3.54</v>
      </c>
      <c r="I40" s="406">
        <v>31.27</v>
      </c>
      <c r="J40" s="406">
        <v>47.51</v>
      </c>
      <c r="K40" s="406">
        <v>15.14</v>
      </c>
      <c r="L40" s="406">
        <v>35.17</v>
      </c>
      <c r="M40" s="406">
        <v>16.02</v>
      </c>
      <c r="N40" s="406">
        <v>180.57</v>
      </c>
      <c r="O40" s="406">
        <v>2.56</v>
      </c>
      <c r="P40" s="47">
        <f>SUM(C40:O40)</f>
        <v>364.02000000000004</v>
      </c>
      <c r="R40" s="181">
        <f>+O40+N40+I40+F40+E40+D40</f>
        <v>239.13</v>
      </c>
    </row>
    <row r="41" spans="1:18">
      <c r="C41" s="89"/>
      <c r="D41" s="89"/>
      <c r="E41" s="89"/>
      <c r="F41" s="89"/>
      <c r="G41" s="89"/>
      <c r="H41" s="89"/>
      <c r="I41" s="89"/>
      <c r="J41" s="89"/>
      <c r="K41" s="89"/>
      <c r="L41" s="89"/>
      <c r="M41" s="89"/>
      <c r="N41" s="89"/>
      <c r="O41" s="89"/>
      <c r="R41" s="181"/>
    </row>
    <row r="42" spans="1:18" ht="14.5">
      <c r="A42" s="56" t="s">
        <v>196</v>
      </c>
      <c r="C42" s="89"/>
      <c r="D42" s="89"/>
      <c r="E42" s="89"/>
      <c r="F42" s="89"/>
      <c r="G42" s="89"/>
      <c r="H42" s="89"/>
      <c r="I42" s="89"/>
      <c r="J42" s="89"/>
      <c r="K42" s="89"/>
      <c r="L42" s="89"/>
      <c r="M42" s="89"/>
      <c r="N42" s="89"/>
      <c r="O42" s="89"/>
      <c r="R42" s="181"/>
    </row>
    <row r="43" spans="1:18">
      <c r="A43" s="47" t="s">
        <v>19</v>
      </c>
      <c r="B43" s="47" t="s">
        <v>174</v>
      </c>
      <c r="C43" s="406">
        <v>113.52</v>
      </c>
      <c r="D43" s="406">
        <v>43.57</v>
      </c>
      <c r="E43" s="406">
        <v>4.91</v>
      </c>
      <c r="F43" s="406">
        <v>46.13</v>
      </c>
      <c r="G43" s="406">
        <v>36.619999999999997</v>
      </c>
      <c r="H43" s="406">
        <v>253.57</v>
      </c>
      <c r="I43" s="406">
        <v>94.17</v>
      </c>
      <c r="J43" s="406">
        <v>488.42</v>
      </c>
      <c r="K43" s="406">
        <v>136.88</v>
      </c>
      <c r="L43" s="406">
        <v>120.69</v>
      </c>
      <c r="M43" s="406">
        <v>114.05</v>
      </c>
      <c r="N43" s="406">
        <v>1414.4</v>
      </c>
      <c r="O43" s="406">
        <v>634.16999999999996</v>
      </c>
      <c r="P43" s="47">
        <f>SUM(C43:O43)</f>
        <v>3501.1000000000004</v>
      </c>
      <c r="R43" s="181">
        <f>+O43+N43+I43+F43+E43+D43</f>
        <v>2237.3500000000004</v>
      </c>
    </row>
    <row r="44" spans="1:18">
      <c r="A44" s="47" t="s">
        <v>175</v>
      </c>
      <c r="B44" s="47" t="s">
        <v>174</v>
      </c>
      <c r="C44" s="406">
        <v>8.1</v>
      </c>
      <c r="D44" s="406">
        <v>0.06</v>
      </c>
      <c r="E44" s="406">
        <v>1.21</v>
      </c>
      <c r="F44" s="406">
        <v>22.01</v>
      </c>
      <c r="G44" s="406">
        <v>0.26</v>
      </c>
      <c r="H44" s="406">
        <v>2.2000000000000002</v>
      </c>
      <c r="I44" s="406">
        <v>34.200000000000003</v>
      </c>
      <c r="J44" s="406">
        <v>48.29</v>
      </c>
      <c r="K44" s="406">
        <v>16.38</v>
      </c>
      <c r="L44" s="406">
        <v>33.770000000000003</v>
      </c>
      <c r="M44" s="406">
        <v>16.63</v>
      </c>
      <c r="N44" s="406">
        <v>178.9</v>
      </c>
      <c r="O44" s="406">
        <v>2.83</v>
      </c>
      <c r="P44" s="47">
        <f>SUM(C44:O44)</f>
        <v>364.84</v>
      </c>
      <c r="R44" s="181">
        <f>+O44+N44+I44+F44+E44+D44</f>
        <v>239.21</v>
      </c>
    </row>
    <row r="45" spans="1:18">
      <c r="C45" s="89"/>
      <c r="D45" s="89"/>
      <c r="E45" s="89"/>
      <c r="F45" s="89"/>
      <c r="G45" s="89"/>
      <c r="H45" s="89"/>
      <c r="I45" s="89"/>
      <c r="J45" s="89"/>
      <c r="K45" s="89"/>
      <c r="L45" s="89"/>
      <c r="M45" s="89"/>
      <c r="N45" s="89"/>
      <c r="O45" s="89"/>
      <c r="R45" s="181"/>
    </row>
    <row r="46" spans="1:18" ht="14.5">
      <c r="A46" s="56" t="s">
        <v>197</v>
      </c>
      <c r="C46" s="89"/>
      <c r="D46" s="89"/>
      <c r="E46" s="89"/>
      <c r="F46" s="89"/>
      <c r="G46" s="89"/>
      <c r="H46" s="89"/>
      <c r="I46" s="89"/>
      <c r="J46" s="89"/>
      <c r="K46" s="89"/>
      <c r="L46" s="89"/>
      <c r="M46" s="89"/>
      <c r="N46" s="89"/>
      <c r="O46" s="89"/>
      <c r="R46" s="181"/>
    </row>
    <row r="47" spans="1:18">
      <c r="A47" s="47" t="s">
        <v>19</v>
      </c>
      <c r="B47" s="47" t="s">
        <v>174</v>
      </c>
      <c r="C47" s="406">
        <v>88.94</v>
      </c>
      <c r="D47" s="406">
        <v>40.31</v>
      </c>
      <c r="E47" s="406">
        <v>6.09</v>
      </c>
      <c r="F47" s="406">
        <v>47.25</v>
      </c>
      <c r="G47" s="406">
        <v>18.27</v>
      </c>
      <c r="H47" s="406">
        <v>198.75</v>
      </c>
      <c r="I47" s="406">
        <v>97.84</v>
      </c>
      <c r="J47" s="406">
        <v>433.52</v>
      </c>
      <c r="K47" s="406">
        <v>121.46</v>
      </c>
      <c r="L47" s="406">
        <v>92.74</v>
      </c>
      <c r="M47" s="406">
        <v>126.51</v>
      </c>
      <c r="N47" s="406">
        <v>1241.5899999999999</v>
      </c>
      <c r="O47" s="406">
        <v>606.94000000000005</v>
      </c>
      <c r="P47" s="47">
        <f>SUM(C47:O47)</f>
        <v>3120.21</v>
      </c>
      <c r="R47" s="181">
        <f>+O47+N47+I47+F47+E47+D47</f>
        <v>2040.0199999999998</v>
      </c>
    </row>
    <row r="48" spans="1:18">
      <c r="A48" s="47" t="s">
        <v>175</v>
      </c>
      <c r="B48" s="47" t="s">
        <v>174</v>
      </c>
      <c r="C48" s="406">
        <v>7.91</v>
      </c>
      <c r="D48" s="406">
        <v>0.04</v>
      </c>
      <c r="E48" s="406">
        <v>1.1499999999999999</v>
      </c>
      <c r="F48" s="406">
        <v>23.05</v>
      </c>
      <c r="G48" s="406">
        <v>0.23</v>
      </c>
      <c r="H48" s="406">
        <v>3.23</v>
      </c>
      <c r="I48" s="406">
        <v>28.64</v>
      </c>
      <c r="J48" s="406">
        <v>43.54</v>
      </c>
      <c r="K48" s="406">
        <v>13.58</v>
      </c>
      <c r="L48" s="406">
        <v>29.73</v>
      </c>
      <c r="M48" s="406">
        <v>15.56</v>
      </c>
      <c r="N48" s="406">
        <v>173.42</v>
      </c>
      <c r="O48" s="406">
        <v>2.0499999999999998</v>
      </c>
      <c r="P48" s="47">
        <f>SUM(C48:O48)</f>
        <v>342.13</v>
      </c>
      <c r="R48" s="181">
        <f>+O48+N48+I48+F48+E48+D48</f>
        <v>228.35000000000002</v>
      </c>
    </row>
    <row r="49" spans="1:18">
      <c r="C49" s="428"/>
      <c r="D49" s="428"/>
      <c r="E49" s="428"/>
      <c r="F49" s="428"/>
      <c r="G49" s="428"/>
      <c r="H49" s="428"/>
      <c r="I49" s="428"/>
      <c r="J49" s="428"/>
      <c r="K49" s="428"/>
      <c r="L49" s="428"/>
      <c r="M49" s="428"/>
      <c r="N49" s="428"/>
      <c r="O49" s="428"/>
      <c r="R49" s="181"/>
    </row>
    <row r="50" spans="1:18" ht="14.5">
      <c r="A50" s="56" t="s">
        <v>198</v>
      </c>
      <c r="C50" s="428"/>
      <c r="D50" s="428"/>
      <c r="E50" s="428"/>
      <c r="F50" s="428"/>
      <c r="G50" s="428"/>
      <c r="H50" s="428"/>
      <c r="I50" s="428"/>
      <c r="J50" s="428"/>
      <c r="K50" s="428"/>
      <c r="L50" s="428"/>
      <c r="M50" s="428"/>
      <c r="N50" s="428"/>
      <c r="O50" s="428"/>
      <c r="R50" s="181"/>
    </row>
    <row r="51" spans="1:18">
      <c r="A51" t="s">
        <v>19</v>
      </c>
      <c r="B51" t="s">
        <v>174</v>
      </c>
      <c r="C51" s="406">
        <f>C47</f>
        <v>88.94</v>
      </c>
      <c r="D51" s="406">
        <f t="shared" ref="D51:O51" si="0">D47</f>
        <v>40.31</v>
      </c>
      <c r="E51" s="406">
        <f t="shared" si="0"/>
        <v>6.09</v>
      </c>
      <c r="F51" s="406">
        <f t="shared" si="0"/>
        <v>47.25</v>
      </c>
      <c r="G51" s="406">
        <f t="shared" si="0"/>
        <v>18.27</v>
      </c>
      <c r="H51" s="406">
        <f t="shared" si="0"/>
        <v>198.75</v>
      </c>
      <c r="I51" s="406">
        <f t="shared" si="0"/>
        <v>97.84</v>
      </c>
      <c r="J51" s="406">
        <f t="shared" si="0"/>
        <v>433.52</v>
      </c>
      <c r="K51" s="406">
        <f t="shared" si="0"/>
        <v>121.46</v>
      </c>
      <c r="L51" s="406">
        <f t="shared" si="0"/>
        <v>92.74</v>
      </c>
      <c r="M51" s="406">
        <f t="shared" si="0"/>
        <v>126.51</v>
      </c>
      <c r="N51" s="406">
        <f t="shared" si="0"/>
        <v>1241.5899999999999</v>
      </c>
      <c r="O51" s="406">
        <f t="shared" si="0"/>
        <v>606.94000000000005</v>
      </c>
      <c r="P51" s="47">
        <f>SUM(C51:O51)</f>
        <v>3120.21</v>
      </c>
      <c r="R51" s="181">
        <f>+O51+N51+I51+F51+E51+D51</f>
        <v>2040.0199999999998</v>
      </c>
    </row>
    <row r="52" spans="1:18">
      <c r="A52" t="s">
        <v>175</v>
      </c>
      <c r="B52" t="s">
        <v>174</v>
      </c>
      <c r="C52" s="406">
        <f>C48</f>
        <v>7.91</v>
      </c>
      <c r="D52" s="406">
        <f t="shared" ref="D52:O52" si="1">D48</f>
        <v>0.04</v>
      </c>
      <c r="E52" s="406">
        <f t="shared" si="1"/>
        <v>1.1499999999999999</v>
      </c>
      <c r="F52" s="406">
        <f t="shared" si="1"/>
        <v>23.05</v>
      </c>
      <c r="G52" s="406">
        <f t="shared" si="1"/>
        <v>0.23</v>
      </c>
      <c r="H52" s="406">
        <f t="shared" si="1"/>
        <v>3.23</v>
      </c>
      <c r="I52" s="406">
        <f t="shared" si="1"/>
        <v>28.64</v>
      </c>
      <c r="J52" s="406">
        <f t="shared" si="1"/>
        <v>43.54</v>
      </c>
      <c r="K52" s="406">
        <f t="shared" si="1"/>
        <v>13.58</v>
      </c>
      <c r="L52" s="406">
        <f t="shared" si="1"/>
        <v>29.73</v>
      </c>
      <c r="M52" s="406">
        <f t="shared" si="1"/>
        <v>15.56</v>
      </c>
      <c r="N52" s="406">
        <f t="shared" si="1"/>
        <v>173.42</v>
      </c>
      <c r="O52" s="406">
        <f t="shared" si="1"/>
        <v>2.0499999999999998</v>
      </c>
      <c r="P52" s="47">
        <f>SUM(C52:O52)</f>
        <v>342.13</v>
      </c>
      <c r="R52" s="181">
        <f>+O52+N52+I52+F52+E52+D52</f>
        <v>228.35000000000002</v>
      </c>
    </row>
    <row r="53" spans="1:18">
      <c r="C53" s="89"/>
      <c r="D53" s="89"/>
      <c r="E53" s="89"/>
      <c r="F53" s="89"/>
      <c r="G53" s="89"/>
      <c r="H53" s="89"/>
      <c r="I53" s="89"/>
      <c r="J53" s="89"/>
      <c r="K53" s="89"/>
      <c r="L53" s="89"/>
      <c r="M53" s="89"/>
      <c r="N53" s="89"/>
      <c r="O53" s="89"/>
      <c r="R53" s="181"/>
    </row>
    <row r="54" spans="1:18" ht="14.5">
      <c r="A54" s="56" t="s">
        <v>199</v>
      </c>
      <c r="C54" s="89"/>
      <c r="D54" s="89"/>
      <c r="E54" s="89"/>
      <c r="F54" s="89"/>
      <c r="G54" s="89"/>
      <c r="H54" s="89"/>
      <c r="I54" s="89"/>
      <c r="J54" s="89"/>
      <c r="K54" s="89"/>
      <c r="L54" s="89"/>
      <c r="M54" s="89"/>
      <c r="N54" s="89"/>
      <c r="O54" s="89"/>
      <c r="R54" s="181"/>
    </row>
    <row r="55" spans="1:18">
      <c r="A55" t="s">
        <v>19</v>
      </c>
      <c r="B55" t="s">
        <v>174</v>
      </c>
      <c r="C55" s="406"/>
      <c r="D55" s="406"/>
      <c r="E55" s="406"/>
      <c r="F55" s="406"/>
      <c r="G55" s="406"/>
      <c r="H55" s="406"/>
      <c r="I55" s="406"/>
      <c r="J55" s="406"/>
      <c r="K55" s="406"/>
      <c r="L55" s="406"/>
      <c r="M55" s="406"/>
      <c r="N55" s="406"/>
      <c r="O55" s="406"/>
      <c r="P55" s="47">
        <f>SUM(C55:O55)</f>
        <v>0</v>
      </c>
      <c r="R55" s="181">
        <f>+O55+N55+I55+F55+E55+D55</f>
        <v>0</v>
      </c>
    </row>
    <row r="56" spans="1:18">
      <c r="A56" t="s">
        <v>175</v>
      </c>
      <c r="B56" t="s">
        <v>174</v>
      </c>
      <c r="C56" s="406"/>
      <c r="D56" s="406"/>
      <c r="E56" s="406"/>
      <c r="F56" s="406"/>
      <c r="G56" s="406"/>
      <c r="H56" s="406"/>
      <c r="I56" s="406"/>
      <c r="J56" s="406"/>
      <c r="K56" s="406"/>
      <c r="L56" s="406"/>
      <c r="M56" s="406"/>
      <c r="N56" s="406"/>
      <c r="O56" s="406"/>
      <c r="P56" s="47">
        <f>SUM(C56:O56)</f>
        <v>0</v>
      </c>
      <c r="R56" s="181">
        <f>+O56+N56+I56+F56+E56+D56</f>
        <v>0</v>
      </c>
    </row>
    <row r="57" spans="1:18">
      <c r="C57" s="89"/>
      <c r="D57" s="89"/>
      <c r="E57" s="89"/>
      <c r="F57" s="89"/>
      <c r="G57" s="89"/>
      <c r="H57" s="89"/>
      <c r="I57" s="89"/>
      <c r="J57" s="89"/>
      <c r="K57" s="89"/>
      <c r="L57" s="89"/>
      <c r="M57" s="89"/>
      <c r="N57" s="89"/>
      <c r="O57" s="89"/>
      <c r="R57" s="181"/>
    </row>
    <row r="58" spans="1:18" ht="14.5">
      <c r="A58" s="56" t="s">
        <v>185</v>
      </c>
      <c r="C58" s="89"/>
      <c r="D58" s="89"/>
      <c r="E58" s="89"/>
      <c r="F58" s="89"/>
      <c r="G58" s="89"/>
      <c r="H58" s="89"/>
      <c r="I58" s="89"/>
      <c r="J58" s="89"/>
      <c r="K58" s="89"/>
      <c r="L58" s="89"/>
      <c r="M58" s="89"/>
      <c r="N58" s="89"/>
      <c r="O58" s="89"/>
      <c r="R58" s="181"/>
    </row>
    <row r="59" spans="1:18">
      <c r="A59" t="s">
        <v>19</v>
      </c>
      <c r="B59" t="s">
        <v>174</v>
      </c>
      <c r="C59" s="406"/>
      <c r="D59" s="406"/>
      <c r="E59" s="406"/>
      <c r="F59" s="406"/>
      <c r="G59" s="406"/>
      <c r="H59" s="406"/>
      <c r="I59" s="406"/>
      <c r="J59" s="406"/>
      <c r="K59" s="406"/>
      <c r="L59" s="406"/>
      <c r="M59" s="406"/>
      <c r="N59" s="406"/>
      <c r="O59" s="406"/>
      <c r="P59" s="47">
        <f>SUM(C59:O59)</f>
        <v>0</v>
      </c>
      <c r="R59" s="181">
        <f>+O59+N59+I59+F59+E59+D59</f>
        <v>0</v>
      </c>
    </row>
    <row r="60" spans="1:18">
      <c r="A60" t="s">
        <v>175</v>
      </c>
      <c r="B60" t="s">
        <v>174</v>
      </c>
      <c r="C60" s="406"/>
      <c r="D60" s="406"/>
      <c r="E60" s="406"/>
      <c r="F60" s="406"/>
      <c r="G60" s="406"/>
      <c r="H60" s="406"/>
      <c r="I60" s="406"/>
      <c r="J60" s="406"/>
      <c r="K60" s="406"/>
      <c r="L60" s="406"/>
      <c r="M60" s="406"/>
      <c r="N60" s="406"/>
      <c r="O60" s="406"/>
      <c r="P60" s="47">
        <f>SUM(C60:O60)</f>
        <v>0</v>
      </c>
      <c r="R60" s="181">
        <f>+O60+N60+I60+F60+E60+D60</f>
        <v>0</v>
      </c>
    </row>
    <row r="61" spans="1:18">
      <c r="C61" s="89"/>
      <c r="D61" s="89"/>
      <c r="E61" s="89"/>
      <c r="F61" s="89"/>
      <c r="G61" s="89"/>
      <c r="H61" s="89"/>
      <c r="I61" s="89"/>
      <c r="J61" s="89"/>
      <c r="K61" s="89"/>
      <c r="L61" s="89"/>
      <c r="M61" s="89"/>
      <c r="N61" s="89"/>
      <c r="O61" s="89"/>
      <c r="R61" s="181"/>
    </row>
    <row r="62" spans="1:18" ht="14.5">
      <c r="A62" s="56" t="s">
        <v>200</v>
      </c>
      <c r="C62" s="89"/>
      <c r="D62" s="89"/>
      <c r="E62" s="89"/>
      <c r="F62" s="89"/>
      <c r="G62" s="89"/>
      <c r="H62" s="89"/>
      <c r="I62" s="89"/>
      <c r="J62" s="89"/>
      <c r="K62" s="89"/>
      <c r="L62" s="89"/>
      <c r="M62" s="89"/>
      <c r="N62" s="89"/>
      <c r="O62" s="89"/>
      <c r="R62" s="181"/>
    </row>
    <row r="63" spans="1:18">
      <c r="A63" t="s">
        <v>19</v>
      </c>
      <c r="B63" t="s">
        <v>174</v>
      </c>
      <c r="C63" s="406"/>
      <c r="D63" s="406"/>
      <c r="E63" s="406"/>
      <c r="F63" s="406"/>
      <c r="G63" s="406"/>
      <c r="H63" s="406"/>
      <c r="I63" s="406"/>
      <c r="J63" s="406"/>
      <c r="K63" s="406"/>
      <c r="L63" s="406"/>
      <c r="M63" s="406"/>
      <c r="N63" s="406"/>
      <c r="O63" s="406"/>
      <c r="P63" s="47">
        <f>SUM(C63:O63)</f>
        <v>0</v>
      </c>
      <c r="R63" s="181">
        <f>+O63+N63+I63+F63+E63+D63</f>
        <v>0</v>
      </c>
    </row>
    <row r="64" spans="1:18">
      <c r="A64" t="s">
        <v>175</v>
      </c>
      <c r="B64" t="s">
        <v>174</v>
      </c>
      <c r="C64" s="406"/>
      <c r="D64" s="406"/>
      <c r="E64" s="406"/>
      <c r="F64" s="406"/>
      <c r="G64" s="406"/>
      <c r="H64" s="406"/>
      <c r="I64" s="406"/>
      <c r="J64" s="406"/>
      <c r="K64" s="406"/>
      <c r="L64" s="406"/>
      <c r="M64" s="406"/>
      <c r="N64" s="406"/>
      <c r="O64" s="406"/>
      <c r="P64" s="47">
        <f>SUM(C64:O64)</f>
        <v>0</v>
      </c>
      <c r="R64" s="181">
        <f>+O64+N64+I64+F64+E64+D64</f>
        <v>0</v>
      </c>
    </row>
    <row r="65" spans="1:18">
      <c r="C65" s="89"/>
      <c r="D65" s="89"/>
      <c r="E65" s="89"/>
      <c r="F65" s="89"/>
      <c r="G65" s="89"/>
      <c r="H65" s="89"/>
      <c r="I65" s="89"/>
      <c r="J65" s="89"/>
      <c r="K65" s="89"/>
      <c r="L65" s="89"/>
      <c r="M65" s="89"/>
      <c r="N65" s="89"/>
      <c r="O65" s="89"/>
      <c r="R65" s="181"/>
    </row>
    <row r="66" spans="1:18" ht="14.5">
      <c r="A66" s="56" t="s">
        <v>201</v>
      </c>
      <c r="C66" s="89"/>
      <c r="D66" s="89"/>
      <c r="E66" s="89"/>
      <c r="F66" s="89"/>
      <c r="G66" s="89"/>
      <c r="H66" s="89"/>
      <c r="I66" s="89"/>
      <c r="J66" s="89"/>
      <c r="K66" s="89"/>
      <c r="L66" s="89"/>
      <c r="M66" s="89"/>
      <c r="N66" s="89"/>
      <c r="O66" s="89"/>
      <c r="R66" s="181"/>
    </row>
    <row r="67" spans="1:18">
      <c r="A67" t="s">
        <v>19</v>
      </c>
      <c r="B67" t="s">
        <v>174</v>
      </c>
      <c r="C67" s="406"/>
      <c r="D67" s="406"/>
      <c r="E67" s="406"/>
      <c r="F67" s="406"/>
      <c r="G67" s="406"/>
      <c r="H67" s="406"/>
      <c r="I67" s="406"/>
      <c r="J67" s="406"/>
      <c r="K67" s="406"/>
      <c r="L67" s="406"/>
      <c r="M67" s="406"/>
      <c r="N67" s="406"/>
      <c r="O67" s="406"/>
      <c r="P67" s="47">
        <f>SUM(C67:O67)</f>
        <v>0</v>
      </c>
      <c r="R67" s="181">
        <f>+O67+N67+I67+F67+E67+D67</f>
        <v>0</v>
      </c>
    </row>
    <row r="68" spans="1:18">
      <c r="A68" t="s">
        <v>175</v>
      </c>
      <c r="B68" t="s">
        <v>174</v>
      </c>
      <c r="C68" s="406"/>
      <c r="D68" s="406"/>
      <c r="E68" s="406"/>
      <c r="F68" s="406"/>
      <c r="G68" s="406"/>
      <c r="H68" s="406"/>
      <c r="I68" s="406"/>
      <c r="J68" s="406"/>
      <c r="K68" s="406"/>
      <c r="L68" s="406"/>
      <c r="M68" s="406"/>
      <c r="N68" s="406"/>
      <c r="O68" s="406"/>
      <c r="P68" s="47">
        <f>SUM(C68:O68)</f>
        <v>0</v>
      </c>
      <c r="R68" s="181">
        <f>+O68+N68+I68+F68+E68+D68</f>
        <v>0</v>
      </c>
    </row>
    <row r="69" spans="1:18">
      <c r="C69" s="89"/>
      <c r="D69" s="89"/>
      <c r="E69" s="89"/>
      <c r="F69" s="89"/>
      <c r="G69" s="89"/>
      <c r="H69" s="89"/>
      <c r="I69" s="89"/>
      <c r="J69" s="89"/>
      <c r="K69" s="89"/>
      <c r="L69" s="89"/>
      <c r="M69" s="89"/>
      <c r="N69" s="89"/>
      <c r="O69" s="89"/>
      <c r="R69" s="181"/>
    </row>
    <row r="70" spans="1:18" ht="14.5">
      <c r="A70" s="56" t="s">
        <v>188</v>
      </c>
      <c r="C70" s="89"/>
      <c r="D70" s="89"/>
      <c r="E70" s="89"/>
      <c r="F70" s="89"/>
      <c r="G70" s="89"/>
      <c r="H70" s="89"/>
      <c r="I70" s="89"/>
      <c r="J70" s="89"/>
      <c r="K70" s="89"/>
      <c r="L70" s="89"/>
      <c r="M70" s="89"/>
      <c r="N70" s="89"/>
      <c r="O70" s="89"/>
      <c r="R70" s="181"/>
    </row>
    <row r="71" spans="1:18">
      <c r="A71" t="s">
        <v>19</v>
      </c>
      <c r="B71" t="s">
        <v>174</v>
      </c>
      <c r="C71" s="406"/>
      <c r="D71" s="406"/>
      <c r="E71" s="406"/>
      <c r="F71" s="406"/>
      <c r="G71" s="406"/>
      <c r="H71" s="406"/>
      <c r="I71" s="406"/>
      <c r="J71" s="406"/>
      <c r="K71" s="406"/>
      <c r="L71" s="406"/>
      <c r="M71" s="406"/>
      <c r="N71" s="406"/>
      <c r="O71" s="406"/>
      <c r="P71" s="47">
        <f>SUM(C71:O71)</f>
        <v>0</v>
      </c>
      <c r="R71" s="181">
        <f>+O71+N71+I71+F71+E71+D71</f>
        <v>0</v>
      </c>
    </row>
    <row r="72" spans="1:18">
      <c r="A72" t="s">
        <v>175</v>
      </c>
      <c r="B72" t="s">
        <v>174</v>
      </c>
      <c r="C72" s="406"/>
      <c r="D72" s="406"/>
      <c r="E72" s="406"/>
      <c r="F72" s="406"/>
      <c r="G72" s="406"/>
      <c r="H72" s="406"/>
      <c r="I72" s="406"/>
      <c r="J72" s="406"/>
      <c r="K72" s="406"/>
      <c r="L72" s="406"/>
      <c r="M72" s="406"/>
      <c r="N72" s="406"/>
      <c r="O72" s="406"/>
      <c r="P72" s="47">
        <f>SUM(C72:O72)</f>
        <v>0</v>
      </c>
      <c r="R72" s="181">
        <f>+O72+N72+I72+F72+E72+D72</f>
        <v>0</v>
      </c>
    </row>
    <row r="73" spans="1:18">
      <c r="C73" s="89"/>
      <c r="D73" s="89"/>
      <c r="E73" s="89"/>
      <c r="F73" s="89"/>
      <c r="G73" s="89"/>
      <c r="H73" s="89"/>
      <c r="I73" s="89"/>
      <c r="J73" s="89"/>
      <c r="K73" s="89"/>
      <c r="L73" s="89"/>
      <c r="M73" s="89"/>
      <c r="N73" s="89"/>
      <c r="O73" s="89"/>
      <c r="R73" s="181"/>
    </row>
    <row r="74" spans="1:18" ht="14.5">
      <c r="A74" s="56" t="s">
        <v>189</v>
      </c>
      <c r="C74" s="89"/>
      <c r="D74" s="89"/>
      <c r="E74" s="89"/>
      <c r="F74" s="89"/>
      <c r="G74" s="89"/>
      <c r="H74" s="89"/>
      <c r="I74" s="89"/>
      <c r="J74" s="89"/>
      <c r="K74" s="89"/>
      <c r="L74" s="89"/>
      <c r="M74" s="89"/>
      <c r="N74" s="89"/>
      <c r="O74" s="89"/>
      <c r="R74" s="181"/>
    </row>
    <row r="75" spans="1:18">
      <c r="A75" t="s">
        <v>19</v>
      </c>
      <c r="B75" t="s">
        <v>174</v>
      </c>
      <c r="C75" s="406"/>
      <c r="D75" s="406"/>
      <c r="E75" s="406"/>
      <c r="F75" s="406"/>
      <c r="G75" s="406"/>
      <c r="H75" s="406"/>
      <c r="I75" s="406"/>
      <c r="J75" s="406"/>
      <c r="K75" s="406"/>
      <c r="L75" s="406"/>
      <c r="M75" s="406"/>
      <c r="N75" s="406"/>
      <c r="O75" s="406"/>
      <c r="P75" s="47">
        <f>SUM(C75:O75)</f>
        <v>0</v>
      </c>
      <c r="R75" s="181">
        <f>+O75+N75+I75+F75+E75+D75</f>
        <v>0</v>
      </c>
    </row>
    <row r="76" spans="1:18">
      <c r="A76" t="s">
        <v>175</v>
      </c>
      <c r="B76" t="s">
        <v>174</v>
      </c>
      <c r="C76" s="406"/>
      <c r="D76" s="406"/>
      <c r="E76" s="406"/>
      <c r="F76" s="406"/>
      <c r="G76" s="406"/>
      <c r="H76" s="406"/>
      <c r="I76" s="406"/>
      <c r="J76" s="406"/>
      <c r="K76" s="406"/>
      <c r="L76" s="406"/>
      <c r="M76" s="406"/>
      <c r="N76" s="406"/>
      <c r="O76" s="406"/>
      <c r="P76" s="47">
        <f>SUM(C76:O76)</f>
        <v>0</v>
      </c>
      <c r="R76" s="181">
        <f>+O76+N76+I76+F76+E76+D76</f>
        <v>0</v>
      </c>
    </row>
    <row r="77" spans="1:18">
      <c r="C77" s="89"/>
      <c r="D77" s="89"/>
      <c r="E77" s="89"/>
      <c r="F77" s="89"/>
      <c r="G77" s="89"/>
      <c r="H77" s="89"/>
      <c r="I77" s="89"/>
      <c r="J77" s="89"/>
      <c r="K77" s="89"/>
      <c r="L77" s="89"/>
      <c r="M77" s="89"/>
      <c r="N77" s="89"/>
      <c r="O77" s="89"/>
      <c r="R77" s="181"/>
    </row>
    <row r="78" spans="1:18" ht="14.5">
      <c r="A78" s="56" t="s">
        <v>52</v>
      </c>
      <c r="C78" s="89"/>
      <c r="D78" s="89"/>
      <c r="E78" s="89"/>
      <c r="F78" s="89"/>
      <c r="G78" s="89"/>
      <c r="H78" s="89"/>
      <c r="I78" s="89"/>
      <c r="J78" s="89"/>
      <c r="K78" s="89"/>
      <c r="L78" s="89"/>
      <c r="M78" s="89"/>
      <c r="N78" s="89"/>
      <c r="O78" s="89"/>
      <c r="R78" s="181"/>
    </row>
    <row r="79" spans="1:18">
      <c r="A79" t="s">
        <v>19</v>
      </c>
      <c r="B79" t="s">
        <v>174</v>
      </c>
      <c r="C79" s="406"/>
      <c r="D79" s="406"/>
      <c r="E79" s="406"/>
      <c r="F79" s="406"/>
      <c r="G79" s="406"/>
      <c r="H79" s="406"/>
      <c r="I79" s="406"/>
      <c r="J79" s="406"/>
      <c r="K79" s="406"/>
      <c r="L79" s="406"/>
      <c r="M79" s="406"/>
      <c r="N79" s="406"/>
      <c r="O79" s="406"/>
      <c r="P79" s="47">
        <f>SUM(C79:O79)</f>
        <v>0</v>
      </c>
      <c r="R79" s="181">
        <f>+O79+N79+I79+F79+E79+D79</f>
        <v>0</v>
      </c>
    </row>
    <row r="80" spans="1:18">
      <c r="A80" t="s">
        <v>175</v>
      </c>
      <c r="B80" t="s">
        <v>174</v>
      </c>
      <c r="C80" s="406"/>
      <c r="D80" s="406"/>
      <c r="E80" s="406"/>
      <c r="F80" s="406"/>
      <c r="G80" s="406"/>
      <c r="H80" s="406"/>
      <c r="I80" s="406"/>
      <c r="J80" s="406"/>
      <c r="K80" s="406"/>
      <c r="L80" s="406"/>
      <c r="M80" s="406"/>
      <c r="N80" s="406"/>
      <c r="O80" s="406"/>
      <c r="P80" s="47">
        <f>SUM(C80:O80)</f>
        <v>0</v>
      </c>
      <c r="R80" s="181">
        <f>+O80+N80+I80+F80+E80+D80</f>
        <v>0</v>
      </c>
    </row>
    <row r="81" spans="1:18">
      <c r="C81" s="89"/>
      <c r="D81" s="89"/>
      <c r="E81" s="89"/>
      <c r="F81" s="89"/>
      <c r="G81" s="89"/>
      <c r="H81" s="89"/>
      <c r="I81" s="89"/>
      <c r="J81" s="89"/>
      <c r="K81" s="89"/>
      <c r="L81" s="89"/>
      <c r="M81" s="89"/>
      <c r="N81" s="89"/>
      <c r="O81" s="89"/>
      <c r="R81" s="181"/>
    </row>
    <row r="82" spans="1:18" ht="14.5">
      <c r="A82" s="56" t="s">
        <v>194</v>
      </c>
      <c r="C82" s="89"/>
      <c r="D82" s="89"/>
      <c r="E82" s="89"/>
      <c r="F82" s="89"/>
      <c r="G82" s="89"/>
      <c r="H82" s="89"/>
      <c r="I82" s="89"/>
      <c r="J82" s="89"/>
      <c r="K82" s="89"/>
      <c r="L82" s="89"/>
      <c r="M82" s="89"/>
      <c r="N82" s="89"/>
      <c r="O82" s="89"/>
      <c r="R82" s="181"/>
    </row>
    <row r="83" spans="1:18">
      <c r="A83" t="s">
        <v>19</v>
      </c>
      <c r="B83" t="s">
        <v>174</v>
      </c>
      <c r="C83" s="406"/>
      <c r="D83" s="406"/>
      <c r="E83" s="406"/>
      <c r="F83" s="406"/>
      <c r="G83" s="406"/>
      <c r="H83" s="406"/>
      <c r="I83" s="406"/>
      <c r="J83" s="406"/>
      <c r="K83" s="406"/>
      <c r="L83" s="406"/>
      <c r="M83" s="406"/>
      <c r="N83" s="406"/>
      <c r="O83" s="406"/>
      <c r="P83" s="47">
        <f>SUM(C83:O83)</f>
        <v>0</v>
      </c>
      <c r="R83" s="181">
        <f>+O83+N83+I83+F83+E83+D83</f>
        <v>0</v>
      </c>
    </row>
    <row r="84" spans="1:18">
      <c r="A84" t="s">
        <v>175</v>
      </c>
      <c r="B84" t="s">
        <v>174</v>
      </c>
      <c r="C84" s="406"/>
      <c r="D84" s="406"/>
      <c r="E84" s="406"/>
      <c r="F84" s="406"/>
      <c r="G84" s="406"/>
      <c r="H84" s="406"/>
      <c r="I84" s="406"/>
      <c r="J84" s="406"/>
      <c r="K84" s="406"/>
      <c r="L84" s="406"/>
      <c r="M84" s="406"/>
      <c r="N84" s="406"/>
      <c r="O84" s="406"/>
      <c r="P84" s="47">
        <f>SUM(C84:O84)</f>
        <v>0</v>
      </c>
      <c r="R84" s="181">
        <f>+O84+N84+I84+F84+E84+D84</f>
        <v>0</v>
      </c>
    </row>
    <row r="85" spans="1:18">
      <c r="C85" s="89"/>
      <c r="D85" s="89"/>
      <c r="E85" s="89"/>
      <c r="F85" s="89"/>
      <c r="G85" s="89"/>
      <c r="H85" s="89"/>
      <c r="I85" s="89"/>
      <c r="J85" s="89"/>
      <c r="K85" s="89"/>
      <c r="L85" s="89"/>
      <c r="M85" s="89"/>
      <c r="N85" s="89"/>
      <c r="O85" s="89"/>
      <c r="R85" s="181"/>
    </row>
    <row r="86" spans="1:18" ht="14.5">
      <c r="A86" s="56" t="s">
        <v>195</v>
      </c>
      <c r="C86" s="89"/>
      <c r="D86" s="89"/>
      <c r="E86" s="89"/>
      <c r="F86" s="89"/>
      <c r="G86" s="89"/>
      <c r="H86" s="89"/>
      <c r="I86" s="89"/>
      <c r="J86" s="89"/>
      <c r="K86" s="89"/>
      <c r="L86" s="89"/>
      <c r="M86" s="89"/>
      <c r="N86" s="89"/>
      <c r="O86" s="89"/>
      <c r="R86" s="181"/>
    </row>
    <row r="87" spans="1:18">
      <c r="A87" t="s">
        <v>19</v>
      </c>
      <c r="B87" t="s">
        <v>174</v>
      </c>
      <c r="C87" s="406"/>
      <c r="D87" s="406"/>
      <c r="E87" s="406"/>
      <c r="F87" s="406"/>
      <c r="G87" s="406"/>
      <c r="H87" s="406"/>
      <c r="I87" s="406"/>
      <c r="J87" s="406"/>
      <c r="K87" s="406"/>
      <c r="L87" s="406"/>
      <c r="M87" s="406"/>
      <c r="N87" s="406"/>
      <c r="O87" s="406"/>
      <c r="P87" s="47">
        <f>SUM(C87:O87)</f>
        <v>0</v>
      </c>
      <c r="R87" s="181">
        <f>+O87+N87+I87+F87+E87+D87</f>
        <v>0</v>
      </c>
    </row>
    <row r="88" spans="1:18">
      <c r="A88" t="s">
        <v>175</v>
      </c>
      <c r="B88" t="s">
        <v>174</v>
      </c>
      <c r="C88" s="406"/>
      <c r="D88" s="406"/>
      <c r="E88" s="406"/>
      <c r="F88" s="406"/>
      <c r="G88" s="406"/>
      <c r="H88" s="406"/>
      <c r="I88" s="406"/>
      <c r="J88" s="406"/>
      <c r="K88" s="406"/>
      <c r="L88" s="406"/>
      <c r="M88" s="406"/>
      <c r="N88" s="406"/>
      <c r="O88" s="406"/>
      <c r="P88" s="47">
        <f>SUM(C88:O88)</f>
        <v>0</v>
      </c>
      <c r="R88" s="181">
        <f>+O88+N88+I88+F88+E88+D88</f>
        <v>0</v>
      </c>
    </row>
    <row r="89" spans="1:18">
      <c r="C89" s="89"/>
      <c r="D89" s="89"/>
      <c r="E89" s="89"/>
      <c r="F89" s="89"/>
      <c r="G89" s="89"/>
      <c r="H89" s="89"/>
      <c r="I89" s="89"/>
      <c r="J89" s="89"/>
      <c r="K89" s="89"/>
      <c r="L89" s="89"/>
      <c r="M89" s="89"/>
      <c r="N89" s="89"/>
      <c r="O89" s="89"/>
      <c r="R89" s="181"/>
    </row>
    <row r="90" spans="1:18" ht="14.5">
      <c r="A90" s="56" t="s">
        <v>196</v>
      </c>
      <c r="C90" s="89"/>
      <c r="D90" s="89"/>
      <c r="E90" s="89"/>
      <c r="F90" s="89"/>
      <c r="G90" s="89"/>
      <c r="H90" s="89"/>
      <c r="I90" s="89"/>
      <c r="J90" s="89"/>
      <c r="K90" s="89"/>
      <c r="L90" s="89"/>
      <c r="M90" s="89"/>
      <c r="N90" s="89"/>
      <c r="O90" s="89"/>
      <c r="R90" s="181"/>
    </row>
    <row r="91" spans="1:18">
      <c r="A91" t="s">
        <v>19</v>
      </c>
      <c r="B91" t="s">
        <v>174</v>
      </c>
      <c r="C91" s="406"/>
      <c r="D91" s="406"/>
      <c r="E91" s="406"/>
      <c r="F91" s="406"/>
      <c r="G91" s="406"/>
      <c r="H91" s="406"/>
      <c r="I91" s="406"/>
      <c r="J91" s="406"/>
      <c r="K91" s="406"/>
      <c r="L91" s="406"/>
      <c r="M91" s="406"/>
      <c r="N91" s="406"/>
      <c r="O91" s="406"/>
      <c r="P91" s="47">
        <f>SUM(C91:O91)</f>
        <v>0</v>
      </c>
      <c r="R91" s="181">
        <f>+O91+N91+I91+F91+E91+D91</f>
        <v>0</v>
      </c>
    </row>
    <row r="92" spans="1:18">
      <c r="A92" t="s">
        <v>175</v>
      </c>
      <c r="B92" t="s">
        <v>174</v>
      </c>
      <c r="C92" s="406"/>
      <c r="D92" s="406"/>
      <c r="E92" s="406"/>
      <c r="F92" s="406"/>
      <c r="G92" s="406"/>
      <c r="H92" s="406"/>
      <c r="I92" s="406"/>
      <c r="J92" s="406"/>
      <c r="K92" s="406"/>
      <c r="L92" s="406"/>
      <c r="M92" s="406"/>
      <c r="N92" s="406"/>
      <c r="O92" s="406"/>
      <c r="P92" s="47">
        <f>SUM(C92:O92)</f>
        <v>0</v>
      </c>
      <c r="R92" s="181">
        <f>+O92+N92+I92+F92+E92+D92</f>
        <v>0</v>
      </c>
    </row>
    <row r="93" spans="1:18">
      <c r="C93" s="89"/>
      <c r="D93" s="89"/>
      <c r="E93" s="89"/>
      <c r="F93" s="89"/>
      <c r="G93" s="89"/>
      <c r="H93" s="89"/>
      <c r="I93" s="89"/>
      <c r="J93" s="89"/>
      <c r="K93" s="89"/>
      <c r="L93" s="89"/>
      <c r="M93" s="89"/>
      <c r="N93" s="89"/>
      <c r="O93" s="89"/>
      <c r="R93" s="181"/>
    </row>
    <row r="94" spans="1:18" ht="14.5">
      <c r="A94" s="56" t="s">
        <v>197</v>
      </c>
      <c r="C94" s="89"/>
      <c r="D94" s="89"/>
      <c r="E94" s="89"/>
      <c r="F94" s="89"/>
      <c r="G94" s="89"/>
      <c r="H94" s="89"/>
      <c r="I94" s="89"/>
      <c r="J94" s="89"/>
      <c r="K94" s="89"/>
      <c r="L94" s="89"/>
      <c r="M94" s="89"/>
      <c r="N94" s="89"/>
      <c r="O94" s="89"/>
      <c r="R94" s="181"/>
    </row>
    <row r="95" spans="1:18">
      <c r="A95" t="s">
        <v>19</v>
      </c>
      <c r="B95" t="s">
        <v>174</v>
      </c>
      <c r="C95" s="406"/>
      <c r="D95" s="406"/>
      <c r="E95" s="406"/>
      <c r="F95" s="406"/>
      <c r="G95" s="406"/>
      <c r="H95" s="406"/>
      <c r="I95" s="406"/>
      <c r="J95" s="406"/>
      <c r="K95" s="406"/>
      <c r="L95" s="406"/>
      <c r="M95" s="406"/>
      <c r="N95" s="406"/>
      <c r="O95" s="406"/>
      <c r="P95" s="47">
        <f>SUM(C95:O95)</f>
        <v>0</v>
      </c>
      <c r="R95" s="181">
        <f>+O95+N95+I95+F95+E95+D95</f>
        <v>0</v>
      </c>
    </row>
    <row r="96" spans="1:18">
      <c r="A96" t="s">
        <v>175</v>
      </c>
      <c r="B96" t="s">
        <v>174</v>
      </c>
      <c r="C96" s="406"/>
      <c r="D96" s="406"/>
      <c r="E96" s="406"/>
      <c r="F96" s="406"/>
      <c r="G96" s="406"/>
      <c r="H96" s="406"/>
      <c r="I96" s="406"/>
      <c r="J96" s="406"/>
      <c r="K96" s="406"/>
      <c r="L96" s="406"/>
      <c r="M96" s="406"/>
      <c r="N96" s="406"/>
      <c r="O96" s="406"/>
      <c r="P96" s="47">
        <f>SUM(C96:O96)</f>
        <v>0</v>
      </c>
      <c r="R96" s="181">
        <f>+O96+N96+I96+F96+E96+D96</f>
        <v>0</v>
      </c>
    </row>
    <row r="97" spans="3:15">
      <c r="C97" s="89"/>
      <c r="D97" s="89"/>
      <c r="E97" s="89"/>
      <c r="F97" s="89"/>
      <c r="G97" s="89"/>
      <c r="H97" s="89"/>
      <c r="I97" s="89"/>
      <c r="J97" s="89"/>
      <c r="K97" s="89"/>
      <c r="L97" s="89"/>
      <c r="M97" s="89"/>
      <c r="N97" s="89"/>
      <c r="O97" s="89"/>
    </row>
    <row r="98" spans="3:15">
      <c r="C98" s="89"/>
      <c r="D98" s="89"/>
      <c r="E98" s="89"/>
      <c r="F98" s="89"/>
      <c r="G98" s="89"/>
      <c r="H98" s="89"/>
      <c r="I98" s="89"/>
      <c r="J98" s="89"/>
      <c r="K98" s="89"/>
      <c r="L98" s="89"/>
      <c r="M98" s="89"/>
      <c r="N98" s="89"/>
      <c r="O98" s="89"/>
    </row>
    <row r="99" spans="3:15">
      <c r="C99" s="89"/>
      <c r="D99" s="89"/>
      <c r="E99" s="89"/>
      <c r="F99" s="89"/>
      <c r="G99" s="89"/>
      <c r="H99" s="89"/>
      <c r="I99" s="89"/>
      <c r="J99" s="89"/>
      <c r="K99" s="89"/>
      <c r="L99" s="89"/>
      <c r="M99" s="89"/>
      <c r="N99" s="89"/>
      <c r="O99" s="89"/>
    </row>
    <row r="100" spans="3:15">
      <c r="C100" s="89"/>
      <c r="D100" s="89"/>
      <c r="E100" s="89"/>
      <c r="F100" s="89"/>
      <c r="G100" s="89"/>
      <c r="H100" s="89"/>
      <c r="I100" s="89"/>
      <c r="J100" s="89"/>
      <c r="K100" s="89"/>
      <c r="L100" s="89"/>
      <c r="M100" s="89"/>
      <c r="N100" s="89"/>
      <c r="O100" s="8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F48"/>
  <sheetViews>
    <sheetView workbookViewId="0">
      <pane xSplit="1" ySplit="5" topLeftCell="B6" activePane="bottomRight" state="frozen"/>
      <selection pane="topRight" activeCell="B1" sqref="B1"/>
      <selection pane="bottomLeft" activeCell="A6" sqref="A6"/>
      <selection pane="bottomRight" activeCell="G17" sqref="G17"/>
    </sheetView>
  </sheetViews>
  <sheetFormatPr defaultRowHeight="12.5"/>
  <cols>
    <col min="1" max="1" width="18.26953125" customWidth="1"/>
    <col min="2" max="3" width="9.26953125" bestFit="1" customWidth="1"/>
    <col min="4" max="4" width="11.26953125" bestFit="1" customWidth="1"/>
    <col min="5" max="5" width="4.453125" customWidth="1"/>
    <col min="6" max="6" width="12.1796875" bestFit="1" customWidth="1"/>
    <col min="7" max="8" width="11.26953125" bestFit="1" customWidth="1"/>
    <col min="9" max="9" width="12.26953125" bestFit="1" customWidth="1"/>
    <col min="10" max="10" width="1.1796875" customWidth="1"/>
    <col min="11" max="11" width="11.7265625" bestFit="1" customWidth="1"/>
    <col min="12" max="12" width="3.54296875" customWidth="1"/>
    <col min="13" max="14" width="9.26953125" bestFit="1" customWidth="1"/>
    <col min="15" max="15" width="10.453125" bestFit="1" customWidth="1"/>
    <col min="16" max="16" width="2.7265625" customWidth="1"/>
    <col min="17" max="17" width="10.453125" bestFit="1" customWidth="1"/>
    <col min="18" max="18" width="10.1796875" bestFit="1" customWidth="1"/>
    <col min="19" max="19" width="14.54296875" bestFit="1" customWidth="1"/>
    <col min="20" max="20" width="10.453125" bestFit="1" customWidth="1"/>
    <col min="21" max="21" width="4" customWidth="1"/>
    <col min="22" max="22" width="10.453125" bestFit="1" customWidth="1"/>
    <col min="23" max="23" width="4" customWidth="1"/>
    <col min="24" max="26" width="11.54296875" bestFit="1" customWidth="1"/>
    <col min="27" max="27" width="5.1796875" customWidth="1"/>
    <col min="28" max="28" width="18" bestFit="1" customWidth="1"/>
    <col min="32" max="32" width="9.26953125" style="57" bestFit="1" customWidth="1"/>
  </cols>
  <sheetData>
    <row r="1" spans="1:32" s="11" customFormat="1">
      <c r="D1" s="511">
        <f>F1*0.5</f>
        <v>55779.751021936354</v>
      </c>
      <c r="F1" s="511">
        <f>G1+'2023-2024 Recy. Tons &amp; Revenue'!J76</f>
        <v>111559.50204387271</v>
      </c>
      <c r="G1" s="510">
        <f>G2*'2023-2024 Recy. Tons &amp; Revenue'!O76</f>
        <v>84375.901039899167</v>
      </c>
      <c r="H1" s="511">
        <f>'2023-2024 Recy. Tons &amp; Revenue'!O76-'Customer Counts - Enspire'!G1</f>
        <v>30281.297587255729</v>
      </c>
      <c r="I1" s="99">
        <f>'2023-2024 Recy. Tons &amp; Revenue'!O76</f>
        <v>114657.1986271549</v>
      </c>
      <c r="K1" s="11">
        <f>I1*G8</f>
        <v>7951247410.3959379</v>
      </c>
      <c r="AF1" s="57"/>
    </row>
    <row r="2" spans="1:32" s="11" customFormat="1">
      <c r="G2" s="268">
        <f>G8/SUM($G$8:$H$8)</f>
        <v>0.73589710938494846</v>
      </c>
      <c r="H2" s="268">
        <f>H8/SUM($G$8:$H$8)</f>
        <v>0.2641028906150516</v>
      </c>
      <c r="K2" s="11">
        <f>I1*H8</f>
        <v>2853588359.432631</v>
      </c>
      <c r="AF2" s="57"/>
    </row>
    <row r="3" spans="1:32" s="11" customFormat="1" ht="13">
      <c r="B3" s="540" t="s">
        <v>65</v>
      </c>
      <c r="C3" s="540"/>
      <c r="D3" s="540"/>
      <c r="E3" s="540"/>
      <c r="F3" s="540"/>
      <c r="G3" s="540"/>
      <c r="H3" s="540"/>
      <c r="I3" s="540"/>
      <c r="J3" s="178"/>
      <c r="K3" s="178"/>
      <c r="M3" s="540" t="s">
        <v>66</v>
      </c>
      <c r="N3" s="540"/>
      <c r="O3" s="540"/>
      <c r="P3" s="540"/>
      <c r="Q3" s="540"/>
      <c r="R3" s="540"/>
      <c r="S3" s="540"/>
      <c r="T3" s="540"/>
      <c r="AF3" s="57"/>
    </row>
    <row r="4" spans="1:32" s="11" customFormat="1" ht="13">
      <c r="B4" s="537" t="s">
        <v>67</v>
      </c>
      <c r="C4" s="537"/>
      <c r="D4" s="537"/>
      <c r="E4" s="58"/>
      <c r="F4" s="537" t="s">
        <v>95</v>
      </c>
      <c r="G4" s="537"/>
      <c r="H4" s="537"/>
      <c r="I4" s="537"/>
      <c r="J4" s="58"/>
      <c r="K4" s="58"/>
      <c r="M4" s="537" t="s">
        <v>67</v>
      </c>
      <c r="N4" s="537"/>
      <c r="O4" s="537"/>
      <c r="P4" s="58"/>
      <c r="Q4" s="537" t="s">
        <v>95</v>
      </c>
      <c r="R4" s="537"/>
      <c r="S4" s="537"/>
      <c r="T4" s="537"/>
      <c r="V4" s="158" t="s">
        <v>68</v>
      </c>
      <c r="AF4" s="57"/>
    </row>
    <row r="5" spans="1:32" s="11" customFormat="1" ht="16">
      <c r="A5" s="164" t="s">
        <v>36</v>
      </c>
      <c r="B5" s="59" t="s">
        <v>69</v>
      </c>
      <c r="C5" s="60" t="s">
        <v>70</v>
      </c>
      <c r="D5" s="60" t="s">
        <v>71</v>
      </c>
      <c r="E5" s="60"/>
      <c r="F5" s="60" t="s">
        <v>97</v>
      </c>
      <c r="G5" s="60" t="s">
        <v>98</v>
      </c>
      <c r="H5" s="60" t="s">
        <v>72</v>
      </c>
      <c r="I5" s="60" t="s">
        <v>71</v>
      </c>
      <c r="J5" s="60"/>
      <c r="K5" s="60" t="s">
        <v>103</v>
      </c>
      <c r="M5" s="59" t="s">
        <v>69</v>
      </c>
      <c r="N5" s="60" t="s">
        <v>70</v>
      </c>
      <c r="O5" s="60" t="s">
        <v>71</v>
      </c>
      <c r="P5" s="60"/>
      <c r="Q5" s="60" t="s">
        <v>97</v>
      </c>
      <c r="R5" s="60" t="s">
        <v>98</v>
      </c>
      <c r="S5" s="60" t="s">
        <v>72</v>
      </c>
      <c r="T5" s="60" t="s">
        <v>71</v>
      </c>
      <c r="V5" s="60" t="s">
        <v>71</v>
      </c>
      <c r="X5" s="60" t="s">
        <v>65</v>
      </c>
      <c r="Y5" s="164" t="s">
        <v>73</v>
      </c>
      <c r="Z5" s="164" t="s">
        <v>71</v>
      </c>
      <c r="AF5" s="61" t="s">
        <v>74</v>
      </c>
    </row>
    <row r="6" spans="1:32" s="11" customFormat="1">
      <c r="A6" s="283" t="s">
        <v>320</v>
      </c>
      <c r="B6" s="400">
        <f>'[12]SEA SS CC October 2023'!$S$4</f>
        <v>7196</v>
      </c>
      <c r="C6" s="400">
        <f>'[12]SEA SS CC October 2023'!$Q$4</f>
        <v>11542</v>
      </c>
      <c r="D6" s="168">
        <f t="shared" ref="D6:D29" si="0">SUM(B6:C6)</f>
        <v>18738</v>
      </c>
      <c r="E6" s="168"/>
      <c r="F6" s="400">
        <f>'[13]NS MV CC October 2023'!$AF$5</f>
        <v>21724</v>
      </c>
      <c r="G6" s="400">
        <f>'[13]NS MV CC October 2023'!$AH$5</f>
        <v>69409</v>
      </c>
      <c r="H6" s="400">
        <f>'[13]NS MV CC October 2023'!$AJ$5</f>
        <v>24974</v>
      </c>
      <c r="I6" s="168">
        <f t="shared" ref="I6:I29" si="1">SUM(F6:H6)</f>
        <v>116107</v>
      </c>
      <c r="J6" s="168"/>
      <c r="K6" s="168">
        <f>+I6+D6</f>
        <v>134845</v>
      </c>
      <c r="L6" s="168"/>
      <c r="M6" s="400">
        <f>'[12]SEA SS CC October 2023'!$T$4</f>
        <v>39828</v>
      </c>
      <c r="N6" s="400">
        <f>'[12]SEA SS CC October 2023'!$R$4</f>
        <v>8759</v>
      </c>
      <c r="O6" s="168">
        <f t="shared" ref="O6:O29" si="2">SUM(M6:N6)</f>
        <v>48587</v>
      </c>
      <c r="P6" s="168"/>
      <c r="Q6" s="400">
        <f>'[13]NS MV CC October 2023'!$AE$5</f>
        <v>43114</v>
      </c>
      <c r="R6" s="400">
        <f>'[13]NS MV CC October 2023'!$AG$5</f>
        <v>16369</v>
      </c>
      <c r="S6" s="400">
        <f>'[13]NS MV CC October 2023'!$AI$5</f>
        <v>37692</v>
      </c>
      <c r="T6" s="168">
        <f t="shared" ref="T6:T29" si="3">SUM(Q6:S6)</f>
        <v>97175</v>
      </c>
      <c r="V6" s="130">
        <f t="shared" ref="V6:V29" si="4">+T6+O6+I6+D6</f>
        <v>280607</v>
      </c>
      <c r="X6" s="130">
        <f>+I6+D6</f>
        <v>134845</v>
      </c>
      <c r="Y6" s="130">
        <f t="shared" ref="Y6:Y28" si="5">+T6+O6</f>
        <v>145762</v>
      </c>
      <c r="Z6" s="130">
        <f t="shared" ref="Z6:Z28" si="6">+Y6+X6</f>
        <v>280607</v>
      </c>
      <c r="AB6" s="130"/>
      <c r="AF6" s="62">
        <v>1665</v>
      </c>
    </row>
    <row r="7" spans="1:32" s="11" customFormat="1" ht="13">
      <c r="A7" s="11" t="s">
        <v>47</v>
      </c>
      <c r="B7" s="400">
        <f>'[14]SEA SS CC November 2023'!$S$4</f>
        <v>7195</v>
      </c>
      <c r="C7" s="400">
        <f>'[14]SEA SS CC November 2023'!$Q$4</f>
        <v>11518</v>
      </c>
      <c r="D7" s="168">
        <f t="shared" si="0"/>
        <v>18713</v>
      </c>
      <c r="E7" s="168"/>
      <c r="F7" s="400">
        <f>'[15]NS MV CC November 2023'!$AE$5</f>
        <v>21721</v>
      </c>
      <c r="G7" s="400">
        <f>'[15]NS MV CC November 2023'!$AG$5</f>
        <v>69362</v>
      </c>
      <c r="H7" s="400">
        <f>'[15]NS MV CC November 2023'!$AI$5</f>
        <v>24922</v>
      </c>
      <c r="I7" s="168">
        <f t="shared" si="1"/>
        <v>116005</v>
      </c>
      <c r="J7" s="168"/>
      <c r="K7" s="168">
        <f t="shared" ref="K7:K29" si="7">+I7+D7</f>
        <v>134718</v>
      </c>
      <c r="L7" s="168"/>
      <c r="M7" s="400">
        <f>'[14]SEA SS CC November 2023'!$T$4</f>
        <v>39822</v>
      </c>
      <c r="N7" s="400">
        <f>'[14]SEA SS CC November 2023'!$R$4</f>
        <v>5575</v>
      </c>
      <c r="O7" s="168">
        <f t="shared" si="2"/>
        <v>45397</v>
      </c>
      <c r="P7" s="168"/>
      <c r="Q7" s="400">
        <f>'[15]NS MV CC November 2023'!$AD$5</f>
        <v>43187</v>
      </c>
      <c r="R7" s="400">
        <f>'[15]NS MV CC November 2023'!$AF$5</f>
        <v>16365</v>
      </c>
      <c r="S7" s="400">
        <f>'[15]NS MV CC November 2023'!$AH$5</f>
        <v>37769</v>
      </c>
      <c r="T7" s="168">
        <f t="shared" si="3"/>
        <v>97321</v>
      </c>
      <c r="V7" s="130">
        <f t="shared" si="4"/>
        <v>277436</v>
      </c>
      <c r="X7" s="130">
        <f t="shared" ref="X7:X28" si="8">+I7+D7</f>
        <v>134718</v>
      </c>
      <c r="Y7" s="130">
        <f t="shared" si="5"/>
        <v>142718</v>
      </c>
      <c r="Z7" s="130">
        <f t="shared" si="6"/>
        <v>277436</v>
      </c>
      <c r="AC7" s="128"/>
      <c r="AD7" s="98"/>
      <c r="AF7" s="62">
        <v>1656</v>
      </c>
    </row>
    <row r="8" spans="1:32" s="11" customFormat="1">
      <c r="A8" s="11" t="s">
        <v>64</v>
      </c>
      <c r="B8" s="400">
        <f>'[16]SEA SS CC December 2023'!$S$4</f>
        <v>7202</v>
      </c>
      <c r="C8" s="400">
        <f>'[16]SEA SS CC December 2023'!$Q$4</f>
        <v>11521</v>
      </c>
      <c r="D8" s="168">
        <f t="shared" si="0"/>
        <v>18723</v>
      </c>
      <c r="E8" s="168"/>
      <c r="F8" s="400">
        <f>'[17]NS MV CC December 2023'!$AE$5</f>
        <v>21729</v>
      </c>
      <c r="G8" s="400">
        <f>'[17]NS MV CC December 2023'!$AG$5</f>
        <v>69348</v>
      </c>
      <c r="H8" s="400">
        <f>'[17]NS MV CC December 2023'!$AI$5</f>
        <v>24888</v>
      </c>
      <c r="I8" s="168">
        <f t="shared" si="1"/>
        <v>115965</v>
      </c>
      <c r="J8" s="168"/>
      <c r="K8" s="168">
        <f t="shared" si="7"/>
        <v>134688</v>
      </c>
      <c r="L8" s="168"/>
      <c r="M8" s="400">
        <f>'[16]SEA SS CC December 2023'!$T$4</f>
        <v>39826</v>
      </c>
      <c r="N8" s="400">
        <f>'[16]SEA SS CC December 2023'!$R$4</f>
        <v>5567</v>
      </c>
      <c r="O8" s="168">
        <f t="shared" si="2"/>
        <v>45393</v>
      </c>
      <c r="P8" s="168"/>
      <c r="Q8" s="400">
        <f>'[17]NS MV CC December 2023'!$AD$5</f>
        <v>43198</v>
      </c>
      <c r="R8" s="400">
        <f>'[17]NS MV CC December 2023'!$AF$5</f>
        <v>16343</v>
      </c>
      <c r="S8" s="400">
        <f>'[17]NS MV CC December 2023'!$AH$5</f>
        <v>37803</v>
      </c>
      <c r="T8" s="168">
        <f t="shared" si="3"/>
        <v>97344</v>
      </c>
      <c r="V8" s="130">
        <f t="shared" si="4"/>
        <v>277425</v>
      </c>
      <c r="X8" s="130">
        <f t="shared" si="8"/>
        <v>134688</v>
      </c>
      <c r="Y8" s="130">
        <f t="shared" si="5"/>
        <v>142737</v>
      </c>
      <c r="Z8" s="130">
        <f t="shared" si="6"/>
        <v>277425</v>
      </c>
      <c r="AC8" s="165"/>
      <c r="AD8" s="166"/>
      <c r="AF8" s="62">
        <v>1647</v>
      </c>
    </row>
    <row r="9" spans="1:32" s="11" customFormat="1">
      <c r="A9" s="283" t="s">
        <v>321</v>
      </c>
      <c r="B9" s="400">
        <f>'[18]PricingDashboard - QUANTITY per'!$R$4</f>
        <v>7181</v>
      </c>
      <c r="C9" s="400">
        <f>'[18]PricingDashboard - QUANTITY per'!$P$4</f>
        <v>11513</v>
      </c>
      <c r="D9" s="168">
        <f t="shared" si="0"/>
        <v>18694</v>
      </c>
      <c r="E9" s="168"/>
      <c r="F9" s="400">
        <f>'[19]PricingDashboard - QUANTITY per'!$AD$5</f>
        <v>21692</v>
      </c>
      <c r="G9" s="400">
        <f>'[19]PricingDashboard - QUANTITY per'!$AF$5</f>
        <v>69356</v>
      </c>
      <c r="H9" s="400">
        <f>'[19]PricingDashboard - QUANTITY per'!$AH$5</f>
        <v>24902</v>
      </c>
      <c r="I9" s="168">
        <f t="shared" si="1"/>
        <v>115950</v>
      </c>
      <c r="J9" s="168"/>
      <c r="K9" s="168">
        <f t="shared" si="7"/>
        <v>134644</v>
      </c>
      <c r="L9" s="168"/>
      <c r="M9" s="400">
        <f>'[18]PricingDashboard - QUANTITY per'!$S$4</f>
        <v>39834</v>
      </c>
      <c r="N9" s="400">
        <f>'[18]PricingDashboard - QUANTITY per'!$Q$4</f>
        <v>5571</v>
      </c>
      <c r="O9" s="168">
        <f t="shared" si="2"/>
        <v>45405</v>
      </c>
      <c r="P9" s="168"/>
      <c r="Q9" s="400">
        <f>'[19]PricingDashboard - QUANTITY per'!$AC$5</f>
        <v>43231</v>
      </c>
      <c r="R9" s="400">
        <f>'[19]PricingDashboard - QUANTITY per'!$AE$5</f>
        <v>16321</v>
      </c>
      <c r="S9" s="400">
        <f>'[19]PricingDashboard - QUANTITY per'!$AG$5</f>
        <v>37848</v>
      </c>
      <c r="T9" s="168">
        <f t="shared" si="3"/>
        <v>97400</v>
      </c>
      <c r="V9" s="130">
        <f t="shared" si="4"/>
        <v>277449</v>
      </c>
      <c r="X9" s="130">
        <f t="shared" si="8"/>
        <v>134644</v>
      </c>
      <c r="Y9" s="130">
        <f t="shared" si="5"/>
        <v>142805</v>
      </c>
      <c r="Z9" s="130">
        <f t="shared" si="6"/>
        <v>277449</v>
      </c>
      <c r="AC9" s="166"/>
      <c r="AD9" s="166"/>
      <c r="AF9" s="62">
        <v>1647</v>
      </c>
    </row>
    <row r="10" spans="1:32" s="11" customFormat="1">
      <c r="A10" s="11" t="s">
        <v>75</v>
      </c>
      <c r="B10" s="400">
        <f>'[20]PricingDashboard - QUANTITY per'!$R$4</f>
        <v>7176</v>
      </c>
      <c r="C10" s="400">
        <f>'[20]PricingDashboard - QUANTITY per'!$P$4</f>
        <v>11524</v>
      </c>
      <c r="D10" s="168">
        <f t="shared" si="0"/>
        <v>18700</v>
      </c>
      <c r="E10" s="168"/>
      <c r="F10" s="400">
        <f>'[21]PricingDashboard - QUANTITY per'!$AF$5</f>
        <v>21699</v>
      </c>
      <c r="G10" s="400">
        <f>'[21]PricingDashboard - QUANTITY per'!$AH$5</f>
        <v>69381</v>
      </c>
      <c r="H10" s="400">
        <f>'[21]PricingDashboard - QUANTITY per'!$AJ$5</f>
        <v>24877</v>
      </c>
      <c r="I10" s="168">
        <f t="shared" si="1"/>
        <v>115957</v>
      </c>
      <c r="J10" s="168"/>
      <c r="K10" s="168">
        <f t="shared" si="7"/>
        <v>134657</v>
      </c>
      <c r="L10" s="168"/>
      <c r="M10" s="400">
        <f>'[20]PricingDashboard - QUANTITY per'!$S$4</f>
        <v>39836</v>
      </c>
      <c r="N10" s="400">
        <f>'[20]PricingDashboard - QUANTITY per'!$Q$4</f>
        <v>5574</v>
      </c>
      <c r="O10" s="168">
        <f t="shared" si="2"/>
        <v>45410</v>
      </c>
      <c r="P10" s="168"/>
      <c r="Q10" s="400">
        <f>'[21]PricingDashboard - QUANTITY per'!$AE$5</f>
        <v>43215</v>
      </c>
      <c r="R10" s="400">
        <f>'[21]PricingDashboard - QUANTITY per'!$AG$5</f>
        <v>16320</v>
      </c>
      <c r="S10" s="400">
        <f>'[21]PricingDashboard - QUANTITY per'!$AI$5</f>
        <v>37925</v>
      </c>
      <c r="T10" s="168">
        <f t="shared" si="3"/>
        <v>97460</v>
      </c>
      <c r="V10" s="130">
        <f t="shared" si="4"/>
        <v>277527</v>
      </c>
      <c r="X10" s="130">
        <f t="shared" si="8"/>
        <v>134657</v>
      </c>
      <c r="Y10" s="130">
        <f t="shared" si="5"/>
        <v>142870</v>
      </c>
      <c r="Z10" s="130">
        <f t="shared" si="6"/>
        <v>277527</v>
      </c>
      <c r="AC10" s="166"/>
      <c r="AD10" s="166"/>
      <c r="AF10" s="62">
        <v>1644</v>
      </c>
    </row>
    <row r="11" spans="1:32" s="11" customFormat="1">
      <c r="A11" s="11" t="s">
        <v>76</v>
      </c>
      <c r="B11" s="400">
        <f>'[22]SEA SS CC March 2024'!$P$4</f>
        <v>7189</v>
      </c>
      <c r="C11" s="400">
        <f>'[22]SEA SS CC March 2024'!$D$4</f>
        <v>11545</v>
      </c>
      <c r="D11" s="168">
        <f t="shared" si="0"/>
        <v>18734</v>
      </c>
      <c r="E11" s="168"/>
      <c r="F11" s="400">
        <f>'[23]NS MV CC March 2024'!$K$4+'[23]NS MV CC March 2024'!$X$4</f>
        <v>21726</v>
      </c>
      <c r="G11" s="400">
        <f>'[23]NS MV CC March 2024'!$F$4+'[23]NS MV CC March 2024'!$H$4+'[23]NS MV CC March 2024'!$I$4+'[23]NS MV CC March 2024'!$N$4+'[23]NS MV CC March 2024'!$V$4</f>
        <v>69512</v>
      </c>
      <c r="H11" s="400">
        <f>'[23]NS MV CC March 2024'!$AH$4</f>
        <v>24845</v>
      </c>
      <c r="I11" s="168">
        <f t="shared" si="1"/>
        <v>116083</v>
      </c>
      <c r="J11" s="168"/>
      <c r="K11" s="168">
        <f t="shared" si="7"/>
        <v>134817</v>
      </c>
      <c r="L11" s="168"/>
      <c r="M11" s="400">
        <f>'[22]SEA SS CC March 2024'!$L$4+'[22]SEA SS CC March 2024'!$M$4+'[22]SEA SS CC March 2024'!$N$4+'[22]SEA SS CC March 2024'!$O$4+'[22]SEA SS CC March 2024'!$Q$4+'[22]SEA SS CC March 2024'!$S$4</f>
        <v>39862</v>
      </c>
      <c r="N11" s="400">
        <f>'[22]SEA SS CC March 2024'!$E$4+'[22]SEA SS CC March 2024'!$F$4</f>
        <v>5580</v>
      </c>
      <c r="O11" s="168">
        <f t="shared" si="2"/>
        <v>45442</v>
      </c>
      <c r="P11" s="168"/>
      <c r="Q11" s="400">
        <f>'[23]NS MV CC March 2024'!$C$4+'[23]NS MV CC March 2024'!$L$4+'[23]NS MV CC March 2024'!$S$4+'[23]NS MV CC March 2024'!$G$4+'[23]NS MV CC March 2024'!$W$4</f>
        <v>43274</v>
      </c>
      <c r="R11" s="400">
        <f>'[23]NS MV CC March 2024'!$O$4+'[23]NS MV CC March 2024'!$Q$4+'[23]NS MV CC March 2024'!$R$4</f>
        <v>16341</v>
      </c>
      <c r="S11" s="400">
        <f>'[23]NS MV CC March 2024'!$Y$4+'[23]NS MV CC March 2024'!$AC$4+'[23]NS MV CC March 2024'!$AB$4+'[23]NS MV CC March 2024'!$AD$4+'[23]NS MV CC March 2024'!$AE$4+'[23]NS MV CC March 2024'!$AI$4</f>
        <v>38006</v>
      </c>
      <c r="T11" s="168">
        <f t="shared" si="3"/>
        <v>97621</v>
      </c>
      <c r="V11" s="130">
        <f t="shared" si="4"/>
        <v>277880</v>
      </c>
      <c r="X11" s="130">
        <f t="shared" si="8"/>
        <v>134817</v>
      </c>
      <c r="Y11" s="130">
        <f t="shared" si="5"/>
        <v>143063</v>
      </c>
      <c r="Z11" s="130">
        <f t="shared" si="6"/>
        <v>277880</v>
      </c>
      <c r="AC11" s="166"/>
      <c r="AD11" s="165"/>
      <c r="AF11" s="62">
        <v>1650</v>
      </c>
    </row>
    <row r="12" spans="1:32" s="11" customFormat="1">
      <c r="A12" s="11" t="s">
        <v>77</v>
      </c>
      <c r="B12" s="400">
        <f>'[24]SEA SS CC April 2024'!$O$3</f>
        <v>7202</v>
      </c>
      <c r="C12" s="400">
        <f>'[24]SEA SS CC April 2024'!$D$3</f>
        <v>11548</v>
      </c>
      <c r="D12" s="168">
        <f t="shared" si="0"/>
        <v>18750</v>
      </c>
      <c r="E12" s="168"/>
      <c r="F12" s="400">
        <f>'[25]NS MV CC April 2024'!$K$3+'[25]NS MV CC April 2024'!$X$3</f>
        <v>21732</v>
      </c>
      <c r="G12" s="400">
        <f>'[25]NS MV CC April 2024'!$V$3+'[25]NS MV CC April 2024'!$F$3+'[25]NS MV CC April 2024'!$H$3+'[25]NS MV CC April 2024'!$I$3+'[25]NS MV CC April 2024'!$N$3</f>
        <v>69597</v>
      </c>
      <c r="H12" s="400">
        <f>'[25]NS MV CC April 2024'!$AE$3</f>
        <v>24835</v>
      </c>
      <c r="I12" s="168">
        <f t="shared" si="1"/>
        <v>116164</v>
      </c>
      <c r="J12" s="168"/>
      <c r="K12" s="168">
        <f t="shared" si="7"/>
        <v>134914</v>
      </c>
      <c r="L12" s="168"/>
      <c r="M12" s="400">
        <f>'[24]SEA SS CC April 2024'!$K$3+'[24]SEA SS CC April 2024'!$L$3+'[24]SEA SS CC April 2024'!$M$3+'[24]SEA SS CC April 2024'!$N$3+'[24]SEA SS CC April 2024'!$P$3+'[24]SEA SS CC April 2024'!$R$3</f>
        <v>39848</v>
      </c>
      <c r="N12" s="400">
        <f>'[24]SEA SS CC April 2024'!$E$3+'[24]SEA SS CC April 2024'!$F$3</f>
        <v>5588</v>
      </c>
      <c r="O12" s="168">
        <f t="shared" si="2"/>
        <v>45436</v>
      </c>
      <c r="P12" s="168"/>
      <c r="Q12" s="400">
        <f>'[25]NS MV CC April 2024'!$G$3+'[25]NS MV CC April 2024'!$L$3+'[25]NS MV CC April 2024'!$S$3+'[25]NS MV CC April 2024'!$W$3</f>
        <v>43304</v>
      </c>
      <c r="R12" s="400">
        <f>'[25]NS MV CC April 2024'!$O$3+'[25]NS MV CC April 2024'!$Q$3+'[25]NS MV CC April 2024'!$R$3</f>
        <v>16346</v>
      </c>
      <c r="S12" s="400">
        <f>'[25]NS MV CC April 2024'!$AD$3+'[25]NS MV CC April 2024'!$AC$3+'[25]NS MV CC April 2024'!$AB$3+'[25]NS MV CC April 2024'!$Y$3</f>
        <v>38031</v>
      </c>
      <c r="T12" s="168">
        <f t="shared" si="3"/>
        <v>97681</v>
      </c>
      <c r="V12" s="130">
        <f t="shared" si="4"/>
        <v>278031</v>
      </c>
      <c r="X12" s="130">
        <f t="shared" si="8"/>
        <v>134914</v>
      </c>
      <c r="Y12" s="130">
        <f t="shared" si="5"/>
        <v>143117</v>
      </c>
      <c r="Z12" s="130">
        <f t="shared" si="6"/>
        <v>278031</v>
      </c>
      <c r="AC12" s="166"/>
      <c r="AD12" s="165"/>
      <c r="AF12" s="62">
        <v>1650</v>
      </c>
    </row>
    <row r="13" spans="1:32" s="11" customFormat="1">
      <c r="A13" s="11" t="s">
        <v>52</v>
      </c>
      <c r="B13" s="400">
        <f>'[26]SEA SS CC May 2024'!$O$3</f>
        <v>7232</v>
      </c>
      <c r="C13" s="400">
        <f>'[26]SEA SS CC May 2024'!$D$3</f>
        <v>11563</v>
      </c>
      <c r="D13" s="168">
        <f t="shared" si="0"/>
        <v>18795</v>
      </c>
      <c r="E13" s="168"/>
      <c r="F13" s="400">
        <f>'[27]NS MV CC May 2024'!$K$3+'[27]NS MV CC May 2024'!$X$3</f>
        <v>21796</v>
      </c>
      <c r="G13" s="400">
        <f>'[27]NS MV CC May 2024'!$F$3+'[27]NS MV CC May 2024'!$H$3+'[27]NS MV CC May 2024'!$I$3+'[27]NS MV CC May 2024'!$N$3+'[27]NS MV CC May 2024'!$V$3</f>
        <v>69754</v>
      </c>
      <c r="H13" s="400">
        <f>'[27]NS MV CC May 2024'!$AD$3</f>
        <v>24903</v>
      </c>
      <c r="I13" s="168">
        <f t="shared" si="1"/>
        <v>116453</v>
      </c>
      <c r="J13" s="168"/>
      <c r="K13" s="168">
        <f t="shared" si="7"/>
        <v>135248</v>
      </c>
      <c r="L13" s="168"/>
      <c r="M13" s="400">
        <f>SUM('[26]SEA SS CC May 2024'!$K$3:$R$3)-'[26]SEA SS CC May 2024'!$O$3</f>
        <v>39895</v>
      </c>
      <c r="N13" s="400">
        <f>SUM('[26]SEA SS CC May 2024'!$C$3:$J$3)-'[26]SEA SS CC May 2024'!$D$3</f>
        <v>5602</v>
      </c>
      <c r="O13" s="168">
        <f t="shared" si="2"/>
        <v>45497</v>
      </c>
      <c r="P13" s="168"/>
      <c r="Q13" s="400">
        <f>'[27]NS MV CC May 2024'!$G$3+'[27]NS MV CC May 2024'!$L$3+'[27]NS MV CC May 2024'!$S$3+'[27]NS MV CC May 2024'!$W$3</f>
        <v>43336</v>
      </c>
      <c r="R13" s="400">
        <f>'[27]NS MV CC May 2024'!$O$3+'[27]NS MV CC May 2024'!$Q$3+'[27]NS MV CC May 2024'!$R$3</f>
        <v>16363</v>
      </c>
      <c r="S13" s="400">
        <f>'[27]NS MV CC May 2024'!$Y$3+'[27]NS MV CC May 2024'!$AA$3+'[27]NS MV CC May 2024'!$AB$3+'[27]NS MV CC May 2024'!$AC$3+'[27]NS MV CC May 2024'!$Z$3</f>
        <v>38175</v>
      </c>
      <c r="T13" s="168">
        <f t="shared" si="3"/>
        <v>97874</v>
      </c>
      <c r="V13" s="130">
        <f t="shared" si="4"/>
        <v>278619</v>
      </c>
      <c r="X13" s="130">
        <f t="shared" si="8"/>
        <v>135248</v>
      </c>
      <c r="Y13" s="130">
        <f t="shared" si="5"/>
        <v>143371</v>
      </c>
      <c r="Z13" s="130">
        <f t="shared" si="6"/>
        <v>278619</v>
      </c>
      <c r="AC13" s="166"/>
      <c r="AD13" s="166"/>
      <c r="AF13" s="62">
        <v>1664</v>
      </c>
    </row>
    <row r="14" spans="1:32" s="11" customFormat="1">
      <c r="A14" s="11" t="s">
        <v>59</v>
      </c>
      <c r="B14" s="400">
        <f>'[28]SEA SS CC June 2024'!$L$3</f>
        <v>7241</v>
      </c>
      <c r="C14" s="400">
        <f>'[28]SEA SS CC June 2024'!$C$3</f>
        <v>11580</v>
      </c>
      <c r="D14" s="168">
        <f t="shared" si="0"/>
        <v>18821</v>
      </c>
      <c r="E14" s="168"/>
      <c r="F14" s="400">
        <f>'[29]NS MV CC June 2024'!$G$3+'[29]NS MV CC June 2024'!$R$3</f>
        <v>21802</v>
      </c>
      <c r="G14" s="400">
        <f>'[29]NS MV CC June 2024'!$C$3+'[29]NS MV CC June 2024'!$E$3+'[29]NS MV CC June 2024'!$F$3+'[29]NS MV CC June 2024'!$J$3+'[29]NS MV CC June 2024'!$P$3</f>
        <v>69706</v>
      </c>
      <c r="H14" s="400">
        <f>'[29]NS MV CC June 2024'!$W$3+3500</f>
        <v>24961</v>
      </c>
      <c r="I14" s="168">
        <f t="shared" ref="I14" si="9">SUM(F14:H14)</f>
        <v>116469</v>
      </c>
      <c r="J14" s="168"/>
      <c r="K14" s="168">
        <f t="shared" ref="K14" si="10">+I14+D14</f>
        <v>135290</v>
      </c>
      <c r="L14" s="168"/>
      <c r="M14" s="400">
        <f>'[28]SEA SS CC June 2024'!$M$3+'[28]SEA SS CC June 2024'!$K$3+'[28]SEA SS CC June 2024'!$J$3+'[28]SEA SS CC June 2024'!$I$3+'[28]SEA SS CC June 2024'!$H$3</f>
        <v>39910</v>
      </c>
      <c r="N14" s="400">
        <f>'[28]SEA SS CC June 2024'!$D$3+'[28]SEA SS CC June 2024'!$E$3+'[28]SEA SS CC June 2024'!$F$3+'[28]SEA SS CC June 2024'!$G$3</f>
        <v>5605</v>
      </c>
      <c r="O14" s="168">
        <f t="shared" ref="O14" si="11">SUM(M14:N14)</f>
        <v>45515</v>
      </c>
      <c r="P14" s="168"/>
      <c r="Q14" s="400">
        <f>'[29]NS MV CC June 2024'!$D$3+'[29]NS MV CC June 2024'!$H$3+'[29]NS MV CC June 2024'!$O$3+'[29]NS MV CC June 2024'!$Q$3</f>
        <v>43348</v>
      </c>
      <c r="R14" s="400">
        <f>'[29]NS MV CC June 2024'!$L$3+'[29]NS MV CC June 2024'!$M$3+'[29]NS MV CC June 2024'!$N$3</f>
        <v>16374</v>
      </c>
      <c r="S14" s="400">
        <f>'[29]NS MV CC June 2024'!$S$3+'[29]NS MV CC June 2024'!$U$3+'[29]NS MV CC June 2024'!$V$3+'[29]NS MV CC June 2024'!$T$3+'[29]NS MV CC June 2024'!$W$3</f>
        <v>38268</v>
      </c>
      <c r="T14" s="168">
        <f t="shared" ref="T14" si="12">SUM(Q14:S14)</f>
        <v>97990</v>
      </c>
      <c r="V14" s="130">
        <f>+T14+O14+I14+D14</f>
        <v>278795</v>
      </c>
      <c r="X14" s="130">
        <f>+I14+D14</f>
        <v>135290</v>
      </c>
      <c r="Y14" s="130">
        <f t="shared" si="5"/>
        <v>143505</v>
      </c>
      <c r="Z14" s="130">
        <f t="shared" si="6"/>
        <v>278795</v>
      </c>
      <c r="AF14" s="62">
        <v>1661</v>
      </c>
    </row>
    <row r="15" spans="1:32" s="11" customFormat="1">
      <c r="A15" s="11" t="s">
        <v>60</v>
      </c>
      <c r="B15" s="400">
        <v>7247</v>
      </c>
      <c r="C15" s="400">
        <v>11568</v>
      </c>
      <c r="D15" s="168">
        <f t="shared" si="0"/>
        <v>18815</v>
      </c>
      <c r="E15" s="168"/>
      <c r="F15" s="400">
        <f>18752+3064</f>
        <v>21816</v>
      </c>
      <c r="G15" s="400">
        <f>60487+1913+225+2417+4696</f>
        <v>69738</v>
      </c>
      <c r="H15" s="400">
        <v>24962</v>
      </c>
      <c r="I15" s="168">
        <f t="shared" si="1"/>
        <v>116516</v>
      </c>
      <c r="J15" s="168"/>
      <c r="K15" s="168">
        <f t="shared" si="7"/>
        <v>135331</v>
      </c>
      <c r="L15" s="168"/>
      <c r="M15" s="400">
        <f>877+18274+166+18942+1679</f>
        <v>39938</v>
      </c>
      <c r="N15" s="400">
        <f>2103+3506</f>
        <v>5609</v>
      </c>
      <c r="O15" s="168">
        <f t="shared" si="2"/>
        <v>45547</v>
      </c>
      <c r="P15" s="168"/>
      <c r="Q15" s="400">
        <f>22880+13250+4377+2856</f>
        <v>43363</v>
      </c>
      <c r="R15" s="400">
        <f>5481+5431+5449</f>
        <v>16361</v>
      </c>
      <c r="S15" s="400">
        <f>1179+10765+21510+4843+28</f>
        <v>38325</v>
      </c>
      <c r="T15" s="168">
        <f t="shared" si="3"/>
        <v>98049</v>
      </c>
      <c r="V15" s="130">
        <f t="shared" si="4"/>
        <v>278927</v>
      </c>
      <c r="X15" s="130">
        <f t="shared" si="8"/>
        <v>135331</v>
      </c>
      <c r="Y15" s="130">
        <f t="shared" si="5"/>
        <v>143596</v>
      </c>
      <c r="Z15" s="130">
        <f t="shared" si="6"/>
        <v>278927</v>
      </c>
      <c r="AF15" s="62">
        <v>1667</v>
      </c>
    </row>
    <row r="16" spans="1:32" s="11" customFormat="1">
      <c r="A16" s="11" t="s">
        <v>61</v>
      </c>
      <c r="B16" s="400">
        <v>7241</v>
      </c>
      <c r="C16" s="400">
        <v>11539</v>
      </c>
      <c r="D16" s="168">
        <f t="shared" si="0"/>
        <v>18780</v>
      </c>
      <c r="E16" s="168"/>
      <c r="F16" s="400">
        <f>18698+3070</f>
        <v>21768</v>
      </c>
      <c r="G16" s="400">
        <f>1915+230+2458+4736+60567</f>
        <v>69906</v>
      </c>
      <c r="H16" s="400">
        <v>24981</v>
      </c>
      <c r="I16" s="168">
        <f t="shared" si="1"/>
        <v>116655</v>
      </c>
      <c r="J16" s="168"/>
      <c r="K16" s="168">
        <f t="shared" si="7"/>
        <v>135435</v>
      </c>
      <c r="L16" s="168"/>
      <c r="M16" s="400">
        <f>882+18318+165+18919+1685</f>
        <v>39969</v>
      </c>
      <c r="N16" s="400">
        <f>3491+2153+2</f>
        <v>5646</v>
      </c>
      <c r="O16" s="168">
        <f t="shared" si="2"/>
        <v>45615</v>
      </c>
      <c r="P16" s="168"/>
      <c r="Q16" s="400">
        <f>22908+13290+2890+4383</f>
        <v>43471</v>
      </c>
      <c r="R16" s="400">
        <f>5488+5443+5457</f>
        <v>16388</v>
      </c>
      <c r="S16" s="400">
        <f>21545+10804+1184+4860</f>
        <v>38393</v>
      </c>
      <c r="T16" s="168">
        <f t="shared" si="3"/>
        <v>98252</v>
      </c>
      <c r="V16" s="130">
        <f t="shared" si="4"/>
        <v>279302</v>
      </c>
      <c r="X16" s="130">
        <f t="shared" si="8"/>
        <v>135435</v>
      </c>
      <c r="Y16" s="130">
        <f t="shared" si="5"/>
        <v>143867</v>
      </c>
      <c r="Z16" s="130">
        <f t="shared" si="6"/>
        <v>279302</v>
      </c>
      <c r="AF16" s="62">
        <v>1659</v>
      </c>
    </row>
    <row r="17" spans="1:32" s="132" customFormat="1">
      <c r="A17" s="132" t="s">
        <v>62</v>
      </c>
      <c r="B17" s="400">
        <v>7265</v>
      </c>
      <c r="C17" s="400">
        <v>11570</v>
      </c>
      <c r="D17" s="179">
        <f t="shared" si="0"/>
        <v>18835</v>
      </c>
      <c r="E17" s="179"/>
      <c r="F17" s="400">
        <f>3064+18754</f>
        <v>21818</v>
      </c>
      <c r="G17" s="400">
        <f>60599+1907+239+2472+4750</f>
        <v>69967</v>
      </c>
      <c r="H17" s="400">
        <v>24972</v>
      </c>
      <c r="I17" s="179">
        <f t="shared" si="1"/>
        <v>116757</v>
      </c>
      <c r="J17" s="179"/>
      <c r="K17" s="179">
        <f t="shared" si="7"/>
        <v>135592</v>
      </c>
      <c r="L17" s="179"/>
      <c r="M17" s="400">
        <f>887+18276+165+18924+1677</f>
        <v>39929</v>
      </c>
      <c r="N17" s="400">
        <f>2100+3501</f>
        <v>5601</v>
      </c>
      <c r="O17" s="282">
        <f t="shared" si="2"/>
        <v>45530</v>
      </c>
      <c r="P17" s="282"/>
      <c r="Q17" s="400">
        <f>22903+13336+2914+4386</f>
        <v>43539</v>
      </c>
      <c r="R17" s="400">
        <f>5491+5442+5460</f>
        <v>16393</v>
      </c>
      <c r="S17" s="400">
        <f>21583+10829+1174+4854</f>
        <v>38440</v>
      </c>
      <c r="T17" s="179">
        <f t="shared" si="3"/>
        <v>98372</v>
      </c>
      <c r="V17" s="135">
        <f t="shared" si="4"/>
        <v>279494</v>
      </c>
      <c r="X17" s="135">
        <f t="shared" si="8"/>
        <v>135592</v>
      </c>
      <c r="Y17" s="135">
        <f t="shared" si="5"/>
        <v>143902</v>
      </c>
      <c r="Z17" s="135">
        <f t="shared" si="6"/>
        <v>279494</v>
      </c>
      <c r="AF17" s="180">
        <v>1660</v>
      </c>
    </row>
    <row r="18" spans="1:32" s="11" customFormat="1">
      <c r="A18" s="11" t="s">
        <v>46</v>
      </c>
      <c r="B18" s="400">
        <f>B17</f>
        <v>7265</v>
      </c>
      <c r="C18" s="400">
        <f>C17</f>
        <v>11570</v>
      </c>
      <c r="D18" s="168">
        <f t="shared" si="0"/>
        <v>18835</v>
      </c>
      <c r="E18" s="168"/>
      <c r="F18" s="400">
        <f t="shared" ref="F18:H18" si="13">F17</f>
        <v>21818</v>
      </c>
      <c r="G18" s="400">
        <f t="shared" si="13"/>
        <v>69967</v>
      </c>
      <c r="H18" s="400">
        <f t="shared" si="13"/>
        <v>24972</v>
      </c>
      <c r="I18" s="168">
        <f t="shared" si="1"/>
        <v>116757</v>
      </c>
      <c r="J18" s="168"/>
      <c r="K18" s="179">
        <f t="shared" si="7"/>
        <v>135592</v>
      </c>
      <c r="L18" s="168"/>
      <c r="M18" s="400">
        <f t="shared" ref="M18:N18" si="14">M17</f>
        <v>39929</v>
      </c>
      <c r="N18" s="400">
        <f t="shared" si="14"/>
        <v>5601</v>
      </c>
      <c r="O18" s="168">
        <f t="shared" si="2"/>
        <v>45530</v>
      </c>
      <c r="P18" s="168"/>
      <c r="Q18" s="400">
        <f t="shared" ref="Q18:S18" si="15">Q17</f>
        <v>43539</v>
      </c>
      <c r="R18" s="400">
        <f t="shared" si="15"/>
        <v>16393</v>
      </c>
      <c r="S18" s="400">
        <f t="shared" si="15"/>
        <v>38440</v>
      </c>
      <c r="T18" s="168">
        <f t="shared" si="3"/>
        <v>98372</v>
      </c>
      <c r="V18" s="130">
        <f t="shared" si="4"/>
        <v>279494</v>
      </c>
      <c r="X18" s="130">
        <f t="shared" si="8"/>
        <v>135592</v>
      </c>
      <c r="Y18" s="130">
        <f t="shared" si="5"/>
        <v>143902</v>
      </c>
      <c r="Z18" s="130">
        <f t="shared" si="6"/>
        <v>279494</v>
      </c>
      <c r="AF18" s="62"/>
    </row>
    <row r="19" spans="1:32" s="11" customFormat="1">
      <c r="A19" s="11" t="s">
        <v>47</v>
      </c>
      <c r="B19" s="400"/>
      <c r="C19" s="400"/>
      <c r="D19" s="168">
        <f t="shared" si="0"/>
        <v>0</v>
      </c>
      <c r="E19" s="168"/>
      <c r="F19" s="400"/>
      <c r="G19" s="400"/>
      <c r="H19" s="401"/>
      <c r="I19" s="168">
        <f t="shared" si="1"/>
        <v>0</v>
      </c>
      <c r="J19" s="168"/>
      <c r="K19" s="179">
        <f t="shared" si="7"/>
        <v>0</v>
      </c>
      <c r="L19" s="168"/>
      <c r="M19" s="400"/>
      <c r="N19" s="400"/>
      <c r="O19" s="168">
        <f t="shared" si="2"/>
        <v>0</v>
      </c>
      <c r="P19" s="168"/>
      <c r="Q19" s="400"/>
      <c r="R19" s="400"/>
      <c r="S19" s="401"/>
      <c r="T19" s="168">
        <f t="shared" si="3"/>
        <v>0</v>
      </c>
      <c r="V19" s="130">
        <f t="shared" si="4"/>
        <v>0</v>
      </c>
      <c r="X19" s="130">
        <f t="shared" si="8"/>
        <v>0</v>
      </c>
      <c r="Y19" s="130">
        <f t="shared" si="5"/>
        <v>0</v>
      </c>
      <c r="Z19" s="130">
        <f t="shared" si="6"/>
        <v>0</v>
      </c>
      <c r="AF19" s="62"/>
    </row>
    <row r="20" spans="1:32" s="11" customFormat="1" ht="14">
      <c r="A20" s="11" t="s">
        <v>64</v>
      </c>
      <c r="B20" s="400"/>
      <c r="C20" s="400"/>
      <c r="D20" s="168">
        <f t="shared" si="0"/>
        <v>0</v>
      </c>
      <c r="E20" s="169"/>
      <c r="F20" s="400"/>
      <c r="G20" s="400"/>
      <c r="H20" s="400"/>
      <c r="I20" s="168">
        <f t="shared" si="1"/>
        <v>0</v>
      </c>
      <c r="J20" s="168"/>
      <c r="K20" s="179">
        <f t="shared" si="7"/>
        <v>0</v>
      </c>
      <c r="L20" s="169"/>
      <c r="M20" s="400"/>
      <c r="N20" s="400"/>
      <c r="O20" s="168">
        <f t="shared" si="2"/>
        <v>0</v>
      </c>
      <c r="P20" s="168"/>
      <c r="Q20" s="400"/>
      <c r="R20" s="400"/>
      <c r="S20" s="400"/>
      <c r="T20" s="168">
        <f t="shared" si="3"/>
        <v>0</v>
      </c>
      <c r="U20" s="138"/>
      <c r="V20" s="130">
        <f t="shared" si="4"/>
        <v>0</v>
      </c>
      <c r="X20" s="130">
        <f t="shared" si="8"/>
        <v>0</v>
      </c>
      <c r="Y20" s="130">
        <f t="shared" si="5"/>
        <v>0</v>
      </c>
      <c r="Z20" s="130">
        <f t="shared" si="6"/>
        <v>0</v>
      </c>
      <c r="AF20" s="62"/>
    </row>
    <row r="21" spans="1:32" s="11" customFormat="1" ht="14">
      <c r="A21" s="283" t="s">
        <v>322</v>
      </c>
      <c r="B21" s="400"/>
      <c r="C21" s="400"/>
      <c r="D21" s="168">
        <f t="shared" si="0"/>
        <v>0</v>
      </c>
      <c r="E21" s="169"/>
      <c r="F21" s="400"/>
      <c r="G21" s="400"/>
      <c r="H21" s="400"/>
      <c r="I21" s="168">
        <f t="shared" si="1"/>
        <v>0</v>
      </c>
      <c r="J21" s="168"/>
      <c r="K21" s="179">
        <f t="shared" si="7"/>
        <v>0</v>
      </c>
      <c r="L21" s="169"/>
      <c r="M21" s="400"/>
      <c r="N21" s="400"/>
      <c r="O21" s="168">
        <f t="shared" si="2"/>
        <v>0</v>
      </c>
      <c r="P21" s="168"/>
      <c r="Q21" s="400"/>
      <c r="R21" s="400"/>
      <c r="S21" s="400"/>
      <c r="T21" s="168">
        <f t="shared" si="3"/>
        <v>0</v>
      </c>
      <c r="U21" s="138"/>
      <c r="V21" s="130">
        <f t="shared" si="4"/>
        <v>0</v>
      </c>
      <c r="X21" s="130">
        <f t="shared" si="8"/>
        <v>0</v>
      </c>
      <c r="Y21" s="130">
        <f t="shared" si="5"/>
        <v>0</v>
      </c>
      <c r="Z21" s="130">
        <f t="shared" si="6"/>
        <v>0</v>
      </c>
      <c r="AF21" s="62"/>
    </row>
    <row r="22" spans="1:32" s="11" customFormat="1" ht="14">
      <c r="A22" s="11" t="s">
        <v>75</v>
      </c>
      <c r="B22" s="400"/>
      <c r="C22" s="400"/>
      <c r="D22" s="168">
        <f t="shared" si="0"/>
        <v>0</v>
      </c>
      <c r="E22" s="169"/>
      <c r="F22" s="400"/>
      <c r="G22" s="400"/>
      <c r="H22" s="400"/>
      <c r="I22" s="168">
        <f t="shared" si="1"/>
        <v>0</v>
      </c>
      <c r="J22" s="168"/>
      <c r="K22" s="179">
        <f t="shared" si="7"/>
        <v>0</v>
      </c>
      <c r="L22" s="169"/>
      <c r="M22" s="400"/>
      <c r="N22" s="400"/>
      <c r="O22" s="168">
        <f t="shared" si="2"/>
        <v>0</v>
      </c>
      <c r="P22" s="168"/>
      <c r="Q22" s="400"/>
      <c r="R22" s="400"/>
      <c r="S22" s="400"/>
      <c r="T22" s="168">
        <f t="shared" si="3"/>
        <v>0</v>
      </c>
      <c r="U22" s="138"/>
      <c r="V22" s="130">
        <f t="shared" si="4"/>
        <v>0</v>
      </c>
      <c r="X22" s="130">
        <f t="shared" si="8"/>
        <v>0</v>
      </c>
      <c r="Y22" s="130">
        <f t="shared" si="5"/>
        <v>0</v>
      </c>
      <c r="Z22" s="130">
        <f t="shared" si="6"/>
        <v>0</v>
      </c>
      <c r="AF22" s="62"/>
    </row>
    <row r="23" spans="1:32" s="11" customFormat="1">
      <c r="A23" s="11" t="s">
        <v>76</v>
      </c>
      <c r="B23" s="400"/>
      <c r="C23" s="400"/>
      <c r="D23" s="168">
        <f t="shared" si="0"/>
        <v>0</v>
      </c>
      <c r="E23" s="168"/>
      <c r="F23" s="400"/>
      <c r="G23" s="400"/>
      <c r="H23" s="400"/>
      <c r="I23" s="168">
        <f t="shared" si="1"/>
        <v>0</v>
      </c>
      <c r="J23" s="168"/>
      <c r="K23" s="179">
        <f t="shared" si="7"/>
        <v>0</v>
      </c>
      <c r="L23" s="168"/>
      <c r="M23" s="400"/>
      <c r="N23" s="400"/>
      <c r="O23" s="168">
        <f t="shared" si="2"/>
        <v>0</v>
      </c>
      <c r="P23" s="168"/>
      <c r="Q23" s="400"/>
      <c r="R23" s="400"/>
      <c r="S23" s="400"/>
      <c r="T23" s="168">
        <f t="shared" si="3"/>
        <v>0</v>
      </c>
      <c r="V23" s="130">
        <f t="shared" si="4"/>
        <v>0</v>
      </c>
      <c r="X23" s="130">
        <f t="shared" si="8"/>
        <v>0</v>
      </c>
      <c r="Y23" s="130">
        <f t="shared" si="5"/>
        <v>0</v>
      </c>
      <c r="Z23" s="130">
        <f t="shared" si="6"/>
        <v>0</v>
      </c>
      <c r="AF23" s="62"/>
    </row>
    <row r="24" spans="1:32" s="11" customFormat="1">
      <c r="A24" s="11" t="s">
        <v>77</v>
      </c>
      <c r="B24" s="400"/>
      <c r="C24" s="400"/>
      <c r="D24" s="168">
        <f t="shared" si="0"/>
        <v>0</v>
      </c>
      <c r="E24" s="168"/>
      <c r="F24" s="400"/>
      <c r="G24" s="400"/>
      <c r="H24" s="400"/>
      <c r="I24" s="168">
        <f t="shared" si="1"/>
        <v>0</v>
      </c>
      <c r="J24" s="168"/>
      <c r="K24" s="179">
        <f t="shared" si="7"/>
        <v>0</v>
      </c>
      <c r="L24" s="168"/>
      <c r="M24" s="400"/>
      <c r="N24" s="400"/>
      <c r="O24" s="168">
        <f t="shared" si="2"/>
        <v>0</v>
      </c>
      <c r="P24" s="168"/>
      <c r="Q24" s="400"/>
      <c r="R24" s="400"/>
      <c r="S24" s="400"/>
      <c r="T24" s="168">
        <f t="shared" si="3"/>
        <v>0</v>
      </c>
      <c r="V24" s="130">
        <f t="shared" si="4"/>
        <v>0</v>
      </c>
      <c r="X24" s="130">
        <f t="shared" si="8"/>
        <v>0</v>
      </c>
      <c r="Y24" s="130">
        <f t="shared" si="5"/>
        <v>0</v>
      </c>
      <c r="Z24" s="130">
        <f t="shared" si="6"/>
        <v>0</v>
      </c>
      <c r="AF24" s="62"/>
    </row>
    <row r="25" spans="1:32" s="11" customFormat="1">
      <c r="A25" s="11" t="s">
        <v>52</v>
      </c>
      <c r="B25" s="400"/>
      <c r="C25" s="400"/>
      <c r="D25" s="168">
        <f t="shared" si="0"/>
        <v>0</v>
      </c>
      <c r="E25" s="168"/>
      <c r="F25" s="400"/>
      <c r="G25" s="400"/>
      <c r="H25" s="400"/>
      <c r="I25" s="168">
        <f t="shared" si="1"/>
        <v>0</v>
      </c>
      <c r="J25" s="168"/>
      <c r="K25" s="179">
        <f t="shared" si="7"/>
        <v>0</v>
      </c>
      <c r="L25" s="168"/>
      <c r="M25" s="400"/>
      <c r="N25" s="400"/>
      <c r="O25" s="168">
        <f t="shared" si="2"/>
        <v>0</v>
      </c>
      <c r="P25" s="168"/>
      <c r="Q25" s="400"/>
      <c r="R25" s="400"/>
      <c r="S25" s="400"/>
      <c r="T25" s="168">
        <f t="shared" si="3"/>
        <v>0</v>
      </c>
      <c r="V25" s="130">
        <f t="shared" si="4"/>
        <v>0</v>
      </c>
      <c r="X25" s="130">
        <f t="shared" si="8"/>
        <v>0</v>
      </c>
      <c r="Y25" s="130">
        <f t="shared" si="5"/>
        <v>0</v>
      </c>
      <c r="Z25" s="130">
        <f t="shared" si="6"/>
        <v>0</v>
      </c>
      <c r="AF25" s="62"/>
    </row>
    <row r="26" spans="1:32" s="11" customFormat="1">
      <c r="A26" s="11" t="s">
        <v>59</v>
      </c>
      <c r="B26" s="400"/>
      <c r="C26" s="400"/>
      <c r="D26" s="168">
        <f t="shared" si="0"/>
        <v>0</v>
      </c>
      <c r="E26" s="168"/>
      <c r="F26" s="400"/>
      <c r="G26" s="400"/>
      <c r="H26" s="400"/>
      <c r="I26" s="168">
        <f t="shared" si="1"/>
        <v>0</v>
      </c>
      <c r="J26" s="168"/>
      <c r="K26" s="179">
        <f t="shared" si="7"/>
        <v>0</v>
      </c>
      <c r="L26" s="168"/>
      <c r="M26" s="400"/>
      <c r="N26" s="400"/>
      <c r="O26" s="168">
        <f t="shared" si="2"/>
        <v>0</v>
      </c>
      <c r="P26" s="168"/>
      <c r="Q26" s="400"/>
      <c r="R26" s="400"/>
      <c r="S26" s="400"/>
      <c r="T26" s="168">
        <f t="shared" si="3"/>
        <v>0</v>
      </c>
      <c r="V26" s="130">
        <f t="shared" si="4"/>
        <v>0</v>
      </c>
      <c r="X26" s="130">
        <f t="shared" si="8"/>
        <v>0</v>
      </c>
      <c r="Y26" s="130">
        <f t="shared" si="5"/>
        <v>0</v>
      </c>
      <c r="Z26" s="130">
        <f t="shared" si="6"/>
        <v>0</v>
      </c>
      <c r="AF26" s="62"/>
    </row>
    <row r="27" spans="1:32" s="11" customFormat="1">
      <c r="A27" s="11" t="s">
        <v>60</v>
      </c>
      <c r="B27" s="400"/>
      <c r="C27" s="400"/>
      <c r="D27" s="168">
        <f t="shared" si="0"/>
        <v>0</v>
      </c>
      <c r="E27" s="168"/>
      <c r="F27" s="400"/>
      <c r="G27" s="400"/>
      <c r="H27" s="400"/>
      <c r="I27" s="168">
        <f t="shared" si="1"/>
        <v>0</v>
      </c>
      <c r="J27" s="168"/>
      <c r="K27" s="179">
        <f t="shared" si="7"/>
        <v>0</v>
      </c>
      <c r="L27" s="168"/>
      <c r="M27" s="400"/>
      <c r="N27" s="400"/>
      <c r="O27" s="168">
        <f t="shared" si="2"/>
        <v>0</v>
      </c>
      <c r="P27" s="168"/>
      <c r="Q27" s="400"/>
      <c r="R27" s="400"/>
      <c r="S27" s="400"/>
      <c r="T27" s="168">
        <f t="shared" si="3"/>
        <v>0</v>
      </c>
      <c r="V27" s="130">
        <f t="shared" si="4"/>
        <v>0</v>
      </c>
      <c r="X27" s="130">
        <f t="shared" si="8"/>
        <v>0</v>
      </c>
      <c r="Y27" s="130">
        <f t="shared" si="5"/>
        <v>0</v>
      </c>
      <c r="Z27" s="130">
        <f t="shared" si="6"/>
        <v>0</v>
      </c>
      <c r="AF27" s="62"/>
    </row>
    <row r="28" spans="1:32" s="11" customFormat="1">
      <c r="A28" s="11" t="s">
        <v>61</v>
      </c>
      <c r="B28" s="400"/>
      <c r="C28" s="400"/>
      <c r="D28" s="168">
        <f t="shared" si="0"/>
        <v>0</v>
      </c>
      <c r="E28" s="168"/>
      <c r="F28" s="400"/>
      <c r="G28" s="400"/>
      <c r="H28" s="400"/>
      <c r="I28" s="168">
        <f t="shared" si="1"/>
        <v>0</v>
      </c>
      <c r="J28" s="168"/>
      <c r="K28" s="179">
        <f t="shared" si="7"/>
        <v>0</v>
      </c>
      <c r="L28" s="168"/>
      <c r="M28" s="400"/>
      <c r="N28" s="400"/>
      <c r="O28" s="168">
        <f t="shared" si="2"/>
        <v>0</v>
      </c>
      <c r="P28" s="168"/>
      <c r="Q28" s="400"/>
      <c r="R28" s="400"/>
      <c r="S28" s="400"/>
      <c r="T28" s="168">
        <f t="shared" si="3"/>
        <v>0</v>
      </c>
      <c r="V28" s="130">
        <f t="shared" si="4"/>
        <v>0</v>
      </c>
      <c r="X28" s="130">
        <f t="shared" si="8"/>
        <v>0</v>
      </c>
      <c r="Y28" s="130">
        <f t="shared" si="5"/>
        <v>0</v>
      </c>
      <c r="Z28" s="130">
        <f t="shared" si="6"/>
        <v>0</v>
      </c>
      <c r="AF28" s="62"/>
    </row>
    <row r="29" spans="1:32" s="89" customFormat="1" ht="14">
      <c r="A29" s="11" t="s">
        <v>62</v>
      </c>
      <c r="B29" s="170"/>
      <c r="C29" s="170"/>
      <c r="D29" s="169">
        <f t="shared" si="0"/>
        <v>0</v>
      </c>
      <c r="E29" s="170"/>
      <c r="F29" s="170"/>
      <c r="G29" s="170"/>
      <c r="H29" s="170"/>
      <c r="I29" s="169">
        <f t="shared" si="1"/>
        <v>0</v>
      </c>
      <c r="J29" s="169"/>
      <c r="K29" s="186">
        <f t="shared" si="7"/>
        <v>0</v>
      </c>
      <c r="L29" s="170"/>
      <c r="M29" s="170"/>
      <c r="N29" s="170"/>
      <c r="O29" s="169">
        <f t="shared" si="2"/>
        <v>0</v>
      </c>
      <c r="P29" s="170"/>
      <c r="Q29" s="170"/>
      <c r="R29" s="170"/>
      <c r="S29" s="170"/>
      <c r="T29" s="169">
        <f t="shared" si="3"/>
        <v>0</v>
      </c>
      <c r="U29" s="171"/>
      <c r="V29" s="172">
        <f t="shared" si="4"/>
        <v>0</v>
      </c>
      <c r="X29" s="172">
        <f>+I29+D29</f>
        <v>0</v>
      </c>
      <c r="Y29" s="172">
        <f>+T29+O29</f>
        <v>0</v>
      </c>
      <c r="Z29" s="172">
        <f>+Y29+X29</f>
        <v>0</v>
      </c>
      <c r="AF29" s="63"/>
    </row>
    <row r="30" spans="1:32" s="11" customFormat="1" ht="14.5">
      <c r="A30" s="64"/>
      <c r="B30" s="65">
        <f>SUM(B6:B29)</f>
        <v>93832</v>
      </c>
      <c r="C30" s="65">
        <f t="shared" ref="C30:V30" si="16">SUM(C6:C29)</f>
        <v>150101</v>
      </c>
      <c r="D30" s="65">
        <f t="shared" si="16"/>
        <v>243933</v>
      </c>
      <c r="E30" s="65"/>
      <c r="F30" s="65">
        <f t="shared" si="16"/>
        <v>282841</v>
      </c>
      <c r="G30" s="65">
        <f t="shared" si="16"/>
        <v>905003</v>
      </c>
      <c r="H30" s="65">
        <f t="shared" si="16"/>
        <v>323994</v>
      </c>
      <c r="I30" s="65">
        <f t="shared" si="16"/>
        <v>1511838</v>
      </c>
      <c r="J30" s="65"/>
      <c r="K30" s="65">
        <f t="shared" si="16"/>
        <v>1755771</v>
      </c>
      <c r="L30" s="65"/>
      <c r="M30" s="65">
        <f t="shared" si="16"/>
        <v>518426</v>
      </c>
      <c r="N30" s="65">
        <f t="shared" si="16"/>
        <v>75878</v>
      </c>
      <c r="O30" s="65">
        <f t="shared" si="16"/>
        <v>594304</v>
      </c>
      <c r="P30" s="65"/>
      <c r="Q30" s="65">
        <f t="shared" si="16"/>
        <v>563119</v>
      </c>
      <c r="R30" s="65">
        <f t="shared" si="16"/>
        <v>212677</v>
      </c>
      <c r="S30" s="65">
        <f t="shared" si="16"/>
        <v>495115</v>
      </c>
      <c r="T30" s="65">
        <f t="shared" si="16"/>
        <v>1270911</v>
      </c>
      <c r="U30" s="65"/>
      <c r="V30" s="65">
        <f t="shared" si="16"/>
        <v>3620986</v>
      </c>
      <c r="X30" s="146">
        <f>SUM(X6:X29)</f>
        <v>1755771</v>
      </c>
      <c r="Y30" s="146">
        <f>SUM(Y6:Y29)</f>
        <v>1865215</v>
      </c>
      <c r="Z30" s="146">
        <f>SUM(Z6:Z29)</f>
        <v>3620986</v>
      </c>
      <c r="AF30" s="57"/>
    </row>
    <row r="31" spans="1:32" s="11" customFormat="1">
      <c r="AF31" s="57"/>
    </row>
    <row r="32" spans="1:32" s="11" customFormat="1" ht="14.5">
      <c r="A32" s="1" t="s">
        <v>43</v>
      </c>
      <c r="B32" s="146">
        <f>AVERAGE(B6:B29)</f>
        <v>7217.8461538461543</v>
      </c>
      <c r="C32" s="146">
        <f t="shared" ref="C32:S32" si="17">AVERAGE(C6:C29)</f>
        <v>11546.23076923077</v>
      </c>
      <c r="D32" s="146">
        <f>+C32+B32</f>
        <v>18764.076923076922</v>
      </c>
      <c r="E32" s="146"/>
      <c r="F32" s="146">
        <f t="shared" si="17"/>
        <v>21757</v>
      </c>
      <c r="G32" s="146">
        <f t="shared" si="17"/>
        <v>69615.61538461539</v>
      </c>
      <c r="H32" s="146">
        <f t="shared" si="17"/>
        <v>24922.615384615383</v>
      </c>
      <c r="I32" s="146">
        <f>+H32+G32+F32</f>
        <v>116295.23076923078</v>
      </c>
      <c r="J32" s="146"/>
      <c r="K32" s="146">
        <f t="shared" si="17"/>
        <v>73157.125</v>
      </c>
      <c r="L32" s="146"/>
      <c r="M32" s="146">
        <f t="shared" si="17"/>
        <v>39878.923076923078</v>
      </c>
      <c r="N32" s="146">
        <f t="shared" si="17"/>
        <v>5836.7692307692305</v>
      </c>
      <c r="O32" s="146">
        <f>+N32+M32</f>
        <v>45715.692307692312</v>
      </c>
      <c r="P32" s="146"/>
      <c r="Q32" s="146">
        <f t="shared" si="17"/>
        <v>43316.846153846156</v>
      </c>
      <c r="R32" s="146">
        <f t="shared" si="17"/>
        <v>16359.76923076923</v>
      </c>
      <c r="S32" s="146">
        <f t="shared" si="17"/>
        <v>38085.769230769234</v>
      </c>
      <c r="T32" s="146">
        <f>+S32+R32+Q32</f>
        <v>97762.384615384624</v>
      </c>
      <c r="U32" s="146"/>
      <c r="V32" s="76">
        <f>+T32+O32+I32+D32</f>
        <v>278537.38461538462</v>
      </c>
      <c r="X32" s="76">
        <f>+I32+D32</f>
        <v>135059.30769230769</v>
      </c>
      <c r="Y32" s="76">
        <f>+T32+O32</f>
        <v>143478.07692307694</v>
      </c>
      <c r="Z32" s="76">
        <f>+Y32+X32</f>
        <v>278537.38461538462</v>
      </c>
      <c r="AF32" s="57"/>
    </row>
    <row r="33" spans="1:32" s="11" customFormat="1" ht="13">
      <c r="B33" s="133">
        <f>+B32/$I$36</f>
        <v>0.3846630017258838</v>
      </c>
      <c r="C33" s="133">
        <f>+C32/$I$36</f>
        <v>0.61533699827411625</v>
      </c>
      <c r="D33" s="133">
        <f>+D32/$I$36</f>
        <v>1</v>
      </c>
      <c r="E33" s="133"/>
      <c r="F33" s="133"/>
      <c r="AF33" s="57"/>
    </row>
    <row r="34" spans="1:32" s="11" customFormat="1" ht="13">
      <c r="B34" s="133"/>
      <c r="F34" s="173"/>
      <c r="G34" s="130">
        <f>SUM(G6:H17)</f>
        <v>1134058</v>
      </c>
      <c r="AF34" s="57"/>
    </row>
    <row r="35" spans="1:32" s="11" customFormat="1" ht="13">
      <c r="A35" s="90" t="s">
        <v>78</v>
      </c>
      <c r="G35" s="87">
        <f>G34/12</f>
        <v>94504.833333333328</v>
      </c>
      <c r="AF35" s="57"/>
    </row>
    <row r="36" spans="1:32" s="11" customFormat="1" ht="13">
      <c r="A36" s="80" t="s">
        <v>249</v>
      </c>
      <c r="G36" s="130"/>
      <c r="H36" s="130"/>
      <c r="I36" s="174">
        <f>+D32</f>
        <v>18764.076923076922</v>
      </c>
      <c r="J36" s="174"/>
      <c r="K36" s="387">
        <f>+I36/$I$39</f>
        <v>0.13893212725349718</v>
      </c>
      <c r="AF36" s="57"/>
    </row>
    <row r="37" spans="1:32" s="11" customFormat="1" ht="13">
      <c r="A37" s="80" t="s">
        <v>250</v>
      </c>
      <c r="G37" s="130"/>
      <c r="H37" s="130"/>
      <c r="I37" s="174">
        <f>+F32</f>
        <v>21757</v>
      </c>
      <c r="J37" s="174"/>
      <c r="K37" s="387">
        <f t="shared" ref="K37:K39" si="18">+I37/$I$39</f>
        <v>0.16109219254675011</v>
      </c>
      <c r="AF37" s="57"/>
    </row>
    <row r="38" spans="1:32" s="11" customFormat="1" ht="16">
      <c r="A38" s="80" t="s">
        <v>79</v>
      </c>
      <c r="I38" s="175">
        <f>+G32+H32</f>
        <v>94538.23076923078</v>
      </c>
      <c r="J38" s="175"/>
      <c r="K38" s="388">
        <f t="shared" si="18"/>
        <v>0.69997568019975276</v>
      </c>
      <c r="AF38" s="57"/>
    </row>
    <row r="39" spans="1:32" s="11" customFormat="1" ht="14.5">
      <c r="A39" s="80"/>
      <c r="I39" s="146">
        <f>SUM(I36:I38)</f>
        <v>135059.30769230769</v>
      </c>
      <c r="J39" s="146"/>
      <c r="K39" s="162">
        <f t="shared" si="18"/>
        <v>1</v>
      </c>
      <c r="AF39" s="57"/>
    </row>
    <row r="40" spans="1:32" s="11" customFormat="1" ht="13">
      <c r="A40" s="90"/>
      <c r="AF40" s="57"/>
    </row>
    <row r="41" spans="1:32" s="11" customFormat="1" ht="13">
      <c r="A41" s="80"/>
      <c r="I41" s="176"/>
      <c r="J41" s="176"/>
      <c r="K41" s="176"/>
      <c r="AF41" s="57"/>
    </row>
    <row r="42" spans="1:32" s="11" customFormat="1" ht="16">
      <c r="A42" s="90"/>
      <c r="I42" s="177"/>
      <c r="J42" s="177"/>
      <c r="K42" s="177"/>
      <c r="AF42" s="57"/>
    </row>
    <row r="43" spans="1:32" s="11" customFormat="1" ht="14.5">
      <c r="A43" s="80"/>
      <c r="I43" s="174"/>
      <c r="J43" s="146"/>
      <c r="K43" s="387"/>
      <c r="N43" s="167"/>
      <c r="AF43" s="57"/>
    </row>
    <row r="44" spans="1:32" ht="13">
      <c r="A44" s="80"/>
      <c r="I44" s="389"/>
      <c r="K44" s="387"/>
      <c r="N44" s="94"/>
      <c r="Q44" s="93"/>
      <c r="R44" s="93"/>
      <c r="S44" s="93"/>
    </row>
    <row r="45" spans="1:32" ht="16">
      <c r="A45" s="80"/>
      <c r="I45" s="375"/>
      <c r="K45" s="388"/>
      <c r="N45" s="94"/>
      <c r="Q45" s="93"/>
      <c r="R45" s="93"/>
      <c r="S45" s="93"/>
    </row>
    <row r="46" spans="1:32" ht="14.5">
      <c r="I46" s="146"/>
      <c r="J46" s="146"/>
      <c r="K46" s="162"/>
      <c r="N46" s="94"/>
      <c r="Q46" s="93"/>
      <c r="R46" s="93"/>
      <c r="S46" s="93"/>
    </row>
    <row r="47" spans="1:32">
      <c r="N47" s="94"/>
      <c r="Q47" s="93"/>
      <c r="R47" s="93"/>
      <c r="S47" s="93"/>
    </row>
    <row r="48" spans="1:32">
      <c r="N48" s="95"/>
      <c r="Q48" s="93"/>
      <c r="R48" s="93"/>
      <c r="S48" s="93"/>
    </row>
  </sheetData>
  <mergeCells count="6">
    <mergeCell ref="B3:I3"/>
    <mergeCell ref="M3:T3"/>
    <mergeCell ref="B4:D4"/>
    <mergeCell ref="F4:I4"/>
    <mergeCell ref="M4:O4"/>
    <mergeCell ref="Q4:T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A264"/>
  <sheetViews>
    <sheetView workbookViewId="0">
      <pane xSplit="2" ySplit="5" topLeftCell="C27" activePane="bottomRight" state="frozen"/>
      <selection pane="topRight" activeCell="C1" sqref="C1"/>
      <selection pane="bottomLeft" activeCell="A4" sqref="A4"/>
      <selection pane="bottomRight" activeCell="K51" sqref="K51"/>
    </sheetView>
  </sheetViews>
  <sheetFormatPr defaultColWidth="9.1796875" defaultRowHeight="12.5"/>
  <cols>
    <col min="1" max="1" width="5.54296875" style="11" customWidth="1"/>
    <col min="2" max="2" width="11.7265625" style="11" customWidth="1"/>
    <col min="3" max="3" width="11.453125" style="11" customWidth="1"/>
    <col min="4" max="5" width="12.81640625" style="11" bestFit="1" customWidth="1"/>
    <col min="6" max="6" width="10.81640625" style="11" bestFit="1" customWidth="1"/>
    <col min="7" max="7" width="11.26953125" style="11" bestFit="1" customWidth="1"/>
    <col min="8" max="8" width="10.81640625" style="11" bestFit="1" customWidth="1"/>
    <col min="9" max="9" width="10.26953125" style="11" bestFit="1" customWidth="1"/>
    <col min="10" max="10" width="10.81640625" style="11" customWidth="1"/>
    <col min="11" max="11" width="10.26953125" style="11" bestFit="1" customWidth="1"/>
    <col min="12" max="12" width="12.54296875" style="11" customWidth="1"/>
    <col min="13" max="13" width="13.26953125" style="11" bestFit="1" customWidth="1"/>
    <col min="14" max="14" width="9.1796875" style="11"/>
    <col min="15" max="15" width="9.26953125" style="11" bestFit="1" customWidth="1"/>
    <col min="16" max="25" width="12.1796875" style="11" customWidth="1"/>
    <col min="26" max="16384" width="9.1796875" style="11"/>
  </cols>
  <sheetData>
    <row r="1" spans="2:14" ht="18">
      <c r="B1" s="541" t="s">
        <v>105</v>
      </c>
      <c r="C1" s="541"/>
      <c r="D1" s="541"/>
      <c r="E1" s="541"/>
      <c r="F1" s="541"/>
      <c r="G1" s="541"/>
      <c r="H1" s="541"/>
      <c r="I1" s="541"/>
      <c r="J1" s="541"/>
      <c r="K1" s="541"/>
      <c r="L1" s="541"/>
    </row>
    <row r="3" spans="2:14" ht="13">
      <c r="B3" s="81"/>
      <c r="C3" s="542" t="s">
        <v>32</v>
      </c>
      <c r="D3" s="543"/>
      <c r="E3" s="543"/>
      <c r="F3" s="543"/>
      <c r="G3" s="543"/>
      <c r="H3" s="543"/>
      <c r="I3" s="543"/>
      <c r="J3" s="543"/>
      <c r="K3" s="543"/>
      <c r="L3" s="544"/>
      <c r="M3" s="82"/>
    </row>
    <row r="4" spans="2:14" ht="13">
      <c r="B4" s="48"/>
      <c r="C4" s="49"/>
      <c r="D4" s="83"/>
      <c r="E4" s="83"/>
      <c r="F4" s="50"/>
      <c r="G4" s="83"/>
      <c r="H4" s="83"/>
      <c r="I4" s="83"/>
      <c r="J4" s="50" t="s">
        <v>33</v>
      </c>
      <c r="K4" s="50" t="s">
        <v>34</v>
      </c>
      <c r="L4" s="50" t="s">
        <v>35</v>
      </c>
      <c r="M4" s="82"/>
    </row>
    <row r="5" spans="2:14" ht="13">
      <c r="B5" s="48" t="s">
        <v>36</v>
      </c>
      <c r="C5" s="51" t="s">
        <v>37</v>
      </c>
      <c r="D5" s="51" t="s">
        <v>38</v>
      </c>
      <c r="E5" s="51" t="s">
        <v>1</v>
      </c>
      <c r="F5" s="51" t="s">
        <v>39</v>
      </c>
      <c r="G5" s="51" t="s">
        <v>40</v>
      </c>
      <c r="H5" s="51" t="s">
        <v>2</v>
      </c>
      <c r="I5" s="51" t="s">
        <v>8</v>
      </c>
      <c r="J5" s="51" t="s">
        <v>41</v>
      </c>
      <c r="K5" s="51" t="s">
        <v>41</v>
      </c>
      <c r="L5" s="50" t="s">
        <v>42</v>
      </c>
      <c r="M5" s="82"/>
    </row>
    <row r="6" spans="2:14">
      <c r="B6" s="84"/>
      <c r="C6" s="52"/>
      <c r="D6" s="84"/>
      <c r="E6" s="84"/>
      <c r="F6" s="84"/>
      <c r="G6" s="84"/>
      <c r="H6" s="84"/>
      <c r="I6" s="84"/>
      <c r="J6" s="84"/>
      <c r="K6" s="84"/>
      <c r="L6" s="84"/>
      <c r="M6" s="82"/>
    </row>
    <row r="7" spans="2:14" ht="13">
      <c r="B7" s="53">
        <v>45200</v>
      </c>
      <c r="C7" s="402">
        <f>[30]Prices!B13</f>
        <v>0</v>
      </c>
      <c r="D7" s="402">
        <f>[30]Prices!C13</f>
        <v>51.58</v>
      </c>
      <c r="E7" s="402">
        <f>[30]Prices!D13</f>
        <v>133.02000000000001</v>
      </c>
      <c r="F7" s="402">
        <f>[30]Prices!E13</f>
        <v>1090.92</v>
      </c>
      <c r="G7" s="402">
        <f>[30]Prices!F13</f>
        <v>176.73</v>
      </c>
      <c r="H7" s="402">
        <f>[30]Prices!G13</f>
        <v>-40.479999999999997</v>
      </c>
      <c r="I7" s="402">
        <f>[30]Prices!H13</f>
        <v>96.76</v>
      </c>
      <c r="J7" s="402">
        <f>[30]Prices!J13</f>
        <v>520</v>
      </c>
      <c r="K7" s="402">
        <f>[30]Prices!K13</f>
        <v>133.88999999999999</v>
      </c>
      <c r="L7" s="402">
        <f>[30]Prices!L13</f>
        <v>-87.85</v>
      </c>
      <c r="M7" s="82"/>
    </row>
    <row r="8" spans="2:14" ht="13">
      <c r="B8" s="53">
        <v>45231</v>
      </c>
      <c r="C8" s="402">
        <f>[30]Prices!B14</f>
        <v>0</v>
      </c>
      <c r="D8" s="402">
        <f>[30]Prices!C14</f>
        <v>51.43</v>
      </c>
      <c r="E8" s="402">
        <f>[30]Prices!D14</f>
        <v>133.68</v>
      </c>
      <c r="F8" s="402">
        <f>[30]Prices!E14</f>
        <v>1144.6099999999999</v>
      </c>
      <c r="G8" s="402">
        <f>[30]Prices!F14</f>
        <v>191.5</v>
      </c>
      <c r="H8" s="402">
        <f>[30]Prices!G14</f>
        <v>-40.98</v>
      </c>
      <c r="I8" s="402">
        <f>[30]Prices!H14</f>
        <v>120</v>
      </c>
      <c r="J8" s="402">
        <f>[30]Prices!J14</f>
        <v>540</v>
      </c>
      <c r="K8" s="402">
        <f>[30]Prices!K14</f>
        <v>280.52999999999997</v>
      </c>
      <c r="L8" s="402">
        <f>[30]Prices!L14</f>
        <v>-87.85</v>
      </c>
      <c r="M8" s="82"/>
      <c r="N8" s="78"/>
    </row>
    <row r="9" spans="2:14" ht="13">
      <c r="B9" s="53">
        <v>45261</v>
      </c>
      <c r="C9" s="402">
        <f>[30]Prices!B15</f>
        <v>0</v>
      </c>
      <c r="D9" s="402">
        <f>[30]Prices!C15</f>
        <v>59.54</v>
      </c>
      <c r="E9" s="402">
        <f>[30]Prices!D15</f>
        <v>140.44999999999999</v>
      </c>
      <c r="F9" s="402">
        <f>[30]Prices!E15</f>
        <v>1203.5</v>
      </c>
      <c r="G9" s="402">
        <f>[30]Prices!F15</f>
        <v>213.53</v>
      </c>
      <c r="H9" s="402">
        <f>[30]Prices!G15</f>
        <v>-39.630000000000003</v>
      </c>
      <c r="I9" s="402">
        <f>[30]Prices!H15</f>
        <v>130</v>
      </c>
      <c r="J9" s="402">
        <f>[30]Prices!J15</f>
        <v>626.99</v>
      </c>
      <c r="K9" s="402">
        <f>[30]Prices!K15</f>
        <v>626.99</v>
      </c>
      <c r="L9" s="402">
        <f>[30]Prices!L15</f>
        <v>-169.14</v>
      </c>
      <c r="M9" s="82"/>
    </row>
    <row r="10" spans="2:14" ht="13">
      <c r="B10" s="53">
        <v>45292</v>
      </c>
      <c r="C10" s="402">
        <f>[31]Prices!B4</f>
        <v>104.39</v>
      </c>
      <c r="D10" s="402">
        <f>[31]Prices!C4</f>
        <v>67.239999999999995</v>
      </c>
      <c r="E10" s="402">
        <f>[31]Prices!D4</f>
        <v>151.65</v>
      </c>
      <c r="F10" s="402">
        <f>[31]Prices!E4</f>
        <v>1104.3399999999999</v>
      </c>
      <c r="G10" s="402">
        <f>[31]Prices!F4</f>
        <v>208.52</v>
      </c>
      <c r="H10" s="402">
        <f>[31]Prices!G4</f>
        <v>-47.58</v>
      </c>
      <c r="I10" s="402">
        <f>[31]Prices!H4</f>
        <v>150</v>
      </c>
      <c r="J10" s="402">
        <f>[31]Prices!J4</f>
        <v>620</v>
      </c>
      <c r="K10" s="402">
        <f>[31]Prices!K4</f>
        <v>340</v>
      </c>
      <c r="L10" s="402">
        <f>[31]Prices!L4</f>
        <v>3.28</v>
      </c>
      <c r="M10" s="82"/>
    </row>
    <row r="11" spans="2:14" ht="13">
      <c r="B11" s="53">
        <v>45323</v>
      </c>
      <c r="C11" s="402">
        <f>[32]Prices!B5</f>
        <v>93.21</v>
      </c>
      <c r="D11" s="402">
        <f>[32]Prices!C5</f>
        <v>66.900000000000006</v>
      </c>
      <c r="E11" s="402">
        <f>[32]Prices!D5</f>
        <v>156.06</v>
      </c>
      <c r="F11" s="402">
        <f>[32]Prices!E5</f>
        <v>1019.35</v>
      </c>
      <c r="G11" s="402">
        <f>[32]Prices!F5</f>
        <v>254</v>
      </c>
      <c r="H11" s="402">
        <f>[32]Prices!G5</f>
        <v>-46.73</v>
      </c>
      <c r="I11" s="402">
        <f>[32]Prices!H5</f>
        <v>150</v>
      </c>
      <c r="J11" s="402">
        <f>[32]Prices!J5</f>
        <v>560</v>
      </c>
      <c r="K11" s="402">
        <f>[32]Prices!K5</f>
        <v>340</v>
      </c>
      <c r="L11" s="402">
        <f>[32]Prices!L5</f>
        <v>-169.14</v>
      </c>
      <c r="M11" s="82"/>
    </row>
    <row r="12" spans="2:14" ht="13">
      <c r="B12" s="53">
        <v>45352</v>
      </c>
      <c r="C12" s="402">
        <f>[33]Prices!B6</f>
        <v>91.11</v>
      </c>
      <c r="D12" s="402">
        <f>[33]Prices!C6</f>
        <v>66.67</v>
      </c>
      <c r="E12" s="402">
        <f>[33]Prices!D6</f>
        <v>163.21</v>
      </c>
      <c r="F12" s="402">
        <f>[33]Prices!E6</f>
        <v>1018.33</v>
      </c>
      <c r="G12" s="402">
        <f>[33]Prices!F6</f>
        <v>188.25</v>
      </c>
      <c r="H12" s="402">
        <f>[33]Prices!G6</f>
        <v>-46.73</v>
      </c>
      <c r="I12" s="402">
        <f>[33]Prices!H6</f>
        <v>149.30000000000001</v>
      </c>
      <c r="J12" s="402">
        <f>[33]Prices!J6</f>
        <v>560</v>
      </c>
      <c r="K12" s="402">
        <f>[33]Prices!K6</f>
        <v>340</v>
      </c>
      <c r="L12" s="402">
        <f>[33]Prices!L6</f>
        <v>-169.14</v>
      </c>
      <c r="M12" s="85"/>
    </row>
    <row r="13" spans="2:14" ht="13">
      <c r="B13" s="53">
        <v>45383</v>
      </c>
      <c r="C13" s="402">
        <f>[34]Prices!B7</f>
        <v>86.37</v>
      </c>
      <c r="D13" s="402">
        <f>[34]Prices!C7</f>
        <v>77.12</v>
      </c>
      <c r="E13" s="402">
        <f>[34]Prices!D7</f>
        <v>158.32</v>
      </c>
      <c r="F13" s="402">
        <f>[34]Prices!E7</f>
        <v>1304.8</v>
      </c>
      <c r="G13" s="402">
        <f>[34]Prices!F7</f>
        <v>187.8</v>
      </c>
      <c r="H13" s="402">
        <f>[34]Prices!G7</f>
        <v>-12.43</v>
      </c>
      <c r="I13" s="402">
        <f>[34]Prices!H7</f>
        <v>157.38</v>
      </c>
      <c r="J13" s="402">
        <f>[34]Prices!J7</f>
        <v>560</v>
      </c>
      <c r="K13" s="402">
        <f>[34]Prices!K7</f>
        <v>340</v>
      </c>
      <c r="L13" s="402">
        <f>[34]Prices!L7</f>
        <v>-169.14</v>
      </c>
      <c r="M13" s="85"/>
    </row>
    <row r="14" spans="2:14" ht="13">
      <c r="B14" s="53">
        <v>45413</v>
      </c>
      <c r="C14" s="402">
        <f>[35]Prices!B8</f>
        <v>93.08</v>
      </c>
      <c r="D14" s="402">
        <f>[35]Prices!C8</f>
        <v>81.42</v>
      </c>
      <c r="E14" s="402">
        <f>[35]Prices!D8</f>
        <v>169.85</v>
      </c>
      <c r="F14" s="402">
        <f>[35]Prices!E8</f>
        <v>1293.8</v>
      </c>
      <c r="G14" s="402">
        <f>[35]Prices!F8</f>
        <v>187.66</v>
      </c>
      <c r="H14" s="402">
        <f>[35]Prices!G8</f>
        <v>-25.66</v>
      </c>
      <c r="I14" s="402">
        <f>[35]Prices!H8</f>
        <v>210</v>
      </c>
      <c r="J14" s="402">
        <f>[35]Prices!J8</f>
        <v>600</v>
      </c>
      <c r="K14" s="402">
        <f>[35]Prices!K8</f>
        <v>346.65</v>
      </c>
      <c r="L14" s="402">
        <f>[35]Prices!L8</f>
        <v>-169.14</v>
      </c>
      <c r="M14" s="85"/>
    </row>
    <row r="15" spans="2:14" ht="13">
      <c r="B15" s="53">
        <v>45444</v>
      </c>
      <c r="C15" s="402">
        <f>[36]Prices!B9</f>
        <v>115.15</v>
      </c>
      <c r="D15" s="402">
        <f>[36]Prices!C9</f>
        <v>92.09</v>
      </c>
      <c r="E15" s="402">
        <f>[36]Prices!D9</f>
        <v>175.19</v>
      </c>
      <c r="F15" s="402">
        <f>[36]Prices!E9</f>
        <v>1374.96</v>
      </c>
      <c r="G15" s="402">
        <f>[36]Prices!F9</f>
        <v>184.52</v>
      </c>
      <c r="H15" s="402">
        <f>[36]Prices!G9</f>
        <v>-32.61</v>
      </c>
      <c r="I15" s="402">
        <f>[36]Prices!H9</f>
        <v>210</v>
      </c>
      <c r="J15" s="402">
        <f>[36]Prices!J9</f>
        <v>600</v>
      </c>
      <c r="K15" s="402">
        <f>[36]Prices!K9</f>
        <v>344.99</v>
      </c>
      <c r="L15" s="402">
        <f>[36]Prices!L9</f>
        <v>-169.14</v>
      </c>
      <c r="M15" s="85"/>
    </row>
    <row r="16" spans="2:14" ht="13">
      <c r="B16" s="53">
        <v>45474</v>
      </c>
      <c r="C16" s="403">
        <f>[37]Prices!$B$10</f>
        <v>103.34</v>
      </c>
      <c r="D16" s="403">
        <f>[37]Prices!$C$10</f>
        <v>89.65</v>
      </c>
      <c r="E16" s="403">
        <f>[37]Prices!$D$10</f>
        <v>170.88</v>
      </c>
      <c r="F16" s="403">
        <f>[37]Prices!$E$10</f>
        <v>1145.1400000000001</v>
      </c>
      <c r="G16" s="403">
        <f>[37]Prices!$F$10</f>
        <v>183.13</v>
      </c>
      <c r="H16" s="402">
        <f>[37]Prices!$G$10</f>
        <v>-33.75</v>
      </c>
      <c r="I16" s="403">
        <f>[37]Prices!$H$10</f>
        <v>236.93</v>
      </c>
      <c r="J16" s="403">
        <f>[37]Prices!$J$10</f>
        <v>640</v>
      </c>
      <c r="K16" s="403">
        <f>[37]Prices!$K$10</f>
        <v>220</v>
      </c>
      <c r="L16" s="402">
        <f>[37]Prices!$L$10</f>
        <v>-169.14</v>
      </c>
      <c r="M16" s="85"/>
    </row>
    <row r="17" spans="2:27" ht="13">
      <c r="B17" s="53">
        <v>45505</v>
      </c>
      <c r="C17" s="403">
        <f>[38]Prices!B11</f>
        <v>106.45</v>
      </c>
      <c r="D17" s="403">
        <f>[38]Prices!C11</f>
        <v>88.81</v>
      </c>
      <c r="E17" s="403">
        <f>[38]Prices!D11</f>
        <v>160.58000000000001</v>
      </c>
      <c r="F17" s="403">
        <f>[38]Prices!E11</f>
        <v>1217.0999999999999</v>
      </c>
      <c r="G17" s="403">
        <f>[38]Prices!F11</f>
        <v>182.7</v>
      </c>
      <c r="H17" s="403">
        <f>[38]Prices!G11</f>
        <v>-36.24</v>
      </c>
      <c r="I17" s="403">
        <f>[38]Prices!H11</f>
        <v>253.24</v>
      </c>
      <c r="J17" s="402">
        <f>[38]Prices!J11</f>
        <v>680</v>
      </c>
      <c r="K17" s="402">
        <f>[38]Prices!K11</f>
        <v>200</v>
      </c>
      <c r="L17" s="402">
        <f>[38]Prices!L11</f>
        <v>-169.14</v>
      </c>
      <c r="M17" s="85"/>
    </row>
    <row r="18" spans="2:27" ht="13">
      <c r="B18" s="53">
        <v>45536</v>
      </c>
      <c r="C18" s="403">
        <f>[39]Prices!B12</f>
        <v>112.53</v>
      </c>
      <c r="D18" s="403">
        <f>[39]Prices!C12</f>
        <v>78.58</v>
      </c>
      <c r="E18" s="403">
        <f>[39]Prices!D12</f>
        <v>141.75</v>
      </c>
      <c r="F18" s="403">
        <f>[39]Prices!E12</f>
        <v>1334</v>
      </c>
      <c r="G18" s="403">
        <f>[39]Prices!F12</f>
        <v>180.05</v>
      </c>
      <c r="H18" s="403">
        <f>[39]Prices!G12</f>
        <v>-27.4</v>
      </c>
      <c r="I18" s="403">
        <f>[39]Prices!H12</f>
        <v>260</v>
      </c>
      <c r="J18" s="403">
        <f>[39]Prices!J12</f>
        <v>820</v>
      </c>
      <c r="K18" s="403">
        <f>[39]Prices!K12</f>
        <v>220</v>
      </c>
      <c r="L18" s="403">
        <f>[39]Prices!L12</f>
        <v>-169.14</v>
      </c>
      <c r="M18" s="85"/>
    </row>
    <row r="19" spans="2:27" ht="13">
      <c r="B19" s="53">
        <v>45566</v>
      </c>
      <c r="C19" s="403">
        <f>[40]Prices!B13</f>
        <v>78.680000000000007</v>
      </c>
      <c r="D19" s="403">
        <f>[40]Prices!C13</f>
        <v>68.180000000000007</v>
      </c>
      <c r="E19" s="403">
        <f>[40]Prices!D13</f>
        <v>125.95</v>
      </c>
      <c r="F19" s="403">
        <f>[40]Prices!E13</f>
        <v>1570.15</v>
      </c>
      <c r="G19" s="403">
        <f>[40]Prices!F13</f>
        <v>179.07</v>
      </c>
      <c r="H19" s="403">
        <f>[40]Prices!G13</f>
        <v>-17.440000000000001</v>
      </c>
      <c r="I19" s="403">
        <f>[40]Prices!H13</f>
        <v>250</v>
      </c>
      <c r="J19" s="403">
        <f>[40]Prices!J$13</f>
        <v>855.96</v>
      </c>
      <c r="K19" s="403">
        <f>[40]Prices!K$13</f>
        <v>221.67</v>
      </c>
      <c r="L19" s="403">
        <f>[40]Prices!L$13</f>
        <v>-169.14</v>
      </c>
      <c r="M19" s="85"/>
    </row>
    <row r="20" spans="2:27" ht="13">
      <c r="B20" s="53">
        <v>45597</v>
      </c>
      <c r="C20" s="403"/>
      <c r="D20" s="402"/>
      <c r="E20" s="402"/>
      <c r="F20" s="402"/>
      <c r="G20" s="402"/>
      <c r="H20" s="403"/>
      <c r="I20" s="402"/>
      <c r="J20" s="402"/>
      <c r="K20" s="402"/>
      <c r="L20" s="402"/>
      <c r="M20" s="85"/>
    </row>
    <row r="21" spans="2:27" ht="13">
      <c r="B21" s="53">
        <v>45627</v>
      </c>
      <c r="C21" s="403"/>
      <c r="D21" s="402"/>
      <c r="E21" s="402"/>
      <c r="F21" s="402"/>
      <c r="G21" s="402"/>
      <c r="H21" s="403"/>
      <c r="I21" s="402"/>
      <c r="J21" s="402"/>
      <c r="K21" s="402"/>
      <c r="L21" s="402"/>
      <c r="M21" s="85"/>
    </row>
    <row r="22" spans="2:27" ht="13">
      <c r="B22" s="53">
        <v>45658</v>
      </c>
      <c r="C22" s="403"/>
      <c r="D22" s="402"/>
      <c r="E22" s="402"/>
      <c r="F22" s="402"/>
      <c r="G22" s="402"/>
      <c r="H22" s="403"/>
      <c r="I22" s="402"/>
      <c r="J22" s="402"/>
      <c r="K22" s="402"/>
      <c r="L22" s="402"/>
    </row>
    <row r="23" spans="2:27" ht="13">
      <c r="B23" s="53">
        <v>45689</v>
      </c>
      <c r="C23" s="403"/>
      <c r="D23" s="402"/>
      <c r="E23" s="402"/>
      <c r="F23" s="402"/>
      <c r="G23" s="402"/>
      <c r="H23" s="403"/>
      <c r="I23" s="402"/>
      <c r="J23" s="402"/>
      <c r="K23" s="402"/>
      <c r="L23" s="402"/>
      <c r="M23" s="85"/>
    </row>
    <row r="24" spans="2:27" ht="13">
      <c r="B24" s="53">
        <v>45717</v>
      </c>
      <c r="C24" s="403"/>
      <c r="D24" s="402"/>
      <c r="E24" s="402"/>
      <c r="F24" s="402"/>
      <c r="G24" s="402"/>
      <c r="H24" s="403"/>
      <c r="I24" s="402"/>
      <c r="J24" s="402"/>
      <c r="K24" s="402"/>
      <c r="L24" s="402"/>
      <c r="M24" s="85"/>
    </row>
    <row r="25" spans="2:27" ht="13">
      <c r="B25" s="53">
        <v>45748</v>
      </c>
      <c r="C25" s="403"/>
      <c r="D25" s="402"/>
      <c r="E25" s="402"/>
      <c r="F25" s="402"/>
      <c r="G25" s="402"/>
      <c r="H25" s="403"/>
      <c r="I25" s="404"/>
      <c r="J25" s="402"/>
      <c r="K25" s="402"/>
      <c r="L25" s="402"/>
      <c r="M25" s="85"/>
    </row>
    <row r="26" spans="2:27" ht="13">
      <c r="B26" s="53">
        <v>45778</v>
      </c>
      <c r="C26" s="403"/>
      <c r="D26" s="404"/>
      <c r="E26" s="404"/>
      <c r="F26" s="404"/>
      <c r="G26" s="404"/>
      <c r="H26" s="403"/>
      <c r="I26" s="404"/>
      <c r="J26" s="404"/>
      <c r="K26" s="405"/>
      <c r="L26" s="402"/>
      <c r="M26" s="85"/>
    </row>
    <row r="27" spans="2:27" ht="13">
      <c r="B27" s="53">
        <v>45809</v>
      </c>
      <c r="C27" s="403"/>
      <c r="D27" s="404"/>
      <c r="E27" s="404"/>
      <c r="F27" s="404"/>
      <c r="G27" s="404"/>
      <c r="H27" s="403"/>
      <c r="I27" s="404"/>
      <c r="J27" s="404"/>
      <c r="K27" s="405"/>
      <c r="L27" s="404"/>
      <c r="M27" s="85"/>
    </row>
    <row r="28" spans="2:27" ht="13">
      <c r="B28" s="53">
        <v>45839</v>
      </c>
      <c r="C28" s="403"/>
      <c r="D28" s="404"/>
      <c r="E28" s="404"/>
      <c r="F28" s="404"/>
      <c r="G28" s="404"/>
      <c r="H28" s="403"/>
      <c r="I28" s="404"/>
      <c r="J28" s="404"/>
      <c r="K28" s="405"/>
      <c r="L28" s="404"/>
      <c r="M28" s="85"/>
    </row>
    <row r="29" spans="2:27" ht="13">
      <c r="B29" s="53">
        <v>45870</v>
      </c>
      <c r="C29" s="403"/>
      <c r="D29" s="404"/>
      <c r="E29" s="404"/>
      <c r="F29" s="404"/>
      <c r="G29" s="404"/>
      <c r="H29" s="403"/>
      <c r="I29" s="404"/>
      <c r="J29" s="404"/>
      <c r="K29" s="404"/>
      <c r="L29" s="404"/>
      <c r="M29" s="85"/>
    </row>
    <row r="30" spans="2:27" s="89" customFormat="1" ht="13">
      <c r="B30" s="53">
        <v>45901</v>
      </c>
      <c r="C30" s="403"/>
      <c r="D30" s="404"/>
      <c r="E30" s="404"/>
      <c r="F30" s="404"/>
      <c r="G30" s="404"/>
      <c r="H30" s="403"/>
      <c r="I30" s="404"/>
      <c r="J30" s="404"/>
      <c r="K30" s="404"/>
      <c r="L30" s="404"/>
      <c r="M30" s="88"/>
      <c r="AA30" s="11"/>
    </row>
    <row r="31" spans="2:27" s="80" customFormat="1" ht="14.5">
      <c r="B31" s="80" t="s">
        <v>43</v>
      </c>
      <c r="C31" s="79">
        <f>AVERAGE(C7:C30)</f>
        <v>75.716153846153844</v>
      </c>
      <c r="D31" s="79">
        <f t="shared" ref="D31:L31" si="0">AVERAGE(D7:D30)</f>
        <v>72.246923076923082</v>
      </c>
      <c r="E31" s="79">
        <f t="shared" si="0"/>
        <v>152.35307692307691</v>
      </c>
      <c r="F31" s="79">
        <f t="shared" si="0"/>
        <v>1217</v>
      </c>
      <c r="G31" s="79">
        <f t="shared" si="0"/>
        <v>193.65076923076924</v>
      </c>
      <c r="H31" s="79">
        <f t="shared" si="0"/>
        <v>-34.435384615384621</v>
      </c>
      <c r="I31" s="79">
        <f t="shared" si="0"/>
        <v>182.58538461538461</v>
      </c>
      <c r="J31" s="79">
        <f t="shared" si="0"/>
        <v>629.45769230769224</v>
      </c>
      <c r="K31" s="79">
        <f t="shared" si="0"/>
        <v>304.20923076923077</v>
      </c>
      <c r="L31" s="79">
        <f t="shared" si="0"/>
        <v>-143.37076923076918</v>
      </c>
    </row>
    <row r="32" spans="2:27" ht="14.5">
      <c r="I32" s="79">
        <f>AVERAGE(I31:L31)</f>
        <v>243.2203846153846</v>
      </c>
      <c r="J32" s="80" t="s">
        <v>44</v>
      </c>
    </row>
    <row r="33" spans="2:23" ht="14.5">
      <c r="I33" s="79"/>
      <c r="J33" s="80"/>
      <c r="V33" s="79"/>
      <c r="W33" s="80"/>
    </row>
    <row r="34" spans="2:23" ht="14.5">
      <c r="I34" s="79"/>
      <c r="J34" s="80"/>
      <c r="V34" s="79"/>
      <c r="W34" s="80"/>
    </row>
    <row r="35" spans="2:23" ht="18.5">
      <c r="B35" s="541" t="s">
        <v>106</v>
      </c>
      <c r="C35" s="541"/>
      <c r="D35" s="541"/>
      <c r="E35" s="541"/>
      <c r="F35" s="541"/>
      <c r="G35" s="541"/>
      <c r="H35" s="541"/>
      <c r="I35" s="541"/>
      <c r="J35" s="541"/>
      <c r="K35" s="541"/>
      <c r="L35" s="541"/>
      <c r="V35" s="79"/>
      <c r="W35" s="80"/>
    </row>
    <row r="36" spans="2:23" ht="14.5">
      <c r="V36" s="79"/>
      <c r="W36" s="80"/>
    </row>
    <row r="37" spans="2:23" ht="14.5">
      <c r="B37" s="81"/>
      <c r="C37" s="542" t="s">
        <v>32</v>
      </c>
      <c r="D37" s="543"/>
      <c r="E37" s="543"/>
      <c r="F37" s="543"/>
      <c r="G37" s="543"/>
      <c r="H37" s="543"/>
      <c r="I37" s="543"/>
      <c r="J37" s="543"/>
      <c r="K37" s="543"/>
      <c r="L37" s="544"/>
      <c r="V37" s="79"/>
      <c r="W37" s="80"/>
    </row>
    <row r="38" spans="2:23" ht="14.5">
      <c r="B38" s="48"/>
      <c r="C38" s="49"/>
      <c r="D38" s="83"/>
      <c r="E38" s="83"/>
      <c r="F38" s="50"/>
      <c r="G38" s="83"/>
      <c r="H38" s="83"/>
      <c r="I38" s="83"/>
      <c r="J38" s="50" t="s">
        <v>33</v>
      </c>
      <c r="K38" s="50" t="s">
        <v>34</v>
      </c>
      <c r="L38" s="50" t="s">
        <v>35</v>
      </c>
      <c r="V38" s="79"/>
      <c r="W38" s="80"/>
    </row>
    <row r="39" spans="2:23" ht="14.5">
      <c r="B39" s="48" t="s">
        <v>36</v>
      </c>
      <c r="C39" s="51" t="s">
        <v>37</v>
      </c>
      <c r="D39" s="51" t="s">
        <v>38</v>
      </c>
      <c r="E39" s="51" t="s">
        <v>1</v>
      </c>
      <c r="F39" s="51" t="s">
        <v>39</v>
      </c>
      <c r="G39" s="51" t="s">
        <v>40</v>
      </c>
      <c r="H39" s="51" t="s">
        <v>2</v>
      </c>
      <c r="I39" s="51" t="s">
        <v>8</v>
      </c>
      <c r="J39" s="51" t="s">
        <v>41</v>
      </c>
      <c r="K39" s="51" t="s">
        <v>41</v>
      </c>
      <c r="L39" s="50" t="s">
        <v>42</v>
      </c>
      <c r="V39" s="79"/>
      <c r="W39" s="80"/>
    </row>
    <row r="40" spans="2:23" ht="14.5">
      <c r="B40" s="84"/>
      <c r="C40" s="52"/>
      <c r="D40" s="84"/>
      <c r="E40" s="84"/>
      <c r="F40" s="84"/>
      <c r="G40" s="84"/>
      <c r="H40" s="84"/>
      <c r="I40" s="84"/>
      <c r="J40" s="84"/>
      <c r="K40" s="84"/>
      <c r="L40" s="84"/>
      <c r="V40" s="79"/>
      <c r="W40" s="80"/>
    </row>
    <row r="41" spans="2:23" ht="14.5">
      <c r="B41" s="53">
        <v>45200</v>
      </c>
      <c r="C41" s="402">
        <f>[41]Prices!B13</f>
        <v>0</v>
      </c>
      <c r="D41" s="402">
        <f>[41]Prices!C13</f>
        <v>54.12</v>
      </c>
      <c r="E41" s="402">
        <f>[41]Prices!D13</f>
        <v>139.84</v>
      </c>
      <c r="F41" s="402">
        <f>[41]Prices!E13</f>
        <v>1356.05</v>
      </c>
      <c r="G41" s="402">
        <f>[41]Prices!F13</f>
        <v>186.08</v>
      </c>
      <c r="H41" s="402">
        <f>[41]Prices!G13</f>
        <v>-26.39</v>
      </c>
      <c r="I41" s="402">
        <f>[41]Prices!H13</f>
        <v>100</v>
      </c>
      <c r="J41" s="402">
        <f>[41]Prices!J13</f>
        <v>520</v>
      </c>
      <c r="K41" s="402">
        <f>[41]Prices!K13</f>
        <v>100</v>
      </c>
      <c r="L41" s="402">
        <f>[41]Prices!L13</f>
        <v>-187.5</v>
      </c>
      <c r="V41" s="79"/>
      <c r="W41" s="80"/>
    </row>
    <row r="42" spans="2:23" ht="14.5">
      <c r="B42" s="53">
        <v>45231</v>
      </c>
      <c r="C42" s="402">
        <f>[41]Prices!B14</f>
        <v>0</v>
      </c>
      <c r="D42" s="402">
        <f>[41]Prices!C14</f>
        <v>56.75</v>
      </c>
      <c r="E42" s="402">
        <f>[41]Prices!D14</f>
        <v>140.37</v>
      </c>
      <c r="F42" s="402">
        <f>[41]Prices!E14</f>
        <v>1360.06</v>
      </c>
      <c r="G42" s="402">
        <f>[41]Prices!F14</f>
        <v>201.66</v>
      </c>
      <c r="H42" s="402">
        <f>[41]Prices!G14</f>
        <v>-22.45</v>
      </c>
      <c r="I42" s="402">
        <f>[41]Prices!H14</f>
        <v>120</v>
      </c>
      <c r="J42" s="402">
        <f>[41]Prices!J14</f>
        <v>540</v>
      </c>
      <c r="K42" s="402">
        <f>[41]Prices!K14</f>
        <v>300</v>
      </c>
      <c r="L42" s="402">
        <f>[41]Prices!L14</f>
        <v>-187.5</v>
      </c>
      <c r="V42" s="79"/>
      <c r="W42" s="80"/>
    </row>
    <row r="43" spans="2:23" ht="14.5">
      <c r="B43" s="53">
        <v>45261</v>
      </c>
      <c r="C43" s="402">
        <f>[41]Prices!B15</f>
        <v>0</v>
      </c>
      <c r="D43" s="402">
        <f>[41]Prices!C15</f>
        <v>56.86</v>
      </c>
      <c r="E43" s="402">
        <f>[41]Prices!D15</f>
        <v>148.05000000000001</v>
      </c>
      <c r="F43" s="402">
        <f>[41]Prices!E15</f>
        <v>1417.34</v>
      </c>
      <c r="G43" s="402">
        <f>[41]Prices!F15</f>
        <v>219.28</v>
      </c>
      <c r="H43" s="402">
        <f>[41]Prices!G15</f>
        <v>-27.75</v>
      </c>
      <c r="I43" s="402">
        <f>[41]Prices!H15</f>
        <v>126.47</v>
      </c>
      <c r="J43" s="402">
        <f>[41]Prices!J15</f>
        <v>553.85</v>
      </c>
      <c r="K43" s="402">
        <f>[41]Prices!K15</f>
        <v>320</v>
      </c>
      <c r="L43" s="402">
        <f>-[41]Prices!L15</f>
        <v>-187.5</v>
      </c>
      <c r="V43" s="79"/>
      <c r="W43" s="80"/>
    </row>
    <row r="44" spans="2:23" ht="14.5">
      <c r="B44" s="53">
        <v>45292</v>
      </c>
      <c r="C44" s="402">
        <f>[42]Prices!B4</f>
        <v>127.91</v>
      </c>
      <c r="D44" s="402">
        <f>[42]Prices!C4</f>
        <v>85.78</v>
      </c>
      <c r="E44" s="402">
        <f>[42]Prices!D4</f>
        <v>150.01</v>
      </c>
      <c r="F44" s="402">
        <f>[42]Prices!E4</f>
        <v>1355.04</v>
      </c>
      <c r="G44" s="402">
        <f>[42]Prices!F4</f>
        <v>225.48</v>
      </c>
      <c r="H44" s="402">
        <f>[42]Prices!G4</f>
        <v>-26.7</v>
      </c>
      <c r="I44" s="402">
        <f>[42]Prices!H4</f>
        <v>150</v>
      </c>
      <c r="J44" s="402">
        <f>[42]Prices!J4</f>
        <v>619.78</v>
      </c>
      <c r="K44" s="402">
        <f>[42]Prices!K4</f>
        <v>340</v>
      </c>
      <c r="L44" s="402">
        <f>[42]Prices!L4</f>
        <v>-187.5</v>
      </c>
      <c r="V44" s="79"/>
      <c r="W44" s="80"/>
    </row>
    <row r="45" spans="2:23" ht="14.5">
      <c r="B45" s="53">
        <v>45323</v>
      </c>
      <c r="C45" s="402">
        <f>[43]Prices!B5</f>
        <v>0</v>
      </c>
      <c r="D45" s="402">
        <f>[43]Prices!C5</f>
        <v>66.48</v>
      </c>
      <c r="E45" s="402">
        <f>[43]Prices!D5</f>
        <v>157.72999999999999</v>
      </c>
      <c r="F45" s="402">
        <f>[43]Prices!E5</f>
        <v>1319.47</v>
      </c>
      <c r="G45" s="402">
        <f>[43]Prices!F5</f>
        <v>220.58</v>
      </c>
      <c r="H45" s="402">
        <f>[43]Prices!G5</f>
        <v>-28.95</v>
      </c>
      <c r="I45" s="402">
        <f>[43]Prices!H5</f>
        <v>150</v>
      </c>
      <c r="J45" s="402">
        <f>[43]Prices!J5</f>
        <v>543.30999999999995</v>
      </c>
      <c r="K45" s="402">
        <f>[43]Prices!K5</f>
        <v>340</v>
      </c>
      <c r="L45" s="402">
        <f>[43]Prices!L5</f>
        <v>-187.5</v>
      </c>
      <c r="V45" s="79"/>
      <c r="W45" s="80"/>
    </row>
    <row r="46" spans="2:23" ht="14.5">
      <c r="B46" s="53">
        <v>45352</v>
      </c>
      <c r="C46" s="402">
        <f>[44]Prices!B6</f>
        <v>0</v>
      </c>
      <c r="D46" s="402">
        <f>[44]Prices!C6</f>
        <v>67.63</v>
      </c>
      <c r="E46" s="402">
        <f>[44]Prices!D6</f>
        <v>175.48</v>
      </c>
      <c r="F46" s="402">
        <f>[44]Prices!E6</f>
        <v>1325.07</v>
      </c>
      <c r="G46" s="402">
        <f>[44]Prices!F6</f>
        <v>194.68</v>
      </c>
      <c r="H46" s="402">
        <f>[44]Prices!G6</f>
        <v>-28.49</v>
      </c>
      <c r="I46" s="402">
        <f>[44]Prices!H6</f>
        <v>150</v>
      </c>
      <c r="J46" s="402">
        <f>[44]Prices!J6</f>
        <v>560</v>
      </c>
      <c r="K46" s="402">
        <f>[44]Prices!K6</f>
        <v>340</v>
      </c>
      <c r="L46" s="402">
        <f>[44]Prices!L6</f>
        <v>-187.5</v>
      </c>
      <c r="V46" s="79"/>
      <c r="W46" s="80"/>
    </row>
    <row r="47" spans="2:23" ht="14.5">
      <c r="B47" s="53">
        <v>45383</v>
      </c>
      <c r="C47" s="402">
        <f>[45]Prices!B7</f>
        <v>0</v>
      </c>
      <c r="D47" s="402">
        <f>[45]Prices!C7</f>
        <v>81.92</v>
      </c>
      <c r="E47" s="402">
        <f>[45]Prices!D7</f>
        <v>150.25</v>
      </c>
      <c r="F47" s="402">
        <f>[45]Prices!E7</f>
        <v>1538.59</v>
      </c>
      <c r="G47" s="402">
        <f>[45]Prices!F7</f>
        <v>193.42</v>
      </c>
      <c r="H47" s="402">
        <f>[45]Prices!G7</f>
        <v>-27.25</v>
      </c>
      <c r="I47" s="402">
        <f>[45]Prices!H7</f>
        <v>171.08</v>
      </c>
      <c r="J47" s="402">
        <f>[45]Prices!J7</f>
        <v>560</v>
      </c>
      <c r="K47" s="402">
        <f>[45]Prices!K7</f>
        <v>340</v>
      </c>
      <c r="L47" s="402">
        <f>[45]Prices!L7</f>
        <v>-187.5</v>
      </c>
      <c r="V47" s="79"/>
      <c r="W47" s="80"/>
    </row>
    <row r="48" spans="2:23" ht="14.5">
      <c r="B48" s="53">
        <v>45413</v>
      </c>
      <c r="C48" s="402">
        <f>[46]Prices!B8</f>
        <v>0</v>
      </c>
      <c r="D48" s="402">
        <f>[46]Prices!C8</f>
        <v>91.75</v>
      </c>
      <c r="E48" s="402">
        <f>[46]Prices!D8</f>
        <v>180.01</v>
      </c>
      <c r="F48" s="402">
        <f>[46]Prices!E8</f>
        <v>1579.12</v>
      </c>
      <c r="G48" s="402">
        <f>[46]Prices!F8</f>
        <v>198</v>
      </c>
      <c r="H48" s="402">
        <f>[46]Prices!G8</f>
        <v>-26.1</v>
      </c>
      <c r="I48" s="402">
        <f>[46]Prices!H8</f>
        <v>210</v>
      </c>
      <c r="J48" s="402">
        <f>[46]Prices!J8</f>
        <v>600</v>
      </c>
      <c r="K48" s="402">
        <f>[46]Prices!K8</f>
        <v>346.65</v>
      </c>
      <c r="L48" s="402">
        <f>[46]Prices!L8</f>
        <v>-187.5</v>
      </c>
      <c r="V48" s="79"/>
      <c r="W48" s="80"/>
    </row>
    <row r="49" spans="2:23" ht="14.5">
      <c r="B49" s="53">
        <v>45444</v>
      </c>
      <c r="C49" s="402">
        <f>[47]Prices!B9</f>
        <v>0</v>
      </c>
      <c r="D49" s="402">
        <f>[47]Prices!C9</f>
        <v>105.54</v>
      </c>
      <c r="E49" s="402">
        <f>[47]Prices!D9</f>
        <v>192.39</v>
      </c>
      <c r="F49" s="402">
        <f>[47]Prices!E9</f>
        <v>1589.98</v>
      </c>
      <c r="G49" s="402">
        <f>[47]Prices!F9</f>
        <v>186.28</v>
      </c>
      <c r="H49" s="402">
        <f>[47]Prices!G9</f>
        <v>-22.01</v>
      </c>
      <c r="I49" s="402">
        <f>[47]Prices!H9</f>
        <v>229.79</v>
      </c>
      <c r="J49" s="402">
        <f>[47]Prices!J9</f>
        <v>600</v>
      </c>
      <c r="K49" s="402">
        <f>[47]Prices!K9</f>
        <v>344.99</v>
      </c>
      <c r="L49" s="402">
        <f>[47]Prices!L9</f>
        <v>-187.5</v>
      </c>
      <c r="V49" s="79"/>
      <c r="W49" s="80"/>
    </row>
    <row r="50" spans="2:23" ht="14.5">
      <c r="B50" s="53">
        <v>45474</v>
      </c>
      <c r="C50" s="402">
        <f>[48]Prices!$B$10</f>
        <v>0</v>
      </c>
      <c r="D50" s="402">
        <f>[48]Prices!$C$10</f>
        <v>101.15</v>
      </c>
      <c r="E50" s="402">
        <f>[48]Prices!$D$10</f>
        <v>187.68</v>
      </c>
      <c r="F50" s="402">
        <f>[48]Prices!$E$10</f>
        <v>1540.01</v>
      </c>
      <c r="G50" s="402">
        <f>[48]Prices!$F$10</f>
        <v>221.74</v>
      </c>
      <c r="H50" s="402">
        <f>[48]Prices!$G$10</f>
        <v>-28.06</v>
      </c>
      <c r="I50" s="402">
        <f>[48]Prices!$H$10</f>
        <v>231.89</v>
      </c>
      <c r="J50" s="402">
        <f>[48]Prices!$J$10</f>
        <v>860</v>
      </c>
      <c r="K50" s="402">
        <f>[48]Prices!$K$10</f>
        <v>220</v>
      </c>
      <c r="L50" s="402">
        <f>[48]Prices!$L$10</f>
        <v>-187.5</v>
      </c>
      <c r="V50" s="79"/>
      <c r="W50" s="80"/>
    </row>
    <row r="51" spans="2:23" ht="14.5">
      <c r="B51" s="53">
        <v>45505</v>
      </c>
      <c r="C51" s="402">
        <f>[49]Prices!B11</f>
        <v>0</v>
      </c>
      <c r="D51" s="402">
        <f>[49]Prices!C11</f>
        <v>102.96</v>
      </c>
      <c r="E51" s="402">
        <f>[49]Prices!D11</f>
        <v>149.78</v>
      </c>
      <c r="F51" s="402">
        <f>[49]Prices!E11</f>
        <v>1535.08</v>
      </c>
      <c r="G51" s="402">
        <f>[49]Prices!F11</f>
        <v>230</v>
      </c>
      <c r="H51" s="402">
        <f>[49]Prices!G11</f>
        <v>-23.97</v>
      </c>
      <c r="I51" s="402">
        <f>[49]Prices!H11</f>
        <v>260</v>
      </c>
      <c r="J51" s="402">
        <f>[49]Prices!J11</f>
        <v>680</v>
      </c>
      <c r="K51" s="402">
        <f>[49]Prices!K11</f>
        <v>200</v>
      </c>
      <c r="L51" s="402">
        <f>[49]Prices!L11</f>
        <v>-187.5</v>
      </c>
      <c r="V51" s="79"/>
      <c r="W51" s="80"/>
    </row>
    <row r="52" spans="2:23" ht="14.5">
      <c r="B52" s="53">
        <v>45536</v>
      </c>
      <c r="C52" s="402">
        <f>[50]Prices!B12</f>
        <v>0</v>
      </c>
      <c r="D52" s="402">
        <f>[50]Prices!C12</f>
        <v>95.78</v>
      </c>
      <c r="E52" s="402">
        <f>[50]Prices!D12</f>
        <v>154.36000000000001</v>
      </c>
      <c r="F52" s="402">
        <f>[50]Prices!E12</f>
        <v>1510.66</v>
      </c>
      <c r="G52" s="402">
        <f>[50]Prices!F12</f>
        <v>219.49</v>
      </c>
      <c r="H52" s="402">
        <f>[50]Prices!G12</f>
        <v>-23.33</v>
      </c>
      <c r="I52" s="402">
        <f>[50]Prices!H12</f>
        <v>260</v>
      </c>
      <c r="J52" s="402">
        <f>[50]Prices!J12</f>
        <v>820</v>
      </c>
      <c r="K52" s="402">
        <f>[50]Prices!K12</f>
        <v>220</v>
      </c>
      <c r="L52" s="402">
        <f>[50]Prices!L12</f>
        <v>-187.5</v>
      </c>
      <c r="V52" s="79"/>
      <c r="W52" s="80"/>
    </row>
    <row r="53" spans="2:23" ht="14.5">
      <c r="B53" s="53">
        <v>45566</v>
      </c>
      <c r="C53" s="402">
        <f>[51]Prices!B13</f>
        <v>0</v>
      </c>
      <c r="D53" s="402">
        <f>[51]Prices!C13</f>
        <v>93.96</v>
      </c>
      <c r="E53" s="402">
        <f>[51]Prices!D13</f>
        <v>127.98</v>
      </c>
      <c r="F53" s="402">
        <f>[51]Prices!E13</f>
        <v>1599.53</v>
      </c>
      <c r="G53" s="402">
        <f>[51]Prices!F13</f>
        <v>225</v>
      </c>
      <c r="H53" s="402">
        <f>[51]Prices!G13</f>
        <v>-24.63</v>
      </c>
      <c r="I53" s="402">
        <f>[51]Prices!H13</f>
        <v>250</v>
      </c>
      <c r="J53" s="402">
        <f>[51]Prices!J13</f>
        <v>880</v>
      </c>
      <c r="K53" s="402">
        <f>[51]Prices!K13</f>
        <v>230</v>
      </c>
      <c r="L53" s="402">
        <f>[51]Prices!L13</f>
        <v>-187.5</v>
      </c>
      <c r="V53" s="79"/>
      <c r="W53" s="80"/>
    </row>
    <row r="54" spans="2:23" ht="14.5">
      <c r="B54" s="53">
        <v>45597</v>
      </c>
      <c r="C54" s="402"/>
      <c r="D54" s="402"/>
      <c r="E54" s="402"/>
      <c r="F54" s="402"/>
      <c r="G54" s="402"/>
      <c r="H54" s="402"/>
      <c r="I54" s="402"/>
      <c r="J54" s="402"/>
      <c r="K54" s="402"/>
      <c r="L54" s="402"/>
      <c r="V54" s="79"/>
      <c r="W54" s="80"/>
    </row>
    <row r="55" spans="2:23" ht="14.5">
      <c r="B55" s="53">
        <v>45627</v>
      </c>
      <c r="C55" s="402"/>
      <c r="D55" s="402"/>
      <c r="E55" s="402"/>
      <c r="F55" s="402"/>
      <c r="G55" s="402"/>
      <c r="H55" s="402"/>
      <c r="I55" s="402"/>
      <c r="J55" s="402"/>
      <c r="K55" s="402"/>
      <c r="L55" s="402"/>
      <c r="V55" s="79"/>
      <c r="W55" s="80"/>
    </row>
    <row r="56" spans="2:23" ht="14.5">
      <c r="B56" s="53">
        <v>45658</v>
      </c>
      <c r="C56" s="402"/>
      <c r="D56" s="402"/>
      <c r="E56" s="402"/>
      <c r="F56" s="402"/>
      <c r="G56" s="402"/>
      <c r="H56" s="402"/>
      <c r="I56" s="402"/>
      <c r="J56" s="402"/>
      <c r="K56" s="402"/>
      <c r="L56" s="402"/>
      <c r="V56" s="79"/>
      <c r="W56" s="80"/>
    </row>
    <row r="57" spans="2:23" ht="14.5">
      <c r="B57" s="53">
        <v>45689</v>
      </c>
      <c r="C57" s="402"/>
      <c r="D57" s="402"/>
      <c r="E57" s="402"/>
      <c r="F57" s="402"/>
      <c r="G57" s="402"/>
      <c r="H57" s="402"/>
      <c r="I57" s="402"/>
      <c r="J57" s="402"/>
      <c r="K57" s="402"/>
      <c r="L57" s="402"/>
      <c r="V57" s="79"/>
      <c r="W57" s="80"/>
    </row>
    <row r="58" spans="2:23" ht="14.5">
      <c r="B58" s="53">
        <v>45717</v>
      </c>
      <c r="C58" s="402"/>
      <c r="D58" s="402"/>
      <c r="E58" s="402"/>
      <c r="F58" s="402"/>
      <c r="G58" s="402"/>
      <c r="H58" s="402"/>
      <c r="I58" s="402"/>
      <c r="J58" s="402"/>
      <c r="K58" s="402"/>
      <c r="L58" s="402"/>
      <c r="V58" s="79"/>
      <c r="W58" s="80"/>
    </row>
    <row r="59" spans="2:23" ht="14.5">
      <c r="B59" s="53">
        <v>45748</v>
      </c>
      <c r="C59" s="402"/>
      <c r="D59" s="402"/>
      <c r="E59" s="402"/>
      <c r="F59" s="402"/>
      <c r="G59" s="402"/>
      <c r="H59" s="402"/>
      <c r="I59" s="402"/>
      <c r="J59" s="402"/>
      <c r="K59" s="402"/>
      <c r="L59" s="402"/>
      <c r="V59" s="79"/>
      <c r="W59" s="80"/>
    </row>
    <row r="60" spans="2:23" ht="14.5">
      <c r="B60" s="53">
        <v>45778</v>
      </c>
      <c r="C60" s="402"/>
      <c r="D60" s="402"/>
      <c r="E60" s="402"/>
      <c r="F60" s="402"/>
      <c r="G60" s="402"/>
      <c r="H60" s="402"/>
      <c r="I60" s="402"/>
      <c r="J60" s="402"/>
      <c r="K60" s="402"/>
      <c r="L60" s="402"/>
      <c r="V60" s="79"/>
      <c r="W60" s="80"/>
    </row>
    <row r="61" spans="2:23" ht="14.5">
      <c r="B61" s="53">
        <v>45809</v>
      </c>
      <c r="C61" s="402"/>
      <c r="D61" s="402"/>
      <c r="E61" s="402"/>
      <c r="F61" s="402"/>
      <c r="G61" s="402"/>
      <c r="H61" s="402"/>
      <c r="I61" s="402"/>
      <c r="J61" s="402"/>
      <c r="K61" s="402"/>
      <c r="L61" s="402"/>
      <c r="V61" s="79"/>
      <c r="W61" s="80"/>
    </row>
    <row r="62" spans="2:23" ht="14.5">
      <c r="B62" s="53">
        <v>45839</v>
      </c>
      <c r="C62" s="402"/>
      <c r="D62" s="404"/>
      <c r="E62" s="404"/>
      <c r="F62" s="404"/>
      <c r="G62" s="404"/>
      <c r="H62" s="402"/>
      <c r="I62" s="404"/>
      <c r="J62" s="402"/>
      <c r="K62" s="402"/>
      <c r="L62" s="402"/>
      <c r="V62" s="79"/>
      <c r="W62" s="80"/>
    </row>
    <row r="63" spans="2:23" ht="14.5">
      <c r="B63" s="53">
        <v>45870</v>
      </c>
      <c r="C63" s="402"/>
      <c r="D63" s="404"/>
      <c r="E63" s="404"/>
      <c r="F63" s="404"/>
      <c r="G63" s="404"/>
      <c r="H63" s="402"/>
      <c r="I63" s="404"/>
      <c r="J63" s="404"/>
      <c r="K63" s="405"/>
      <c r="L63" s="402"/>
      <c r="V63" s="79"/>
      <c r="W63" s="80"/>
    </row>
    <row r="64" spans="2:23" ht="14.5">
      <c r="B64" s="53">
        <v>45901</v>
      </c>
      <c r="C64" s="402"/>
      <c r="D64" s="404"/>
      <c r="E64" s="404"/>
      <c r="F64" s="404"/>
      <c r="G64" s="404"/>
      <c r="H64" s="404"/>
      <c r="I64" s="404"/>
      <c r="J64" s="404"/>
      <c r="K64" s="404"/>
      <c r="L64" s="404"/>
      <c r="V64" s="79"/>
      <c r="W64" s="80"/>
    </row>
    <row r="65" spans="1:23" ht="14.5">
      <c r="B65" s="80" t="s">
        <v>43</v>
      </c>
      <c r="C65" s="79">
        <f>AVERAGE(C41:C64)</f>
        <v>9.8392307692307686</v>
      </c>
      <c r="D65" s="79">
        <f t="shared" ref="D65:L65" si="1">AVERAGE(D41:D64)</f>
        <v>81.590769230769212</v>
      </c>
      <c r="E65" s="79">
        <f t="shared" si="1"/>
        <v>157.9946153846154</v>
      </c>
      <c r="F65" s="79">
        <f t="shared" si="1"/>
        <v>1463.5384615384612</v>
      </c>
      <c r="G65" s="79">
        <f t="shared" si="1"/>
        <v>209.36076923076919</v>
      </c>
      <c r="H65" s="79">
        <f t="shared" si="1"/>
        <v>-25.85230769230769</v>
      </c>
      <c r="I65" s="79">
        <f t="shared" si="1"/>
        <v>185.32538461538462</v>
      </c>
      <c r="J65" s="79">
        <f t="shared" si="1"/>
        <v>641.30307692307701</v>
      </c>
      <c r="K65" s="79">
        <f t="shared" si="1"/>
        <v>280.1261538461539</v>
      </c>
      <c r="L65" s="79">
        <f t="shared" si="1"/>
        <v>-187.5</v>
      </c>
      <c r="V65" s="79"/>
      <c r="W65" s="80"/>
    </row>
    <row r="66" spans="1:23" ht="14.5">
      <c r="I66" s="79">
        <f>AVERAGE(I65:L65)</f>
        <v>229.8136538461539</v>
      </c>
      <c r="J66" s="80" t="s">
        <v>44</v>
      </c>
      <c r="V66" s="79"/>
      <c r="W66" s="80"/>
    </row>
    <row r="67" spans="1:23" ht="14.5">
      <c r="I67" s="79"/>
      <c r="J67" s="80"/>
      <c r="V67" s="79"/>
      <c r="W67" s="80"/>
    </row>
    <row r="68" spans="1:23" ht="13">
      <c r="A68" s="1" t="s">
        <v>190</v>
      </c>
      <c r="B68" s="1"/>
      <c r="C68" s="269">
        <f>+'Customer Counts - Enspire'!K37+'Customer Counts - Enspire'!K38</f>
        <v>0.86106787274650287</v>
      </c>
      <c r="D68" s="78"/>
      <c r="E68" s="78"/>
      <c r="F68" s="78"/>
      <c r="G68" s="78"/>
      <c r="H68" s="78"/>
      <c r="I68" s="78"/>
      <c r="J68" s="78"/>
      <c r="K68" s="78"/>
      <c r="L68" s="78"/>
      <c r="M68" s="78"/>
    </row>
    <row r="69" spans="1:23" ht="13">
      <c r="A69" s="1" t="s">
        <v>191</v>
      </c>
      <c r="B69" s="1"/>
      <c r="C69" s="269">
        <f>1-C68</f>
        <v>0.13893212725349713</v>
      </c>
      <c r="D69" s="78"/>
      <c r="E69" s="78"/>
      <c r="F69" s="78"/>
      <c r="G69" s="78"/>
      <c r="H69" s="78"/>
      <c r="I69" s="78"/>
      <c r="J69" s="78"/>
      <c r="K69" s="78"/>
      <c r="L69" s="78"/>
      <c r="M69" s="78"/>
    </row>
    <row r="70" spans="1:23" ht="13">
      <c r="A70" s="1"/>
      <c r="B70" s="1"/>
      <c r="C70" s="269"/>
      <c r="D70" s="78"/>
      <c r="E70" s="78"/>
      <c r="F70" s="78"/>
      <c r="G70" s="78"/>
      <c r="H70" s="78"/>
      <c r="I70" s="78"/>
      <c r="J70" s="78"/>
      <c r="K70" s="78"/>
      <c r="L70" s="78"/>
      <c r="M70" s="78"/>
    </row>
    <row r="71" spans="1:23">
      <c r="A71" s="283"/>
      <c r="C71" s="78"/>
      <c r="D71" s="78"/>
      <c r="E71" s="78"/>
      <c r="F71" s="78"/>
      <c r="G71" s="78"/>
      <c r="H71" s="78"/>
      <c r="I71" s="78"/>
      <c r="J71" s="78"/>
      <c r="K71" s="78"/>
      <c r="L71" s="78"/>
      <c r="M71" s="78"/>
    </row>
    <row r="72" spans="1:23" ht="13">
      <c r="B72" s="90" t="s">
        <v>45</v>
      </c>
    </row>
    <row r="73" spans="1:23">
      <c r="B73" s="283" t="s">
        <v>325</v>
      </c>
      <c r="C73" s="91"/>
      <c r="D73" s="91">
        <f t="shared" ref="D73:L73" si="2">+D170</f>
        <v>0.15662451429535507</v>
      </c>
      <c r="E73" s="91">
        <f t="shared" si="2"/>
        <v>0.3966504908379252</v>
      </c>
      <c r="F73" s="91">
        <f t="shared" si="2"/>
        <v>1.8846545608997733E-2</v>
      </c>
      <c r="G73" s="91">
        <f t="shared" si="2"/>
        <v>1.7207677942724316E-2</v>
      </c>
      <c r="H73" s="91">
        <f t="shared" si="2"/>
        <v>0.17207839522563009</v>
      </c>
      <c r="I73" s="91">
        <f t="shared" si="2"/>
        <v>3.2370407738296275E-2</v>
      </c>
      <c r="J73" s="91">
        <f t="shared" si="2"/>
        <v>1.0531244946312061E-3</v>
      </c>
      <c r="K73" s="91">
        <f t="shared" si="2"/>
        <v>5.6840416487255246E-3</v>
      </c>
      <c r="L73" s="91">
        <f t="shared" si="2"/>
        <v>2.4504061967333857E-3</v>
      </c>
      <c r="M73" s="86">
        <f>SUM(C73:L73)</f>
        <v>0.80296560398901862</v>
      </c>
      <c r="N73" s="99"/>
    </row>
    <row r="74" spans="1:23">
      <c r="C74" s="92">
        <f t="shared" ref="C74:L74" si="3">+C73*$M74</f>
        <v>0</v>
      </c>
      <c r="D74" s="92">
        <f t="shared" si="3"/>
        <v>632.04791683684516</v>
      </c>
      <c r="E74" s="92">
        <f t="shared" si="3"/>
        <v>1600.6569442485907</v>
      </c>
      <c r="F74" s="92">
        <f t="shared" si="3"/>
        <v>76.053994135775426</v>
      </c>
      <c r="G74" s="92">
        <f t="shared" si="3"/>
        <v>69.440451555295127</v>
      </c>
      <c r="H74" s="92">
        <f t="shared" si="3"/>
        <v>694.41103600097358</v>
      </c>
      <c r="I74" s="92">
        <f t="shared" si="3"/>
        <v>130.62864948182772</v>
      </c>
      <c r="J74" s="92">
        <f t="shared" si="3"/>
        <v>4.2498145708296011</v>
      </c>
      <c r="K74" s="92">
        <f t="shared" si="3"/>
        <v>22.937575892596897</v>
      </c>
      <c r="L74" s="92">
        <f t="shared" si="3"/>
        <v>9.8884528965167497</v>
      </c>
      <c r="M74" s="87">
        <f>+'2023-2024 Recy. Tons &amp; Revenue'!$C$7</f>
        <v>4035.4341699343386</v>
      </c>
      <c r="N74" s="99"/>
      <c r="O74" s="87"/>
      <c r="P74" s="87"/>
    </row>
    <row r="75" spans="1:23">
      <c r="C75" s="57"/>
      <c r="D75" s="57">
        <f>+$C$68*D74*D7+D74*D41*$C$69</f>
        <v>32824.07342493967</v>
      </c>
      <c r="E75" s="57">
        <f t="shared" ref="E75:L75" si="4">+$C$68*E74*E7+E74*E41*$C$69</f>
        <v>214436.03656245218</v>
      </c>
      <c r="F75" s="57">
        <f t="shared" si="4"/>
        <v>85770.277852938205</v>
      </c>
      <c r="G75" s="57">
        <f t="shared" si="4"/>
        <v>12362.4152186137</v>
      </c>
      <c r="H75" s="57">
        <f t="shared" si="4"/>
        <v>-26750.411863222733</v>
      </c>
      <c r="I75" s="57">
        <f t="shared" si="4"/>
        <v>12698.4293161966</v>
      </c>
      <c r="J75" s="57">
        <f t="shared" si="4"/>
        <v>2209.9035768313925</v>
      </c>
      <c r="K75" s="57">
        <f t="shared" si="4"/>
        <v>2963.1125293081072</v>
      </c>
      <c r="L75" s="57">
        <f t="shared" si="4"/>
        <v>-1005.6021282462484</v>
      </c>
      <c r="M75" s="87">
        <f>SUM(C75:L75)</f>
        <v>335508.23448981089</v>
      </c>
      <c r="N75" s="99"/>
    </row>
    <row r="76" spans="1:23">
      <c r="C76" s="91"/>
      <c r="D76" s="136"/>
      <c r="E76" s="91"/>
      <c r="F76" s="91"/>
      <c r="G76" s="91"/>
      <c r="H76" s="91"/>
      <c r="I76" s="91"/>
      <c r="J76" s="91"/>
      <c r="K76" s="91"/>
      <c r="L76" s="91"/>
      <c r="N76" s="99"/>
    </row>
    <row r="77" spans="1:23">
      <c r="B77" s="11" t="s">
        <v>47</v>
      </c>
      <c r="C77" s="91"/>
      <c r="D77" s="91">
        <f t="shared" ref="D77:L77" si="5">+D174</f>
        <v>0.25890114022670857</v>
      </c>
      <c r="E77" s="91">
        <f t="shared" si="5"/>
        <v>0.26881946349916697</v>
      </c>
      <c r="F77" s="91">
        <f t="shared" si="5"/>
        <v>8.4376992613428778E-3</v>
      </c>
      <c r="G77" s="91">
        <f t="shared" si="5"/>
        <v>1.5022402394438871E-2</v>
      </c>
      <c r="H77" s="91">
        <f t="shared" si="5"/>
        <v>0.26311847314581116</v>
      </c>
      <c r="I77" s="91">
        <f t="shared" si="5"/>
        <v>2.3100770505722679E-2</v>
      </c>
      <c r="J77" s="91">
        <f t="shared" si="5"/>
        <v>6.9293754050628754E-4</v>
      </c>
      <c r="K77" s="91">
        <f t="shared" si="5"/>
        <v>4.0175132269772325E-3</v>
      </c>
      <c r="L77" s="91">
        <f t="shared" si="5"/>
        <v>3.2245508148463866E-3</v>
      </c>
      <c r="M77" s="86">
        <f>SUM(C77:L77)</f>
        <v>0.84533495061552089</v>
      </c>
      <c r="N77" s="99"/>
    </row>
    <row r="78" spans="1:23">
      <c r="C78" s="92">
        <f t="shared" ref="C78:L78" si="6">+C77*$M78</f>
        <v>0</v>
      </c>
      <c r="D78" s="92">
        <f t="shared" si="6"/>
        <v>1040.7605486710522</v>
      </c>
      <c r="E78" s="92">
        <f t="shared" si="6"/>
        <v>1080.63136407921</v>
      </c>
      <c r="F78" s="92">
        <f t="shared" si="6"/>
        <v>33.918832899178639</v>
      </c>
      <c r="G78" s="92">
        <f t="shared" si="6"/>
        <v>60.388779071049569</v>
      </c>
      <c r="H78" s="92">
        <f t="shared" si="6"/>
        <v>1057.7138680692219</v>
      </c>
      <c r="I78" s="92">
        <f t="shared" si="6"/>
        <v>92.863131329615342</v>
      </c>
      <c r="J78" s="92">
        <f t="shared" si="6"/>
        <v>2.7855499370168291</v>
      </c>
      <c r="K78" s="92">
        <f t="shared" si="6"/>
        <v>16.150061242452146</v>
      </c>
      <c r="L78" s="92">
        <f t="shared" si="6"/>
        <v>12.962419834607612</v>
      </c>
      <c r="M78" s="87">
        <f>+'2023-2024 Recy. Tons &amp; Revenue'!$C$8</f>
        <v>4019.9148901380004</v>
      </c>
      <c r="N78" s="99"/>
      <c r="O78" s="87"/>
      <c r="P78" s="87"/>
    </row>
    <row r="79" spans="1:23">
      <c r="C79" s="57"/>
      <c r="D79" s="57">
        <f t="shared" ref="D79:L79" si="7">+$C$68*D78*D8+D78*D42*$C$69</f>
        <v>54295.560827730427</v>
      </c>
      <c r="E79" s="57">
        <f t="shared" si="7"/>
        <v>145463.19998102903</v>
      </c>
      <c r="F79" s="57">
        <f t="shared" si="7"/>
        <v>39839.125267610085</v>
      </c>
      <c r="G79" s="57">
        <f t="shared" si="7"/>
        <v>11649.692998137989</v>
      </c>
      <c r="H79" s="57">
        <f t="shared" si="7"/>
        <v>-40622.122702592162</v>
      </c>
      <c r="I79" s="57">
        <f t="shared" si="7"/>
        <v>11143.575759553842</v>
      </c>
      <c r="J79" s="57">
        <f t="shared" si="7"/>
        <v>1504.1969659890879</v>
      </c>
      <c r="K79" s="57">
        <f t="shared" si="7"/>
        <v>4574.2627335661082</v>
      </c>
      <c r="L79" s="57">
        <f t="shared" si="7"/>
        <v>-1318.2079248710834</v>
      </c>
      <c r="M79" s="87">
        <f>SUM(C79:L79)</f>
        <v>226529.28390615332</v>
      </c>
      <c r="N79" s="99"/>
    </row>
    <row r="80" spans="1:23">
      <c r="N80" s="99"/>
    </row>
    <row r="81" spans="2:16">
      <c r="B81" s="11" t="s">
        <v>48</v>
      </c>
      <c r="C81" s="91"/>
      <c r="D81" s="91">
        <f t="shared" ref="D81:L81" si="8">+D178</f>
        <v>0.22727342118888375</v>
      </c>
      <c r="E81" s="91">
        <f t="shared" si="8"/>
        <v>0.28312710215132286</v>
      </c>
      <c r="F81" s="91">
        <f t="shared" si="8"/>
        <v>1.1567130674126078E-2</v>
      </c>
      <c r="G81" s="91">
        <f t="shared" si="8"/>
        <v>4.1691898111569856E-3</v>
      </c>
      <c r="H81" s="91">
        <f t="shared" si="8"/>
        <v>0.28781835248478049</v>
      </c>
      <c r="I81" s="91">
        <f t="shared" si="8"/>
        <v>1.3161373358688914E-2</v>
      </c>
      <c r="J81" s="91">
        <f t="shared" si="8"/>
        <v>6.570486769024885E-3</v>
      </c>
      <c r="K81" s="91">
        <f t="shared" si="8"/>
        <v>1.3775131572444821E-3</v>
      </c>
      <c r="L81" s="91">
        <f t="shared" si="8"/>
        <v>4.2833382894184703E-3</v>
      </c>
      <c r="M81" s="86">
        <f>SUM(C81:L81)</f>
        <v>0.83934790788464686</v>
      </c>
      <c r="N81" s="99"/>
    </row>
    <row r="82" spans="2:16">
      <c r="C82" s="92">
        <f t="shared" ref="C82:L82" si="9">+C81*$M82</f>
        <v>0</v>
      </c>
      <c r="D82" s="92">
        <f t="shared" si="9"/>
        <v>903.70636664867629</v>
      </c>
      <c r="E82" s="92">
        <f t="shared" si="9"/>
        <v>1125.7971277349488</v>
      </c>
      <c r="F82" s="92">
        <f t="shared" si="9"/>
        <v>45.994333958555359</v>
      </c>
      <c r="G82" s="92">
        <f t="shared" si="9"/>
        <v>16.577932238623092</v>
      </c>
      <c r="H82" s="92">
        <f t="shared" si="9"/>
        <v>1144.4509270736978</v>
      </c>
      <c r="I82" s="92">
        <f t="shared" si="9"/>
        <v>52.333514565271109</v>
      </c>
      <c r="J82" s="92">
        <f t="shared" si="9"/>
        <v>26.12619942132989</v>
      </c>
      <c r="K82" s="92">
        <f t="shared" si="9"/>
        <v>5.47739988174669</v>
      </c>
      <c r="L82" s="92">
        <f t="shared" si="9"/>
        <v>17.031820361609675</v>
      </c>
      <c r="M82" s="87">
        <f>+'2023-2024 Recy. Tons &amp; Revenue'!$C$9</f>
        <v>3976.295872704</v>
      </c>
      <c r="N82" s="99"/>
      <c r="O82" s="87"/>
      <c r="P82" s="87"/>
    </row>
    <row r="83" spans="2:16">
      <c r="C83" s="57"/>
      <c r="D83" s="57">
        <f>+$C$68*D82*D9+D82*D43*$C$69</f>
        <v>53470.192757807032</v>
      </c>
      <c r="E83" s="57">
        <f t="shared" ref="E83:L83" si="10">+$C$68*E82*E9+E82*E43*$C$69</f>
        <v>159306.91795294546</v>
      </c>
      <c r="F83" s="57">
        <f t="shared" si="10"/>
        <v>56720.637905528565</v>
      </c>
      <c r="G83" s="57">
        <f t="shared" si="10"/>
        <v>3553.1293134136017</v>
      </c>
      <c r="H83" s="57">
        <f t="shared" si="10"/>
        <v>-43465.658338123889</v>
      </c>
      <c r="I83" s="57">
        <f t="shared" si="10"/>
        <v>6777.6909465218705</v>
      </c>
      <c r="J83" s="57">
        <f t="shared" si="10"/>
        <v>16115.384509821082</v>
      </c>
      <c r="K83" s="57">
        <f t="shared" si="10"/>
        <v>3200.6596087860707</v>
      </c>
      <c r="L83" s="57">
        <f t="shared" si="10"/>
        <v>-2924.2067587039232</v>
      </c>
      <c r="M83" s="87">
        <f>SUM(C83:L83)</f>
        <v>252754.7478979959</v>
      </c>
      <c r="N83" s="99"/>
    </row>
    <row r="84" spans="2:16">
      <c r="N84" s="99"/>
    </row>
    <row r="85" spans="2:16">
      <c r="B85" s="283" t="s">
        <v>324</v>
      </c>
      <c r="C85" s="91"/>
      <c r="D85" s="91">
        <f t="shared" ref="D85:L85" si="11">+D182</f>
        <v>0.3108522229436349</v>
      </c>
      <c r="E85" s="91">
        <f t="shared" si="11"/>
        <v>0.27230173218791809</v>
      </c>
      <c r="F85" s="91">
        <f t="shared" si="11"/>
        <v>1.3993983076742407E-2</v>
      </c>
      <c r="G85" s="91">
        <f t="shared" si="11"/>
        <v>2.9690329066502669E-3</v>
      </c>
      <c r="H85" s="91">
        <f t="shared" si="11"/>
        <v>0.22717777431991823</v>
      </c>
      <c r="I85" s="91">
        <f t="shared" si="11"/>
        <v>2.9012723280005551E-2</v>
      </c>
      <c r="J85" s="91">
        <f t="shared" si="11"/>
        <v>4.2485882297051466E-3</v>
      </c>
      <c r="K85" s="91">
        <f t="shared" si="11"/>
        <v>3.1193214155103605E-3</v>
      </c>
      <c r="L85" s="91">
        <f t="shared" si="11"/>
        <v>1.620967573067024E-3</v>
      </c>
      <c r="M85" s="86">
        <f>SUM(C85:L85)</f>
        <v>0.86529634593315219</v>
      </c>
      <c r="N85" s="99"/>
    </row>
    <row r="86" spans="2:16">
      <c r="C86" s="92">
        <f t="shared" ref="C86:L86" si="12">+C85*$M86</f>
        <v>0</v>
      </c>
      <c r="D86" s="92">
        <f t="shared" si="12"/>
        <v>1240.9952532172122</v>
      </c>
      <c r="E86" s="92">
        <f t="shared" si="12"/>
        <v>1087.0926187627906</v>
      </c>
      <c r="F86" s="92">
        <f t="shared" si="12"/>
        <v>55.867274833637879</v>
      </c>
      <c r="G86" s="92">
        <f t="shared" si="12"/>
        <v>11.853078317753525</v>
      </c>
      <c r="H86" s="92">
        <f t="shared" si="12"/>
        <v>906.94715610442893</v>
      </c>
      <c r="I86" s="92">
        <f t="shared" si="12"/>
        <v>115.82562135938116</v>
      </c>
      <c r="J86" s="92">
        <f t="shared" si="12"/>
        <v>16.961364393699814</v>
      </c>
      <c r="K86" s="92">
        <f t="shared" si="12"/>
        <v>12.453065425268234</v>
      </c>
      <c r="L86" s="92">
        <f t="shared" si="12"/>
        <v>6.4712841515048645</v>
      </c>
      <c r="M86" s="87">
        <f>+'2023-2024 Recy. Tons &amp; Revenue'!C10</f>
        <v>3992.235414839658</v>
      </c>
      <c r="N86" s="99"/>
      <c r="O86" s="87"/>
      <c r="P86" s="87"/>
    </row>
    <row r="87" spans="2:16">
      <c r="C87" s="57"/>
      <c r="D87" s="57">
        <f t="shared" ref="D87:L87" si="13">+$C$68*D86*D10+D86*D44*$C$69</f>
        <v>86641.078433900722</v>
      </c>
      <c r="E87" s="57">
        <f t="shared" si="13"/>
        <v>164609.90300770127</v>
      </c>
      <c r="F87" s="57">
        <f t="shared" si="13"/>
        <v>63642.33935543846</v>
      </c>
      <c r="G87" s="57">
        <f t="shared" si="13"/>
        <v>2499.5331674307499</v>
      </c>
      <c r="H87" s="57">
        <f t="shared" si="13"/>
        <v>-40521.580127387162</v>
      </c>
      <c r="I87" s="57">
        <f t="shared" si="13"/>
        <v>17373.843203907174</v>
      </c>
      <c r="J87" s="57">
        <f t="shared" si="13"/>
        <v>10515.527498837891</v>
      </c>
      <c r="K87" s="57">
        <f t="shared" si="13"/>
        <v>4234.0422445911991</v>
      </c>
      <c r="L87" s="57">
        <f t="shared" si="13"/>
        <v>-150.29862392996222</v>
      </c>
      <c r="M87" s="87">
        <f>SUM(C87:L87)</f>
        <v>308844.38816049043</v>
      </c>
      <c r="N87" s="99"/>
    </row>
    <row r="88" spans="2:16">
      <c r="C88" s="91"/>
      <c r="D88" s="92"/>
      <c r="E88" s="92"/>
      <c r="F88" s="92"/>
      <c r="G88" s="92"/>
      <c r="H88" s="92"/>
      <c r="I88" s="92"/>
      <c r="J88" s="92"/>
      <c r="K88" s="92"/>
      <c r="L88" s="91"/>
      <c r="N88" s="99"/>
    </row>
    <row r="89" spans="2:16">
      <c r="B89" s="11" t="s">
        <v>49</v>
      </c>
      <c r="C89" s="91"/>
      <c r="D89" s="91">
        <f t="shared" ref="D89:L89" si="14">+D186</f>
        <v>0.33786259020063059</v>
      </c>
      <c r="E89" s="91">
        <f t="shared" si="14"/>
        <v>0.20226605790196261</v>
      </c>
      <c r="F89" s="91">
        <f t="shared" si="14"/>
        <v>1.6508690189646617E-2</v>
      </c>
      <c r="G89" s="91">
        <f t="shared" si="14"/>
        <v>1.5999593815230029E-2</v>
      </c>
      <c r="H89" s="91">
        <f t="shared" si="14"/>
        <v>0.23333069690828254</v>
      </c>
      <c r="I89" s="91">
        <f t="shared" si="14"/>
        <v>3.1820166952459192E-2</v>
      </c>
      <c r="J89" s="91">
        <f t="shared" si="14"/>
        <v>5.5010930375520651E-3</v>
      </c>
      <c r="K89" s="91">
        <f t="shared" si="14"/>
        <v>6.9403383753782449E-3</v>
      </c>
      <c r="L89" s="91">
        <f t="shared" si="14"/>
        <v>0</v>
      </c>
      <c r="M89" s="86">
        <f>SUM(C89:L89)</f>
        <v>0.85022922738114182</v>
      </c>
      <c r="N89" s="99"/>
    </row>
    <row r="90" spans="2:16">
      <c r="C90" s="92">
        <f t="shared" ref="C90:L90" si="15">+C89*$M90</f>
        <v>0</v>
      </c>
      <c r="D90" s="92">
        <f t="shared" si="15"/>
        <v>1140.923638065555</v>
      </c>
      <c r="E90" s="92">
        <f t="shared" si="15"/>
        <v>683.02953133002609</v>
      </c>
      <c r="F90" s="92">
        <f t="shared" si="15"/>
        <v>55.747973931307413</v>
      </c>
      <c r="G90" s="92">
        <f t="shared" si="15"/>
        <v>54.028813229672942</v>
      </c>
      <c r="H90" s="92">
        <f t="shared" si="15"/>
        <v>787.93129310612915</v>
      </c>
      <c r="I90" s="92">
        <f t="shared" si="15"/>
        <v>107.45309393885456</v>
      </c>
      <c r="J90" s="92">
        <f t="shared" si="15"/>
        <v>18.576567112724639</v>
      </c>
      <c r="K90" s="92">
        <f t="shared" si="15"/>
        <v>23.436735342437302</v>
      </c>
      <c r="L90" s="92">
        <f t="shared" si="15"/>
        <v>0</v>
      </c>
      <c r="M90" s="87">
        <f>+'2023-2024 Recy. Tons &amp; Revenue'!C11</f>
        <v>3376.8865543475772</v>
      </c>
      <c r="N90" s="99"/>
      <c r="O90" s="87"/>
      <c r="P90" s="87"/>
    </row>
    <row r="91" spans="2:16">
      <c r="C91" s="57"/>
      <c r="D91" s="57">
        <f t="shared" ref="D91:L91" si="16">+$C$68*D90*D11+D90*D45*$C$69</f>
        <v>76261.216788396137</v>
      </c>
      <c r="E91" s="57">
        <f t="shared" si="16"/>
        <v>106752.06288479082</v>
      </c>
      <c r="F91" s="57">
        <f t="shared" si="16"/>
        <v>59151.182031535929</v>
      </c>
      <c r="G91" s="57">
        <f t="shared" si="16"/>
        <v>13472.456745881484</v>
      </c>
      <c r="H91" s="57">
        <f t="shared" si="16"/>
        <v>-34873.671028144192</v>
      </c>
      <c r="I91" s="57">
        <f t="shared" si="16"/>
        <v>16117.964090828187</v>
      </c>
      <c r="J91" s="57">
        <f t="shared" si="16"/>
        <v>10359.80266277882</v>
      </c>
      <c r="K91" s="57">
        <f t="shared" si="16"/>
        <v>7968.4900164286828</v>
      </c>
      <c r="L91" s="57">
        <f t="shared" si="16"/>
        <v>0</v>
      </c>
      <c r="M91" s="87">
        <f>SUM(C91:L91)</f>
        <v>255209.50419249584</v>
      </c>
      <c r="N91" s="99"/>
    </row>
    <row r="92" spans="2:16">
      <c r="N92" s="99"/>
    </row>
    <row r="93" spans="2:16">
      <c r="B93" s="11" t="s">
        <v>50</v>
      </c>
      <c r="C93" s="91"/>
      <c r="D93" s="91">
        <f t="shared" ref="D93:L93" si="17">+D190</f>
        <v>0.25073140984988146</v>
      </c>
      <c r="E93" s="91">
        <f t="shared" si="17"/>
        <v>0.22165879056887627</v>
      </c>
      <c r="F93" s="91">
        <f t="shared" si="17"/>
        <v>1.7833065860047015E-2</v>
      </c>
      <c r="G93" s="91">
        <f t="shared" si="17"/>
        <v>1.5127902066238569E-2</v>
      </c>
      <c r="H93" s="91">
        <f t="shared" si="17"/>
        <v>0.1602034450948448</v>
      </c>
      <c r="I93" s="91">
        <f t="shared" si="17"/>
        <v>3.645063354440941E-2</v>
      </c>
      <c r="J93" s="91">
        <f t="shared" si="17"/>
        <v>5.2073105797535504E-3</v>
      </c>
      <c r="K93" s="91">
        <f t="shared" si="17"/>
        <v>8.5703878505887787E-3</v>
      </c>
      <c r="L93" s="91">
        <f t="shared" si="17"/>
        <v>0</v>
      </c>
      <c r="M93" s="86">
        <f>SUM(C93:L93)</f>
        <v>0.71578294541463983</v>
      </c>
      <c r="N93" s="99"/>
    </row>
    <row r="94" spans="2:16">
      <c r="C94" s="92">
        <f t="shared" ref="C94:L94" si="18">+C93*$M94</f>
        <v>0</v>
      </c>
      <c r="D94" s="92">
        <f t="shared" si="18"/>
        <v>869.85705318930127</v>
      </c>
      <c r="E94" s="92">
        <f t="shared" si="18"/>
        <v>768.99604438545521</v>
      </c>
      <c r="F94" s="92">
        <f t="shared" si="18"/>
        <v>61.867869397131948</v>
      </c>
      <c r="G94" s="92">
        <f t="shared" si="18"/>
        <v>52.482903199695961</v>
      </c>
      <c r="H94" s="92">
        <f t="shared" si="18"/>
        <v>555.79034451411633</v>
      </c>
      <c r="I94" s="92">
        <f t="shared" si="18"/>
        <v>126.45739399306478</v>
      </c>
      <c r="J94" s="92">
        <f t="shared" si="18"/>
        <v>18.065609883731273</v>
      </c>
      <c r="K94" s="92">
        <f t="shared" si="18"/>
        <v>29.733061066684979</v>
      </c>
      <c r="L94" s="92">
        <f t="shared" si="18"/>
        <v>0</v>
      </c>
      <c r="M94" s="87">
        <f>+'2023-2024 Recy. Tons &amp; Revenue'!C12</f>
        <v>3469.2783553129793</v>
      </c>
      <c r="N94" s="99"/>
      <c r="O94" s="87"/>
      <c r="P94" s="87"/>
    </row>
    <row r="95" spans="2:16">
      <c r="C95" s="57"/>
      <c r="D95" s="57">
        <f t="shared" ref="D95:L95" si="19">+$C$68*D94*D12+D94*D46*$C$69</f>
        <v>58109.38678330453</v>
      </c>
      <c r="E95" s="57">
        <f t="shared" si="19"/>
        <v>126818.74980890204</v>
      </c>
      <c r="F95" s="57">
        <f t="shared" si="19"/>
        <v>65638.471084281759</v>
      </c>
      <c r="G95" s="57">
        <f t="shared" si="19"/>
        <v>9926.791267054572</v>
      </c>
      <c r="H95" s="57">
        <f t="shared" si="19"/>
        <v>-24563.642259110376</v>
      </c>
      <c r="I95" s="57">
        <f t="shared" si="19"/>
        <v>18892.387219492644</v>
      </c>
      <c r="J95" s="57">
        <f t="shared" si="19"/>
        <v>10116.741534889514</v>
      </c>
      <c r="K95" s="57">
        <f t="shared" si="19"/>
        <v>10109.240762672893</v>
      </c>
      <c r="L95" s="57">
        <f t="shared" si="19"/>
        <v>0</v>
      </c>
      <c r="M95" s="87">
        <f>SUM(C95:L95)</f>
        <v>275048.12620148761</v>
      </c>
      <c r="N95" s="99"/>
    </row>
    <row r="96" spans="2:16">
      <c r="N96" s="99"/>
    </row>
    <row r="97" spans="2:16">
      <c r="B97" s="11" t="s">
        <v>51</v>
      </c>
      <c r="C97" s="91">
        <f>+C194</f>
        <v>0</v>
      </c>
      <c r="D97" s="91">
        <f t="shared" ref="D97:L97" si="20">+D194</f>
        <v>0.15396344773270537</v>
      </c>
      <c r="E97" s="91">
        <f t="shared" si="20"/>
        <v>0.23160987491537</v>
      </c>
      <c r="F97" s="91">
        <f t="shared" si="20"/>
        <v>1.8978834109396252E-2</v>
      </c>
      <c r="G97" s="91">
        <f t="shared" si="20"/>
        <v>1.909430595499164E-2</v>
      </c>
      <c r="H97" s="91">
        <f t="shared" si="20"/>
        <v>0.15805727008765991</v>
      </c>
      <c r="I97" s="91">
        <f t="shared" si="20"/>
        <v>3.3855950353028026E-2</v>
      </c>
      <c r="J97" s="91">
        <f t="shared" si="20"/>
        <v>5.0254926305275975E-3</v>
      </c>
      <c r="K97" s="91">
        <f t="shared" si="20"/>
        <v>8.3958888075212623E-3</v>
      </c>
      <c r="L97" s="91">
        <f t="shared" si="20"/>
        <v>0</v>
      </c>
      <c r="M97" s="86">
        <f>SUM(C97:L97)</f>
        <v>0.62898106459120007</v>
      </c>
      <c r="N97" s="99"/>
    </row>
    <row r="98" spans="2:16">
      <c r="C98" s="92">
        <f>+C97*$M98</f>
        <v>0</v>
      </c>
      <c r="D98" s="92">
        <f>+D97*$M98</f>
        <v>485.90631479605986</v>
      </c>
      <c r="E98" s="92">
        <f>+E97*$M98</f>
        <v>730.95726581730469</v>
      </c>
      <c r="F98" s="92">
        <f>+F97*$M98</f>
        <v>59.896913696247026</v>
      </c>
      <c r="G98" s="92">
        <f t="shared" ref="G98:L98" si="21">+G97*$M98</f>
        <v>60.261341096270989</v>
      </c>
      <c r="H98" s="92">
        <f t="shared" si="21"/>
        <v>498.82635629434549</v>
      </c>
      <c r="I98" s="92">
        <f t="shared" si="21"/>
        <v>106.84886778138626</v>
      </c>
      <c r="J98" s="92">
        <f t="shared" si="21"/>
        <v>15.860378811299523</v>
      </c>
      <c r="K98" s="92">
        <f t="shared" si="21"/>
        <v>26.497298222255502</v>
      </c>
      <c r="L98" s="92">
        <f t="shared" si="21"/>
        <v>0</v>
      </c>
      <c r="M98" s="87">
        <f>+'2023-2024 Recy. Tons &amp; Revenue'!C13</f>
        <v>3155.9848909050002</v>
      </c>
      <c r="N98" s="99"/>
      <c r="O98" s="87"/>
      <c r="P98" s="87"/>
    </row>
    <row r="99" spans="2:16">
      <c r="C99" s="57"/>
      <c r="D99" s="57">
        <f t="shared" ref="D99:L99" si="22">+$C$68*D98*D13+D98*D47*$C$69</f>
        <v>37797.133387282651</v>
      </c>
      <c r="E99" s="57">
        <f t="shared" si="22"/>
        <v>114905.61799987349</v>
      </c>
      <c r="F99" s="57">
        <f t="shared" si="22"/>
        <v>80099.001172442484</v>
      </c>
      <c r="G99" s="57">
        <f t="shared" si="22"/>
        <v>11364.131825939945</v>
      </c>
      <c r="H99" s="57">
        <f t="shared" si="22"/>
        <v>-7227.4821696641638</v>
      </c>
      <c r="I99" s="57">
        <f t="shared" si="22"/>
        <v>17019.24775622286</v>
      </c>
      <c r="J99" s="57">
        <f t="shared" si="22"/>
        <v>8881.8121343277326</v>
      </c>
      <c r="K99" s="57">
        <f t="shared" si="22"/>
        <v>9009.0813955668709</v>
      </c>
      <c r="L99" s="57">
        <f t="shared" si="22"/>
        <v>0</v>
      </c>
      <c r="M99" s="87">
        <f>SUM(C99:L99)</f>
        <v>271848.54350199184</v>
      </c>
      <c r="N99" s="99"/>
    </row>
    <row r="100" spans="2:16">
      <c r="N100" s="99"/>
    </row>
    <row r="101" spans="2:16">
      <c r="B101" s="11" t="s">
        <v>52</v>
      </c>
      <c r="C101" s="91"/>
      <c r="D101" s="91">
        <f t="shared" ref="D101:L101" si="23">+D198</f>
        <v>0.15671472845221274</v>
      </c>
      <c r="E101" s="91">
        <f t="shared" si="23"/>
        <v>0.22207530894074115</v>
      </c>
      <c r="F101" s="91">
        <f t="shared" si="23"/>
        <v>1.8301274795275529E-2</v>
      </c>
      <c r="G101" s="91">
        <f t="shared" si="23"/>
        <v>1.579832785579903E-2</v>
      </c>
      <c r="H101" s="91">
        <f t="shared" si="23"/>
        <v>0.15069399448863768</v>
      </c>
      <c r="I101" s="91">
        <f t="shared" si="23"/>
        <v>4.1378152834916748E-2</v>
      </c>
      <c r="J101" s="91">
        <f t="shared" si="23"/>
        <v>5.4762332258643702E-3</v>
      </c>
      <c r="K101" s="91">
        <f t="shared" si="23"/>
        <v>1.1440370338566265E-2</v>
      </c>
      <c r="L101" s="91">
        <f t="shared" si="23"/>
        <v>0</v>
      </c>
      <c r="M101" s="86">
        <f>SUM(C101:L101)</f>
        <v>0.62187839093201347</v>
      </c>
      <c r="N101" s="99"/>
    </row>
    <row r="102" spans="2:16">
      <c r="C102" s="92">
        <f>+C101*$M102</f>
        <v>0</v>
      </c>
      <c r="D102" s="92">
        <f>+D101*$M102</f>
        <v>596.08164089261788</v>
      </c>
      <c r="E102" s="92">
        <f>+E101*$M102</f>
        <v>844.68777033613242</v>
      </c>
      <c r="F102" s="92">
        <f>+F101*$M102</f>
        <v>69.61090395355572</v>
      </c>
      <c r="G102" s="92">
        <f t="shared" ref="G102:L102" si="24">+G101*$M102</f>
        <v>60.090671021491175</v>
      </c>
      <c r="H102" s="92">
        <f t="shared" si="24"/>
        <v>573.18111957065366</v>
      </c>
      <c r="I102" s="92">
        <f t="shared" si="24"/>
        <v>157.38633810965487</v>
      </c>
      <c r="J102" s="92">
        <f t="shared" si="24"/>
        <v>20.829453105164205</v>
      </c>
      <c r="K102" s="92">
        <f t="shared" si="24"/>
        <v>43.514702103518381</v>
      </c>
      <c r="L102" s="92">
        <f t="shared" si="24"/>
        <v>0</v>
      </c>
      <c r="M102" s="87">
        <f>+'2023-2024 Recy. Tons &amp; Revenue'!C14</f>
        <v>3803.6095699478683</v>
      </c>
      <c r="N102" s="99"/>
      <c r="O102" s="87"/>
      <c r="P102" s="87"/>
    </row>
    <row r="103" spans="2:16">
      <c r="C103" s="57"/>
      <c r="D103" s="57">
        <f t="shared" ref="D103:L103" si="25">+$C$68*D102*D14+D102*D48*$C$69</f>
        <v>49388.445019163977</v>
      </c>
      <c r="E103" s="57">
        <f t="shared" si="25"/>
        <v>144662.53716257785</v>
      </c>
      <c r="F103" s="57">
        <f t="shared" si="25"/>
        <v>92821.97174161693</v>
      </c>
      <c r="G103" s="57">
        <f t="shared" si="25"/>
        <v>11362.939069840149</v>
      </c>
      <c r="H103" s="57">
        <f t="shared" si="25"/>
        <v>-14742.866167970109</v>
      </c>
      <c r="I103" s="57">
        <f t="shared" si="25"/>
        <v>33051.13100302752</v>
      </c>
      <c r="J103" s="57">
        <f t="shared" si="25"/>
        <v>12497.671863098523</v>
      </c>
      <c r="K103" s="57">
        <f t="shared" si="25"/>
        <v>15084.371484184647</v>
      </c>
      <c r="L103" s="57">
        <f t="shared" si="25"/>
        <v>0</v>
      </c>
      <c r="M103" s="87">
        <f>SUM(C103:L103)</f>
        <v>344126.20117553941</v>
      </c>
      <c r="N103" s="99"/>
    </row>
    <row r="104" spans="2:16">
      <c r="N104" s="99"/>
    </row>
    <row r="105" spans="2:16">
      <c r="B105" s="11" t="s">
        <v>53</v>
      </c>
      <c r="C105" s="91"/>
      <c r="D105" s="91">
        <f t="shared" ref="D105:L105" si="26">+D202</f>
        <v>0.21392375358392546</v>
      </c>
      <c r="E105" s="91">
        <f t="shared" si="26"/>
        <v>0.28918270236109245</v>
      </c>
      <c r="F105" s="91">
        <f t="shared" si="26"/>
        <v>1.7648944920235877E-2</v>
      </c>
      <c r="G105" s="91">
        <f t="shared" si="26"/>
        <v>1.4221852535118986E-2</v>
      </c>
      <c r="H105" s="91">
        <f t="shared" si="26"/>
        <v>0.15736743541963874</v>
      </c>
      <c r="I105" s="91">
        <f t="shared" si="26"/>
        <v>3.1608247326867941E-2</v>
      </c>
      <c r="J105" s="91">
        <f t="shared" si="26"/>
        <v>5.1487706613010413E-3</v>
      </c>
      <c r="K105" s="91">
        <f t="shared" si="26"/>
        <v>8.8151786502599951E-3</v>
      </c>
      <c r="L105" s="91">
        <f t="shared" si="26"/>
        <v>0</v>
      </c>
      <c r="M105" s="86">
        <f>SUM(C105:L105)</f>
        <v>0.73791688545844047</v>
      </c>
      <c r="N105" s="99"/>
    </row>
    <row r="106" spans="2:16">
      <c r="C106" s="92">
        <f>+C105*$M106</f>
        <v>0</v>
      </c>
      <c r="D106" s="92">
        <f>+D105*$M106</f>
        <v>737.30874438551757</v>
      </c>
      <c r="E106" s="92">
        <f>+E105*$M106</f>
        <v>996.69593303120382</v>
      </c>
      <c r="F106" s="92">
        <f>+F105*$M106</f>
        <v>60.828782221994764</v>
      </c>
      <c r="G106" s="92">
        <f t="shared" ref="G106:L106" si="27">+G105*$M106</f>
        <v>49.0169794603515</v>
      </c>
      <c r="H106" s="92">
        <f t="shared" si="27"/>
        <v>542.38196681091426</v>
      </c>
      <c r="I106" s="92">
        <f t="shared" si="27"/>
        <v>108.94085747077631</v>
      </c>
      <c r="J106" s="92">
        <f t="shared" si="27"/>
        <v>17.745732149017957</v>
      </c>
      <c r="K106" s="92">
        <f t="shared" si="27"/>
        <v>30.382359103508183</v>
      </c>
      <c r="L106" s="92">
        <f t="shared" si="27"/>
        <v>0</v>
      </c>
      <c r="M106" s="87">
        <f>+'2023-2024 Recy. Tons &amp; Revenue'!C15</f>
        <v>3446.5959578269108</v>
      </c>
      <c r="N106" s="99"/>
      <c r="O106" s="87"/>
      <c r="P106" s="87"/>
    </row>
    <row r="107" spans="2:16">
      <c r="C107" s="57"/>
      <c r="D107" s="57">
        <f t="shared" ref="D107:L107" si="28">+$C$68*D106*D15+D106*D49*$C$69</f>
        <v>69276.524752898462</v>
      </c>
      <c r="E107" s="57">
        <f t="shared" si="28"/>
        <v>176992.89759039265</v>
      </c>
      <c r="F107" s="57">
        <f t="shared" si="28"/>
        <v>85454.291929549567</v>
      </c>
      <c r="G107" s="57">
        <f t="shared" si="28"/>
        <v>9056.598708505282</v>
      </c>
      <c r="H107" s="57">
        <f t="shared" si="28"/>
        <v>-16888.320565114369</v>
      </c>
      <c r="I107" s="57">
        <f t="shared" si="28"/>
        <v>23177.109339462346</v>
      </c>
      <c r="J107" s="57">
        <f t="shared" si="28"/>
        <v>10647.439289410773</v>
      </c>
      <c r="K107" s="57">
        <f t="shared" si="28"/>
        <v>10481.610067119287</v>
      </c>
      <c r="L107" s="57">
        <f t="shared" si="28"/>
        <v>0</v>
      </c>
      <c r="M107" s="87">
        <f>SUM(C107:L107)</f>
        <v>368198.15111222398</v>
      </c>
      <c r="N107" s="99"/>
    </row>
    <row r="108" spans="2:16">
      <c r="N108" s="99"/>
    </row>
    <row r="109" spans="2:16">
      <c r="B109" s="11" t="s">
        <v>54</v>
      </c>
      <c r="C109" s="91"/>
      <c r="D109" s="91">
        <f t="shared" ref="D109:L109" si="29">+D206</f>
        <v>0.12015604212916675</v>
      </c>
      <c r="E109" s="91">
        <f t="shared" si="29"/>
        <v>0.2641466565908101</v>
      </c>
      <c r="F109" s="91">
        <f t="shared" si="29"/>
        <v>1.7057367592407776E-2</v>
      </c>
      <c r="G109" s="91">
        <f t="shared" si="29"/>
        <v>1.5150973694402291E-2</v>
      </c>
      <c r="H109" s="91">
        <f t="shared" si="29"/>
        <v>0.16113351643035759</v>
      </c>
      <c r="I109" s="91">
        <f t="shared" si="29"/>
        <v>3.8355659723099886E-2</v>
      </c>
      <c r="J109" s="91">
        <f t="shared" si="29"/>
        <v>4.7648225931617239E-3</v>
      </c>
      <c r="K109" s="91">
        <f t="shared" si="29"/>
        <v>8.4569790269360644E-3</v>
      </c>
      <c r="L109" s="91">
        <f t="shared" si="29"/>
        <v>0</v>
      </c>
      <c r="M109" s="86">
        <f>SUM(C109:L109)</f>
        <v>0.62922201778034215</v>
      </c>
      <c r="N109" s="99"/>
    </row>
    <row r="110" spans="2:16">
      <c r="C110" s="92">
        <f>+C109*$M110</f>
        <v>0</v>
      </c>
      <c r="D110" s="92">
        <f>+D109*$M110</f>
        <v>467.74464236084157</v>
      </c>
      <c r="E110" s="92">
        <f>+E109*$M110</f>
        <v>1028.2727462432713</v>
      </c>
      <c r="F110" s="92">
        <f>+F109*$M110</f>
        <v>66.401091137400911</v>
      </c>
      <c r="G110" s="92">
        <f t="shared" ref="G110:L110" si="30">+G109*$M110</f>
        <v>58.979861907306173</v>
      </c>
      <c r="H110" s="92">
        <f t="shared" si="30"/>
        <v>627.26216409526023</v>
      </c>
      <c r="I110" s="92">
        <f t="shared" si="30"/>
        <v>149.31129572668044</v>
      </c>
      <c r="J110" s="92">
        <f t="shared" si="30"/>
        <v>18.548549038885888</v>
      </c>
      <c r="K110" s="92">
        <f t="shared" si="30"/>
        <v>32.921412525846975</v>
      </c>
      <c r="L110" s="92">
        <f t="shared" si="30"/>
        <v>0</v>
      </c>
      <c r="M110" s="87">
        <f>+'2023-2024 Recy. Tons &amp; Revenue'!C16</f>
        <v>3892.8099999999995</v>
      </c>
      <c r="N110" s="99"/>
      <c r="O110" s="87"/>
      <c r="P110" s="87"/>
    </row>
    <row r="111" spans="2:16">
      <c r="C111" s="57"/>
      <c r="D111" s="57">
        <f t="shared" ref="D111:L111" si="31">+$C$68*D110*D16+D110*D50*$C$69</f>
        <v>42680.63190665756</v>
      </c>
      <c r="E111" s="57">
        <f t="shared" si="31"/>
        <v>178111.29689459407</v>
      </c>
      <c r="F111" s="57">
        <f t="shared" si="31"/>
        <v>79681.317936504231</v>
      </c>
      <c r="G111" s="57">
        <f t="shared" si="31"/>
        <v>11117.360083505901</v>
      </c>
      <c r="H111" s="57">
        <f t="shared" si="31"/>
        <v>-20674.232366103759</v>
      </c>
      <c r="I111" s="57">
        <f t="shared" si="31"/>
        <v>35271.774851393449</v>
      </c>
      <c r="J111" s="57">
        <f t="shared" si="31"/>
        <v>12438.009047483378</v>
      </c>
      <c r="K111" s="57">
        <f t="shared" si="31"/>
        <v>7242.7107556863348</v>
      </c>
      <c r="L111" s="57">
        <f t="shared" si="31"/>
        <v>0</v>
      </c>
      <c r="M111" s="87">
        <f>SUM(C111:L111)</f>
        <v>345868.86910972116</v>
      </c>
      <c r="N111" s="99"/>
    </row>
    <row r="112" spans="2:16">
      <c r="C112" s="57"/>
      <c r="D112" s="57"/>
      <c r="E112" s="57"/>
      <c r="F112" s="57"/>
      <c r="G112" s="57"/>
      <c r="H112" s="57"/>
      <c r="I112" s="57"/>
      <c r="J112" s="57"/>
      <c r="K112" s="57"/>
      <c r="L112" s="57"/>
      <c r="M112" s="87"/>
      <c r="N112" s="99"/>
    </row>
    <row r="113" spans="2:16">
      <c r="B113" s="11" t="s">
        <v>55</v>
      </c>
      <c r="C113" s="91"/>
      <c r="D113" s="91">
        <f t="shared" ref="D113:L113" si="32">+D210</f>
        <v>0.24113840781504006</v>
      </c>
      <c r="E113" s="91">
        <f t="shared" si="32"/>
        <v>0.20711141091753346</v>
      </c>
      <c r="F113" s="91">
        <f t="shared" si="32"/>
        <v>1.5121679932520336E-2</v>
      </c>
      <c r="G113" s="91">
        <f t="shared" si="32"/>
        <v>1.4477205778343076E-2</v>
      </c>
      <c r="H113" s="91">
        <f t="shared" si="32"/>
        <v>0.15776264813181834</v>
      </c>
      <c r="I113" s="91">
        <f t="shared" si="32"/>
        <v>3.5996121351164589E-2</v>
      </c>
      <c r="J113" s="91">
        <f t="shared" si="32"/>
        <v>4.8986227932734739E-3</v>
      </c>
      <c r="K113" s="91">
        <f t="shared" si="32"/>
        <v>9.3115437018494798E-3</v>
      </c>
      <c r="L113" s="91">
        <f t="shared" si="32"/>
        <v>0</v>
      </c>
      <c r="M113" s="86">
        <f>SUM(C113:L113)</f>
        <v>0.68581764042154281</v>
      </c>
      <c r="N113" s="99"/>
    </row>
    <row r="114" spans="2:16">
      <c r="C114" s="92">
        <f>+C113*$M114</f>
        <v>0</v>
      </c>
      <c r="D114" s="92">
        <f>+D113*$M114</f>
        <v>917.19404796528636</v>
      </c>
      <c r="E114" s="92">
        <f>+E113*$M114</f>
        <v>787.76896256593022</v>
      </c>
      <c r="F114" s="92">
        <f>+F113*$M114</f>
        <v>57.516821791334351</v>
      </c>
      <c r="G114" s="92">
        <f t="shared" ref="G114:L114" si="33">+G113*$M114</f>
        <v>55.06549989850572</v>
      </c>
      <c r="H114" s="92">
        <f t="shared" si="33"/>
        <v>600.06600843418425</v>
      </c>
      <c r="I114" s="92">
        <f t="shared" si="33"/>
        <v>136.91484717128964</v>
      </c>
      <c r="J114" s="92">
        <f t="shared" si="33"/>
        <v>18.632401656494984</v>
      </c>
      <c r="K114" s="92">
        <f t="shared" si="33"/>
        <v>35.417387624354681</v>
      </c>
      <c r="L114" s="92">
        <f t="shared" si="33"/>
        <v>0</v>
      </c>
      <c r="M114" s="87">
        <f>+'2023-2024 Recy. Tons &amp; Revenue'!C17</f>
        <v>3803.6</v>
      </c>
      <c r="N114" s="99"/>
      <c r="O114" s="87"/>
      <c r="P114" s="87"/>
    </row>
    <row r="115" spans="2:16">
      <c r="C115" s="57"/>
      <c r="D115" s="57">
        <f t="shared" ref="D115:L115" si="34">+$C$68*D114*D17+D114*D51*$C$69</f>
        <v>83259.105640458176</v>
      </c>
      <c r="E115" s="57">
        <f t="shared" si="34"/>
        <v>125317.91869709859</v>
      </c>
      <c r="F115" s="57">
        <f t="shared" si="34"/>
        <v>72544.681124121998</v>
      </c>
      <c r="G115" s="57">
        <f t="shared" si="34"/>
        <v>10422.32919241005</v>
      </c>
      <c r="H115" s="57">
        <f t="shared" si="34"/>
        <v>-20723.461300421568</v>
      </c>
      <c r="I115" s="57">
        <f t="shared" si="34"/>
        <v>34800.903745415228</v>
      </c>
      <c r="J115" s="57">
        <f t="shared" si="34"/>
        <v>12670.033126416589</v>
      </c>
      <c r="K115" s="57">
        <f t="shared" si="34"/>
        <v>7083.4775248709366</v>
      </c>
      <c r="L115" s="57">
        <f t="shared" si="34"/>
        <v>0</v>
      </c>
      <c r="M115" s="87">
        <f>SUM(C115:L115)</f>
        <v>325374.98775037006</v>
      </c>
      <c r="N115" s="99"/>
    </row>
    <row r="116" spans="2:16">
      <c r="C116" s="57"/>
      <c r="D116" s="57"/>
      <c r="E116" s="57"/>
      <c r="F116" s="57"/>
      <c r="G116" s="57"/>
      <c r="H116" s="57"/>
      <c r="I116" s="57"/>
      <c r="J116" s="57"/>
      <c r="K116" s="57"/>
      <c r="L116" s="57"/>
      <c r="M116" s="87"/>
      <c r="N116" s="99"/>
    </row>
    <row r="117" spans="2:16">
      <c r="B117" s="11" t="s">
        <v>56</v>
      </c>
      <c r="C117" s="91"/>
      <c r="D117" s="91">
        <f t="shared" ref="D117:L117" si="35">+D214</f>
        <v>0.27335935090037949</v>
      </c>
      <c r="E117" s="91">
        <f t="shared" si="35"/>
        <v>0.19440567594261801</v>
      </c>
      <c r="F117" s="91">
        <f t="shared" si="35"/>
        <v>1.4164386120316626E-2</v>
      </c>
      <c r="G117" s="91">
        <f t="shared" si="35"/>
        <v>1.3818554355301105E-2</v>
      </c>
      <c r="H117" s="91">
        <f t="shared" si="35"/>
        <v>0.16778438436568738</v>
      </c>
      <c r="I117" s="91">
        <f t="shared" si="35"/>
        <v>3.9524438872396012E-2</v>
      </c>
      <c r="J117" s="91">
        <f t="shared" si="35"/>
        <v>5.6985829953785337E-3</v>
      </c>
      <c r="K117" s="91">
        <f t="shared" si="35"/>
        <v>1.2085433464175847E-2</v>
      </c>
      <c r="L117" s="91">
        <f t="shared" si="35"/>
        <v>0</v>
      </c>
      <c r="M117" s="86">
        <f>SUM(C117:L117)</f>
        <v>0.72084080701625297</v>
      </c>
      <c r="N117" s="99"/>
    </row>
    <row r="118" spans="2:16">
      <c r="C118" s="92">
        <f>+C117*$M118</f>
        <v>0</v>
      </c>
      <c r="D118" s="92">
        <f>+D117*$M118</f>
        <v>944.55770032064424</v>
      </c>
      <c r="E118" s="92">
        <f>+E117*$M118</f>
        <v>671.74354048184398</v>
      </c>
      <c r="F118" s="92">
        <f>+F117*$M118</f>
        <v>48.943194868558457</v>
      </c>
      <c r="G118" s="92">
        <f t="shared" ref="G118:L118" si="36">+G117*$M118</f>
        <v>47.748218162676778</v>
      </c>
      <c r="H118" s="92">
        <f t="shared" si="36"/>
        <v>579.75712820566514</v>
      </c>
      <c r="I118" s="92">
        <f t="shared" si="36"/>
        <v>136.57156034651101</v>
      </c>
      <c r="J118" s="92">
        <f t="shared" si="36"/>
        <v>19.690712724741122</v>
      </c>
      <c r="K118" s="92">
        <f t="shared" si="36"/>
        <v>41.759644229109291</v>
      </c>
      <c r="L118" s="92">
        <f t="shared" si="36"/>
        <v>0</v>
      </c>
      <c r="M118" s="87">
        <f>+'2023-2024 Recy. Tons &amp; Revenue'!C18</f>
        <v>3455.37</v>
      </c>
      <c r="N118" s="99"/>
      <c r="O118" s="87"/>
      <c r="P118" s="87"/>
    </row>
    <row r="119" spans="2:16">
      <c r="C119" s="57"/>
      <c r="D119" s="57">
        <f t="shared" ref="D119:L119" si="37">+$C$68*D118*D18+D118*D52*$C$69</f>
        <v>76480.489953846787</v>
      </c>
      <c r="E119" s="57">
        <f t="shared" si="37"/>
        <v>96396.497294895889</v>
      </c>
      <c r="F119" s="57">
        <f t="shared" si="37"/>
        <v>66491.471474164398</v>
      </c>
      <c r="G119" s="57">
        <f t="shared" si="37"/>
        <v>8858.7022346138783</v>
      </c>
      <c r="H119" s="57">
        <f t="shared" si="37"/>
        <v>-15557.519466009418</v>
      </c>
      <c r="I119" s="57">
        <f t="shared" si="37"/>
        <v>35508.60569009286</v>
      </c>
      <c r="J119" s="57">
        <f t="shared" si="37"/>
        <v>16146.384434287722</v>
      </c>
      <c r="K119" s="57">
        <f t="shared" si="37"/>
        <v>9187.1217304040438</v>
      </c>
      <c r="L119" s="57">
        <f t="shared" si="37"/>
        <v>0</v>
      </c>
      <c r="M119" s="87">
        <f>SUM(C119:L119)</f>
        <v>293511.75334629614</v>
      </c>
      <c r="N119" s="99"/>
    </row>
    <row r="120" spans="2:16">
      <c r="C120" s="57"/>
      <c r="D120" s="57"/>
      <c r="E120" s="57"/>
      <c r="F120" s="57"/>
      <c r="G120" s="57"/>
      <c r="H120" s="57"/>
      <c r="I120" s="57"/>
      <c r="J120" s="57"/>
      <c r="K120" s="57"/>
      <c r="L120" s="57"/>
      <c r="M120" s="87"/>
      <c r="N120" s="99"/>
    </row>
    <row r="121" spans="2:16">
      <c r="B121" s="11" t="s">
        <v>57</v>
      </c>
      <c r="C121" s="91"/>
      <c r="D121" s="91">
        <f t="shared" ref="D121:L121" si="38">+D218</f>
        <v>0.19859501340428887</v>
      </c>
      <c r="E121" s="91">
        <f t="shared" si="38"/>
        <v>0.20964645035353913</v>
      </c>
      <c r="F121" s="91">
        <f t="shared" si="38"/>
        <v>1.4051446962283016E-2</v>
      </c>
      <c r="G121" s="91">
        <f t="shared" si="38"/>
        <v>1.8732697874654751E-2</v>
      </c>
      <c r="H121" s="91">
        <f t="shared" si="38"/>
        <v>0.14076743045026502</v>
      </c>
      <c r="I121" s="91">
        <f t="shared" si="38"/>
        <v>3.5843916845452004E-2</v>
      </c>
      <c r="J121" s="91">
        <f t="shared" si="38"/>
        <v>5.2520991796164169E-3</v>
      </c>
      <c r="K121" s="91">
        <f t="shared" si="38"/>
        <v>1.2688304303443379E-2</v>
      </c>
      <c r="L121" s="91">
        <f t="shared" si="38"/>
        <v>0</v>
      </c>
      <c r="M121" s="86">
        <f>SUM(C121:L121)</f>
        <v>0.63557735937354254</v>
      </c>
      <c r="N121" s="99"/>
    </row>
    <row r="122" spans="2:16">
      <c r="C122" s="92">
        <f>+C121*$M122</f>
        <v>0</v>
      </c>
      <c r="D122" s="92">
        <f>+D121*$M122</f>
        <v>686.21925146677756</v>
      </c>
      <c r="E122" s="92">
        <f>+E121*$M122</f>
        <v>724.40605515810842</v>
      </c>
      <c r="F122" s="92">
        <f>+F121*$M122</f>
        <v>48.55294829006386</v>
      </c>
      <c r="G122" s="92">
        <f t="shared" ref="G122:L122" si="39">+G121*$M122</f>
        <v>64.728402255145781</v>
      </c>
      <c r="H122" s="92">
        <f t="shared" si="39"/>
        <v>486.40355615493223</v>
      </c>
      <c r="I122" s="92">
        <f t="shared" si="39"/>
        <v>123.85399495026948</v>
      </c>
      <c r="J122" s="92">
        <f t="shared" si="39"/>
        <v>18.147945942271178</v>
      </c>
      <c r="K122" s="92">
        <f t="shared" si="39"/>
        <v>43.842786040989147</v>
      </c>
      <c r="L122" s="92">
        <f t="shared" si="39"/>
        <v>0</v>
      </c>
      <c r="M122" s="87">
        <f>+'2023-2024 Recy. Tons &amp; Revenue'!C19</f>
        <v>3455.37</v>
      </c>
      <c r="N122" s="99"/>
      <c r="O122" s="87"/>
      <c r="P122" s="87"/>
    </row>
    <row r="123" spans="2:16">
      <c r="C123" s="57"/>
      <c r="D123" s="57">
        <f t="shared" ref="D123:L123" si="40">+$C$68*D122*D19+D122*D53*$C$69</f>
        <v>49244.239636506943</v>
      </c>
      <c r="E123" s="57">
        <f t="shared" si="40"/>
        <v>91443.248493867781</v>
      </c>
      <c r="F123" s="57">
        <f t="shared" si="40"/>
        <v>76433.59643943276</v>
      </c>
      <c r="G123" s="57">
        <f t="shared" si="40"/>
        <v>12003.956804480886</v>
      </c>
      <c r="H123" s="57">
        <f t="shared" si="40"/>
        <v>-8968.757230008363</v>
      </c>
      <c r="I123" s="57">
        <f t="shared" si="40"/>
        <v>30963.49873756737</v>
      </c>
      <c r="J123" s="57">
        <f t="shared" si="40"/>
        <v>15594.528647696829</v>
      </c>
      <c r="K123" s="57">
        <f t="shared" si="40"/>
        <v>9769.3698405459218</v>
      </c>
      <c r="L123" s="57">
        <f t="shared" si="40"/>
        <v>0</v>
      </c>
      <c r="M123" s="87">
        <f>SUM(C123:L123)</f>
        <v>276483.68137009011</v>
      </c>
      <c r="N123" s="99"/>
    </row>
    <row r="124" spans="2:16">
      <c r="C124" s="57"/>
      <c r="D124" s="57"/>
      <c r="E124" s="57"/>
      <c r="F124" s="57"/>
      <c r="G124" s="57"/>
      <c r="H124" s="57"/>
      <c r="I124" s="57"/>
      <c r="J124" s="57"/>
      <c r="K124" s="57"/>
      <c r="L124" s="57"/>
      <c r="M124" s="87"/>
      <c r="N124" s="99"/>
    </row>
    <row r="125" spans="2:16">
      <c r="B125" s="11" t="s">
        <v>58</v>
      </c>
      <c r="C125" s="91"/>
      <c r="D125" s="91">
        <f t="shared" ref="D125:L125" si="41">+D222</f>
        <v>0.22239077398407978</v>
      </c>
      <c r="E125" s="91">
        <f t="shared" si="41"/>
        <v>0.24580155144086605</v>
      </c>
      <c r="F125" s="91">
        <f t="shared" si="41"/>
        <v>1.5724978054791738E-2</v>
      </c>
      <c r="G125" s="91">
        <f t="shared" si="41"/>
        <v>1.4192706222818501E-2</v>
      </c>
      <c r="H125" s="91">
        <f t="shared" si="41"/>
        <v>0.18496178552493303</v>
      </c>
      <c r="I125" s="91">
        <f t="shared" si="41"/>
        <v>3.2893764377978967E-2</v>
      </c>
      <c r="J125" s="91">
        <f t="shared" si="41"/>
        <v>4.7422335035790407E-3</v>
      </c>
      <c r="K125" s="91">
        <f t="shared" si="41"/>
        <v>8.0157540499873076E-3</v>
      </c>
      <c r="L125" s="91">
        <f t="shared" si="41"/>
        <v>7.6874046208736323E-4</v>
      </c>
      <c r="M125" s="86">
        <f>SUM(C125:L125)</f>
        <v>0.72949228762112184</v>
      </c>
      <c r="N125" s="99"/>
    </row>
    <row r="126" spans="2:16">
      <c r="C126" s="92">
        <f>+C125*$M126</f>
        <v>0</v>
      </c>
      <c r="D126" s="92">
        <f>+D125*$M126</f>
        <v>0</v>
      </c>
      <c r="E126" s="92">
        <f>+E125*$M126</f>
        <v>0</v>
      </c>
      <c r="F126" s="92">
        <f>+F125*$M126</f>
        <v>0</v>
      </c>
      <c r="G126" s="92">
        <f t="shared" ref="G126:L126" si="42">+G125*$M126</f>
        <v>0</v>
      </c>
      <c r="H126" s="92">
        <f t="shared" si="42"/>
        <v>0</v>
      </c>
      <c r="I126" s="92">
        <f t="shared" si="42"/>
        <v>0</v>
      </c>
      <c r="J126" s="92">
        <f t="shared" si="42"/>
        <v>0</v>
      </c>
      <c r="K126" s="92">
        <f t="shared" si="42"/>
        <v>0</v>
      </c>
      <c r="L126" s="92">
        <f t="shared" si="42"/>
        <v>0</v>
      </c>
      <c r="M126" s="87">
        <f>+'2023-2024 Recy. Tons &amp; Revenue'!C20</f>
        <v>0</v>
      </c>
      <c r="N126" s="99"/>
      <c r="O126" s="87"/>
      <c r="P126" s="87"/>
    </row>
    <row r="127" spans="2:16">
      <c r="C127" s="57"/>
      <c r="D127" s="57">
        <f t="shared" ref="D127:L127" si="43">+$C$68*D126*D20+D126*D54*$C$69</f>
        <v>0</v>
      </c>
      <c r="E127" s="57">
        <f t="shared" si="43"/>
        <v>0</v>
      </c>
      <c r="F127" s="57">
        <f t="shared" si="43"/>
        <v>0</v>
      </c>
      <c r="G127" s="57">
        <f t="shared" si="43"/>
        <v>0</v>
      </c>
      <c r="H127" s="57">
        <f t="shared" si="43"/>
        <v>0</v>
      </c>
      <c r="I127" s="57">
        <f t="shared" si="43"/>
        <v>0</v>
      </c>
      <c r="J127" s="57">
        <f t="shared" si="43"/>
        <v>0</v>
      </c>
      <c r="K127" s="57">
        <f t="shared" si="43"/>
        <v>0</v>
      </c>
      <c r="L127" s="57">
        <f t="shared" si="43"/>
        <v>0</v>
      </c>
      <c r="M127" s="87">
        <f>SUM(C127:L127)</f>
        <v>0</v>
      </c>
      <c r="N127" s="99"/>
    </row>
    <row r="128" spans="2:16">
      <c r="C128" s="57"/>
      <c r="D128" s="57"/>
      <c r="E128" s="57"/>
      <c r="F128" s="57"/>
      <c r="G128" s="57"/>
      <c r="H128" s="57"/>
      <c r="I128" s="57"/>
      <c r="J128" s="57"/>
      <c r="K128" s="57"/>
      <c r="L128" s="57"/>
      <c r="M128" s="87"/>
      <c r="N128" s="99"/>
    </row>
    <row r="129" spans="2:16">
      <c r="B129" s="11" t="s">
        <v>48</v>
      </c>
      <c r="C129" s="91"/>
      <c r="D129" s="91">
        <f t="shared" ref="D129:L129" si="44">+D226</f>
        <v>0.22239077398407978</v>
      </c>
      <c r="E129" s="91">
        <f t="shared" si="44"/>
        <v>0.24580155144086605</v>
      </c>
      <c r="F129" s="91">
        <f t="shared" si="44"/>
        <v>1.5724978054791738E-2</v>
      </c>
      <c r="G129" s="91">
        <f t="shared" si="44"/>
        <v>1.4192706222818501E-2</v>
      </c>
      <c r="H129" s="91">
        <f t="shared" si="44"/>
        <v>0.18496178552493303</v>
      </c>
      <c r="I129" s="91">
        <f t="shared" si="44"/>
        <v>3.2893764377978967E-2</v>
      </c>
      <c r="J129" s="91">
        <f t="shared" si="44"/>
        <v>4.7422335035790407E-3</v>
      </c>
      <c r="K129" s="91">
        <f t="shared" si="44"/>
        <v>8.0157540499873076E-3</v>
      </c>
      <c r="L129" s="91">
        <f t="shared" si="44"/>
        <v>7.6874046208736323E-4</v>
      </c>
      <c r="M129" s="86">
        <f>SUM(C129:L129)</f>
        <v>0.72949228762112184</v>
      </c>
      <c r="N129" s="99"/>
    </row>
    <row r="130" spans="2:16">
      <c r="C130" s="92">
        <f>+C129*$M130</f>
        <v>0</v>
      </c>
      <c r="D130" s="92">
        <f>+D129*$M130</f>
        <v>0</v>
      </c>
      <c r="E130" s="92">
        <f>+E129*$M130</f>
        <v>0</v>
      </c>
      <c r="F130" s="92">
        <f>+F129*$M130</f>
        <v>0</v>
      </c>
      <c r="G130" s="92">
        <f t="shared" ref="G130:L130" si="45">+G129*$M130</f>
        <v>0</v>
      </c>
      <c r="H130" s="92">
        <f t="shared" si="45"/>
        <v>0</v>
      </c>
      <c r="I130" s="92">
        <f t="shared" si="45"/>
        <v>0</v>
      </c>
      <c r="J130" s="92">
        <f t="shared" si="45"/>
        <v>0</v>
      </c>
      <c r="K130" s="92">
        <f t="shared" si="45"/>
        <v>0</v>
      </c>
      <c r="L130" s="92">
        <f t="shared" si="45"/>
        <v>0</v>
      </c>
      <c r="M130" s="87">
        <f>+'2023-2024 Recy. Tons &amp; Revenue'!C21</f>
        <v>0</v>
      </c>
      <c r="N130" s="99"/>
      <c r="O130" s="87"/>
      <c r="P130" s="87"/>
    </row>
    <row r="131" spans="2:16">
      <c r="C131" s="57"/>
      <c r="D131" s="57">
        <f t="shared" ref="D131:L131" si="46">+$C$68*D130*D21+D130*D55*$C$69</f>
        <v>0</v>
      </c>
      <c r="E131" s="57">
        <f t="shared" si="46"/>
        <v>0</v>
      </c>
      <c r="F131" s="57">
        <f t="shared" si="46"/>
        <v>0</v>
      </c>
      <c r="G131" s="57">
        <f t="shared" si="46"/>
        <v>0</v>
      </c>
      <c r="H131" s="57">
        <f t="shared" si="46"/>
        <v>0</v>
      </c>
      <c r="I131" s="57">
        <f t="shared" si="46"/>
        <v>0</v>
      </c>
      <c r="J131" s="57">
        <f t="shared" si="46"/>
        <v>0</v>
      </c>
      <c r="K131" s="57">
        <f t="shared" si="46"/>
        <v>0</v>
      </c>
      <c r="L131" s="57">
        <f t="shared" si="46"/>
        <v>0</v>
      </c>
      <c r="M131" s="87">
        <f>SUM(C131:L131)</f>
        <v>0</v>
      </c>
      <c r="N131" s="99"/>
    </row>
    <row r="132" spans="2:16">
      <c r="C132" s="57"/>
      <c r="D132" s="57"/>
      <c r="E132" s="57"/>
      <c r="F132" s="57"/>
      <c r="G132" s="57"/>
      <c r="H132" s="57"/>
      <c r="I132" s="57"/>
      <c r="J132" s="57"/>
      <c r="K132" s="57"/>
      <c r="L132" s="57"/>
      <c r="M132" s="87"/>
      <c r="N132" s="99"/>
    </row>
    <row r="133" spans="2:16">
      <c r="B133" s="283" t="s">
        <v>323</v>
      </c>
      <c r="C133" s="91"/>
      <c r="D133" s="91">
        <f t="shared" ref="D133:L133" si="47">+D230</f>
        <v>0.22239077398407978</v>
      </c>
      <c r="E133" s="91">
        <f t="shared" si="47"/>
        <v>0.24580155144086605</v>
      </c>
      <c r="F133" s="91">
        <f t="shared" si="47"/>
        <v>1.5724978054791738E-2</v>
      </c>
      <c r="G133" s="91">
        <f t="shared" si="47"/>
        <v>1.4192706222818501E-2</v>
      </c>
      <c r="H133" s="91">
        <f t="shared" si="47"/>
        <v>0.18496178552493303</v>
      </c>
      <c r="I133" s="91">
        <f t="shared" si="47"/>
        <v>3.2893764377978967E-2</v>
      </c>
      <c r="J133" s="91">
        <f t="shared" si="47"/>
        <v>4.7422335035790407E-3</v>
      </c>
      <c r="K133" s="91">
        <f t="shared" si="47"/>
        <v>8.0157540499873076E-3</v>
      </c>
      <c r="L133" s="91">
        <f t="shared" si="47"/>
        <v>7.6874046208736323E-4</v>
      </c>
      <c r="M133" s="86">
        <f>SUM(C133:L133)</f>
        <v>0.72949228762112184</v>
      </c>
      <c r="N133" s="99"/>
    </row>
    <row r="134" spans="2:16">
      <c r="C134" s="92">
        <f t="shared" ref="C134:L134" si="48">+C133*$M134</f>
        <v>0</v>
      </c>
      <c r="D134" s="92">
        <f t="shared" si="48"/>
        <v>0</v>
      </c>
      <c r="E134" s="92">
        <f t="shared" si="48"/>
        <v>0</v>
      </c>
      <c r="F134" s="92">
        <f t="shared" si="48"/>
        <v>0</v>
      </c>
      <c r="G134" s="92">
        <f t="shared" si="48"/>
        <v>0</v>
      </c>
      <c r="H134" s="92">
        <f t="shared" si="48"/>
        <v>0</v>
      </c>
      <c r="I134" s="92">
        <f t="shared" si="48"/>
        <v>0</v>
      </c>
      <c r="J134" s="92">
        <f t="shared" si="48"/>
        <v>0</v>
      </c>
      <c r="K134" s="92">
        <f t="shared" si="48"/>
        <v>0</v>
      </c>
      <c r="L134" s="92">
        <f t="shared" si="48"/>
        <v>0</v>
      </c>
      <c r="M134" s="87">
        <f>+'2023-2024 Recy. Tons &amp; Revenue'!C22</f>
        <v>0</v>
      </c>
      <c r="N134" s="99"/>
      <c r="O134" s="87"/>
      <c r="P134" s="87"/>
    </row>
    <row r="135" spans="2:16">
      <c r="C135" s="57"/>
      <c r="D135" s="57">
        <f t="shared" ref="D135:L135" si="49">+$C$68*D134*D22+D134*D56*$C$69</f>
        <v>0</v>
      </c>
      <c r="E135" s="57">
        <f t="shared" si="49"/>
        <v>0</v>
      </c>
      <c r="F135" s="57">
        <f t="shared" si="49"/>
        <v>0</v>
      </c>
      <c r="G135" s="57">
        <f t="shared" si="49"/>
        <v>0</v>
      </c>
      <c r="H135" s="57">
        <f t="shared" si="49"/>
        <v>0</v>
      </c>
      <c r="I135" s="57">
        <f t="shared" si="49"/>
        <v>0</v>
      </c>
      <c r="J135" s="57">
        <f t="shared" si="49"/>
        <v>0</v>
      </c>
      <c r="K135" s="57">
        <f t="shared" si="49"/>
        <v>0</v>
      </c>
      <c r="L135" s="57">
        <f t="shared" si="49"/>
        <v>0</v>
      </c>
      <c r="M135" s="87">
        <f>SUM(C135:L135)</f>
        <v>0</v>
      </c>
      <c r="N135" s="99"/>
    </row>
    <row r="136" spans="2:16">
      <c r="C136" s="91"/>
      <c r="D136" s="91"/>
      <c r="E136" s="91"/>
      <c r="F136" s="91"/>
      <c r="G136" s="91"/>
      <c r="H136" s="91"/>
      <c r="I136" s="91"/>
      <c r="J136" s="91"/>
      <c r="K136" s="91"/>
      <c r="L136" s="91"/>
      <c r="N136" s="99"/>
    </row>
    <row r="137" spans="2:16">
      <c r="B137" s="11" t="s">
        <v>49</v>
      </c>
      <c r="C137" s="91"/>
      <c r="D137" s="91">
        <f t="shared" ref="D137:L137" si="50">+D234</f>
        <v>0.22239077398407978</v>
      </c>
      <c r="E137" s="91">
        <f t="shared" si="50"/>
        <v>0.24580155144086605</v>
      </c>
      <c r="F137" s="91">
        <f t="shared" si="50"/>
        <v>1.5724978054791738E-2</v>
      </c>
      <c r="G137" s="91">
        <f t="shared" si="50"/>
        <v>1.4192706222818501E-2</v>
      </c>
      <c r="H137" s="91">
        <f t="shared" si="50"/>
        <v>0.18496178552493303</v>
      </c>
      <c r="I137" s="91">
        <f t="shared" si="50"/>
        <v>3.2893764377978967E-2</v>
      </c>
      <c r="J137" s="91">
        <f t="shared" si="50"/>
        <v>4.7422335035790407E-3</v>
      </c>
      <c r="K137" s="91">
        <f t="shared" si="50"/>
        <v>8.0157540499873076E-3</v>
      </c>
      <c r="L137" s="91">
        <f t="shared" si="50"/>
        <v>7.6874046208736323E-4</v>
      </c>
      <c r="M137" s="86">
        <f>SUM(C137:L137)</f>
        <v>0.72949228762112184</v>
      </c>
      <c r="N137" s="99"/>
    </row>
    <row r="138" spans="2:16">
      <c r="C138" s="92">
        <f t="shared" ref="C138:L138" si="51">+C137*$M138</f>
        <v>0</v>
      </c>
      <c r="D138" s="92">
        <f t="shared" si="51"/>
        <v>0</v>
      </c>
      <c r="E138" s="92">
        <f t="shared" si="51"/>
        <v>0</v>
      </c>
      <c r="F138" s="92">
        <f t="shared" si="51"/>
        <v>0</v>
      </c>
      <c r="G138" s="92">
        <f t="shared" si="51"/>
        <v>0</v>
      </c>
      <c r="H138" s="92">
        <f t="shared" si="51"/>
        <v>0</v>
      </c>
      <c r="I138" s="92">
        <f t="shared" si="51"/>
        <v>0</v>
      </c>
      <c r="J138" s="92">
        <f t="shared" si="51"/>
        <v>0</v>
      </c>
      <c r="K138" s="92">
        <f t="shared" si="51"/>
        <v>0</v>
      </c>
      <c r="L138" s="92">
        <f t="shared" si="51"/>
        <v>0</v>
      </c>
      <c r="M138" s="87">
        <f>+'2023-2024 Recy. Tons &amp; Revenue'!C23</f>
        <v>0</v>
      </c>
      <c r="N138" s="99"/>
      <c r="O138" s="87"/>
      <c r="P138" s="87"/>
    </row>
    <row r="139" spans="2:16">
      <c r="C139" s="57"/>
      <c r="D139" s="57">
        <f t="shared" ref="D139:L139" si="52">+$C$68*D138*D23+D138*D57*$C$69</f>
        <v>0</v>
      </c>
      <c r="E139" s="57">
        <f t="shared" si="52"/>
        <v>0</v>
      </c>
      <c r="F139" s="57">
        <f t="shared" si="52"/>
        <v>0</v>
      </c>
      <c r="G139" s="57">
        <f t="shared" si="52"/>
        <v>0</v>
      </c>
      <c r="H139" s="57">
        <f t="shared" si="52"/>
        <v>0</v>
      </c>
      <c r="I139" s="57">
        <f t="shared" si="52"/>
        <v>0</v>
      </c>
      <c r="J139" s="57">
        <f t="shared" si="52"/>
        <v>0</v>
      </c>
      <c r="K139" s="57">
        <f t="shared" si="52"/>
        <v>0</v>
      </c>
      <c r="L139" s="57">
        <f t="shared" si="52"/>
        <v>0</v>
      </c>
      <c r="M139" s="87">
        <f>SUM(C139:L139)</f>
        <v>0</v>
      </c>
      <c r="N139" s="99"/>
    </row>
    <row r="140" spans="2:16">
      <c r="N140" s="99"/>
    </row>
    <row r="141" spans="2:16">
      <c r="B141" s="11" t="s">
        <v>50</v>
      </c>
      <c r="C141" s="91"/>
      <c r="D141" s="91">
        <f t="shared" ref="D141:L141" si="53">+D238</f>
        <v>0.22239077398407978</v>
      </c>
      <c r="E141" s="91">
        <f t="shared" si="53"/>
        <v>0.24580155144086605</v>
      </c>
      <c r="F141" s="91">
        <f t="shared" si="53"/>
        <v>1.5724978054791738E-2</v>
      </c>
      <c r="G141" s="91">
        <f t="shared" si="53"/>
        <v>1.4192706222818501E-2</v>
      </c>
      <c r="H141" s="91">
        <f t="shared" si="53"/>
        <v>0.18496178552493303</v>
      </c>
      <c r="I141" s="91">
        <f t="shared" si="53"/>
        <v>3.2893764377978967E-2</v>
      </c>
      <c r="J141" s="91">
        <f t="shared" si="53"/>
        <v>4.7422335035790407E-3</v>
      </c>
      <c r="K141" s="91">
        <f t="shared" si="53"/>
        <v>8.0157540499873076E-3</v>
      </c>
      <c r="L141" s="91">
        <f t="shared" si="53"/>
        <v>7.6874046208736323E-4</v>
      </c>
      <c r="M141" s="86">
        <f>SUM(C141:L141)</f>
        <v>0.72949228762112184</v>
      </c>
      <c r="N141" s="99"/>
    </row>
    <row r="142" spans="2:16">
      <c r="C142" s="92"/>
      <c r="D142" s="92">
        <f t="shared" ref="D142:L142" si="54">+D141*$M142</f>
        <v>0</v>
      </c>
      <c r="E142" s="92">
        <f t="shared" si="54"/>
        <v>0</v>
      </c>
      <c r="F142" s="92">
        <f t="shared" si="54"/>
        <v>0</v>
      </c>
      <c r="G142" s="92">
        <f t="shared" si="54"/>
        <v>0</v>
      </c>
      <c r="H142" s="92">
        <f t="shared" si="54"/>
        <v>0</v>
      </c>
      <c r="I142" s="92">
        <f t="shared" si="54"/>
        <v>0</v>
      </c>
      <c r="J142" s="92">
        <f t="shared" si="54"/>
        <v>0</v>
      </c>
      <c r="K142" s="92">
        <f t="shared" si="54"/>
        <v>0</v>
      </c>
      <c r="L142" s="92">
        <f t="shared" si="54"/>
        <v>0</v>
      </c>
      <c r="M142" s="87">
        <f>+'2023-2024 Recy. Tons &amp; Revenue'!C24</f>
        <v>0</v>
      </c>
      <c r="N142" s="99"/>
      <c r="O142" s="87"/>
      <c r="P142" s="87"/>
    </row>
    <row r="143" spans="2:16">
      <c r="C143" s="57"/>
      <c r="D143" s="57">
        <f t="shared" ref="D143:L143" si="55">+$C$68*D142*D24+D142*D58*$C$69</f>
        <v>0</v>
      </c>
      <c r="E143" s="57">
        <f t="shared" si="55"/>
        <v>0</v>
      </c>
      <c r="F143" s="57">
        <f t="shared" si="55"/>
        <v>0</v>
      </c>
      <c r="G143" s="57">
        <f t="shared" si="55"/>
        <v>0</v>
      </c>
      <c r="H143" s="57">
        <f t="shared" si="55"/>
        <v>0</v>
      </c>
      <c r="I143" s="57">
        <f t="shared" si="55"/>
        <v>0</v>
      </c>
      <c r="J143" s="57">
        <f t="shared" si="55"/>
        <v>0</v>
      </c>
      <c r="K143" s="57">
        <f t="shared" si="55"/>
        <v>0</v>
      </c>
      <c r="L143" s="57">
        <f t="shared" si="55"/>
        <v>0</v>
      </c>
      <c r="M143" s="87">
        <f>SUM(C143:L143)</f>
        <v>0</v>
      </c>
      <c r="N143" s="99"/>
    </row>
    <row r="144" spans="2:16">
      <c r="C144" s="57"/>
      <c r="D144" s="57"/>
      <c r="E144" s="57"/>
      <c r="F144" s="57"/>
      <c r="G144" s="57"/>
      <c r="H144" s="57"/>
      <c r="I144" s="57"/>
      <c r="J144" s="57"/>
      <c r="K144" s="57"/>
      <c r="L144" s="57"/>
      <c r="M144" s="87"/>
      <c r="N144" s="99"/>
    </row>
    <row r="145" spans="2:17">
      <c r="B145" s="11" t="s">
        <v>51</v>
      </c>
      <c r="C145" s="91"/>
      <c r="D145" s="91">
        <f>+D242</f>
        <v>0.22239077398407978</v>
      </c>
      <c r="E145" s="91">
        <f t="shared" ref="E145:L145" si="56">+E242</f>
        <v>0.24580155144086605</v>
      </c>
      <c r="F145" s="91">
        <f t="shared" si="56"/>
        <v>1.5724978054791738E-2</v>
      </c>
      <c r="G145" s="91">
        <f t="shared" si="56"/>
        <v>1.4192706222818501E-2</v>
      </c>
      <c r="H145" s="91">
        <f t="shared" si="56"/>
        <v>0.18496178552493303</v>
      </c>
      <c r="I145" s="91">
        <f t="shared" si="56"/>
        <v>3.2893764377978967E-2</v>
      </c>
      <c r="J145" s="91">
        <f t="shared" si="56"/>
        <v>4.7422335035790407E-3</v>
      </c>
      <c r="K145" s="91">
        <f t="shared" si="56"/>
        <v>8.0157540499873076E-3</v>
      </c>
      <c r="L145" s="91">
        <f t="shared" si="56"/>
        <v>7.6874046208736323E-4</v>
      </c>
      <c r="M145" s="86">
        <f>SUM(C145:L145)</f>
        <v>0.72949228762112184</v>
      </c>
      <c r="N145" s="99"/>
    </row>
    <row r="146" spans="2:17">
      <c r="C146" s="92"/>
      <c r="D146" s="92">
        <f t="shared" ref="D146:L146" si="57">+D145*$M146</f>
        <v>0</v>
      </c>
      <c r="E146" s="92">
        <f t="shared" si="57"/>
        <v>0</v>
      </c>
      <c r="F146" s="92">
        <f t="shared" si="57"/>
        <v>0</v>
      </c>
      <c r="G146" s="92">
        <f t="shared" si="57"/>
        <v>0</v>
      </c>
      <c r="H146" s="92">
        <f t="shared" si="57"/>
        <v>0</v>
      </c>
      <c r="I146" s="92">
        <f t="shared" si="57"/>
        <v>0</v>
      </c>
      <c r="J146" s="92">
        <f t="shared" si="57"/>
        <v>0</v>
      </c>
      <c r="K146" s="92">
        <f t="shared" si="57"/>
        <v>0</v>
      </c>
      <c r="L146" s="92">
        <f t="shared" si="57"/>
        <v>0</v>
      </c>
      <c r="M146" s="87">
        <f>+'2023-2024 Recy. Tons &amp; Revenue'!C25</f>
        <v>0</v>
      </c>
      <c r="N146" s="99"/>
      <c r="O146" s="87"/>
      <c r="P146" s="87"/>
    </row>
    <row r="147" spans="2:17">
      <c r="C147" s="57"/>
      <c r="D147" s="57">
        <f t="shared" ref="D147:L147" si="58">+$C$68*D146*D25+D146*D59*$C$69</f>
        <v>0</v>
      </c>
      <c r="E147" s="57">
        <f t="shared" si="58"/>
        <v>0</v>
      </c>
      <c r="F147" s="57">
        <f t="shared" si="58"/>
        <v>0</v>
      </c>
      <c r="G147" s="57">
        <f t="shared" si="58"/>
        <v>0</v>
      </c>
      <c r="H147" s="57">
        <f t="shared" si="58"/>
        <v>0</v>
      </c>
      <c r="I147" s="57">
        <f t="shared" si="58"/>
        <v>0</v>
      </c>
      <c r="J147" s="57">
        <f t="shared" si="58"/>
        <v>0</v>
      </c>
      <c r="K147" s="57">
        <f t="shared" si="58"/>
        <v>0</v>
      </c>
      <c r="L147" s="57">
        <f t="shared" si="58"/>
        <v>0</v>
      </c>
      <c r="M147" s="87">
        <f>SUM(C147:L147)</f>
        <v>0</v>
      </c>
      <c r="N147" s="99"/>
    </row>
    <row r="148" spans="2:17">
      <c r="C148" s="57"/>
      <c r="D148" s="57"/>
      <c r="E148" s="57"/>
      <c r="F148" s="57"/>
      <c r="G148" s="57"/>
      <c r="H148" s="57"/>
      <c r="I148" s="57"/>
      <c r="J148" s="57"/>
      <c r="K148" s="57"/>
      <c r="L148" s="57"/>
      <c r="M148" s="87"/>
      <c r="N148" s="99"/>
    </row>
    <row r="149" spans="2:17">
      <c r="B149" s="11" t="s">
        <v>52</v>
      </c>
      <c r="C149" s="91"/>
      <c r="D149" s="91">
        <f t="shared" ref="D149:L149" si="59">+D246</f>
        <v>0.22239077398407978</v>
      </c>
      <c r="E149" s="91">
        <f t="shared" si="59"/>
        <v>0.24580155144086605</v>
      </c>
      <c r="F149" s="91">
        <f t="shared" si="59"/>
        <v>1.5724978054791738E-2</v>
      </c>
      <c r="G149" s="91">
        <f t="shared" si="59"/>
        <v>1.4192706222818501E-2</v>
      </c>
      <c r="H149" s="91">
        <f t="shared" si="59"/>
        <v>0.18496178552493303</v>
      </c>
      <c r="I149" s="91">
        <f t="shared" si="59"/>
        <v>3.2893764377978967E-2</v>
      </c>
      <c r="J149" s="91">
        <f t="shared" si="59"/>
        <v>4.7422335035790407E-3</v>
      </c>
      <c r="K149" s="91">
        <f t="shared" si="59"/>
        <v>8.0157540499873076E-3</v>
      </c>
      <c r="L149" s="91">
        <f t="shared" si="59"/>
        <v>7.6874046208736323E-4</v>
      </c>
      <c r="M149" s="86">
        <f>SUM(C149:L149)</f>
        <v>0.72949228762112184</v>
      </c>
      <c r="N149" s="99"/>
    </row>
    <row r="150" spans="2:17">
      <c r="C150" s="92"/>
      <c r="D150" s="92">
        <f t="shared" ref="D150:L150" si="60">+D149*$M150</f>
        <v>0</v>
      </c>
      <c r="E150" s="92">
        <f t="shared" si="60"/>
        <v>0</v>
      </c>
      <c r="F150" s="92">
        <f t="shared" si="60"/>
        <v>0</v>
      </c>
      <c r="G150" s="92">
        <f t="shared" si="60"/>
        <v>0</v>
      </c>
      <c r="H150" s="92">
        <f t="shared" si="60"/>
        <v>0</v>
      </c>
      <c r="I150" s="92">
        <f t="shared" si="60"/>
        <v>0</v>
      </c>
      <c r="J150" s="92">
        <f t="shared" si="60"/>
        <v>0</v>
      </c>
      <c r="K150" s="92">
        <f t="shared" si="60"/>
        <v>0</v>
      </c>
      <c r="L150" s="92">
        <f t="shared" si="60"/>
        <v>0</v>
      </c>
      <c r="M150" s="87">
        <f>+'2023-2024 Recy. Tons &amp; Revenue'!C26</f>
        <v>0</v>
      </c>
      <c r="N150" s="99"/>
      <c r="O150" s="87"/>
      <c r="P150" s="87"/>
    </row>
    <row r="151" spans="2:17">
      <c r="C151" s="57"/>
      <c r="D151" s="57">
        <f t="shared" ref="D151:L151" si="61">+$C$68*D150*D26+D150*D60*$C$69</f>
        <v>0</v>
      </c>
      <c r="E151" s="57">
        <f t="shared" si="61"/>
        <v>0</v>
      </c>
      <c r="F151" s="57">
        <f t="shared" si="61"/>
        <v>0</v>
      </c>
      <c r="G151" s="57">
        <f t="shared" si="61"/>
        <v>0</v>
      </c>
      <c r="H151" s="57">
        <f t="shared" si="61"/>
        <v>0</v>
      </c>
      <c r="I151" s="57">
        <f t="shared" si="61"/>
        <v>0</v>
      </c>
      <c r="J151" s="57">
        <f t="shared" si="61"/>
        <v>0</v>
      </c>
      <c r="K151" s="57">
        <f t="shared" si="61"/>
        <v>0</v>
      </c>
      <c r="L151" s="57">
        <f t="shared" si="61"/>
        <v>0</v>
      </c>
      <c r="M151" s="87">
        <f>SUM(C151:L151)</f>
        <v>0</v>
      </c>
      <c r="N151" s="99"/>
    </row>
    <row r="152" spans="2:17">
      <c r="C152" s="57"/>
      <c r="D152" s="57"/>
      <c r="E152" s="57"/>
      <c r="F152" s="57"/>
      <c r="G152" s="57"/>
      <c r="H152" s="57"/>
      <c r="I152" s="57"/>
      <c r="J152" s="57"/>
      <c r="K152" s="57"/>
      <c r="L152" s="57"/>
      <c r="M152" s="87"/>
      <c r="N152" s="99"/>
    </row>
    <row r="153" spans="2:17">
      <c r="B153" s="11" t="s">
        <v>59</v>
      </c>
      <c r="C153" s="91"/>
      <c r="D153" s="91">
        <f t="shared" ref="D153:L153" si="62">+D250</f>
        <v>0.22239077398407978</v>
      </c>
      <c r="E153" s="91">
        <f t="shared" si="62"/>
        <v>0.24580155144086605</v>
      </c>
      <c r="F153" s="91">
        <f t="shared" si="62"/>
        <v>1.5724978054791738E-2</v>
      </c>
      <c r="G153" s="91">
        <f t="shared" si="62"/>
        <v>1.4192706222818501E-2</v>
      </c>
      <c r="H153" s="91">
        <f t="shared" si="62"/>
        <v>0.18496178552493303</v>
      </c>
      <c r="I153" s="91">
        <f t="shared" si="62"/>
        <v>3.2893764377978967E-2</v>
      </c>
      <c r="J153" s="91">
        <f t="shared" si="62"/>
        <v>4.7422335035790407E-3</v>
      </c>
      <c r="K153" s="91">
        <f t="shared" si="62"/>
        <v>8.0157540499873076E-3</v>
      </c>
      <c r="L153" s="91">
        <f t="shared" si="62"/>
        <v>7.6874046208736323E-4</v>
      </c>
      <c r="M153" s="86">
        <f>SUM(C153:L153)</f>
        <v>0.72949228762112184</v>
      </c>
      <c r="N153" s="99"/>
    </row>
    <row r="154" spans="2:17">
      <c r="C154" s="92"/>
      <c r="D154" s="92">
        <f t="shared" ref="D154:L154" si="63">+D153*$M154</f>
        <v>0</v>
      </c>
      <c r="E154" s="92">
        <f t="shared" si="63"/>
        <v>0</v>
      </c>
      <c r="F154" s="92">
        <f t="shared" si="63"/>
        <v>0</v>
      </c>
      <c r="G154" s="92">
        <f t="shared" si="63"/>
        <v>0</v>
      </c>
      <c r="H154" s="92">
        <f t="shared" si="63"/>
        <v>0</v>
      </c>
      <c r="I154" s="92">
        <f t="shared" si="63"/>
        <v>0</v>
      </c>
      <c r="J154" s="92">
        <f t="shared" si="63"/>
        <v>0</v>
      </c>
      <c r="K154" s="92">
        <f t="shared" si="63"/>
        <v>0</v>
      </c>
      <c r="L154" s="92">
        <f t="shared" si="63"/>
        <v>0</v>
      </c>
      <c r="M154" s="87">
        <f>+'2023-2024 Recy. Tons &amp; Revenue'!C27</f>
        <v>0</v>
      </c>
      <c r="N154" s="99"/>
      <c r="O154" s="87"/>
      <c r="P154" s="87"/>
    </row>
    <row r="155" spans="2:17">
      <c r="C155" s="57"/>
      <c r="D155" s="57">
        <f t="shared" ref="D155:L155" si="64">+$C$68*D154*D27+D154*D61*$C$69</f>
        <v>0</v>
      </c>
      <c r="E155" s="57">
        <f t="shared" si="64"/>
        <v>0</v>
      </c>
      <c r="F155" s="57">
        <f t="shared" si="64"/>
        <v>0</v>
      </c>
      <c r="G155" s="57">
        <f t="shared" si="64"/>
        <v>0</v>
      </c>
      <c r="H155" s="57">
        <f t="shared" si="64"/>
        <v>0</v>
      </c>
      <c r="I155" s="57">
        <f t="shared" si="64"/>
        <v>0</v>
      </c>
      <c r="J155" s="57">
        <f t="shared" si="64"/>
        <v>0</v>
      </c>
      <c r="K155" s="57">
        <f t="shared" si="64"/>
        <v>0</v>
      </c>
      <c r="L155" s="57">
        <f t="shared" si="64"/>
        <v>0</v>
      </c>
      <c r="M155" s="87">
        <f>SUM(C155:L155)</f>
        <v>0</v>
      </c>
      <c r="N155" s="99"/>
    </row>
    <row r="156" spans="2:17">
      <c r="C156" s="92"/>
      <c r="D156" s="92"/>
      <c r="E156" s="92"/>
      <c r="F156" s="92"/>
      <c r="G156" s="92"/>
      <c r="H156" s="92"/>
      <c r="I156" s="92"/>
      <c r="J156" s="92"/>
      <c r="K156" s="92"/>
      <c r="L156" s="92"/>
      <c r="M156" s="87"/>
      <c r="N156" s="99"/>
    </row>
    <row r="157" spans="2:17">
      <c r="B157" s="11" t="s">
        <v>60</v>
      </c>
      <c r="C157" s="91"/>
      <c r="D157" s="91">
        <f t="shared" ref="D157:L157" si="65">+D254</f>
        <v>0.22239077398407978</v>
      </c>
      <c r="E157" s="91">
        <f t="shared" si="65"/>
        <v>0.24580155144086605</v>
      </c>
      <c r="F157" s="91">
        <f t="shared" si="65"/>
        <v>1.5724978054791738E-2</v>
      </c>
      <c r="G157" s="91">
        <f t="shared" si="65"/>
        <v>1.4192706222818501E-2</v>
      </c>
      <c r="H157" s="91">
        <f t="shared" si="65"/>
        <v>0.18496178552493303</v>
      </c>
      <c r="I157" s="91">
        <f t="shared" si="65"/>
        <v>3.2893764377978967E-2</v>
      </c>
      <c r="J157" s="91">
        <f t="shared" si="65"/>
        <v>4.7422335035790407E-3</v>
      </c>
      <c r="K157" s="91">
        <f t="shared" si="65"/>
        <v>8.0157540499873076E-3</v>
      </c>
      <c r="L157" s="91">
        <f t="shared" si="65"/>
        <v>7.6874046208736323E-4</v>
      </c>
      <c r="M157" s="86">
        <f>SUM(C157:L157)</f>
        <v>0.72949228762112184</v>
      </c>
      <c r="N157" s="99"/>
    </row>
    <row r="158" spans="2:17">
      <c r="C158" s="92"/>
      <c r="D158" s="92">
        <f t="shared" ref="D158:L158" si="66">+D157*$M158</f>
        <v>0</v>
      </c>
      <c r="E158" s="92">
        <f t="shared" si="66"/>
        <v>0</v>
      </c>
      <c r="F158" s="92">
        <f t="shared" si="66"/>
        <v>0</v>
      </c>
      <c r="G158" s="92">
        <f t="shared" si="66"/>
        <v>0</v>
      </c>
      <c r="H158" s="92">
        <f t="shared" si="66"/>
        <v>0</v>
      </c>
      <c r="I158" s="92">
        <f t="shared" si="66"/>
        <v>0</v>
      </c>
      <c r="J158" s="92">
        <f t="shared" si="66"/>
        <v>0</v>
      </c>
      <c r="K158" s="92">
        <f t="shared" si="66"/>
        <v>0</v>
      </c>
      <c r="L158" s="92">
        <f t="shared" si="66"/>
        <v>0</v>
      </c>
      <c r="M158" s="87">
        <f>+'2023-2024 Recy. Tons &amp; Revenue'!C28</f>
        <v>0</v>
      </c>
      <c r="N158" s="99"/>
      <c r="O158" s="87"/>
      <c r="P158" s="87"/>
    </row>
    <row r="159" spans="2:17">
      <c r="C159" s="57"/>
      <c r="D159" s="57">
        <f t="shared" ref="D159:L159" si="67">+$C$68*D158*D28+D158*D62*$C$69</f>
        <v>0</v>
      </c>
      <c r="E159" s="57">
        <f t="shared" si="67"/>
        <v>0</v>
      </c>
      <c r="F159" s="57">
        <f t="shared" si="67"/>
        <v>0</v>
      </c>
      <c r="G159" s="57">
        <f t="shared" si="67"/>
        <v>0</v>
      </c>
      <c r="H159" s="57">
        <f t="shared" si="67"/>
        <v>0</v>
      </c>
      <c r="I159" s="57">
        <f t="shared" si="67"/>
        <v>0</v>
      </c>
      <c r="J159" s="57">
        <f t="shared" si="67"/>
        <v>0</v>
      </c>
      <c r="K159" s="57">
        <f t="shared" si="67"/>
        <v>0</v>
      </c>
      <c r="L159" s="57">
        <f t="shared" si="67"/>
        <v>0</v>
      </c>
      <c r="M159" s="130">
        <f>SUM(C159:L159)</f>
        <v>0</v>
      </c>
      <c r="N159" s="99"/>
      <c r="Q159" s="99"/>
    </row>
    <row r="160" spans="2:17">
      <c r="C160" s="92"/>
      <c r="D160" s="92"/>
      <c r="E160" s="92"/>
      <c r="F160" s="92"/>
      <c r="G160" s="92"/>
      <c r="H160" s="92"/>
      <c r="I160" s="92"/>
      <c r="J160" s="92"/>
      <c r="K160" s="92"/>
      <c r="L160" s="92"/>
      <c r="M160" s="87"/>
    </row>
    <row r="161" spans="2:16">
      <c r="B161" s="11" t="s">
        <v>61</v>
      </c>
      <c r="C161" s="91"/>
      <c r="D161" s="91">
        <f t="shared" ref="D161:L161" si="68">+D258</f>
        <v>0.22239077398407978</v>
      </c>
      <c r="E161" s="91">
        <f t="shared" si="68"/>
        <v>0.24580155144086605</v>
      </c>
      <c r="F161" s="91">
        <f t="shared" si="68"/>
        <v>1.5724978054791738E-2</v>
      </c>
      <c r="G161" s="91">
        <f t="shared" si="68"/>
        <v>1.4192706222818501E-2</v>
      </c>
      <c r="H161" s="91">
        <f t="shared" si="68"/>
        <v>0.18496178552493303</v>
      </c>
      <c r="I161" s="91">
        <f t="shared" si="68"/>
        <v>3.2893764377978967E-2</v>
      </c>
      <c r="J161" s="91">
        <f t="shared" si="68"/>
        <v>4.7422335035790407E-3</v>
      </c>
      <c r="K161" s="91">
        <f t="shared" si="68"/>
        <v>8.0157540499873076E-3</v>
      </c>
      <c r="L161" s="91">
        <f t="shared" si="68"/>
        <v>7.6874046208736323E-4</v>
      </c>
      <c r="M161" s="86">
        <f>SUM(C161:L161)</f>
        <v>0.72949228762112184</v>
      </c>
    </row>
    <row r="162" spans="2:16">
      <c r="C162" s="92"/>
      <c r="D162" s="92">
        <f t="shared" ref="D162:L162" si="69">+D161*$M162</f>
        <v>0</v>
      </c>
      <c r="E162" s="92">
        <f t="shared" si="69"/>
        <v>0</v>
      </c>
      <c r="F162" s="92">
        <f t="shared" si="69"/>
        <v>0</v>
      </c>
      <c r="G162" s="92">
        <f t="shared" si="69"/>
        <v>0</v>
      </c>
      <c r="H162" s="92">
        <f t="shared" si="69"/>
        <v>0</v>
      </c>
      <c r="I162" s="92">
        <f t="shared" si="69"/>
        <v>0</v>
      </c>
      <c r="J162" s="92">
        <f t="shared" si="69"/>
        <v>0</v>
      </c>
      <c r="K162" s="92">
        <f t="shared" si="69"/>
        <v>0</v>
      </c>
      <c r="L162" s="92">
        <f t="shared" si="69"/>
        <v>0</v>
      </c>
      <c r="M162" s="87">
        <f>+'2023-2024 Recy. Tons &amp; Revenue'!C29</f>
        <v>0</v>
      </c>
      <c r="O162" s="87"/>
      <c r="P162" s="87"/>
    </row>
    <row r="163" spans="2:16">
      <c r="C163" s="185"/>
      <c r="D163" s="57">
        <f t="shared" ref="D163:L163" si="70">+$C$68*D162*D29+D162*D63*$C$69</f>
        <v>0</v>
      </c>
      <c r="E163" s="57">
        <f t="shared" si="70"/>
        <v>0</v>
      </c>
      <c r="F163" s="57">
        <f t="shared" si="70"/>
        <v>0</v>
      </c>
      <c r="G163" s="57">
        <f t="shared" si="70"/>
        <v>0</v>
      </c>
      <c r="H163" s="57">
        <f t="shared" si="70"/>
        <v>0</v>
      </c>
      <c r="I163" s="57">
        <f t="shared" si="70"/>
        <v>0</v>
      </c>
      <c r="J163" s="57">
        <f t="shared" si="70"/>
        <v>0</v>
      </c>
      <c r="K163" s="57">
        <f t="shared" si="70"/>
        <v>0</v>
      </c>
      <c r="L163" s="57">
        <f t="shared" si="70"/>
        <v>0</v>
      </c>
      <c r="M163" s="130">
        <f>SUM(C163:L163)</f>
        <v>0</v>
      </c>
    </row>
    <row r="164" spans="2:16">
      <c r="C164" s="57"/>
      <c r="D164" s="57"/>
      <c r="E164" s="57"/>
      <c r="F164" s="57"/>
      <c r="G164" s="57"/>
      <c r="H164" s="57"/>
      <c r="I164" s="57"/>
      <c r="J164" s="57"/>
      <c r="K164" s="57"/>
      <c r="L164" s="57"/>
      <c r="M164" s="87"/>
    </row>
    <row r="165" spans="2:16">
      <c r="B165" s="11" t="s">
        <v>62</v>
      </c>
      <c r="C165" s="91"/>
      <c r="D165" s="91">
        <f t="shared" ref="D165:L165" si="71">+D262</f>
        <v>0.22239077398407978</v>
      </c>
      <c r="E165" s="91">
        <f t="shared" si="71"/>
        <v>0.24580155144086605</v>
      </c>
      <c r="F165" s="91">
        <f t="shared" si="71"/>
        <v>1.5724978054791738E-2</v>
      </c>
      <c r="G165" s="91">
        <f t="shared" si="71"/>
        <v>1.4192706222818501E-2</v>
      </c>
      <c r="H165" s="91">
        <f t="shared" si="71"/>
        <v>0.18496178552493303</v>
      </c>
      <c r="I165" s="91">
        <f t="shared" si="71"/>
        <v>3.2893764377978967E-2</v>
      </c>
      <c r="J165" s="91">
        <f t="shared" si="71"/>
        <v>4.7422335035790407E-3</v>
      </c>
      <c r="K165" s="91">
        <f t="shared" si="71"/>
        <v>8.0157540499873076E-3</v>
      </c>
      <c r="L165" s="91">
        <f t="shared" si="71"/>
        <v>7.6874046208736323E-4</v>
      </c>
      <c r="M165" s="86">
        <f>SUM(C165:L165)</f>
        <v>0.72949228762112184</v>
      </c>
    </row>
    <row r="166" spans="2:16">
      <c r="C166" s="92">
        <f t="shared" ref="C166:L166" si="72">+C165*$M166</f>
        <v>0</v>
      </c>
      <c r="D166" s="92">
        <f t="shared" si="72"/>
        <v>0</v>
      </c>
      <c r="E166" s="92">
        <f t="shared" si="72"/>
        <v>0</v>
      </c>
      <c r="F166" s="92">
        <f t="shared" si="72"/>
        <v>0</v>
      </c>
      <c r="G166" s="92">
        <f t="shared" si="72"/>
        <v>0</v>
      </c>
      <c r="H166" s="92">
        <f t="shared" si="72"/>
        <v>0</v>
      </c>
      <c r="I166" s="92">
        <f t="shared" si="72"/>
        <v>0</v>
      </c>
      <c r="J166" s="92">
        <f t="shared" si="72"/>
        <v>0</v>
      </c>
      <c r="K166" s="92">
        <f t="shared" si="72"/>
        <v>0</v>
      </c>
      <c r="L166" s="92">
        <f t="shared" si="72"/>
        <v>0</v>
      </c>
      <c r="M166" s="87">
        <f>+'2023-2024 Recy. Tons &amp; Revenue'!C30</f>
        <v>0</v>
      </c>
      <c r="O166" s="87"/>
      <c r="P166" s="87"/>
    </row>
    <row r="167" spans="2:16">
      <c r="C167" s="184"/>
      <c r="D167" s="57">
        <f t="shared" ref="D167:L167" si="73">+$C$68*D166*D30+D166*D64*$C$69</f>
        <v>0</v>
      </c>
      <c r="E167" s="57">
        <f t="shared" si="73"/>
        <v>0</v>
      </c>
      <c r="F167" s="57">
        <f t="shared" si="73"/>
        <v>0</v>
      </c>
      <c r="G167" s="57">
        <f t="shared" si="73"/>
        <v>0</v>
      </c>
      <c r="H167" s="57">
        <f t="shared" si="73"/>
        <v>0</v>
      </c>
      <c r="I167" s="57">
        <f t="shared" si="73"/>
        <v>0</v>
      </c>
      <c r="J167" s="57">
        <f t="shared" si="73"/>
        <v>0</v>
      </c>
      <c r="K167" s="57">
        <f t="shared" si="73"/>
        <v>0</v>
      </c>
      <c r="L167" s="57">
        <f t="shared" si="73"/>
        <v>0</v>
      </c>
      <c r="M167" s="87">
        <f>SUM(C167:L167)</f>
        <v>0</v>
      </c>
    </row>
    <row r="169" spans="2:16" ht="13">
      <c r="B169" s="90" t="s">
        <v>63</v>
      </c>
    </row>
    <row r="170" spans="2:16">
      <c r="B170" s="11" t="str">
        <f>+B73</f>
        <v>Oct; '23</v>
      </c>
      <c r="C170" s="91"/>
      <c r="D170" s="91">
        <f>+'Composition-Rec. Acct. Analysis'!$D$7</f>
        <v>0.15662451429535507</v>
      </c>
      <c r="E170" s="91">
        <f>+'Composition-Rec. Acct. Analysis'!$D$8</f>
        <v>0.3966504908379252</v>
      </c>
      <c r="F170" s="91">
        <f>+'Composition-Rec. Acct. Analysis'!$D$9</f>
        <v>1.8846545608997733E-2</v>
      </c>
      <c r="G170" s="91">
        <f>+'Composition-Rec. Acct. Analysis'!$D$10</f>
        <v>1.7207677942724316E-2</v>
      </c>
      <c r="H170" s="91">
        <f>+'Composition-Rec. Acct. Analysis'!$D$11</f>
        <v>0.17207839522563009</v>
      </c>
      <c r="I170" s="91">
        <f>+'Composition-Rec. Acct. Analysis'!$D$12</f>
        <v>3.2370407738296275E-2</v>
      </c>
      <c r="J170" s="91">
        <f>+'Composition-Rec. Acct. Analysis'!$D$13</f>
        <v>1.0531244946312061E-3</v>
      </c>
      <c r="K170" s="91">
        <f>+'Composition-Rec. Acct. Analysis'!$D$14</f>
        <v>5.6840416487255246E-3</v>
      </c>
      <c r="L170" s="91">
        <f>+'Composition-Rec. Acct. Analysis'!$D$15</f>
        <v>2.4504061967333857E-3</v>
      </c>
      <c r="M170" s="91">
        <f>+M73</f>
        <v>0.80296560398901862</v>
      </c>
    </row>
    <row r="171" spans="2:16">
      <c r="C171" s="92">
        <f t="shared" ref="C171:L171" si="74">+C170*$M171</f>
        <v>0</v>
      </c>
      <c r="D171" s="92">
        <f t="shared" si="74"/>
        <v>511.54034298987074</v>
      </c>
      <c r="E171" s="92">
        <f t="shared" si="74"/>
        <v>1295.4723533744439</v>
      </c>
      <c r="F171" s="92">
        <f t="shared" si="74"/>
        <v>61.553381016849251</v>
      </c>
      <c r="G171" s="92">
        <f t="shared" si="74"/>
        <v>56.20079025612327</v>
      </c>
      <c r="H171" s="92">
        <f t="shared" si="74"/>
        <v>562.01317980703789</v>
      </c>
      <c r="I171" s="92">
        <f t="shared" si="74"/>
        <v>105.72271876894253</v>
      </c>
      <c r="J171" s="92">
        <f t="shared" si="74"/>
        <v>3.4395360625272047</v>
      </c>
      <c r="K171" s="92">
        <f t="shared" si="74"/>
        <v>18.564249840703226</v>
      </c>
      <c r="L171" s="92">
        <f t="shared" si="74"/>
        <v>8.0030998466673271</v>
      </c>
      <c r="M171" s="87">
        <f>+'2023-2024 Recy. Tons &amp; Revenue'!$D$7</f>
        <v>3266.029875918608</v>
      </c>
      <c r="N171" s="92">
        <f>SUM(D171:L171)</f>
        <v>2622.5096519631657</v>
      </c>
      <c r="O171" s="503">
        <f>N171/M171</f>
        <v>0.80296560398901895</v>
      </c>
    </row>
    <row r="172" spans="2:16">
      <c r="C172" s="57">
        <f t="shared" ref="C172:L172" si="75">+C171*C7</f>
        <v>0</v>
      </c>
      <c r="D172" s="57">
        <f t="shared" si="75"/>
        <v>26385.250891417531</v>
      </c>
      <c r="E172" s="57">
        <f t="shared" si="75"/>
        <v>172323.73244586855</v>
      </c>
      <c r="F172" s="57">
        <f t="shared" si="75"/>
        <v>67149.814418901195</v>
      </c>
      <c r="G172" s="57">
        <f t="shared" si="75"/>
        <v>9932.3656619646645</v>
      </c>
      <c r="H172" s="57">
        <f t="shared" si="75"/>
        <v>-22750.293518588893</v>
      </c>
      <c r="I172" s="57">
        <f t="shared" si="75"/>
        <v>10229.73026808288</v>
      </c>
      <c r="J172" s="57">
        <f t="shared" si="75"/>
        <v>1788.5587525141464</v>
      </c>
      <c r="K172" s="57">
        <f t="shared" si="75"/>
        <v>2485.5674111717549</v>
      </c>
      <c r="L172" s="57">
        <f t="shared" si="75"/>
        <v>-703.0723215297246</v>
      </c>
      <c r="M172" s="87">
        <f>SUM(C172:L172)</f>
        <v>266841.65400980203</v>
      </c>
      <c r="N172" s="99"/>
    </row>
    <row r="173" spans="2:16">
      <c r="C173" s="91"/>
      <c r="D173" s="91"/>
      <c r="E173" s="91"/>
      <c r="F173" s="91"/>
      <c r="G173" s="91"/>
      <c r="H173" s="91"/>
      <c r="I173" s="91"/>
      <c r="J173" s="91"/>
      <c r="K173" s="91"/>
      <c r="L173" s="91"/>
      <c r="N173" s="99"/>
    </row>
    <row r="174" spans="2:16">
      <c r="B174" s="11" t="s">
        <v>47</v>
      </c>
      <c r="C174" s="91"/>
      <c r="D174" s="91">
        <f>+'Composition-Rec. Acct. Analysis'!$F$7</f>
        <v>0.25890114022670857</v>
      </c>
      <c r="E174" s="91">
        <f>+'Composition-Rec. Acct. Analysis'!$F$8</f>
        <v>0.26881946349916697</v>
      </c>
      <c r="F174" s="91">
        <f>+'Composition-Rec. Acct. Analysis'!$F$9</f>
        <v>8.4376992613428778E-3</v>
      </c>
      <c r="G174" s="91">
        <f>+'Composition-Rec. Acct. Analysis'!$F$10</f>
        <v>1.5022402394438871E-2</v>
      </c>
      <c r="H174" s="91">
        <f>+'Composition-Rec. Acct. Analysis'!$F$11</f>
        <v>0.26311847314581116</v>
      </c>
      <c r="I174" s="91">
        <f>+'Composition-Rec. Acct. Analysis'!$F$12</f>
        <v>2.3100770505722679E-2</v>
      </c>
      <c r="J174" s="91">
        <f>+'Composition-Rec. Acct. Analysis'!$F$13</f>
        <v>6.9293754050628754E-4</v>
      </c>
      <c r="K174" s="91">
        <f>+'Composition-Rec. Acct. Analysis'!$F$14</f>
        <v>4.0175132269772325E-3</v>
      </c>
      <c r="L174" s="91">
        <f>+'Composition-Rec. Acct. Analysis'!$F$15</f>
        <v>3.2245508148463866E-3</v>
      </c>
      <c r="M174" s="91">
        <f>+M77</f>
        <v>0.84533495061552089</v>
      </c>
      <c r="N174" s="99"/>
    </row>
    <row r="175" spans="2:16">
      <c r="C175" s="92">
        <f t="shared" ref="C175:L175" si="76">+C174*$M175</f>
        <v>0</v>
      </c>
      <c r="D175" s="92">
        <f t="shared" si="76"/>
        <v>878.79280527472167</v>
      </c>
      <c r="E175" s="92">
        <f t="shared" si="76"/>
        <v>912.45874867146733</v>
      </c>
      <c r="F175" s="92">
        <f t="shared" si="76"/>
        <v>28.640234637232453</v>
      </c>
      <c r="G175" s="92">
        <f t="shared" si="76"/>
        <v>50.990811128195801</v>
      </c>
      <c r="H175" s="92">
        <f t="shared" si="76"/>
        <v>893.107774391931</v>
      </c>
      <c r="I175" s="92">
        <f t="shared" si="76"/>
        <v>78.41136156818412</v>
      </c>
      <c r="J175" s="92">
        <f t="shared" si="76"/>
        <v>2.3520503794168559</v>
      </c>
      <c r="K175" s="92">
        <f t="shared" si="76"/>
        <v>13.636717535782427</v>
      </c>
      <c r="L175" s="92">
        <f t="shared" si="76"/>
        <v>10.945150932314885</v>
      </c>
      <c r="M175" s="87">
        <f>+'2023-2024 Recy. Tons &amp; Revenue'!$D$8</f>
        <v>3394.3180184729999</v>
      </c>
      <c r="N175" s="99"/>
    </row>
    <row r="176" spans="2:16">
      <c r="C176" s="57">
        <f t="shared" ref="C176:L176" si="77">+C175*C8</f>
        <v>0</v>
      </c>
      <c r="D176" s="57">
        <f t="shared" si="77"/>
        <v>45196.313975278936</v>
      </c>
      <c r="E176" s="57">
        <f t="shared" si="77"/>
        <v>121977.48552240177</v>
      </c>
      <c r="F176" s="57">
        <f t="shared" si="77"/>
        <v>32781.898968122638</v>
      </c>
      <c r="G176" s="57">
        <f t="shared" si="77"/>
        <v>9764.7403310494956</v>
      </c>
      <c r="H176" s="57">
        <f t="shared" si="77"/>
        <v>-36599.556594581329</v>
      </c>
      <c r="I176" s="57">
        <f t="shared" si="77"/>
        <v>9409.3633881820952</v>
      </c>
      <c r="J176" s="57">
        <f t="shared" si="77"/>
        <v>1270.1072048851022</v>
      </c>
      <c r="K176" s="57">
        <f t="shared" si="77"/>
        <v>3825.508370313044</v>
      </c>
      <c r="L176" s="57">
        <f t="shared" si="77"/>
        <v>-961.53150940386251</v>
      </c>
      <c r="M176" s="87">
        <f>SUM(C176:L176)</f>
        <v>186664.32965624786</v>
      </c>
      <c r="N176" s="99"/>
    </row>
    <row r="177" spans="2:14">
      <c r="N177" s="99"/>
    </row>
    <row r="178" spans="2:14">
      <c r="B178" s="11" t="s">
        <v>64</v>
      </c>
      <c r="C178" s="91"/>
      <c r="D178" s="91">
        <f>+'Composition-Rec. Acct. Analysis'!$H$7</f>
        <v>0.22727342118888375</v>
      </c>
      <c r="E178" s="91">
        <f>+'Composition-Rec. Acct. Analysis'!$H$8</f>
        <v>0.28312710215132286</v>
      </c>
      <c r="F178" s="91">
        <f>+'Composition-Rec. Acct. Analysis'!$H$9</f>
        <v>1.1567130674126078E-2</v>
      </c>
      <c r="G178" s="91">
        <f>+'Composition-Rec. Acct. Analysis'!$H$10</f>
        <v>4.1691898111569856E-3</v>
      </c>
      <c r="H178" s="91">
        <f>+'Composition-Rec. Acct. Analysis'!$H$11</f>
        <v>0.28781835248478049</v>
      </c>
      <c r="I178" s="91">
        <f>+'Composition-Rec. Acct. Analysis'!$H12</f>
        <v>1.3161373358688914E-2</v>
      </c>
      <c r="J178" s="91">
        <f>+'Composition-Rec. Acct. Analysis'!$H$13</f>
        <v>6.570486769024885E-3</v>
      </c>
      <c r="K178" s="91">
        <f>+'Composition-Rec. Acct. Analysis'!$H$14</f>
        <v>1.3775131572444821E-3</v>
      </c>
      <c r="L178" s="91">
        <f>+'Composition-Rec. Acct. Analysis'!$H$15</f>
        <v>4.2833382894184703E-3</v>
      </c>
      <c r="M178" s="91">
        <f>+M81</f>
        <v>0.83934790788464686</v>
      </c>
      <c r="N178" s="99"/>
    </row>
    <row r="179" spans="2:14">
      <c r="C179" s="92">
        <f t="shared" ref="C179:L179" si="78">+C178*$M179</f>
        <v>0</v>
      </c>
      <c r="D179" s="92">
        <f t="shared" si="78"/>
        <v>766.99126562215406</v>
      </c>
      <c r="E179" s="92">
        <f t="shared" si="78"/>
        <v>955.48354609622697</v>
      </c>
      <c r="F179" s="92">
        <f t="shared" si="78"/>
        <v>39.036188873099682</v>
      </c>
      <c r="G179" s="92">
        <f t="shared" si="78"/>
        <v>14.069978588568416</v>
      </c>
      <c r="H179" s="92">
        <f t="shared" si="78"/>
        <v>971.31534909275365</v>
      </c>
      <c r="I179" s="92">
        <f t="shared" si="78"/>
        <v>44.416361389293215</v>
      </c>
      <c r="J179" s="92">
        <f t="shared" si="78"/>
        <v>22.173758534394359</v>
      </c>
      <c r="K179" s="92">
        <f t="shared" si="78"/>
        <v>4.6487642697473133</v>
      </c>
      <c r="L179" s="92">
        <f t="shared" si="78"/>
        <v>14.455201309961152</v>
      </c>
      <c r="M179" s="87">
        <f>+'2023-2024 Recy. Tons &amp; Revenue'!$D$9</f>
        <v>3374.7512648420002</v>
      </c>
      <c r="N179" s="99"/>
    </row>
    <row r="180" spans="2:14">
      <c r="C180" s="57">
        <f t="shared" ref="C180:L180" si="79">+C179*C9</f>
        <v>0</v>
      </c>
      <c r="D180" s="57">
        <f t="shared" si="79"/>
        <v>45666.659955143055</v>
      </c>
      <c r="E180" s="57">
        <f t="shared" si="79"/>
        <v>134197.66404921506</v>
      </c>
      <c r="F180" s="57">
        <f t="shared" si="79"/>
        <v>46980.053308775467</v>
      </c>
      <c r="G180" s="57">
        <f t="shared" si="79"/>
        <v>3004.362528017014</v>
      </c>
      <c r="H180" s="57">
        <f t="shared" si="79"/>
        <v>-38493.227284545828</v>
      </c>
      <c r="I180" s="57">
        <f t="shared" si="79"/>
        <v>5774.1269806081182</v>
      </c>
      <c r="J180" s="57">
        <f t="shared" si="79"/>
        <v>13902.72486347992</v>
      </c>
      <c r="K180" s="57">
        <f t="shared" si="79"/>
        <v>2914.7287094888679</v>
      </c>
      <c r="L180" s="57">
        <f t="shared" si="79"/>
        <v>-2444.952749566829</v>
      </c>
      <c r="M180" s="87">
        <f>SUM(C180:L180)</f>
        <v>211502.1403606149</v>
      </c>
      <c r="N180" s="99"/>
    </row>
    <row r="181" spans="2:14">
      <c r="N181" s="99"/>
    </row>
    <row r="182" spans="2:14">
      <c r="B182" s="11" t="str">
        <f>+B85</f>
        <v>Jan. '24</v>
      </c>
      <c r="C182" s="91"/>
      <c r="D182" s="91">
        <f>+'Composition-Rec. Acct. Analysis'!$J$7</f>
        <v>0.3108522229436349</v>
      </c>
      <c r="E182" s="91">
        <f>+'Composition-Rec. Acct. Analysis'!$J$8</f>
        <v>0.27230173218791809</v>
      </c>
      <c r="F182" s="91">
        <f>+'Composition-Rec. Acct. Analysis'!$J$9</f>
        <v>1.3993983076742407E-2</v>
      </c>
      <c r="G182" s="91">
        <f>+'Composition-Rec. Acct. Analysis'!$J$10</f>
        <v>2.9690329066502669E-3</v>
      </c>
      <c r="H182" s="91">
        <f>+'Composition-Rec. Acct. Analysis'!$J$11</f>
        <v>0.22717777431991823</v>
      </c>
      <c r="I182" s="91">
        <f>+'Composition-Rec. Acct. Analysis'!$J$12</f>
        <v>2.9012723280005551E-2</v>
      </c>
      <c r="J182" s="91">
        <f>+'Composition-Rec. Acct. Analysis'!$J$13</f>
        <v>4.2485882297051466E-3</v>
      </c>
      <c r="K182" s="91">
        <f>+'Composition-Rec. Acct. Analysis'!$J$14</f>
        <v>3.1193214155103605E-3</v>
      </c>
      <c r="L182" s="91">
        <f>+'Composition-Rec. Acct. Analysis'!$J$15</f>
        <v>1.620967573067024E-3</v>
      </c>
      <c r="M182" s="86">
        <f>SUM(C182:L182)</f>
        <v>0.86529634593315219</v>
      </c>
      <c r="N182" s="99"/>
    </row>
    <row r="183" spans="2:14">
      <c r="C183" s="92">
        <f t="shared" ref="C183:L183" si="80">+C182*$M183</f>
        <v>0</v>
      </c>
      <c r="D183" s="92">
        <f t="shared" si="80"/>
        <v>1075.1165652134678</v>
      </c>
      <c r="E183" s="92">
        <f t="shared" si="80"/>
        <v>941.78545753760272</v>
      </c>
      <c r="F183" s="92">
        <f t="shared" si="80"/>
        <v>48.399727937125768</v>
      </c>
      <c r="G183" s="92">
        <f t="shared" si="80"/>
        <v>10.268726504112507</v>
      </c>
      <c r="H183" s="92">
        <f t="shared" si="80"/>
        <v>785.71929165183417</v>
      </c>
      <c r="I183" s="92">
        <f t="shared" si="80"/>
        <v>100.34369098252922</v>
      </c>
      <c r="J183" s="92">
        <f t="shared" si="80"/>
        <v>14.694209168821692</v>
      </c>
      <c r="K183" s="92">
        <f t="shared" si="80"/>
        <v>10.788515823637544</v>
      </c>
      <c r="L183" s="92">
        <f t="shared" si="80"/>
        <v>5.6062944410541631</v>
      </c>
      <c r="M183" s="87">
        <f>+'2023-2024 Recy. Tons &amp; Revenue'!D10</f>
        <v>3458.6098662334889</v>
      </c>
      <c r="N183" s="99"/>
    </row>
    <row r="184" spans="2:14">
      <c r="C184" s="57">
        <f t="shared" ref="C184:L184" si="81">+C183*C10</f>
        <v>0</v>
      </c>
      <c r="D184" s="57">
        <f t="shared" si="81"/>
        <v>72290.837844953567</v>
      </c>
      <c r="E184" s="57">
        <f t="shared" si="81"/>
        <v>142821.76463557745</v>
      </c>
      <c r="F184" s="57">
        <f t="shared" si="81"/>
        <v>53449.755550085465</v>
      </c>
      <c r="G184" s="57">
        <f t="shared" si="81"/>
        <v>2141.2348506375401</v>
      </c>
      <c r="H184" s="57">
        <f t="shared" si="81"/>
        <v>-37384.523896794271</v>
      </c>
      <c r="I184" s="57">
        <f t="shared" si="81"/>
        <v>15051.553647379384</v>
      </c>
      <c r="J184" s="57">
        <f t="shared" si="81"/>
        <v>9110.4096846694483</v>
      </c>
      <c r="K184" s="57">
        <f t="shared" si="81"/>
        <v>3668.0953800367652</v>
      </c>
      <c r="L184" s="57">
        <f t="shared" si="81"/>
        <v>18.388645766657653</v>
      </c>
      <c r="M184" s="87">
        <f>SUM(C184:L184)</f>
        <v>261167.51634231204</v>
      </c>
      <c r="N184" s="99"/>
    </row>
    <row r="185" spans="2:14">
      <c r="C185" s="91"/>
      <c r="D185" s="91"/>
      <c r="E185" s="91"/>
      <c r="F185" s="91"/>
      <c r="G185" s="91"/>
      <c r="H185" s="91"/>
      <c r="I185" s="91"/>
      <c r="J185" s="91"/>
      <c r="K185" s="91"/>
      <c r="L185" s="91"/>
      <c r="N185" s="99"/>
    </row>
    <row r="186" spans="2:14">
      <c r="B186" s="11" t="s">
        <v>49</v>
      </c>
      <c r="C186" s="91"/>
      <c r="D186" s="91">
        <f>+'Composition-Rec. Acct. Analysis'!$L$7</f>
        <v>0.33786259020063059</v>
      </c>
      <c r="E186" s="91">
        <f>+'Composition-Rec. Acct. Analysis'!$L$8</f>
        <v>0.20226605790196261</v>
      </c>
      <c r="F186" s="91">
        <f>+'Composition-Rec. Acct. Analysis'!$L$9</f>
        <v>1.6508690189646617E-2</v>
      </c>
      <c r="G186" s="91">
        <f>+'Composition-Rec. Acct. Analysis'!$L$10</f>
        <v>1.5999593815230029E-2</v>
      </c>
      <c r="H186" s="91">
        <f>+'Composition-Rec. Acct. Analysis'!$L$11</f>
        <v>0.23333069690828254</v>
      </c>
      <c r="I186" s="91">
        <f>+'Composition-Rec. Acct. Analysis'!$L$12</f>
        <v>3.1820166952459192E-2</v>
      </c>
      <c r="J186" s="91">
        <f>+'Composition-Rec. Acct. Analysis'!$L$13</f>
        <v>5.5010930375520651E-3</v>
      </c>
      <c r="K186" s="91">
        <f>+'Composition-Rec. Acct. Analysis'!$L$14</f>
        <v>6.9403383753782449E-3</v>
      </c>
      <c r="L186" s="91">
        <f>+'Composition-Rec. Acct. Analysis'!$L$15</f>
        <v>0</v>
      </c>
      <c r="M186" s="86">
        <f>SUM(C186:L186)</f>
        <v>0.85022922738114182</v>
      </c>
      <c r="N186" s="99"/>
    </row>
    <row r="187" spans="2:14">
      <c r="C187" s="92">
        <f t="shared" ref="C187:L187" si="82">+C186*$M187</f>
        <v>0</v>
      </c>
      <c r="D187" s="92">
        <f t="shared" si="82"/>
        <v>1065.3976151999507</v>
      </c>
      <c r="E187" s="92">
        <f t="shared" si="82"/>
        <v>637.81484536858886</v>
      </c>
      <c r="F187" s="92">
        <f t="shared" si="82"/>
        <v>52.05761060341122</v>
      </c>
      <c r="G187" s="92">
        <f t="shared" si="82"/>
        <v>50.452253635987596</v>
      </c>
      <c r="H187" s="92">
        <f t="shared" si="82"/>
        <v>735.77239756377958</v>
      </c>
      <c r="I187" s="92">
        <f t="shared" si="82"/>
        <v>100.33999315012363</v>
      </c>
      <c r="J187" s="92">
        <f t="shared" si="82"/>
        <v>17.346849201980941</v>
      </c>
      <c r="K187" s="92">
        <f t="shared" si="82"/>
        <v>21.885287594041777</v>
      </c>
      <c r="L187" s="92">
        <f t="shared" si="82"/>
        <v>0</v>
      </c>
      <c r="M187" s="87">
        <f>+'2023-2024 Recy. Tons &amp; Revenue'!D11</f>
        <v>3153.3459048167865</v>
      </c>
      <c r="N187" s="99"/>
    </row>
    <row r="188" spans="2:14">
      <c r="C188" s="57">
        <f t="shared" ref="C188:L188" si="83">+C187*C11</f>
        <v>0</v>
      </c>
      <c r="D188" s="57">
        <f t="shared" si="83"/>
        <v>71275.100456876709</v>
      </c>
      <c r="E188" s="57">
        <f t="shared" si="83"/>
        <v>99537.384768221978</v>
      </c>
      <c r="F188" s="57">
        <f t="shared" si="83"/>
        <v>53064.925368587232</v>
      </c>
      <c r="G188" s="57">
        <f t="shared" si="83"/>
        <v>12814.87242354085</v>
      </c>
      <c r="H188" s="57">
        <f t="shared" si="83"/>
        <v>-34382.644138155418</v>
      </c>
      <c r="I188" s="57">
        <f t="shared" si="83"/>
        <v>15050.998972518544</v>
      </c>
      <c r="J188" s="57">
        <f t="shared" si="83"/>
        <v>9714.2355531093272</v>
      </c>
      <c r="K188" s="57">
        <f t="shared" si="83"/>
        <v>7440.9977819742044</v>
      </c>
      <c r="L188" s="57">
        <f t="shared" si="83"/>
        <v>0</v>
      </c>
      <c r="M188" s="87">
        <f>SUM(C188:L188)</f>
        <v>234515.87118667341</v>
      </c>
      <c r="N188" s="99"/>
    </row>
    <row r="189" spans="2:14">
      <c r="N189" s="99"/>
    </row>
    <row r="190" spans="2:14">
      <c r="B190" s="11" t="s">
        <v>50</v>
      </c>
      <c r="C190" s="91"/>
      <c r="D190" s="91">
        <f>+'Composition-Rec. Acct. Analysis'!N$7</f>
        <v>0.25073140984988146</v>
      </c>
      <c r="E190" s="91">
        <f>+'Composition-Rec. Acct. Analysis'!N$8</f>
        <v>0.22165879056887627</v>
      </c>
      <c r="F190" s="91">
        <f>+'Composition-Rec. Acct. Analysis'!N$9</f>
        <v>1.7833065860047015E-2</v>
      </c>
      <c r="G190" s="91">
        <f>+'Composition-Rec. Acct. Analysis'!N$10</f>
        <v>1.5127902066238569E-2</v>
      </c>
      <c r="H190" s="91">
        <f>+'Composition-Rec. Acct. Analysis'!N$11</f>
        <v>0.1602034450948448</v>
      </c>
      <c r="I190" s="91">
        <f>+'Composition-Rec. Acct. Analysis'!N$12</f>
        <v>3.645063354440941E-2</v>
      </c>
      <c r="J190" s="91">
        <f>+'Composition-Rec. Acct. Analysis'!N$13</f>
        <v>5.2073105797535504E-3</v>
      </c>
      <c r="K190" s="91">
        <f>+'Composition-Rec. Acct. Analysis'!N$14</f>
        <v>8.5703878505887787E-3</v>
      </c>
      <c r="L190" s="91">
        <f>+'Composition-Rec. Acct. Analysis'!N$15</f>
        <v>0</v>
      </c>
      <c r="M190" s="86">
        <f>SUM(C190:L190)</f>
        <v>0.71578294541463983</v>
      </c>
      <c r="N190" s="99"/>
    </row>
    <row r="191" spans="2:14">
      <c r="C191" s="92">
        <f t="shared" ref="C191:L191" si="84">+C190*$M191</f>
        <v>0</v>
      </c>
      <c r="D191" s="92">
        <f t="shared" si="84"/>
        <v>888.05583891786841</v>
      </c>
      <c r="E191" s="92">
        <f t="shared" si="84"/>
        <v>785.08465824054235</v>
      </c>
      <c r="F191" s="92">
        <f t="shared" si="84"/>
        <v>63.162243104298241</v>
      </c>
      <c r="G191" s="92">
        <f t="shared" si="84"/>
        <v>53.58092856632657</v>
      </c>
      <c r="H191" s="92">
        <f t="shared" si="84"/>
        <v>567.41835782128408</v>
      </c>
      <c r="I191" s="92">
        <f t="shared" si="84"/>
        <v>129.10308274000877</v>
      </c>
      <c r="J191" s="92">
        <f t="shared" si="84"/>
        <v>18.443571023581182</v>
      </c>
      <c r="K191" s="92">
        <f t="shared" si="84"/>
        <v>30.355123744021508</v>
      </c>
      <c r="L191" s="92">
        <f t="shared" si="84"/>
        <v>0</v>
      </c>
      <c r="M191" s="87">
        <f>+'2023-2024 Recy. Tons &amp; Revenue'!D12</f>
        <v>3541.861147151717</v>
      </c>
      <c r="N191" s="99"/>
    </row>
    <row r="192" spans="2:14">
      <c r="C192" s="57">
        <f t="shared" ref="C192:L192" si="85">+C191*C12</f>
        <v>0</v>
      </c>
      <c r="D192" s="57">
        <f t="shared" si="85"/>
        <v>59206.682780654286</v>
      </c>
      <c r="E192" s="57">
        <f t="shared" si="85"/>
        <v>128133.66707143892</v>
      </c>
      <c r="F192" s="57">
        <f t="shared" si="85"/>
        <v>64320.007020400029</v>
      </c>
      <c r="G192" s="57">
        <f t="shared" si="85"/>
        <v>10086.609802610978</v>
      </c>
      <c r="H192" s="57">
        <f t="shared" si="85"/>
        <v>-26515.459860988602</v>
      </c>
      <c r="I192" s="57">
        <f t="shared" si="85"/>
        <v>19275.090253083312</v>
      </c>
      <c r="J192" s="57">
        <f t="shared" si="85"/>
        <v>10328.399773205461</v>
      </c>
      <c r="K192" s="57">
        <f t="shared" si="85"/>
        <v>10320.742072967312</v>
      </c>
      <c r="L192" s="57">
        <f t="shared" si="85"/>
        <v>0</v>
      </c>
      <c r="M192" s="87">
        <f>SUM(C192:L192)</f>
        <v>275155.73891337164</v>
      </c>
      <c r="N192" s="99"/>
    </row>
    <row r="193" spans="2:14">
      <c r="N193" s="99"/>
    </row>
    <row r="194" spans="2:14">
      <c r="B194" s="11" t="s">
        <v>51</v>
      </c>
      <c r="C194" s="91"/>
      <c r="D194" s="91">
        <f>+'Composition-Rec. Acct. Analysis'!P$7</f>
        <v>0.15396344773270537</v>
      </c>
      <c r="E194" s="91">
        <f>+'Composition-Rec. Acct. Analysis'!P$8</f>
        <v>0.23160987491537</v>
      </c>
      <c r="F194" s="91">
        <f>+'Composition-Rec. Acct. Analysis'!P$9</f>
        <v>1.8978834109396252E-2</v>
      </c>
      <c r="G194" s="91">
        <f>+'Composition-Rec. Acct. Analysis'!P$10</f>
        <v>1.909430595499164E-2</v>
      </c>
      <c r="H194" s="91">
        <f>+'Composition-Rec. Acct. Analysis'!P$11</f>
        <v>0.15805727008765991</v>
      </c>
      <c r="I194" s="91">
        <f>+'Composition-Rec. Acct. Analysis'!P$12</f>
        <v>3.3855950353028026E-2</v>
      </c>
      <c r="J194" s="91">
        <f>+'Composition-Rec. Acct. Analysis'!P$13</f>
        <v>5.0254926305275975E-3</v>
      </c>
      <c r="K194" s="91">
        <f>+'Composition-Rec. Acct. Analysis'!P$14</f>
        <v>8.3958888075212623E-3</v>
      </c>
      <c r="L194" s="91">
        <f>+'Composition-Rec. Acct. Analysis'!P$15</f>
        <v>0</v>
      </c>
      <c r="M194" s="91">
        <f>+M97</f>
        <v>0.62898106459120007</v>
      </c>
      <c r="N194" s="99"/>
    </row>
    <row r="195" spans="2:14">
      <c r="C195" s="92">
        <f>+C194*$M195</f>
        <v>0</v>
      </c>
      <c r="D195" s="92">
        <f>+D194*$M195</f>
        <v>558.07497429045043</v>
      </c>
      <c r="E195" s="92">
        <f>+E194*$M195</f>
        <v>839.52182737041096</v>
      </c>
      <c r="F195" s="92">
        <f>+F194*$M195</f>
        <v>68.793031811368934</v>
      </c>
      <c r="G195" s="92">
        <f t="shared" ref="G195:L195" si="86">+G194*$M195</f>
        <v>69.211585359051199</v>
      </c>
      <c r="H195" s="92">
        <f t="shared" si="86"/>
        <v>572.91394963904952</v>
      </c>
      <c r="I195" s="92">
        <f t="shared" si="86"/>
        <v>122.71846922814349</v>
      </c>
      <c r="J195" s="92">
        <f t="shared" si="86"/>
        <v>18.216022776052551</v>
      </c>
      <c r="K195" s="92">
        <f t="shared" si="86"/>
        <v>30.432778035325811</v>
      </c>
      <c r="L195" s="92">
        <f t="shared" si="86"/>
        <v>0</v>
      </c>
      <c r="M195" s="87">
        <f>+'2023-2024 Recy. Tons &amp; Revenue'!D13</f>
        <v>3624.7238062590004</v>
      </c>
      <c r="N195" s="99"/>
    </row>
    <row r="196" spans="2:14">
      <c r="C196" s="57">
        <f t="shared" ref="C196:L196" si="87">+C195*C13</f>
        <v>0</v>
      </c>
      <c r="D196" s="57">
        <f t="shared" si="87"/>
        <v>43038.742017279539</v>
      </c>
      <c r="E196" s="57">
        <f t="shared" si="87"/>
        <v>132913.09570928346</v>
      </c>
      <c r="F196" s="57">
        <f t="shared" si="87"/>
        <v>89761.14790747418</v>
      </c>
      <c r="G196" s="57">
        <f t="shared" si="87"/>
        <v>12997.935730429816</v>
      </c>
      <c r="H196" s="57">
        <f t="shared" si="87"/>
        <v>-7121.3203940133853</v>
      </c>
      <c r="I196" s="57">
        <f t="shared" si="87"/>
        <v>19313.432687125223</v>
      </c>
      <c r="J196" s="57">
        <f t="shared" si="87"/>
        <v>10200.972754589429</v>
      </c>
      <c r="K196" s="57">
        <f t="shared" si="87"/>
        <v>10347.144532010776</v>
      </c>
      <c r="L196" s="57">
        <f t="shared" si="87"/>
        <v>0</v>
      </c>
      <c r="M196" s="87">
        <f>SUM(C196:L196)</f>
        <v>311451.1509441791</v>
      </c>
      <c r="N196" s="99"/>
    </row>
    <row r="198" spans="2:14">
      <c r="B198" s="11" t="s">
        <v>52</v>
      </c>
      <c r="C198" s="91"/>
      <c r="D198" s="91">
        <f>+'Composition-Rec. Acct. Analysis'!R$7</f>
        <v>0.15671472845221274</v>
      </c>
      <c r="E198" s="91">
        <f>+'Composition-Rec. Acct. Analysis'!R$8</f>
        <v>0.22207530894074115</v>
      </c>
      <c r="F198" s="91">
        <f>+'Composition-Rec. Acct. Analysis'!R$9</f>
        <v>1.8301274795275529E-2</v>
      </c>
      <c r="G198" s="91">
        <f>+'Composition-Rec. Acct. Analysis'!R$10</f>
        <v>1.579832785579903E-2</v>
      </c>
      <c r="H198" s="91">
        <f>+'Composition-Rec. Acct. Analysis'!R$11</f>
        <v>0.15069399448863768</v>
      </c>
      <c r="I198" s="91">
        <f>+'Composition-Rec. Acct. Analysis'!R$12</f>
        <v>4.1378152834916748E-2</v>
      </c>
      <c r="J198" s="91">
        <f>+'Composition-Rec. Acct. Analysis'!R$13</f>
        <v>5.4762332258643702E-3</v>
      </c>
      <c r="K198" s="91">
        <f>+'Composition-Rec. Acct. Analysis'!R$14</f>
        <v>1.1440370338566265E-2</v>
      </c>
      <c r="L198" s="91">
        <f>+'Composition-Rec. Acct. Analysis'!R$15</f>
        <v>0</v>
      </c>
      <c r="M198" s="91">
        <f>+M101</f>
        <v>0.62187839093201347</v>
      </c>
    </row>
    <row r="199" spans="2:14">
      <c r="C199" s="92">
        <f>+C198*$M199</f>
        <v>0</v>
      </c>
      <c r="D199" s="92">
        <f>+D198*$M199</f>
        <v>565.76835673200867</v>
      </c>
      <c r="E199" s="92">
        <f>+E198*$M199</f>
        <v>801.73180817825209</v>
      </c>
      <c r="F199" s="92">
        <f>+F198*$M199</f>
        <v>66.070893714251696</v>
      </c>
      <c r="G199" s="92">
        <f t="shared" ref="G199:L199" si="88">+G198*$M199</f>
        <v>57.034805077778458</v>
      </c>
      <c r="H199" s="92">
        <f t="shared" si="88"/>
        <v>544.03242422244148</v>
      </c>
      <c r="I199" s="92">
        <f t="shared" si="88"/>
        <v>149.38257409006289</v>
      </c>
      <c r="J199" s="92">
        <f t="shared" si="88"/>
        <v>19.770186911457241</v>
      </c>
      <c r="K199" s="92">
        <f t="shared" si="88"/>
        <v>41.301794609751376</v>
      </c>
      <c r="L199" s="92">
        <f t="shared" si="88"/>
        <v>0</v>
      </c>
      <c r="M199" s="87">
        <f>+'2023-2024 Recy. Tons &amp; Revenue'!D14</f>
        <v>3610.1798619682982</v>
      </c>
    </row>
    <row r="200" spans="2:14">
      <c r="C200" s="57">
        <f t="shared" ref="C200:L200" si="89">+C199*C14</f>
        <v>0</v>
      </c>
      <c r="D200" s="57">
        <f t="shared" si="89"/>
        <v>46064.859605120146</v>
      </c>
      <c r="E200" s="57">
        <f t="shared" si="89"/>
        <v>136174.1476190761</v>
      </c>
      <c r="F200" s="57">
        <f t="shared" si="89"/>
        <v>85482.522287498839</v>
      </c>
      <c r="G200" s="57">
        <f t="shared" si="89"/>
        <v>10703.151520895904</v>
      </c>
      <c r="H200" s="57">
        <f t="shared" si="89"/>
        <v>-13959.872005547848</v>
      </c>
      <c r="I200" s="57">
        <f t="shared" si="89"/>
        <v>31370.340558913205</v>
      </c>
      <c r="J200" s="57">
        <f t="shared" si="89"/>
        <v>11862.112146874344</v>
      </c>
      <c r="K200" s="57">
        <f t="shared" si="89"/>
        <v>14317.267101470314</v>
      </c>
      <c r="L200" s="57">
        <f t="shared" si="89"/>
        <v>0</v>
      </c>
      <c r="M200" s="87">
        <f>SUM(C200:L200)</f>
        <v>322014.52883430099</v>
      </c>
    </row>
    <row r="202" spans="2:14">
      <c r="B202" s="11" t="s">
        <v>53</v>
      </c>
      <c r="C202" s="91"/>
      <c r="D202" s="91">
        <f>+'Composition-Rec. Acct. Analysis'!T$7</f>
        <v>0.21392375358392546</v>
      </c>
      <c r="E202" s="91">
        <f>+'Composition-Rec. Acct. Analysis'!T$8</f>
        <v>0.28918270236109245</v>
      </c>
      <c r="F202" s="91">
        <f>+'Composition-Rec. Acct. Analysis'!T$9</f>
        <v>1.7648944920235877E-2</v>
      </c>
      <c r="G202" s="91">
        <f>+'Composition-Rec. Acct. Analysis'!T$10</f>
        <v>1.4221852535118986E-2</v>
      </c>
      <c r="H202" s="91">
        <f>+'Composition-Rec. Acct. Analysis'!T$11</f>
        <v>0.15736743541963874</v>
      </c>
      <c r="I202" s="91">
        <f>+'Composition-Rec. Acct. Analysis'!T$12</f>
        <v>3.1608247326867941E-2</v>
      </c>
      <c r="J202" s="91">
        <f>+'Composition-Rec. Acct. Analysis'!T$13</f>
        <v>5.1487706613010413E-3</v>
      </c>
      <c r="K202" s="91">
        <f>+'Composition-Rec. Acct. Analysis'!T$14</f>
        <v>8.8151786502599951E-3</v>
      </c>
      <c r="L202" s="91">
        <f>+'Composition-Rec. Acct. Analysis'!T$15</f>
        <v>0</v>
      </c>
      <c r="M202" s="91">
        <f>+M105</f>
        <v>0.73791688545844047</v>
      </c>
    </row>
    <row r="203" spans="2:14">
      <c r="C203" s="92">
        <f>+C202*$M203</f>
        <v>0</v>
      </c>
      <c r="D203" s="92">
        <f>+D202*$M203</f>
        <v>741.09808033590866</v>
      </c>
      <c r="E203" s="92">
        <f>+E202*$M203</f>
        <v>1001.8183675057758</v>
      </c>
      <c r="F203" s="92">
        <f>+F202*$M203</f>
        <v>61.141406604992433</v>
      </c>
      <c r="G203" s="92">
        <f t="shared" ref="G203:L203" si="90">+G202*$M203</f>
        <v>49.268898081774452</v>
      </c>
      <c r="H203" s="92">
        <f t="shared" si="90"/>
        <v>545.16949306952836</v>
      </c>
      <c r="I203" s="92">
        <f t="shared" si="90"/>
        <v>109.50074979651357</v>
      </c>
      <c r="J203" s="92">
        <f t="shared" si="90"/>
        <v>17.836934838949876</v>
      </c>
      <c r="K203" s="92">
        <f t="shared" si="90"/>
        <v>30.538506669212918</v>
      </c>
      <c r="L203" s="92">
        <f t="shared" si="90"/>
        <v>0</v>
      </c>
      <c r="M203" s="87">
        <f>+'2023-2024 Recy. Tons &amp; Revenue'!D15</f>
        <v>3464.3094463334801</v>
      </c>
    </row>
    <row r="204" spans="2:14">
      <c r="C204" s="57">
        <f t="shared" ref="C204:L204" si="91">+C203*C15</f>
        <v>0</v>
      </c>
      <c r="D204" s="57">
        <f t="shared" si="91"/>
        <v>68247.722218133829</v>
      </c>
      <c r="E204" s="57">
        <f t="shared" si="91"/>
        <v>175508.55980333686</v>
      </c>
      <c r="F204" s="57">
        <f t="shared" si="91"/>
        <v>84066.988425600401</v>
      </c>
      <c r="G204" s="57">
        <f t="shared" si="91"/>
        <v>9091.0970740490229</v>
      </c>
      <c r="H204" s="57">
        <f t="shared" si="91"/>
        <v>-17777.97716899732</v>
      </c>
      <c r="I204" s="57">
        <f t="shared" si="91"/>
        <v>22995.157457267851</v>
      </c>
      <c r="J204" s="57">
        <f t="shared" si="91"/>
        <v>10702.160903369926</v>
      </c>
      <c r="K204" s="57">
        <f t="shared" si="91"/>
        <v>10535.479415811766</v>
      </c>
      <c r="L204" s="57">
        <f t="shared" si="91"/>
        <v>0</v>
      </c>
      <c r="M204" s="87">
        <f>SUM(C204:L204)</f>
        <v>363369.18812857231</v>
      </c>
    </row>
    <row r="206" spans="2:14">
      <c r="B206" s="11" t="s">
        <v>54</v>
      </c>
      <c r="C206" s="91"/>
      <c r="D206" s="91">
        <f>+'Composition-Rec. Acct. Analysis'!V$7</f>
        <v>0.12015604212916675</v>
      </c>
      <c r="E206" s="91">
        <f>+'Composition-Rec. Acct. Analysis'!V$8</f>
        <v>0.2641466565908101</v>
      </c>
      <c r="F206" s="91">
        <f>+'Composition-Rec. Acct. Analysis'!V$9</f>
        <v>1.7057367592407776E-2</v>
      </c>
      <c r="G206" s="91">
        <f>+'Composition-Rec. Acct. Analysis'!V$10</f>
        <v>1.5150973694402291E-2</v>
      </c>
      <c r="H206" s="91">
        <f>+'Composition-Rec. Acct. Analysis'!V$11</f>
        <v>0.16113351643035759</v>
      </c>
      <c r="I206" s="91">
        <f>+'Composition-Rec. Acct. Analysis'!V$12</f>
        <v>3.8355659723099886E-2</v>
      </c>
      <c r="J206" s="91">
        <f>+'Composition-Rec. Acct. Analysis'!V$13</f>
        <v>4.7648225931617239E-3</v>
      </c>
      <c r="K206" s="91">
        <f>+'Composition-Rec. Acct. Analysis'!V$14</f>
        <v>8.4569790269360644E-3</v>
      </c>
      <c r="L206" s="91">
        <f>+'Composition-Rec. Acct. Analysis'!V$15</f>
        <v>0</v>
      </c>
      <c r="M206" s="91">
        <f>+M109</f>
        <v>0.62922201778034215</v>
      </c>
    </row>
    <row r="207" spans="2:14">
      <c r="C207" s="92">
        <f>+C206*$M207</f>
        <v>0</v>
      </c>
      <c r="D207" s="92">
        <f>+D206*$M207</f>
        <v>465.62268665684059</v>
      </c>
      <c r="E207" s="92">
        <f>+E206*$M207</f>
        <v>1023.607916287878</v>
      </c>
      <c r="F207" s="92">
        <f>+F206*$M207</f>
        <v>66.099858025719001</v>
      </c>
      <c r="G207" s="92">
        <f t="shared" ref="G207:L207" si="92">+G206*$M207</f>
        <v>58.712295711863042</v>
      </c>
      <c r="H207" s="92">
        <f t="shared" si="92"/>
        <v>624.4165461951003</v>
      </c>
      <c r="I207" s="92">
        <f t="shared" si="92"/>
        <v>148.63393477597054</v>
      </c>
      <c r="J207" s="92">
        <f t="shared" si="92"/>
        <v>18.464402271890656</v>
      </c>
      <c r="K207" s="92">
        <f t="shared" si="92"/>
        <v>32.772062276231296</v>
      </c>
      <c r="L207" s="92">
        <f t="shared" si="92"/>
        <v>0</v>
      </c>
      <c r="M207" s="87">
        <f>+'2023-2024 Recy. Tons &amp; Revenue'!D16</f>
        <v>3875.1500000000005</v>
      </c>
    </row>
    <row r="208" spans="2:14">
      <c r="C208" s="57">
        <f t="shared" ref="C208:L208" si="93">+C207*C16</f>
        <v>0</v>
      </c>
      <c r="D208" s="57">
        <f t="shared" si="93"/>
        <v>41743.073858785763</v>
      </c>
      <c r="E208" s="57">
        <f t="shared" si="93"/>
        <v>174914.12073527259</v>
      </c>
      <c r="F208" s="57">
        <f t="shared" si="93"/>
        <v>75693.591419571865</v>
      </c>
      <c r="G208" s="57">
        <f t="shared" si="93"/>
        <v>10751.982713713478</v>
      </c>
      <c r="H208" s="57">
        <f t="shared" si="93"/>
        <v>-21074.058434084636</v>
      </c>
      <c r="I208" s="57">
        <f t="shared" si="93"/>
        <v>35215.838166470705</v>
      </c>
      <c r="J208" s="57">
        <f t="shared" si="93"/>
        <v>11817.21745401002</v>
      </c>
      <c r="K208" s="57">
        <f t="shared" si="93"/>
        <v>7209.8537007708846</v>
      </c>
      <c r="L208" s="57">
        <f t="shared" si="93"/>
        <v>0</v>
      </c>
      <c r="M208" s="87">
        <f>SUM(C208:L208)</f>
        <v>336271.61961451068</v>
      </c>
    </row>
    <row r="209" spans="2:13">
      <c r="C209" s="57"/>
      <c r="D209" s="57"/>
      <c r="E209" s="57"/>
      <c r="F209" s="57"/>
      <c r="G209" s="57"/>
      <c r="H209" s="57"/>
      <c r="I209" s="57"/>
      <c r="J209" s="57"/>
      <c r="K209" s="57"/>
      <c r="L209" s="57"/>
      <c r="M209" s="87"/>
    </row>
    <row r="210" spans="2:13">
      <c r="B210" s="11" t="s">
        <v>55</v>
      </c>
      <c r="C210" s="91"/>
      <c r="D210" s="91">
        <f>+'Composition-Rec. Acct. Analysis'!X$7</f>
        <v>0.24113840781504006</v>
      </c>
      <c r="E210" s="91">
        <f>+'Composition-Rec. Acct. Analysis'!X$8</f>
        <v>0.20711141091753346</v>
      </c>
      <c r="F210" s="91">
        <f>+'Composition-Rec. Acct. Analysis'!X$9</f>
        <v>1.5121679932520336E-2</v>
      </c>
      <c r="G210" s="91">
        <f>+'Composition-Rec. Acct. Analysis'!X$10</f>
        <v>1.4477205778343076E-2</v>
      </c>
      <c r="H210" s="91">
        <f>+'Composition-Rec. Acct. Analysis'!X$11</f>
        <v>0.15776264813181834</v>
      </c>
      <c r="I210" s="91">
        <f>+'Composition-Rec. Acct. Analysis'!X$12</f>
        <v>3.5996121351164589E-2</v>
      </c>
      <c r="J210" s="91">
        <f>+'Composition-Rec. Acct. Analysis'!X$13</f>
        <v>4.8986227932734739E-3</v>
      </c>
      <c r="K210" s="91">
        <f>+'Composition-Rec. Acct. Analysis'!X$14</f>
        <v>9.3115437018494798E-3</v>
      </c>
      <c r="L210" s="91">
        <f>+'Composition-Rec. Acct. Analysis'!X$15</f>
        <v>0</v>
      </c>
      <c r="M210" s="91">
        <f>+M113</f>
        <v>0.68581764042154281</v>
      </c>
    </row>
    <row r="211" spans="2:13">
      <c r="C211" s="92">
        <f>+C210*$M211</f>
        <v>0</v>
      </c>
      <c r="D211" s="92">
        <f>+D210*$M211</f>
        <v>932.22661630847608</v>
      </c>
      <c r="E211" s="92">
        <f>+E210*$M211</f>
        <v>800.68028792252937</v>
      </c>
      <c r="F211" s="92">
        <f>+F210*$M211</f>
        <v>58.459507318327674</v>
      </c>
      <c r="G211" s="92">
        <f t="shared" ref="G211:L211" si="94">+G210*$M211</f>
        <v>55.96800890672764</v>
      </c>
      <c r="H211" s="92">
        <f t="shared" si="94"/>
        <v>609.90093191872188</v>
      </c>
      <c r="I211" s="92">
        <f t="shared" si="94"/>
        <v>139.15884537632124</v>
      </c>
      <c r="J211" s="92">
        <f t="shared" si="94"/>
        <v>18.937781801427658</v>
      </c>
      <c r="K211" s="92">
        <f t="shared" si="94"/>
        <v>35.997869258727981</v>
      </c>
      <c r="L211" s="92">
        <f t="shared" si="94"/>
        <v>0</v>
      </c>
      <c r="M211" s="87">
        <f>+'2023-2024 Recy. Tons &amp; Revenue'!D17</f>
        <v>3865.9400000000005</v>
      </c>
    </row>
    <row r="212" spans="2:13">
      <c r="C212" s="57">
        <f t="shared" ref="C212:L212" si="95">+C211*C17</f>
        <v>0</v>
      </c>
      <c r="D212" s="57">
        <f t="shared" si="95"/>
        <v>82791.045794355756</v>
      </c>
      <c r="E212" s="57">
        <f t="shared" si="95"/>
        <v>128573.24063459977</v>
      </c>
      <c r="F212" s="57">
        <f t="shared" si="95"/>
        <v>71151.066357136602</v>
      </c>
      <c r="G212" s="57">
        <f t="shared" si="95"/>
        <v>10225.355227259139</v>
      </c>
      <c r="H212" s="57">
        <f t="shared" si="95"/>
        <v>-22102.809772734483</v>
      </c>
      <c r="I212" s="57">
        <f t="shared" si="95"/>
        <v>35240.58600309959</v>
      </c>
      <c r="J212" s="57">
        <f t="shared" si="95"/>
        <v>12877.691624970807</v>
      </c>
      <c r="K212" s="57">
        <f t="shared" si="95"/>
        <v>7199.5738517455966</v>
      </c>
      <c r="L212" s="57">
        <f t="shared" si="95"/>
        <v>0</v>
      </c>
      <c r="M212" s="87">
        <f>SUM(C212:L212)</f>
        <v>325955.7497204328</v>
      </c>
    </row>
    <row r="214" spans="2:13">
      <c r="B214" s="11" t="s">
        <v>56</v>
      </c>
      <c r="C214" s="91"/>
      <c r="D214" s="91">
        <f>+'Composition-Rec. Acct. Analysis'!Z$7</f>
        <v>0.27335935090037949</v>
      </c>
      <c r="E214" s="91">
        <f>+'Composition-Rec. Acct. Analysis'!Z$8</f>
        <v>0.19440567594261801</v>
      </c>
      <c r="F214" s="91">
        <f>+'Composition-Rec. Acct. Analysis'!Z$9</f>
        <v>1.4164386120316626E-2</v>
      </c>
      <c r="G214" s="91">
        <f>+'Composition-Rec. Acct. Analysis'!Z$10</f>
        <v>1.3818554355301105E-2</v>
      </c>
      <c r="H214" s="91">
        <f>+'Composition-Rec. Acct. Analysis'!Z$11</f>
        <v>0.16778438436568738</v>
      </c>
      <c r="I214" s="91">
        <f>+'Composition-Rec. Acct. Analysis'!Z$12</f>
        <v>3.9524438872396012E-2</v>
      </c>
      <c r="J214" s="91">
        <f>+'Composition-Rec. Acct. Analysis'!Z$13</f>
        <v>5.6985829953785337E-3</v>
      </c>
      <c r="K214" s="91">
        <f>+'Composition-Rec. Acct. Analysis'!Z$14</f>
        <v>1.2085433464175847E-2</v>
      </c>
      <c r="L214" s="91">
        <f>+'Composition-Rec. Acct. Analysis'!Z$15</f>
        <v>0</v>
      </c>
      <c r="M214" s="91">
        <f>+M117</f>
        <v>0.72084080701625297</v>
      </c>
    </row>
    <row r="215" spans="2:13">
      <c r="C215" s="92">
        <f>+C214*$M215</f>
        <v>0</v>
      </c>
      <c r="D215" s="92">
        <f>+D214*$M215</f>
        <v>946.46301499641993</v>
      </c>
      <c r="E215" s="92">
        <f>+E214*$M215</f>
        <v>673.0985480431641</v>
      </c>
      <c r="F215" s="92">
        <f>+F214*$M215</f>
        <v>49.041920639817072</v>
      </c>
      <c r="G215" s="92">
        <f t="shared" ref="G215:L215" si="96">+G214*$M215</f>
        <v>47.84453348653323</v>
      </c>
      <c r="H215" s="92">
        <f t="shared" si="96"/>
        <v>580.92658536469401</v>
      </c>
      <c r="I215" s="92">
        <f t="shared" si="96"/>
        <v>136.8470456854516</v>
      </c>
      <c r="J215" s="92">
        <f t="shared" si="96"/>
        <v>19.730431848218913</v>
      </c>
      <c r="K215" s="92">
        <f t="shared" si="96"/>
        <v>41.843879700354606</v>
      </c>
      <c r="L215" s="92">
        <f t="shared" si="96"/>
        <v>0</v>
      </c>
      <c r="M215" s="87">
        <f>+'2023-2024 Recy. Tons &amp; Revenue'!D18</f>
        <v>3462.34</v>
      </c>
    </row>
    <row r="216" spans="2:13">
      <c r="C216" s="57">
        <f t="shared" ref="C216:L216" si="97">+C215*C18</f>
        <v>0</v>
      </c>
      <c r="D216" s="57">
        <f t="shared" si="97"/>
        <v>74373.063718418678</v>
      </c>
      <c r="E216" s="57">
        <f t="shared" si="97"/>
        <v>95411.719185118505</v>
      </c>
      <c r="F216" s="57">
        <f t="shared" si="97"/>
        <v>65421.922133515975</v>
      </c>
      <c r="G216" s="57">
        <f t="shared" si="97"/>
        <v>8614.4082542503093</v>
      </c>
      <c r="H216" s="57">
        <f t="shared" si="97"/>
        <v>-15917.388438992615</v>
      </c>
      <c r="I216" s="57">
        <f t="shared" si="97"/>
        <v>35580.231878217419</v>
      </c>
      <c r="J216" s="57">
        <f t="shared" si="97"/>
        <v>16178.954115539509</v>
      </c>
      <c r="K216" s="57">
        <f t="shared" si="97"/>
        <v>9205.6535340780138</v>
      </c>
      <c r="L216" s="57">
        <f t="shared" si="97"/>
        <v>0</v>
      </c>
      <c r="M216" s="87">
        <f>SUM(C216:L216)</f>
        <v>288868.56438014581</v>
      </c>
    </row>
    <row r="218" spans="2:13">
      <c r="B218" s="11" t="s">
        <v>57</v>
      </c>
      <c r="C218" s="91"/>
      <c r="D218" s="91">
        <f>+'Composition-Rec. Acct. Analysis'!AB$7</f>
        <v>0.19859501340428887</v>
      </c>
      <c r="E218" s="91">
        <f>+'Composition-Rec. Acct. Analysis'!AB$8</f>
        <v>0.20964645035353913</v>
      </c>
      <c r="F218" s="91">
        <f>+'Composition-Rec. Acct. Analysis'!AB$9</f>
        <v>1.4051446962283016E-2</v>
      </c>
      <c r="G218" s="91">
        <f>+'Composition-Rec. Acct. Analysis'!AB$10</f>
        <v>1.8732697874654751E-2</v>
      </c>
      <c r="H218" s="91">
        <f>+'Composition-Rec. Acct. Analysis'!AB$11</f>
        <v>0.14076743045026502</v>
      </c>
      <c r="I218" s="91">
        <f>+'Composition-Rec. Acct. Analysis'!AB$12</f>
        <v>3.5843916845452004E-2</v>
      </c>
      <c r="J218" s="91">
        <f>+'Composition-Rec. Acct. Analysis'!AB$13</f>
        <v>5.2520991796164169E-3</v>
      </c>
      <c r="K218" s="91">
        <f>+'Composition-Rec. Acct. Analysis'!AB$14</f>
        <v>1.2688304303443379E-2</v>
      </c>
      <c r="L218" s="91">
        <f>+'Composition-Rec. Acct. Analysis'!AB$15</f>
        <v>0</v>
      </c>
      <c r="M218" s="91">
        <f>+M121</f>
        <v>0.63557735937354254</v>
      </c>
    </row>
    <row r="219" spans="2:13">
      <c r="C219" s="92">
        <f>+C218*$M219</f>
        <v>0</v>
      </c>
      <c r="D219" s="92">
        <f>+D218*$M219</f>
        <v>687.60345871020559</v>
      </c>
      <c r="E219" s="92">
        <f>+E218*$M219</f>
        <v>725.86729091707264</v>
      </c>
      <c r="F219" s="92">
        <f>+F218*$M219</f>
        <v>48.650886875390981</v>
      </c>
      <c r="G219" s="92">
        <f t="shared" ref="G219:L219" si="98">+G218*$M219</f>
        <v>64.858969159332133</v>
      </c>
      <c r="H219" s="92">
        <f t="shared" si="98"/>
        <v>487.38470514517059</v>
      </c>
      <c r="I219" s="92">
        <f t="shared" si="98"/>
        <v>124.1038270506823</v>
      </c>
      <c r="J219" s="92">
        <f t="shared" si="98"/>
        <v>18.184553073553104</v>
      </c>
      <c r="K219" s="92">
        <f t="shared" si="98"/>
        <v>43.931223521984151</v>
      </c>
      <c r="L219" s="92">
        <f t="shared" si="98"/>
        <v>0</v>
      </c>
      <c r="M219" s="87">
        <f>+'2023-2024 Recy. Tons &amp; Revenue'!D19</f>
        <v>3462.34</v>
      </c>
    </row>
    <row r="220" spans="2:13">
      <c r="C220" s="57">
        <f t="shared" ref="C220:L220" si="99">+C219*C19</f>
        <v>0</v>
      </c>
      <c r="D220" s="57">
        <f t="shared" si="99"/>
        <v>46880.803814861822</v>
      </c>
      <c r="E220" s="57">
        <f t="shared" si="99"/>
        <v>91422.985291005301</v>
      </c>
      <c r="F220" s="57">
        <f t="shared" si="99"/>
        <v>76389.190027395147</v>
      </c>
      <c r="G220" s="57">
        <f t="shared" si="99"/>
        <v>11614.295607361604</v>
      </c>
      <c r="H220" s="57">
        <f t="shared" si="99"/>
        <v>-8499.9892577317751</v>
      </c>
      <c r="I220" s="57">
        <f t="shared" si="99"/>
        <v>31025.956762670576</v>
      </c>
      <c r="J220" s="57">
        <f t="shared" si="99"/>
        <v>15565.250048838516</v>
      </c>
      <c r="K220" s="57">
        <f t="shared" si="99"/>
        <v>9738.2343181182259</v>
      </c>
      <c r="L220" s="57">
        <f t="shared" si="99"/>
        <v>0</v>
      </c>
      <c r="M220" s="87">
        <f>SUM(C220:L220)</f>
        <v>274136.72661251941</v>
      </c>
    </row>
    <row r="221" spans="2:13">
      <c r="C221" s="57"/>
      <c r="D221" s="57"/>
      <c r="E221" s="57"/>
      <c r="F221" s="57"/>
      <c r="G221" s="57"/>
      <c r="H221" s="57"/>
      <c r="I221" s="57"/>
      <c r="J221" s="57"/>
      <c r="K221" s="57"/>
      <c r="L221" s="57"/>
      <c r="M221" s="87"/>
    </row>
    <row r="222" spans="2:13">
      <c r="B222" s="11" t="s">
        <v>58</v>
      </c>
      <c r="C222" s="91"/>
      <c r="D222" s="91">
        <f>+'Composition-Rec. Acct. Analysis'!AZ$7</f>
        <v>0.22239077398407978</v>
      </c>
      <c r="E222" s="91">
        <f>+'Composition-Rec. Acct. Analysis'!AZ$8</f>
        <v>0.24580155144086605</v>
      </c>
      <c r="F222" s="91">
        <f>+'Composition-Rec. Acct. Analysis'!AZ$9</f>
        <v>1.5724978054791738E-2</v>
      </c>
      <c r="G222" s="91">
        <f>+'Composition-Rec. Acct. Analysis'!AZ$10</f>
        <v>1.4192706222818501E-2</v>
      </c>
      <c r="H222" s="91">
        <f>+'Composition-Rec. Acct. Analysis'!AZ$11</f>
        <v>0.18496178552493303</v>
      </c>
      <c r="I222" s="91">
        <f>+'Composition-Rec. Acct. Analysis'!AZ$12</f>
        <v>3.2893764377978967E-2</v>
      </c>
      <c r="J222" s="91">
        <f>+'Composition-Rec. Acct. Analysis'!AZ$13</f>
        <v>4.7422335035790407E-3</v>
      </c>
      <c r="K222" s="91">
        <f>+'Composition-Rec. Acct. Analysis'!AZ$14</f>
        <v>8.0157540499873076E-3</v>
      </c>
      <c r="L222" s="91">
        <f>+'Composition-Rec. Acct. Analysis'!AZ$15</f>
        <v>7.6874046208736323E-4</v>
      </c>
      <c r="M222" s="91">
        <f>+M125</f>
        <v>0.72949228762112184</v>
      </c>
    </row>
    <row r="223" spans="2:13">
      <c r="C223" s="92">
        <f>+C222*$M223</f>
        <v>0</v>
      </c>
      <c r="D223" s="92">
        <f>+D222*$M223</f>
        <v>0</v>
      </c>
      <c r="E223" s="92">
        <f>+E222*$M223</f>
        <v>0</v>
      </c>
      <c r="F223" s="92">
        <f>+F222*$M223</f>
        <v>0</v>
      </c>
      <c r="G223" s="92">
        <f t="shared" ref="G223:L223" si="100">+G222*$M223</f>
        <v>0</v>
      </c>
      <c r="H223" s="92">
        <f t="shared" si="100"/>
        <v>0</v>
      </c>
      <c r="I223" s="92">
        <f t="shared" si="100"/>
        <v>0</v>
      </c>
      <c r="J223" s="92">
        <f t="shared" si="100"/>
        <v>0</v>
      </c>
      <c r="K223" s="92">
        <f t="shared" si="100"/>
        <v>0</v>
      </c>
      <c r="L223" s="92">
        <f t="shared" si="100"/>
        <v>0</v>
      </c>
      <c r="M223" s="87">
        <f>+'2023-2024 Recy. Tons &amp; Revenue'!D20</f>
        <v>0</v>
      </c>
    </row>
    <row r="224" spans="2:13">
      <c r="C224" s="57">
        <f t="shared" ref="C224:L224" si="101">+C223*C20</f>
        <v>0</v>
      </c>
      <c r="D224" s="57">
        <f t="shared" si="101"/>
        <v>0</v>
      </c>
      <c r="E224" s="57">
        <f t="shared" si="101"/>
        <v>0</v>
      </c>
      <c r="F224" s="57">
        <f t="shared" si="101"/>
        <v>0</v>
      </c>
      <c r="G224" s="57">
        <f t="shared" si="101"/>
        <v>0</v>
      </c>
      <c r="H224" s="57">
        <f t="shared" si="101"/>
        <v>0</v>
      </c>
      <c r="I224" s="57">
        <f t="shared" si="101"/>
        <v>0</v>
      </c>
      <c r="J224" s="57">
        <f t="shared" si="101"/>
        <v>0</v>
      </c>
      <c r="K224" s="57">
        <f t="shared" si="101"/>
        <v>0</v>
      </c>
      <c r="L224" s="57">
        <f t="shared" si="101"/>
        <v>0</v>
      </c>
      <c r="M224" s="87">
        <f>SUM(C224:L224)</f>
        <v>0</v>
      </c>
    </row>
    <row r="226" spans="2:13">
      <c r="B226" s="11" t="s">
        <v>48</v>
      </c>
      <c r="C226" s="91">
        <f>C222</f>
        <v>0</v>
      </c>
      <c r="D226" s="91">
        <f>D222</f>
        <v>0.22239077398407978</v>
      </c>
      <c r="E226" s="91">
        <f t="shared" ref="E226:L226" si="102">E222</f>
        <v>0.24580155144086605</v>
      </c>
      <c r="F226" s="91">
        <f t="shared" si="102"/>
        <v>1.5724978054791738E-2</v>
      </c>
      <c r="G226" s="91">
        <f t="shared" si="102"/>
        <v>1.4192706222818501E-2</v>
      </c>
      <c r="H226" s="91">
        <f t="shared" si="102"/>
        <v>0.18496178552493303</v>
      </c>
      <c r="I226" s="91">
        <f t="shared" si="102"/>
        <v>3.2893764377978967E-2</v>
      </c>
      <c r="J226" s="91">
        <f t="shared" si="102"/>
        <v>4.7422335035790407E-3</v>
      </c>
      <c r="K226" s="91">
        <f t="shared" si="102"/>
        <v>8.0157540499873076E-3</v>
      </c>
      <c r="L226" s="91">
        <f t="shared" si="102"/>
        <v>7.6874046208736323E-4</v>
      </c>
      <c r="M226" s="91">
        <f>+M129</f>
        <v>0.72949228762112184</v>
      </c>
    </row>
    <row r="227" spans="2:13">
      <c r="C227" s="92">
        <f>+C226*$M227</f>
        <v>0</v>
      </c>
      <c r="D227" s="92">
        <f>+D226*$M227</f>
        <v>0</v>
      </c>
      <c r="E227" s="92">
        <f>+E226*$M227</f>
        <v>0</v>
      </c>
      <c r="F227" s="92">
        <f>+F226*$M227</f>
        <v>0</v>
      </c>
      <c r="G227" s="92">
        <f t="shared" ref="G227:L227" si="103">+G226*$M227</f>
        <v>0</v>
      </c>
      <c r="H227" s="92">
        <f t="shared" si="103"/>
        <v>0</v>
      </c>
      <c r="I227" s="92">
        <f t="shared" si="103"/>
        <v>0</v>
      </c>
      <c r="J227" s="92">
        <f t="shared" si="103"/>
        <v>0</v>
      </c>
      <c r="K227" s="92">
        <f t="shared" si="103"/>
        <v>0</v>
      </c>
      <c r="L227" s="92">
        <f t="shared" si="103"/>
        <v>0</v>
      </c>
      <c r="M227" s="87">
        <f>+'2023-2024 Recy. Tons &amp; Revenue'!D21</f>
        <v>0</v>
      </c>
    </row>
    <row r="228" spans="2:13">
      <c r="C228" s="57">
        <f t="shared" ref="C228:L228" si="104">+C227*C21</f>
        <v>0</v>
      </c>
      <c r="D228" s="57">
        <f t="shared" si="104"/>
        <v>0</v>
      </c>
      <c r="E228" s="57">
        <f t="shared" si="104"/>
        <v>0</v>
      </c>
      <c r="F228" s="57">
        <f t="shared" si="104"/>
        <v>0</v>
      </c>
      <c r="G228" s="57">
        <f t="shared" si="104"/>
        <v>0</v>
      </c>
      <c r="H228" s="57">
        <f t="shared" si="104"/>
        <v>0</v>
      </c>
      <c r="I228" s="57">
        <f t="shared" si="104"/>
        <v>0</v>
      </c>
      <c r="J228" s="57">
        <f t="shared" si="104"/>
        <v>0</v>
      </c>
      <c r="K228" s="57">
        <f t="shared" si="104"/>
        <v>0</v>
      </c>
      <c r="L228" s="57">
        <f t="shared" si="104"/>
        <v>0</v>
      </c>
      <c r="M228" s="87">
        <f>SUM(C228:L228)</f>
        <v>0</v>
      </c>
    </row>
    <row r="230" spans="2:13">
      <c r="B230" s="283" t="s">
        <v>323</v>
      </c>
      <c r="C230" s="91">
        <f>C226</f>
        <v>0</v>
      </c>
      <c r="D230" s="91">
        <f>D226</f>
        <v>0.22239077398407978</v>
      </c>
      <c r="E230" s="91">
        <f t="shared" ref="E230:L230" si="105">E226</f>
        <v>0.24580155144086605</v>
      </c>
      <c r="F230" s="91">
        <f t="shared" si="105"/>
        <v>1.5724978054791738E-2</v>
      </c>
      <c r="G230" s="91">
        <f t="shared" si="105"/>
        <v>1.4192706222818501E-2</v>
      </c>
      <c r="H230" s="91">
        <f t="shared" si="105"/>
        <v>0.18496178552493303</v>
      </c>
      <c r="I230" s="91">
        <f t="shared" si="105"/>
        <v>3.2893764377978967E-2</v>
      </c>
      <c r="J230" s="91">
        <f t="shared" si="105"/>
        <v>4.7422335035790407E-3</v>
      </c>
      <c r="K230" s="91">
        <f t="shared" si="105"/>
        <v>8.0157540499873076E-3</v>
      </c>
      <c r="L230" s="91">
        <f t="shared" si="105"/>
        <v>7.6874046208736323E-4</v>
      </c>
      <c r="M230" s="86">
        <f>SUM(C230:L230)</f>
        <v>0.72949228762112184</v>
      </c>
    </row>
    <row r="231" spans="2:13">
      <c r="C231" s="92">
        <f t="shared" ref="C231:L231" si="106">+C230*$M231</f>
        <v>0</v>
      </c>
      <c r="D231" s="92">
        <f t="shared" si="106"/>
        <v>0</v>
      </c>
      <c r="E231" s="92">
        <f t="shared" si="106"/>
        <v>0</v>
      </c>
      <c r="F231" s="92">
        <f t="shared" si="106"/>
        <v>0</v>
      </c>
      <c r="G231" s="92">
        <f t="shared" si="106"/>
        <v>0</v>
      </c>
      <c r="H231" s="92">
        <f t="shared" si="106"/>
        <v>0</v>
      </c>
      <c r="I231" s="92">
        <f t="shared" si="106"/>
        <v>0</v>
      </c>
      <c r="J231" s="92">
        <f t="shared" si="106"/>
        <v>0</v>
      </c>
      <c r="K231" s="92">
        <f t="shared" si="106"/>
        <v>0</v>
      </c>
      <c r="L231" s="92">
        <f t="shared" si="106"/>
        <v>0</v>
      </c>
      <c r="M231" s="87">
        <f>+'2023-2024 Recy. Tons &amp; Revenue'!D22</f>
        <v>0</v>
      </c>
    </row>
    <row r="232" spans="2:13">
      <c r="C232" s="57">
        <f t="shared" ref="C232:L232" si="107">+C231*C22</f>
        <v>0</v>
      </c>
      <c r="D232" s="57">
        <f t="shared" si="107"/>
        <v>0</v>
      </c>
      <c r="E232" s="57">
        <f t="shared" si="107"/>
        <v>0</v>
      </c>
      <c r="F232" s="57">
        <f t="shared" si="107"/>
        <v>0</v>
      </c>
      <c r="G232" s="57">
        <f t="shared" si="107"/>
        <v>0</v>
      </c>
      <c r="H232" s="57">
        <f t="shared" si="107"/>
        <v>0</v>
      </c>
      <c r="I232" s="57">
        <f t="shared" si="107"/>
        <v>0</v>
      </c>
      <c r="J232" s="57">
        <f t="shared" si="107"/>
        <v>0</v>
      </c>
      <c r="K232" s="57">
        <f t="shared" si="107"/>
        <v>0</v>
      </c>
      <c r="L232" s="57">
        <f t="shared" si="107"/>
        <v>0</v>
      </c>
      <c r="M232" s="87">
        <f>SUM(C232:L232)</f>
        <v>0</v>
      </c>
    </row>
    <row r="233" spans="2:13">
      <c r="C233" s="91"/>
      <c r="D233" s="91"/>
      <c r="E233" s="91"/>
      <c r="F233" s="91"/>
      <c r="G233" s="91"/>
      <c r="H233" s="91"/>
      <c r="I233" s="91"/>
      <c r="J233" s="91"/>
      <c r="K233" s="91"/>
      <c r="L233" s="91"/>
    </row>
    <row r="234" spans="2:13">
      <c r="B234" s="11" t="s">
        <v>49</v>
      </c>
      <c r="C234" s="91">
        <f>C230</f>
        <v>0</v>
      </c>
      <c r="D234" s="91">
        <f>D230</f>
        <v>0.22239077398407978</v>
      </c>
      <c r="E234" s="91">
        <f t="shared" ref="E234:L234" si="108">E230</f>
        <v>0.24580155144086605</v>
      </c>
      <c r="F234" s="91">
        <f t="shared" si="108"/>
        <v>1.5724978054791738E-2</v>
      </c>
      <c r="G234" s="91">
        <f t="shared" si="108"/>
        <v>1.4192706222818501E-2</v>
      </c>
      <c r="H234" s="91">
        <f t="shared" si="108"/>
        <v>0.18496178552493303</v>
      </c>
      <c r="I234" s="91">
        <f t="shared" si="108"/>
        <v>3.2893764377978967E-2</v>
      </c>
      <c r="J234" s="91">
        <f t="shared" si="108"/>
        <v>4.7422335035790407E-3</v>
      </c>
      <c r="K234" s="91">
        <f t="shared" si="108"/>
        <v>8.0157540499873076E-3</v>
      </c>
      <c r="L234" s="91">
        <f t="shared" si="108"/>
        <v>7.6874046208736323E-4</v>
      </c>
      <c r="M234" s="86">
        <f>SUM(C234:L234)</f>
        <v>0.72949228762112184</v>
      </c>
    </row>
    <row r="235" spans="2:13">
      <c r="C235" s="92">
        <f t="shared" ref="C235:L235" si="109">+C234*$M235</f>
        <v>0</v>
      </c>
      <c r="D235" s="92">
        <f t="shared" si="109"/>
        <v>0</v>
      </c>
      <c r="E235" s="92">
        <f t="shared" si="109"/>
        <v>0</v>
      </c>
      <c r="F235" s="92">
        <f t="shared" si="109"/>
        <v>0</v>
      </c>
      <c r="G235" s="92">
        <f t="shared" si="109"/>
        <v>0</v>
      </c>
      <c r="H235" s="92">
        <f t="shared" si="109"/>
        <v>0</v>
      </c>
      <c r="I235" s="92">
        <f t="shared" si="109"/>
        <v>0</v>
      </c>
      <c r="J235" s="92">
        <f t="shared" si="109"/>
        <v>0</v>
      </c>
      <c r="K235" s="92">
        <f t="shared" si="109"/>
        <v>0</v>
      </c>
      <c r="L235" s="92">
        <f t="shared" si="109"/>
        <v>0</v>
      </c>
      <c r="M235" s="87">
        <f>+'2023-2024 Recy. Tons &amp; Revenue'!D23</f>
        <v>0</v>
      </c>
    </row>
    <row r="236" spans="2:13">
      <c r="C236" s="57">
        <f t="shared" ref="C236:L236" si="110">+C235*C23</f>
        <v>0</v>
      </c>
      <c r="D236" s="57">
        <f t="shared" si="110"/>
        <v>0</v>
      </c>
      <c r="E236" s="57">
        <f t="shared" si="110"/>
        <v>0</v>
      </c>
      <c r="F236" s="57">
        <f t="shared" si="110"/>
        <v>0</v>
      </c>
      <c r="G236" s="57">
        <f t="shared" si="110"/>
        <v>0</v>
      </c>
      <c r="H236" s="57">
        <f t="shared" si="110"/>
        <v>0</v>
      </c>
      <c r="I236" s="57">
        <f t="shared" si="110"/>
        <v>0</v>
      </c>
      <c r="J236" s="57">
        <f t="shared" si="110"/>
        <v>0</v>
      </c>
      <c r="K236" s="57">
        <f t="shared" si="110"/>
        <v>0</v>
      </c>
      <c r="L236" s="57">
        <f t="shared" si="110"/>
        <v>0</v>
      </c>
      <c r="M236" s="87">
        <f>SUM(C236:L236)</f>
        <v>0</v>
      </c>
    </row>
    <row r="238" spans="2:13">
      <c r="B238" s="11" t="s">
        <v>50</v>
      </c>
      <c r="C238" s="91">
        <f>C234</f>
        <v>0</v>
      </c>
      <c r="D238" s="91">
        <f>D234</f>
        <v>0.22239077398407978</v>
      </c>
      <c r="E238" s="91">
        <f t="shared" ref="E238:L238" si="111">E234</f>
        <v>0.24580155144086605</v>
      </c>
      <c r="F238" s="91">
        <f t="shared" si="111"/>
        <v>1.5724978054791738E-2</v>
      </c>
      <c r="G238" s="91">
        <f t="shared" si="111"/>
        <v>1.4192706222818501E-2</v>
      </c>
      <c r="H238" s="91">
        <f t="shared" si="111"/>
        <v>0.18496178552493303</v>
      </c>
      <c r="I238" s="91">
        <f t="shared" si="111"/>
        <v>3.2893764377978967E-2</v>
      </c>
      <c r="J238" s="91">
        <f t="shared" si="111"/>
        <v>4.7422335035790407E-3</v>
      </c>
      <c r="K238" s="91">
        <f t="shared" si="111"/>
        <v>8.0157540499873076E-3</v>
      </c>
      <c r="L238" s="91">
        <f t="shared" si="111"/>
        <v>7.6874046208736323E-4</v>
      </c>
      <c r="M238" s="86">
        <f>SUM(C238:L238)</f>
        <v>0.72949228762112184</v>
      </c>
    </row>
    <row r="239" spans="2:13">
      <c r="C239" s="92">
        <f t="shared" ref="C239:L239" si="112">+C238*$M239</f>
        <v>0</v>
      </c>
      <c r="D239" s="92">
        <f t="shared" si="112"/>
        <v>0</v>
      </c>
      <c r="E239" s="92">
        <f t="shared" si="112"/>
        <v>0</v>
      </c>
      <c r="F239" s="92">
        <f t="shared" si="112"/>
        <v>0</v>
      </c>
      <c r="G239" s="92">
        <f t="shared" si="112"/>
        <v>0</v>
      </c>
      <c r="H239" s="92">
        <f t="shared" si="112"/>
        <v>0</v>
      </c>
      <c r="I239" s="92">
        <f t="shared" si="112"/>
        <v>0</v>
      </c>
      <c r="J239" s="92">
        <f t="shared" si="112"/>
        <v>0</v>
      </c>
      <c r="K239" s="92">
        <f t="shared" si="112"/>
        <v>0</v>
      </c>
      <c r="L239" s="92">
        <f t="shared" si="112"/>
        <v>0</v>
      </c>
      <c r="M239" s="87">
        <f>+'2023-2024 Recy. Tons &amp; Revenue'!D24</f>
        <v>0</v>
      </c>
    </row>
    <row r="240" spans="2:13">
      <c r="C240" s="57">
        <f t="shared" ref="C240:L240" si="113">+C239*C24</f>
        <v>0</v>
      </c>
      <c r="D240" s="57">
        <f t="shared" si="113"/>
        <v>0</v>
      </c>
      <c r="E240" s="57">
        <f t="shared" si="113"/>
        <v>0</v>
      </c>
      <c r="F240" s="57">
        <f t="shared" si="113"/>
        <v>0</v>
      </c>
      <c r="G240" s="57">
        <f t="shared" si="113"/>
        <v>0</v>
      </c>
      <c r="H240" s="57">
        <f t="shared" si="113"/>
        <v>0</v>
      </c>
      <c r="I240" s="57">
        <f t="shared" si="113"/>
        <v>0</v>
      </c>
      <c r="J240" s="57">
        <f t="shared" si="113"/>
        <v>0</v>
      </c>
      <c r="K240" s="57">
        <f t="shared" si="113"/>
        <v>0</v>
      </c>
      <c r="L240" s="57">
        <f t="shared" si="113"/>
        <v>0</v>
      </c>
      <c r="M240" s="87">
        <f>SUM(C240:L240)</f>
        <v>0</v>
      </c>
    </row>
    <row r="242" spans="2:13">
      <c r="B242" s="11" t="s">
        <v>51</v>
      </c>
      <c r="C242" s="91">
        <f>C238</f>
        <v>0</v>
      </c>
      <c r="D242" s="91">
        <f>D238</f>
        <v>0.22239077398407978</v>
      </c>
      <c r="E242" s="91">
        <f t="shared" ref="E242:L242" si="114">E238</f>
        <v>0.24580155144086605</v>
      </c>
      <c r="F242" s="91">
        <f t="shared" si="114"/>
        <v>1.5724978054791738E-2</v>
      </c>
      <c r="G242" s="91">
        <f t="shared" si="114"/>
        <v>1.4192706222818501E-2</v>
      </c>
      <c r="H242" s="91">
        <f t="shared" si="114"/>
        <v>0.18496178552493303</v>
      </c>
      <c r="I242" s="91">
        <f t="shared" si="114"/>
        <v>3.2893764377978967E-2</v>
      </c>
      <c r="J242" s="91">
        <f t="shared" si="114"/>
        <v>4.7422335035790407E-3</v>
      </c>
      <c r="K242" s="91">
        <f t="shared" si="114"/>
        <v>8.0157540499873076E-3</v>
      </c>
      <c r="L242" s="91">
        <f t="shared" si="114"/>
        <v>7.6874046208736323E-4</v>
      </c>
      <c r="M242" s="86">
        <f>SUM(C242:L242)</f>
        <v>0.72949228762112184</v>
      </c>
    </row>
    <row r="243" spans="2:13">
      <c r="C243" s="92">
        <f t="shared" ref="C243:L243" si="115">+C242*$M243</f>
        <v>0</v>
      </c>
      <c r="D243" s="92">
        <f>+D242*$M243</f>
        <v>0</v>
      </c>
      <c r="E243" s="92">
        <f t="shared" si="115"/>
        <v>0</v>
      </c>
      <c r="F243" s="92">
        <f t="shared" si="115"/>
        <v>0</v>
      </c>
      <c r="G243" s="92">
        <f t="shared" si="115"/>
        <v>0</v>
      </c>
      <c r="H243" s="92">
        <f t="shared" si="115"/>
        <v>0</v>
      </c>
      <c r="I243" s="92">
        <f t="shared" si="115"/>
        <v>0</v>
      </c>
      <c r="J243" s="92">
        <f t="shared" si="115"/>
        <v>0</v>
      </c>
      <c r="K243" s="92">
        <f t="shared" si="115"/>
        <v>0</v>
      </c>
      <c r="L243" s="92">
        <f t="shared" si="115"/>
        <v>0</v>
      </c>
      <c r="M243" s="87">
        <f>+'2023-2024 Recy. Tons &amp; Revenue'!D25</f>
        <v>0</v>
      </c>
    </row>
    <row r="244" spans="2:13">
      <c r="C244" s="57">
        <f t="shared" ref="C244:L244" si="116">+C243*C25</f>
        <v>0</v>
      </c>
      <c r="D244" s="57">
        <f t="shared" si="116"/>
        <v>0</v>
      </c>
      <c r="E244" s="57">
        <f t="shared" si="116"/>
        <v>0</v>
      </c>
      <c r="F244" s="57">
        <f t="shared" si="116"/>
        <v>0</v>
      </c>
      <c r="G244" s="57">
        <f t="shared" si="116"/>
        <v>0</v>
      </c>
      <c r="H244" s="57">
        <f t="shared" si="116"/>
        <v>0</v>
      </c>
      <c r="I244" s="57">
        <f t="shared" si="116"/>
        <v>0</v>
      </c>
      <c r="J244" s="57">
        <f t="shared" si="116"/>
        <v>0</v>
      </c>
      <c r="K244" s="57">
        <f t="shared" si="116"/>
        <v>0</v>
      </c>
      <c r="L244" s="57">
        <f t="shared" si="116"/>
        <v>0</v>
      </c>
      <c r="M244" s="87">
        <f>SUM(C244:L244)</f>
        <v>0</v>
      </c>
    </row>
    <row r="246" spans="2:13">
      <c r="B246" s="11" t="s">
        <v>52</v>
      </c>
      <c r="C246" s="91">
        <f>C242</f>
        <v>0</v>
      </c>
      <c r="D246" s="91">
        <f>D242</f>
        <v>0.22239077398407978</v>
      </c>
      <c r="E246" s="91">
        <f t="shared" ref="E246:L246" si="117">E242</f>
        <v>0.24580155144086605</v>
      </c>
      <c r="F246" s="91">
        <f t="shared" si="117"/>
        <v>1.5724978054791738E-2</v>
      </c>
      <c r="G246" s="91">
        <f t="shared" si="117"/>
        <v>1.4192706222818501E-2</v>
      </c>
      <c r="H246" s="91">
        <f t="shared" si="117"/>
        <v>0.18496178552493303</v>
      </c>
      <c r="I246" s="91">
        <f t="shared" si="117"/>
        <v>3.2893764377978967E-2</v>
      </c>
      <c r="J246" s="91">
        <f t="shared" si="117"/>
        <v>4.7422335035790407E-3</v>
      </c>
      <c r="K246" s="91">
        <f t="shared" si="117"/>
        <v>8.0157540499873076E-3</v>
      </c>
      <c r="L246" s="91">
        <f t="shared" si="117"/>
        <v>7.6874046208736323E-4</v>
      </c>
      <c r="M246" s="86">
        <f>SUM(C246:L246)</f>
        <v>0.72949228762112184</v>
      </c>
    </row>
    <row r="247" spans="2:13">
      <c r="C247" s="92">
        <f t="shared" ref="C247:L247" si="118">+C246*$M247</f>
        <v>0</v>
      </c>
      <c r="D247" s="92">
        <f t="shared" si="118"/>
        <v>0</v>
      </c>
      <c r="E247" s="92">
        <f t="shared" si="118"/>
        <v>0</v>
      </c>
      <c r="F247" s="92">
        <f t="shared" si="118"/>
        <v>0</v>
      </c>
      <c r="G247" s="92">
        <f t="shared" si="118"/>
        <v>0</v>
      </c>
      <c r="H247" s="92">
        <f t="shared" si="118"/>
        <v>0</v>
      </c>
      <c r="I247" s="92">
        <f t="shared" si="118"/>
        <v>0</v>
      </c>
      <c r="J247" s="92">
        <f t="shared" si="118"/>
        <v>0</v>
      </c>
      <c r="K247" s="92">
        <f t="shared" si="118"/>
        <v>0</v>
      </c>
      <c r="L247" s="92">
        <f t="shared" si="118"/>
        <v>0</v>
      </c>
      <c r="M247" s="87">
        <f>+'2023-2024 Recy. Tons &amp; Revenue'!D26</f>
        <v>0</v>
      </c>
    </row>
    <row r="248" spans="2:13">
      <c r="C248" s="57">
        <f t="shared" ref="C248:L248" si="119">+C247*C26</f>
        <v>0</v>
      </c>
      <c r="D248" s="57">
        <f t="shared" si="119"/>
        <v>0</v>
      </c>
      <c r="E248" s="57">
        <f t="shared" si="119"/>
        <v>0</v>
      </c>
      <c r="F248" s="57">
        <f t="shared" si="119"/>
        <v>0</v>
      </c>
      <c r="G248" s="57">
        <f t="shared" si="119"/>
        <v>0</v>
      </c>
      <c r="H248" s="57">
        <f t="shared" si="119"/>
        <v>0</v>
      </c>
      <c r="I248" s="57">
        <f t="shared" si="119"/>
        <v>0</v>
      </c>
      <c r="J248" s="57">
        <f t="shared" si="119"/>
        <v>0</v>
      </c>
      <c r="K248" s="57">
        <f t="shared" si="119"/>
        <v>0</v>
      </c>
      <c r="L248" s="57">
        <f t="shared" si="119"/>
        <v>0</v>
      </c>
      <c r="M248" s="87">
        <f>SUM(C248:L248)</f>
        <v>0</v>
      </c>
    </row>
    <row r="250" spans="2:13">
      <c r="B250" s="11" t="s">
        <v>59</v>
      </c>
      <c r="C250" s="91">
        <f>C246</f>
        <v>0</v>
      </c>
      <c r="D250" s="91">
        <f>D246</f>
        <v>0.22239077398407978</v>
      </c>
      <c r="E250" s="91">
        <f t="shared" ref="E250:L250" si="120">E246</f>
        <v>0.24580155144086605</v>
      </c>
      <c r="F250" s="91">
        <f t="shared" si="120"/>
        <v>1.5724978054791738E-2</v>
      </c>
      <c r="G250" s="91">
        <f t="shared" si="120"/>
        <v>1.4192706222818501E-2</v>
      </c>
      <c r="H250" s="91">
        <f t="shared" si="120"/>
        <v>0.18496178552493303</v>
      </c>
      <c r="I250" s="91">
        <f t="shared" si="120"/>
        <v>3.2893764377978967E-2</v>
      </c>
      <c r="J250" s="91">
        <f t="shared" si="120"/>
        <v>4.7422335035790407E-3</v>
      </c>
      <c r="K250" s="91">
        <f t="shared" si="120"/>
        <v>8.0157540499873076E-3</v>
      </c>
      <c r="L250" s="91">
        <f t="shared" si="120"/>
        <v>7.6874046208736323E-4</v>
      </c>
      <c r="M250" s="86">
        <f>SUM(C250:L250)</f>
        <v>0.72949228762112184</v>
      </c>
    </row>
    <row r="251" spans="2:13">
      <c r="C251" s="92">
        <f t="shared" ref="C251:L251" si="121">+C250*$M251</f>
        <v>0</v>
      </c>
      <c r="D251" s="92">
        <f t="shared" si="121"/>
        <v>0</v>
      </c>
      <c r="E251" s="92">
        <f t="shared" si="121"/>
        <v>0</v>
      </c>
      <c r="F251" s="92">
        <f t="shared" si="121"/>
        <v>0</v>
      </c>
      <c r="G251" s="92">
        <f t="shared" si="121"/>
        <v>0</v>
      </c>
      <c r="H251" s="92">
        <f t="shared" si="121"/>
        <v>0</v>
      </c>
      <c r="I251" s="92">
        <f t="shared" si="121"/>
        <v>0</v>
      </c>
      <c r="J251" s="92">
        <f t="shared" si="121"/>
        <v>0</v>
      </c>
      <c r="K251" s="92">
        <f t="shared" si="121"/>
        <v>0</v>
      </c>
      <c r="L251" s="92">
        <f t="shared" si="121"/>
        <v>0</v>
      </c>
      <c r="M251" s="87">
        <f>+'2023-2024 Recy. Tons &amp; Revenue'!D27</f>
        <v>0</v>
      </c>
    </row>
    <row r="252" spans="2:13">
      <c r="C252" s="57">
        <f t="shared" ref="C252:L252" si="122">+C251*C27</f>
        <v>0</v>
      </c>
      <c r="D252" s="57">
        <f t="shared" si="122"/>
        <v>0</v>
      </c>
      <c r="E252" s="57">
        <f t="shared" si="122"/>
        <v>0</v>
      </c>
      <c r="F252" s="57">
        <f t="shared" si="122"/>
        <v>0</v>
      </c>
      <c r="G252" s="57">
        <f t="shared" si="122"/>
        <v>0</v>
      </c>
      <c r="H252" s="57">
        <f t="shared" si="122"/>
        <v>0</v>
      </c>
      <c r="I252" s="57">
        <f t="shared" si="122"/>
        <v>0</v>
      </c>
      <c r="J252" s="57">
        <f t="shared" si="122"/>
        <v>0</v>
      </c>
      <c r="K252" s="57">
        <f t="shared" si="122"/>
        <v>0</v>
      </c>
      <c r="L252" s="57">
        <f t="shared" si="122"/>
        <v>0</v>
      </c>
      <c r="M252" s="87">
        <f>SUM(C252:L252)</f>
        <v>0</v>
      </c>
    </row>
    <row r="254" spans="2:13">
      <c r="B254" s="11" t="s">
        <v>60</v>
      </c>
      <c r="C254" s="91">
        <f>C250</f>
        <v>0</v>
      </c>
      <c r="D254" s="91">
        <f>D250</f>
        <v>0.22239077398407978</v>
      </c>
      <c r="E254" s="91">
        <f t="shared" ref="E254:L254" si="123">E250</f>
        <v>0.24580155144086605</v>
      </c>
      <c r="F254" s="91">
        <f t="shared" si="123"/>
        <v>1.5724978054791738E-2</v>
      </c>
      <c r="G254" s="91">
        <f t="shared" si="123"/>
        <v>1.4192706222818501E-2</v>
      </c>
      <c r="H254" s="91">
        <f t="shared" si="123"/>
        <v>0.18496178552493303</v>
      </c>
      <c r="I254" s="91">
        <f t="shared" si="123"/>
        <v>3.2893764377978967E-2</v>
      </c>
      <c r="J254" s="91">
        <f t="shared" si="123"/>
        <v>4.7422335035790407E-3</v>
      </c>
      <c r="K254" s="91">
        <f t="shared" si="123"/>
        <v>8.0157540499873076E-3</v>
      </c>
      <c r="L254" s="91">
        <f t="shared" si="123"/>
        <v>7.6874046208736323E-4</v>
      </c>
      <c r="M254" s="86">
        <f>SUM(C254:L254)</f>
        <v>0.72949228762112184</v>
      </c>
    </row>
    <row r="255" spans="2:13">
      <c r="C255" s="92">
        <f t="shared" ref="C255:L255" si="124">+C254*$M255</f>
        <v>0</v>
      </c>
      <c r="D255" s="92">
        <f t="shared" si="124"/>
        <v>0</v>
      </c>
      <c r="E255" s="92">
        <f t="shared" si="124"/>
        <v>0</v>
      </c>
      <c r="F255" s="92">
        <f t="shared" si="124"/>
        <v>0</v>
      </c>
      <c r="G255" s="92">
        <f t="shared" si="124"/>
        <v>0</v>
      </c>
      <c r="H255" s="92">
        <f t="shared" si="124"/>
        <v>0</v>
      </c>
      <c r="I255" s="92">
        <f t="shared" si="124"/>
        <v>0</v>
      </c>
      <c r="J255" s="92">
        <f t="shared" si="124"/>
        <v>0</v>
      </c>
      <c r="K255" s="92">
        <f t="shared" si="124"/>
        <v>0</v>
      </c>
      <c r="L255" s="92">
        <f t="shared" si="124"/>
        <v>0</v>
      </c>
      <c r="M255" s="87">
        <f>+'2023-2024 Recy. Tons &amp; Revenue'!D28</f>
        <v>0</v>
      </c>
    </row>
    <row r="256" spans="2:13">
      <c r="C256" s="57">
        <f t="shared" ref="C256:L256" si="125">+C255*C28</f>
        <v>0</v>
      </c>
      <c r="D256" s="57">
        <f t="shared" si="125"/>
        <v>0</v>
      </c>
      <c r="E256" s="57">
        <f t="shared" si="125"/>
        <v>0</v>
      </c>
      <c r="F256" s="57">
        <f t="shared" si="125"/>
        <v>0</v>
      </c>
      <c r="G256" s="57">
        <f t="shared" si="125"/>
        <v>0</v>
      </c>
      <c r="H256" s="57">
        <f t="shared" si="125"/>
        <v>0</v>
      </c>
      <c r="I256" s="57">
        <f t="shared" si="125"/>
        <v>0</v>
      </c>
      <c r="J256" s="57">
        <f t="shared" si="125"/>
        <v>0</v>
      </c>
      <c r="K256" s="57">
        <f t="shared" si="125"/>
        <v>0</v>
      </c>
      <c r="L256" s="57">
        <f t="shared" si="125"/>
        <v>0</v>
      </c>
      <c r="M256" s="87">
        <f>SUM(C256:L256)</f>
        <v>0</v>
      </c>
    </row>
    <row r="258" spans="2:13">
      <c r="B258" s="11" t="s">
        <v>61</v>
      </c>
      <c r="C258" s="91">
        <f>C254</f>
        <v>0</v>
      </c>
      <c r="D258" s="91">
        <f>D254</f>
        <v>0.22239077398407978</v>
      </c>
      <c r="E258" s="91">
        <f t="shared" ref="E258:L258" si="126">E254</f>
        <v>0.24580155144086605</v>
      </c>
      <c r="F258" s="91">
        <f t="shared" si="126"/>
        <v>1.5724978054791738E-2</v>
      </c>
      <c r="G258" s="91">
        <f t="shared" si="126"/>
        <v>1.4192706222818501E-2</v>
      </c>
      <c r="H258" s="91">
        <f t="shared" si="126"/>
        <v>0.18496178552493303</v>
      </c>
      <c r="I258" s="91">
        <f t="shared" si="126"/>
        <v>3.2893764377978967E-2</v>
      </c>
      <c r="J258" s="91">
        <f t="shared" si="126"/>
        <v>4.7422335035790407E-3</v>
      </c>
      <c r="K258" s="91">
        <f t="shared" si="126"/>
        <v>8.0157540499873076E-3</v>
      </c>
      <c r="L258" s="91">
        <f t="shared" si="126"/>
        <v>7.6874046208736323E-4</v>
      </c>
      <c r="M258" s="86">
        <f>SUM(C258:L258)</f>
        <v>0.72949228762112184</v>
      </c>
    </row>
    <row r="259" spans="2:13">
      <c r="C259" s="92">
        <f t="shared" ref="C259:L259" si="127">+C258*$M259</f>
        <v>0</v>
      </c>
      <c r="D259" s="92">
        <f t="shared" si="127"/>
        <v>0</v>
      </c>
      <c r="E259" s="92">
        <f t="shared" si="127"/>
        <v>0</v>
      </c>
      <c r="F259" s="92">
        <f t="shared" si="127"/>
        <v>0</v>
      </c>
      <c r="G259" s="92">
        <f t="shared" si="127"/>
        <v>0</v>
      </c>
      <c r="H259" s="92">
        <f t="shared" si="127"/>
        <v>0</v>
      </c>
      <c r="I259" s="92">
        <f t="shared" si="127"/>
        <v>0</v>
      </c>
      <c r="J259" s="92">
        <f t="shared" si="127"/>
        <v>0</v>
      </c>
      <c r="K259" s="92">
        <f t="shared" si="127"/>
        <v>0</v>
      </c>
      <c r="L259" s="92">
        <f t="shared" si="127"/>
        <v>0</v>
      </c>
      <c r="M259" s="87">
        <f>+'2023-2024 Recy. Tons &amp; Revenue'!D29</f>
        <v>0</v>
      </c>
    </row>
    <row r="260" spans="2:13">
      <c r="C260" s="57">
        <f t="shared" ref="C260:L260" si="128">+C259*C29</f>
        <v>0</v>
      </c>
      <c r="D260" s="57">
        <f t="shared" si="128"/>
        <v>0</v>
      </c>
      <c r="E260" s="57">
        <f t="shared" si="128"/>
        <v>0</v>
      </c>
      <c r="F260" s="57">
        <f t="shared" si="128"/>
        <v>0</v>
      </c>
      <c r="G260" s="57">
        <f t="shared" si="128"/>
        <v>0</v>
      </c>
      <c r="H260" s="57">
        <f t="shared" si="128"/>
        <v>0</v>
      </c>
      <c r="I260" s="57">
        <f t="shared" si="128"/>
        <v>0</v>
      </c>
      <c r="J260" s="57">
        <f t="shared" si="128"/>
        <v>0</v>
      </c>
      <c r="K260" s="57">
        <f t="shared" si="128"/>
        <v>0</v>
      </c>
      <c r="L260" s="57">
        <f t="shared" si="128"/>
        <v>0</v>
      </c>
      <c r="M260" s="87">
        <f>SUM(C260:L260)</f>
        <v>0</v>
      </c>
    </row>
    <row r="262" spans="2:13">
      <c r="B262" s="11" t="s">
        <v>62</v>
      </c>
      <c r="C262" s="91">
        <f>C258</f>
        <v>0</v>
      </c>
      <c r="D262" s="91">
        <f>D258</f>
        <v>0.22239077398407978</v>
      </c>
      <c r="E262" s="91">
        <f t="shared" ref="E262:L262" si="129">E258</f>
        <v>0.24580155144086605</v>
      </c>
      <c r="F262" s="91">
        <f t="shared" si="129"/>
        <v>1.5724978054791738E-2</v>
      </c>
      <c r="G262" s="91">
        <f t="shared" si="129"/>
        <v>1.4192706222818501E-2</v>
      </c>
      <c r="H262" s="91">
        <f t="shared" si="129"/>
        <v>0.18496178552493303</v>
      </c>
      <c r="I262" s="91">
        <f t="shared" si="129"/>
        <v>3.2893764377978967E-2</v>
      </c>
      <c r="J262" s="91">
        <f t="shared" si="129"/>
        <v>4.7422335035790407E-3</v>
      </c>
      <c r="K262" s="91">
        <f t="shared" si="129"/>
        <v>8.0157540499873076E-3</v>
      </c>
      <c r="L262" s="91">
        <f t="shared" si="129"/>
        <v>7.6874046208736323E-4</v>
      </c>
      <c r="M262" s="86">
        <f>SUM(C262:L262)</f>
        <v>0.72949228762112184</v>
      </c>
    </row>
    <row r="263" spans="2:13">
      <c r="C263" s="92">
        <f t="shared" ref="C263:L263" si="130">+C262*$M263</f>
        <v>0</v>
      </c>
      <c r="D263" s="92">
        <f t="shared" si="130"/>
        <v>0</v>
      </c>
      <c r="E263" s="92">
        <f t="shared" si="130"/>
        <v>0</v>
      </c>
      <c r="F263" s="92">
        <f t="shared" si="130"/>
        <v>0</v>
      </c>
      <c r="G263" s="92">
        <f t="shared" si="130"/>
        <v>0</v>
      </c>
      <c r="H263" s="92">
        <f t="shared" si="130"/>
        <v>0</v>
      </c>
      <c r="I263" s="92">
        <f t="shared" si="130"/>
        <v>0</v>
      </c>
      <c r="J263" s="92">
        <f t="shared" si="130"/>
        <v>0</v>
      </c>
      <c r="K263" s="92">
        <f t="shared" si="130"/>
        <v>0</v>
      </c>
      <c r="L263" s="92">
        <f t="shared" si="130"/>
        <v>0</v>
      </c>
      <c r="M263" s="87">
        <f>+'2023-2024 Recy. Tons &amp; Revenue'!D30</f>
        <v>0</v>
      </c>
    </row>
    <row r="264" spans="2:13">
      <c r="C264" s="57">
        <f t="shared" ref="C264:L264" si="131">+C263*C30</f>
        <v>0</v>
      </c>
      <c r="D264" s="57">
        <f t="shared" si="131"/>
        <v>0</v>
      </c>
      <c r="E264" s="57">
        <f t="shared" si="131"/>
        <v>0</v>
      </c>
      <c r="F264" s="57">
        <f t="shared" si="131"/>
        <v>0</v>
      </c>
      <c r="G264" s="57">
        <f t="shared" si="131"/>
        <v>0</v>
      </c>
      <c r="H264" s="57">
        <f t="shared" si="131"/>
        <v>0</v>
      </c>
      <c r="I264" s="57">
        <f t="shared" si="131"/>
        <v>0</v>
      </c>
      <c r="J264" s="57">
        <f t="shared" si="131"/>
        <v>0</v>
      </c>
      <c r="K264" s="57">
        <f t="shared" si="131"/>
        <v>0</v>
      </c>
      <c r="L264" s="57">
        <f t="shared" si="131"/>
        <v>0</v>
      </c>
      <c r="M264" s="87">
        <f>SUM(C264:L264)</f>
        <v>0</v>
      </c>
    </row>
  </sheetData>
  <mergeCells count="4">
    <mergeCell ref="B1:L1"/>
    <mergeCell ref="B35:L35"/>
    <mergeCell ref="C3:L3"/>
    <mergeCell ref="C37:L37"/>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3:CG30"/>
  <sheetViews>
    <sheetView zoomScaleNormal="100" workbookViewId="0">
      <pane xSplit="1" topLeftCell="B1" activePane="topRight" state="frozen"/>
      <selection pane="topRight" activeCell="AA17" sqref="AA17"/>
    </sheetView>
  </sheetViews>
  <sheetFormatPr defaultRowHeight="12.5"/>
  <cols>
    <col min="1" max="1" width="36.54296875" bestFit="1" customWidth="1"/>
    <col min="2" max="2" width="7" bestFit="1" customWidth="1"/>
    <col min="3" max="3" width="9.26953125" bestFit="1" customWidth="1"/>
    <col min="4" max="4" width="7.7265625" bestFit="1" customWidth="1"/>
    <col min="5" max="5" width="9.26953125" bestFit="1" customWidth="1"/>
    <col min="6" max="6" width="7.7265625" bestFit="1" customWidth="1"/>
    <col min="7" max="7" width="9.26953125" bestFit="1" customWidth="1"/>
    <col min="8" max="8" width="7.7265625" bestFit="1" customWidth="1"/>
    <col min="9" max="9" width="9.26953125" bestFit="1" customWidth="1"/>
    <col min="10" max="10" width="7.7265625" bestFit="1" customWidth="1"/>
    <col min="11" max="11" width="9.26953125" bestFit="1" customWidth="1"/>
    <col min="12" max="12" width="7.7265625" bestFit="1" customWidth="1"/>
    <col min="13" max="13" width="9.26953125" bestFit="1" customWidth="1"/>
    <col min="14" max="14" width="7.7265625" bestFit="1" customWidth="1"/>
    <col min="15" max="15" width="10.26953125" bestFit="1" customWidth="1"/>
    <col min="16" max="16" width="7.7265625" bestFit="1" customWidth="1"/>
    <col min="17" max="17" width="10.26953125" bestFit="1" customWidth="1"/>
    <col min="18" max="18" width="7.7265625" bestFit="1" customWidth="1"/>
    <col min="19" max="19" width="9.26953125" bestFit="1" customWidth="1"/>
    <col min="20" max="20" width="7.7265625" bestFit="1" customWidth="1"/>
    <col min="21" max="21" width="9.26953125" bestFit="1" customWidth="1"/>
    <col min="22" max="22" width="7.7265625" bestFit="1" customWidth="1"/>
    <col min="23" max="23" width="10.26953125" bestFit="1" customWidth="1"/>
    <col min="24" max="24" width="7.7265625" bestFit="1" customWidth="1"/>
    <col min="25" max="25" width="11.1796875" customWidth="1"/>
    <col min="26" max="26" width="7.7265625" bestFit="1" customWidth="1"/>
    <col min="27" max="27" width="9.26953125" bestFit="1" customWidth="1"/>
    <col min="28" max="28" width="7.7265625" bestFit="1" customWidth="1"/>
    <col min="29" max="29" width="9.26953125" hidden="1" customWidth="1"/>
    <col min="30" max="30" width="7.7265625" hidden="1" customWidth="1"/>
    <col min="31" max="31" width="9.26953125" hidden="1" customWidth="1"/>
    <col min="32" max="32" width="7.7265625" hidden="1" customWidth="1"/>
    <col min="33" max="33" width="9.26953125" hidden="1" customWidth="1"/>
    <col min="34" max="34" width="7.7265625" hidden="1" customWidth="1"/>
    <col min="35" max="35" width="9.26953125" hidden="1" customWidth="1"/>
    <col min="36" max="36" width="7.7265625" hidden="1" customWidth="1"/>
    <col min="37" max="37" width="9.26953125" hidden="1" customWidth="1"/>
    <col min="38" max="38" width="7.7265625" hidden="1" customWidth="1"/>
    <col min="39" max="39" width="9.26953125" hidden="1" customWidth="1"/>
    <col min="40" max="40" width="7.7265625" hidden="1" customWidth="1"/>
    <col min="41" max="41" width="9.26953125" hidden="1" customWidth="1"/>
    <col min="42" max="42" width="7.7265625" hidden="1" customWidth="1"/>
    <col min="43" max="43" width="9.26953125" hidden="1" customWidth="1"/>
    <col min="44" max="44" width="7.7265625" hidden="1" customWidth="1"/>
    <col min="45" max="45" width="9.26953125" hidden="1" customWidth="1"/>
    <col min="46" max="46" width="7.7265625" hidden="1" customWidth="1"/>
    <col min="47" max="47" width="9.26953125" hidden="1" customWidth="1"/>
    <col min="48" max="48" width="7.7265625" hidden="1" customWidth="1"/>
    <col min="49" max="49" width="9.26953125" hidden="1" customWidth="1"/>
    <col min="50" max="50" width="7.7265625" hidden="1" customWidth="1"/>
    <col min="51" max="51" width="11.26953125" bestFit="1" customWidth="1"/>
    <col min="52" max="52" width="7.7265625" bestFit="1" customWidth="1"/>
    <col min="53" max="53" width="2.453125" customWidth="1"/>
    <col min="54" max="54" width="10.1796875" bestFit="1" customWidth="1"/>
    <col min="55" max="55" width="9.54296875" customWidth="1"/>
    <col min="56" max="56" width="12.1796875" bestFit="1" customWidth="1"/>
    <col min="58" max="58" width="10.7265625" bestFit="1" customWidth="1"/>
    <col min="80" max="80" width="11" bestFit="1" customWidth="1"/>
    <col min="81" max="81" width="11" customWidth="1"/>
    <col min="85" max="85" width="10.26953125" bestFit="1" customWidth="1"/>
  </cols>
  <sheetData>
    <row r="3" spans="1:85" ht="14.5">
      <c r="A3" s="1" t="s">
        <v>136</v>
      </c>
      <c r="B3" s="1"/>
      <c r="BD3" s="13"/>
    </row>
    <row r="4" spans="1:85" ht="14.5">
      <c r="A4" s="8"/>
      <c r="B4" s="265"/>
      <c r="C4" s="10">
        <v>45204</v>
      </c>
      <c r="D4" s="6"/>
      <c r="E4" s="10">
        <v>45235</v>
      </c>
      <c r="F4" s="6"/>
      <c r="G4" s="10">
        <v>45265</v>
      </c>
      <c r="H4" s="2"/>
      <c r="I4" s="10">
        <v>45302</v>
      </c>
      <c r="J4" s="6"/>
      <c r="K4" s="10">
        <v>45323</v>
      </c>
      <c r="L4" s="6"/>
      <c r="M4" s="10">
        <v>45356</v>
      </c>
      <c r="N4" s="6"/>
      <c r="O4" s="10">
        <v>45387</v>
      </c>
      <c r="P4" s="6"/>
      <c r="Q4" s="10">
        <v>45417</v>
      </c>
      <c r="R4" s="6"/>
      <c r="S4" s="10">
        <v>45448</v>
      </c>
      <c r="T4" s="6"/>
      <c r="U4" s="10">
        <v>45478</v>
      </c>
      <c r="V4" s="6"/>
      <c r="W4" s="10">
        <v>45509</v>
      </c>
      <c r="X4" s="6"/>
      <c r="Y4" s="10">
        <v>45540</v>
      </c>
      <c r="Z4" s="6"/>
      <c r="AA4" s="10">
        <v>45570</v>
      </c>
      <c r="AB4" s="6"/>
      <c r="AC4" s="10">
        <v>44870</v>
      </c>
      <c r="AD4" s="6"/>
      <c r="AE4" s="10">
        <v>44900</v>
      </c>
      <c r="AF4" s="6"/>
      <c r="AG4" s="10">
        <v>44931</v>
      </c>
      <c r="AH4" s="6"/>
      <c r="AI4" s="10">
        <v>44962</v>
      </c>
      <c r="AJ4" s="6"/>
      <c r="AK4" s="10">
        <v>44990</v>
      </c>
      <c r="AL4" s="6"/>
      <c r="AM4" s="10">
        <v>45021</v>
      </c>
      <c r="AN4" s="6"/>
      <c r="AO4" s="10">
        <v>45051</v>
      </c>
      <c r="AP4" s="6"/>
      <c r="AQ4" s="10">
        <v>45082</v>
      </c>
      <c r="AR4" s="6"/>
      <c r="AS4" s="10">
        <v>45112</v>
      </c>
      <c r="AT4" s="6"/>
      <c r="AU4" s="10">
        <v>45143</v>
      </c>
      <c r="AV4" s="6"/>
      <c r="AW4" s="10">
        <v>45174</v>
      </c>
      <c r="AX4" s="6"/>
      <c r="AY4" s="10" t="s">
        <v>71</v>
      </c>
      <c r="AZ4" s="6"/>
      <c r="BD4" s="1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row>
    <row r="5" spans="1:85" ht="14.5">
      <c r="A5" s="9"/>
      <c r="B5" s="266"/>
      <c r="C5" s="3" t="s">
        <v>7</v>
      </c>
      <c r="D5" s="7"/>
      <c r="E5" s="3" t="s">
        <v>7</v>
      </c>
      <c r="F5" s="7"/>
      <c r="G5" s="3" t="s">
        <v>7</v>
      </c>
      <c r="H5" s="4"/>
      <c r="I5" s="3" t="s">
        <v>7</v>
      </c>
      <c r="J5" s="7"/>
      <c r="K5" s="3" t="s">
        <v>7</v>
      </c>
      <c r="L5" s="7"/>
      <c r="M5" s="3" t="s">
        <v>7</v>
      </c>
      <c r="N5" s="7"/>
      <c r="O5" s="3" t="s">
        <v>7</v>
      </c>
      <c r="P5" s="7"/>
      <c r="Q5" s="3" t="s">
        <v>7</v>
      </c>
      <c r="R5" s="7"/>
      <c r="S5" s="3" t="s">
        <v>7</v>
      </c>
      <c r="T5" s="7"/>
      <c r="U5" s="3" t="s">
        <v>7</v>
      </c>
      <c r="V5" s="7"/>
      <c r="W5" s="3" t="s">
        <v>7</v>
      </c>
      <c r="X5" s="7"/>
      <c r="Y5" s="3" t="s">
        <v>7</v>
      </c>
      <c r="Z5" s="7"/>
      <c r="AA5" s="3" t="s">
        <v>7</v>
      </c>
      <c r="AB5" s="7"/>
      <c r="AC5" s="3" t="s">
        <v>7</v>
      </c>
      <c r="AD5" s="7"/>
      <c r="AE5" s="3" t="s">
        <v>7</v>
      </c>
      <c r="AF5" s="7"/>
      <c r="AG5" s="3" t="s">
        <v>7</v>
      </c>
      <c r="AH5" s="7"/>
      <c r="AI5" s="3" t="s">
        <v>7</v>
      </c>
      <c r="AJ5" s="7"/>
      <c r="AK5" s="3" t="s">
        <v>7</v>
      </c>
      <c r="AL5" s="7"/>
      <c r="AM5" s="3" t="s">
        <v>7</v>
      </c>
      <c r="AN5" s="7"/>
      <c r="AO5" s="3" t="s">
        <v>7</v>
      </c>
      <c r="AP5" s="7"/>
      <c r="AQ5" s="3" t="s">
        <v>7</v>
      </c>
      <c r="AR5" s="7"/>
      <c r="AS5" s="3" t="s">
        <v>7</v>
      </c>
      <c r="AT5" s="7"/>
      <c r="AU5" s="3" t="s">
        <v>7</v>
      </c>
      <c r="AV5" s="7"/>
      <c r="AW5" s="3" t="s">
        <v>7</v>
      </c>
      <c r="AX5" s="7"/>
      <c r="AY5" s="3" t="s">
        <v>7</v>
      </c>
      <c r="AZ5" s="7"/>
      <c r="BD5" s="13"/>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row>
    <row r="6" spans="1:85" ht="14.5">
      <c r="A6" s="9" t="s">
        <v>3</v>
      </c>
      <c r="B6" s="12"/>
      <c r="C6" s="408">
        <f>[30]Composition!T6</f>
        <v>0</v>
      </c>
      <c r="D6" s="5">
        <f t="shared" ref="D6:D16" si="0">C6/$C$17</f>
        <v>0</v>
      </c>
      <c r="E6" s="408">
        <f>[30]Composition!V6</f>
        <v>0</v>
      </c>
      <c r="F6" s="5">
        <f t="shared" ref="F6:F16" si="1">E6/E$17</f>
        <v>0</v>
      </c>
      <c r="G6" s="408">
        <f>[30]Composition!X6</f>
        <v>0</v>
      </c>
      <c r="H6" s="5">
        <f t="shared" ref="H6:H16" si="2">G6/G$17</f>
        <v>0</v>
      </c>
      <c r="I6" s="411">
        <f>[31]Composition!B6</f>
        <v>127.65897038718192</v>
      </c>
      <c r="J6" s="5">
        <f t="shared" ref="J6:J16" si="3">I6/I$17</f>
        <v>1.7474149300355197E-2</v>
      </c>
      <c r="K6" s="411">
        <f>[52]Composition!D6</f>
        <v>296.33</v>
      </c>
      <c r="L6" s="5">
        <f>IFERROR(K6/K$17,0)</f>
        <v>2.9971298029376786E-2</v>
      </c>
      <c r="M6" s="411">
        <f>[33]Composition!$F$6</f>
        <v>819.9</v>
      </c>
      <c r="N6" s="5">
        <f>IFERROR(M6/M$17,0)</f>
        <v>8.8633463656631425E-2</v>
      </c>
      <c r="O6" s="411">
        <f>[34]Composition!H6</f>
        <v>1714.72</v>
      </c>
      <c r="P6" s="5">
        <f>IFERROR(O6/O$17,0)</f>
        <v>0.16923237870028049</v>
      </c>
      <c r="Q6" s="411">
        <f>[35]Composition!J6</f>
        <v>1672.05</v>
      </c>
      <c r="R6" s="5">
        <f>IFERROR(Q6/Q$17,0)</f>
        <v>0.16315993879733642</v>
      </c>
      <c r="S6" s="411">
        <f>[36]Composition!L6</f>
        <v>559.96</v>
      </c>
      <c r="T6" s="5">
        <f>IFERROR(S6/S$17,0)</f>
        <v>6.5052022100679854E-2</v>
      </c>
      <c r="U6" s="411">
        <f>[37]Composition!N6</f>
        <v>1387.52</v>
      </c>
      <c r="V6" s="5">
        <f>IFERROR(U6/U$17,0)</f>
        <v>0.16125089376740864</v>
      </c>
      <c r="W6" s="411">
        <f>[38]Composition!P6</f>
        <v>888.02</v>
      </c>
      <c r="X6" s="5">
        <f>IFERROR(W6/W$17,0)</f>
        <v>8.5918921842439475E-2</v>
      </c>
      <c r="Y6" s="424">
        <f>[39]Composition!R6</f>
        <v>562.23</v>
      </c>
      <c r="Z6" s="5">
        <f>IFERROR(Y6/Y$17,0)</f>
        <v>6.3645496970434506E-2</v>
      </c>
      <c r="AA6" s="411">
        <f>[40]Composition!T6</f>
        <v>1510.4</v>
      </c>
      <c r="AB6" s="5">
        <f>IFERROR(AA6/AA$17,0)</f>
        <v>0.15919668073234272</v>
      </c>
      <c r="AC6" s="411"/>
      <c r="AD6" s="96" t="e">
        <f t="shared" ref="AD6:AH16" si="4">AC6/AC$17</f>
        <v>#DIV/0!</v>
      </c>
      <c r="AE6" s="411"/>
      <c r="AF6" s="96" t="e">
        <f t="shared" si="4"/>
        <v>#DIV/0!</v>
      </c>
      <c r="AG6" s="411"/>
      <c r="AH6" s="96" t="e">
        <f t="shared" si="4"/>
        <v>#DIV/0!</v>
      </c>
      <c r="AI6" s="411"/>
      <c r="AJ6" s="96" t="e">
        <f t="shared" ref="AJ6:AJ16" si="5">AI6/AI$17</f>
        <v>#DIV/0!</v>
      </c>
      <c r="AK6" s="411"/>
      <c r="AL6" s="96" t="e">
        <f t="shared" ref="AL6:AL16" si="6">AK6/AK$17</f>
        <v>#DIV/0!</v>
      </c>
      <c r="AM6" s="411"/>
      <c r="AN6" s="96" t="e">
        <f t="shared" ref="AN6:AN16" si="7">AM6/AM$17</f>
        <v>#DIV/0!</v>
      </c>
      <c r="AO6" s="411"/>
      <c r="AP6" s="96" t="e">
        <f t="shared" ref="AP6:AP16" si="8">AO6/AO$17</f>
        <v>#DIV/0!</v>
      </c>
      <c r="AQ6" s="411"/>
      <c r="AR6" s="96" t="e">
        <f t="shared" ref="AR6:AR16" si="9">AQ6/AQ$17</f>
        <v>#DIV/0!</v>
      </c>
      <c r="AS6" s="411"/>
      <c r="AT6" s="96" t="e">
        <f t="shared" ref="AT6:AT16" si="10">AS6/AS$17</f>
        <v>#DIV/0!</v>
      </c>
      <c r="AU6" s="411"/>
      <c r="AV6" s="96" t="e">
        <f t="shared" ref="AV6:AV16" si="11">AU6/AU$17</f>
        <v>#DIV/0!</v>
      </c>
      <c r="AW6" s="411"/>
      <c r="AX6" s="96" t="e">
        <f t="shared" ref="AX6:AX16" si="12">AW6/AW$17</f>
        <v>#DIV/0!</v>
      </c>
      <c r="AY6" s="16">
        <f>+Y6+W6+U6+S6+Q6+O6+M6+K6+I6+G6+E6+C6+AA6+AC6+AE6+AG6+AI6+AK6+AM6+AO6+AQ6+AS6+AU6+AW6</f>
        <v>9538.7889703871824</v>
      </c>
      <c r="AZ6" s="15">
        <f t="shared" ref="AZ6:AZ16" si="13">AY6/AY$17</f>
        <v>8.2774742341207366E-2</v>
      </c>
      <c r="BD6" s="13"/>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row>
    <row r="7" spans="1:85" ht="14.5">
      <c r="A7" s="9" t="s">
        <v>6</v>
      </c>
      <c r="B7" s="12"/>
      <c r="C7" s="408">
        <f>[30]Composition!T7</f>
        <v>1063.6120166574692</v>
      </c>
      <c r="D7" s="5">
        <f t="shared" si="0"/>
        <v>0.15662451429535507</v>
      </c>
      <c r="E7" s="408">
        <f>[30]Composition!V7</f>
        <v>1803.2334966220142</v>
      </c>
      <c r="F7" s="5">
        <f t="shared" si="1"/>
        <v>0.25890114022670857</v>
      </c>
      <c r="G7" s="408">
        <f>[30]Composition!X7</f>
        <v>1997.5333716396417</v>
      </c>
      <c r="H7" s="5">
        <f t="shared" si="2"/>
        <v>0.22727342118888375</v>
      </c>
      <c r="I7" s="411">
        <f>[31]Composition!B7</f>
        <v>2270.9588914147898</v>
      </c>
      <c r="J7" s="5">
        <f t="shared" si="3"/>
        <v>0.3108522229436349</v>
      </c>
      <c r="K7" s="411">
        <f>[52]Composition!D7</f>
        <v>3340.49</v>
      </c>
      <c r="L7" s="5">
        <f t="shared" ref="L7:N17" si="14">IFERROR(K7/K$17,0)</f>
        <v>0.33786259020063059</v>
      </c>
      <c r="M7" s="411">
        <f>[33]Composition!$F$7</f>
        <v>2319.38</v>
      </c>
      <c r="N7" s="5">
        <f t="shared" si="14"/>
        <v>0.25073140984988146</v>
      </c>
      <c r="O7" s="411">
        <f>[34]Composition!H7</f>
        <v>1560.01</v>
      </c>
      <c r="P7" s="5">
        <f t="shared" ref="P7" si="15">IFERROR(O7/O$17,0)</f>
        <v>0.15396344773270537</v>
      </c>
      <c r="Q7" s="411">
        <f>[35]Composition!J7</f>
        <v>1606</v>
      </c>
      <c r="R7" s="5">
        <f t="shared" ref="R7" si="16">IFERROR(Q7/Q$17,0)</f>
        <v>0.15671472845221274</v>
      </c>
      <c r="S7" s="411">
        <f>[36]Composition!L7</f>
        <v>1841.43</v>
      </c>
      <c r="T7" s="5">
        <f t="shared" ref="T7" si="17">IFERROR(S7/S$17,0)</f>
        <v>0.21392375358392546</v>
      </c>
      <c r="U7" s="411">
        <f>[37]Composition!N7</f>
        <v>1033.9099999999999</v>
      </c>
      <c r="V7" s="5">
        <f t="shared" ref="V7" si="18">IFERROR(U7/U$17,0)</f>
        <v>0.12015604212916675</v>
      </c>
      <c r="W7" s="411">
        <f>[38]Composition!P7</f>
        <v>2492.2999999999997</v>
      </c>
      <c r="X7" s="5">
        <f t="shared" ref="X7" si="19">IFERROR(W7/W$17,0)</f>
        <v>0.24113840781504006</v>
      </c>
      <c r="Y7" s="424">
        <f>[39]Composition!R7</f>
        <v>2414.7949999999996</v>
      </c>
      <c r="Z7" s="5">
        <f t="shared" ref="Z7" si="20">IFERROR(Y7/Y$17,0)</f>
        <v>0.27335935090037949</v>
      </c>
      <c r="AA7" s="411">
        <f>[40]Composition!T7</f>
        <v>1884.1969999999999</v>
      </c>
      <c r="AB7" s="5">
        <f t="shared" ref="AB7" si="21">IFERROR(AA7/AA$17,0)</f>
        <v>0.19859501340428887</v>
      </c>
      <c r="AC7" s="411"/>
      <c r="AD7" s="96" t="e">
        <f t="shared" si="4"/>
        <v>#DIV/0!</v>
      </c>
      <c r="AE7" s="411"/>
      <c r="AF7" s="96" t="e">
        <f t="shared" si="4"/>
        <v>#DIV/0!</v>
      </c>
      <c r="AG7" s="411"/>
      <c r="AH7" s="96" t="e">
        <f t="shared" si="4"/>
        <v>#DIV/0!</v>
      </c>
      <c r="AI7" s="411"/>
      <c r="AJ7" s="96" t="e">
        <f t="shared" si="5"/>
        <v>#DIV/0!</v>
      </c>
      <c r="AK7" s="411"/>
      <c r="AL7" s="96" t="e">
        <f t="shared" si="6"/>
        <v>#DIV/0!</v>
      </c>
      <c r="AM7" s="411"/>
      <c r="AN7" s="96" t="e">
        <f t="shared" si="7"/>
        <v>#DIV/0!</v>
      </c>
      <c r="AO7" s="411"/>
      <c r="AP7" s="96" t="e">
        <f t="shared" si="8"/>
        <v>#DIV/0!</v>
      </c>
      <c r="AQ7" s="411"/>
      <c r="AR7" s="96" t="e">
        <f t="shared" si="9"/>
        <v>#DIV/0!</v>
      </c>
      <c r="AS7" s="411"/>
      <c r="AT7" s="96" t="e">
        <f t="shared" si="10"/>
        <v>#DIV/0!</v>
      </c>
      <c r="AU7" s="411"/>
      <c r="AV7" s="96" t="e">
        <f t="shared" si="11"/>
        <v>#DIV/0!</v>
      </c>
      <c r="AW7" s="411"/>
      <c r="AX7" s="96" t="e">
        <f t="shared" si="12"/>
        <v>#DIV/0!</v>
      </c>
      <c r="AY7" s="16">
        <f t="shared" ref="AY7:AY16" si="22">+Y7+W7+U7+S7+Q7+O7+M7+K7+I7+G7+E7+C7+AA7+AC7+AE7+AG7+AI7+AK7+AM7+AO7+AQ7+AS7+AU7+AW7</f>
        <v>25627.849776333918</v>
      </c>
      <c r="AZ7" s="15">
        <f t="shared" si="13"/>
        <v>0.22239077398407978</v>
      </c>
      <c r="BD7" s="13"/>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row>
    <row r="8" spans="1:85" ht="14.5">
      <c r="A8" s="9" t="s">
        <v>1</v>
      </c>
      <c r="B8" s="12"/>
      <c r="C8" s="408">
        <f>[30]Composition!T8</f>
        <v>2693.5900192018162</v>
      </c>
      <c r="D8" s="5">
        <f t="shared" si="0"/>
        <v>0.3966504908379252</v>
      </c>
      <c r="E8" s="408">
        <f>[30]Composition!V8</f>
        <v>1872.3141222985232</v>
      </c>
      <c r="F8" s="5">
        <f t="shared" si="1"/>
        <v>0.26881946349916697</v>
      </c>
      <c r="G8" s="408">
        <f>[30]Composition!X8</f>
        <v>2488.4380760602344</v>
      </c>
      <c r="H8" s="5">
        <f t="shared" si="2"/>
        <v>0.28312710215132286</v>
      </c>
      <c r="I8" s="411">
        <f>[31]Composition!B8</f>
        <v>1989.3248116547325</v>
      </c>
      <c r="J8" s="5">
        <f t="shared" si="3"/>
        <v>0.27230173218791809</v>
      </c>
      <c r="K8" s="411">
        <f>[52]Composition!D8</f>
        <v>1999.8300000000002</v>
      </c>
      <c r="L8" s="5">
        <f t="shared" si="14"/>
        <v>0.20226605790196261</v>
      </c>
      <c r="M8" s="411">
        <f>[33]Composition!$F$8</f>
        <v>2050.4450000000002</v>
      </c>
      <c r="N8" s="5">
        <f t="shared" si="14"/>
        <v>0.22165879056887627</v>
      </c>
      <c r="O8" s="411">
        <f>[34]Composition!H8</f>
        <v>2346.75</v>
      </c>
      <c r="P8" s="5">
        <f t="shared" ref="P8" si="23">IFERROR(O8/O$17,0)</f>
        <v>0.23160987491537</v>
      </c>
      <c r="Q8" s="411">
        <f>[35]Composition!J8</f>
        <v>2275.81</v>
      </c>
      <c r="R8" s="5">
        <f t="shared" ref="R8" si="24">IFERROR(Q8/Q$17,0)</f>
        <v>0.22207530894074115</v>
      </c>
      <c r="S8" s="411">
        <f>[36]Composition!L8</f>
        <v>2489.25</v>
      </c>
      <c r="T8" s="5">
        <f t="shared" ref="T8" si="25">IFERROR(S8/S$17,0)</f>
        <v>0.28918270236109245</v>
      </c>
      <c r="U8" s="411">
        <f>[37]Composition!N8</f>
        <v>2272.9100000000003</v>
      </c>
      <c r="V8" s="5">
        <f t="shared" ref="V8" si="26">IFERROR(U8/U$17,0)</f>
        <v>0.2641466565908101</v>
      </c>
      <c r="W8" s="411">
        <f>[38]Composition!P8</f>
        <v>2140.6120000000001</v>
      </c>
      <c r="X8" s="5">
        <f t="shared" ref="X8" si="27">IFERROR(W8/W$17,0)</f>
        <v>0.20711141091753346</v>
      </c>
      <c r="Y8" s="424">
        <f>[39]Composition!R8</f>
        <v>1717.3360000000002</v>
      </c>
      <c r="Z8" s="5">
        <f t="shared" ref="Z8" si="28">IFERROR(Y8/Y$17,0)</f>
        <v>0.19440567594261801</v>
      </c>
      <c r="AA8" s="411">
        <f>[40]Composition!T8</f>
        <v>1989.049</v>
      </c>
      <c r="AB8" s="5">
        <f t="shared" ref="AB8" si="29">IFERROR(AA8/AA$17,0)</f>
        <v>0.20964645035353913</v>
      </c>
      <c r="AC8" s="411"/>
      <c r="AD8" s="96" t="e">
        <f t="shared" si="4"/>
        <v>#DIV/0!</v>
      </c>
      <c r="AE8" s="411"/>
      <c r="AF8" s="96" t="e">
        <f t="shared" si="4"/>
        <v>#DIV/0!</v>
      </c>
      <c r="AG8" s="411"/>
      <c r="AH8" s="96" t="e">
        <f t="shared" si="4"/>
        <v>#DIV/0!</v>
      </c>
      <c r="AI8" s="411"/>
      <c r="AJ8" s="96" t="e">
        <f t="shared" si="5"/>
        <v>#DIV/0!</v>
      </c>
      <c r="AK8" s="411"/>
      <c r="AL8" s="96" t="e">
        <f t="shared" si="6"/>
        <v>#DIV/0!</v>
      </c>
      <c r="AM8" s="411"/>
      <c r="AN8" s="96" t="e">
        <f t="shared" si="7"/>
        <v>#DIV/0!</v>
      </c>
      <c r="AO8" s="411"/>
      <c r="AP8" s="96" t="e">
        <f t="shared" si="8"/>
        <v>#DIV/0!</v>
      </c>
      <c r="AQ8" s="411"/>
      <c r="AR8" s="96" t="e">
        <f t="shared" si="9"/>
        <v>#DIV/0!</v>
      </c>
      <c r="AS8" s="411"/>
      <c r="AT8" s="96" t="e">
        <f t="shared" si="10"/>
        <v>#DIV/0!</v>
      </c>
      <c r="AU8" s="411"/>
      <c r="AV8" s="96" t="e">
        <f t="shared" si="11"/>
        <v>#DIV/0!</v>
      </c>
      <c r="AW8" s="411"/>
      <c r="AX8" s="96" t="e">
        <f t="shared" si="12"/>
        <v>#DIV/0!</v>
      </c>
      <c r="AY8" s="16">
        <f t="shared" si="22"/>
        <v>28325.659029215305</v>
      </c>
      <c r="AZ8" s="15">
        <f t="shared" si="13"/>
        <v>0.24580155144086605</v>
      </c>
      <c r="BD8" s="13"/>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row>
    <row r="9" spans="1:85" ht="14.5">
      <c r="A9" s="9" t="s">
        <v>0</v>
      </c>
      <c r="B9" s="12"/>
      <c r="C9" s="408">
        <f>[30]Composition!T9</f>
        <v>127.98387578340618</v>
      </c>
      <c r="D9" s="5">
        <f t="shared" si="0"/>
        <v>1.8846545608997733E-2</v>
      </c>
      <c r="E9" s="408">
        <f>[30]Composition!V9</f>
        <v>58.768153470290088</v>
      </c>
      <c r="F9" s="5">
        <f t="shared" si="1"/>
        <v>8.4376992613428778E-3</v>
      </c>
      <c r="G9" s="408">
        <f>[30]Composition!X9</f>
        <v>101.66489955057499</v>
      </c>
      <c r="H9" s="5">
        <f t="shared" si="2"/>
        <v>1.1567130674126078E-2</v>
      </c>
      <c r="I9" s="411">
        <f>[31]Composition!B9</f>
        <v>102.23430282561857</v>
      </c>
      <c r="J9" s="5">
        <f t="shared" si="3"/>
        <v>1.3993983076742407E-2</v>
      </c>
      <c r="K9" s="411">
        <f>[52]Composition!D9</f>
        <v>163.2235</v>
      </c>
      <c r="L9" s="5">
        <f t="shared" si="14"/>
        <v>1.6508690189646617E-2</v>
      </c>
      <c r="M9" s="413">
        <f>[33]Composition!$F$9</f>
        <v>164.964</v>
      </c>
      <c r="N9" s="5">
        <f t="shared" si="14"/>
        <v>1.7833065860047015E-2</v>
      </c>
      <c r="O9" s="411">
        <f>[34]Composition!H9</f>
        <v>192.3</v>
      </c>
      <c r="P9" s="5">
        <f t="shared" ref="P9" si="30">IFERROR(O9/O$17,0)</f>
        <v>1.8978834109396252E-2</v>
      </c>
      <c r="Q9" s="411">
        <f>[35]Composition!J9</f>
        <v>187.55</v>
      </c>
      <c r="R9" s="5">
        <f t="shared" ref="R9" si="31">IFERROR(Q9/Q$17,0)</f>
        <v>1.8301274795275529E-2</v>
      </c>
      <c r="S9" s="411">
        <f>[36]Composition!L9</f>
        <v>151.91999999999999</v>
      </c>
      <c r="T9" s="5">
        <f t="shared" ref="T9" si="32">IFERROR(S9/S$17,0)</f>
        <v>1.7648944920235877E-2</v>
      </c>
      <c r="U9" s="411">
        <f>[37]Composition!N9</f>
        <v>146.774</v>
      </c>
      <c r="V9" s="5">
        <f t="shared" ref="V9" si="33">IFERROR(U9/U$17,0)</f>
        <v>1.7057367592407776E-2</v>
      </c>
      <c r="W9" s="411">
        <f>[38]Composition!P9</f>
        <v>156.291</v>
      </c>
      <c r="X9" s="5">
        <f t="shared" ref="X9" si="34">IFERROR(W9/W$17,0)</f>
        <v>1.5121679932520336E-2</v>
      </c>
      <c r="Y9" s="424">
        <f>[39]Composition!R9</f>
        <v>125.125</v>
      </c>
      <c r="Z9" s="5">
        <f t="shared" ref="Z9" si="35">IFERROR(Y9/Y$17,0)</f>
        <v>1.4164386120316626E-2</v>
      </c>
      <c r="AA9" s="411">
        <f>[40]Composition!T9</f>
        <v>133.315</v>
      </c>
      <c r="AB9" s="5">
        <f t="shared" ref="AB9" si="36">IFERROR(AA9/AA$17,0)</f>
        <v>1.4051446962283016E-2</v>
      </c>
      <c r="AC9" s="411"/>
      <c r="AD9" s="96" t="e">
        <f t="shared" si="4"/>
        <v>#DIV/0!</v>
      </c>
      <c r="AE9" s="411"/>
      <c r="AF9" s="96" t="e">
        <f t="shared" si="4"/>
        <v>#DIV/0!</v>
      </c>
      <c r="AG9" s="411"/>
      <c r="AH9" s="96" t="e">
        <f t="shared" si="4"/>
        <v>#DIV/0!</v>
      </c>
      <c r="AI9" s="411"/>
      <c r="AJ9" s="96" t="e">
        <f t="shared" si="5"/>
        <v>#DIV/0!</v>
      </c>
      <c r="AK9" s="411"/>
      <c r="AL9" s="96" t="e">
        <f t="shared" si="6"/>
        <v>#DIV/0!</v>
      </c>
      <c r="AM9" s="411"/>
      <c r="AN9" s="96" t="e">
        <f t="shared" si="7"/>
        <v>#DIV/0!</v>
      </c>
      <c r="AO9" s="411"/>
      <c r="AP9" s="96" t="e">
        <f t="shared" si="8"/>
        <v>#DIV/0!</v>
      </c>
      <c r="AQ9" s="411"/>
      <c r="AR9" s="96" t="e">
        <f t="shared" si="9"/>
        <v>#DIV/0!</v>
      </c>
      <c r="AS9" s="411"/>
      <c r="AT9" s="96" t="e">
        <f t="shared" si="10"/>
        <v>#DIV/0!</v>
      </c>
      <c r="AU9" s="411"/>
      <c r="AV9" s="96" t="e">
        <f t="shared" si="11"/>
        <v>#DIV/0!</v>
      </c>
      <c r="AW9" s="411"/>
      <c r="AX9" s="96" t="e">
        <f t="shared" si="12"/>
        <v>#DIV/0!</v>
      </c>
      <c r="AY9" s="16">
        <f t="shared" si="22"/>
        <v>1812.11373162989</v>
      </c>
      <c r="AZ9" s="15">
        <f t="shared" si="13"/>
        <v>1.5724978054791738E-2</v>
      </c>
      <c r="BD9" s="13"/>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row>
    <row r="10" spans="1:85" ht="14.5">
      <c r="A10" s="9" t="s">
        <v>4</v>
      </c>
      <c r="B10" s="12"/>
      <c r="C10" s="409">
        <f>[30]Composition!T19</f>
        <v>116.85458768057001</v>
      </c>
      <c r="D10" s="5">
        <f t="shared" si="0"/>
        <v>1.7207677942724316E-2</v>
      </c>
      <c r="E10" s="409">
        <f>[30]Composition!V19</f>
        <v>104.63028155714703</v>
      </c>
      <c r="F10" s="5">
        <f t="shared" si="1"/>
        <v>1.5022402394438871E-2</v>
      </c>
      <c r="G10" s="409">
        <f>[30]Composition!X19</f>
        <v>36.643509553036083</v>
      </c>
      <c r="H10" s="5">
        <f t="shared" si="2"/>
        <v>4.1691898111569856E-3</v>
      </c>
      <c r="I10" s="411">
        <f>[31]Composition!B19</f>
        <v>21.690537112495125</v>
      </c>
      <c r="J10" s="5">
        <f t="shared" si="3"/>
        <v>2.9690329066502669E-3</v>
      </c>
      <c r="K10" s="411">
        <f>[52]Composition!D19</f>
        <v>158.19000000000003</v>
      </c>
      <c r="L10" s="5">
        <f t="shared" si="14"/>
        <v>1.5999593815230029E-2</v>
      </c>
      <c r="M10" s="413">
        <f>[33]Composition!$F$19</f>
        <v>139.94</v>
      </c>
      <c r="N10" s="5">
        <f t="shared" si="14"/>
        <v>1.5127902066238569E-2</v>
      </c>
      <c r="O10" s="411">
        <f>[34]Composition!$H$19</f>
        <v>193.47</v>
      </c>
      <c r="P10" s="5">
        <f t="shared" ref="P10" si="37">IFERROR(O10/O$17,0)</f>
        <v>1.909430595499164E-2</v>
      </c>
      <c r="Q10" s="411">
        <f>[35]Composition!$J$19</f>
        <v>161.9</v>
      </c>
      <c r="R10" s="5">
        <f t="shared" ref="R10" si="38">IFERROR(Q10/Q$17,0)</f>
        <v>1.579832785579903E-2</v>
      </c>
      <c r="S10" s="411">
        <f>[36]Composition!$L$19</f>
        <v>122.42</v>
      </c>
      <c r="T10" s="5">
        <f t="shared" ref="T10" si="39">IFERROR(S10/S$17,0)</f>
        <v>1.4221852535118986E-2</v>
      </c>
      <c r="U10" s="411">
        <f>[37]Composition!$N$19</f>
        <v>130.37</v>
      </c>
      <c r="V10" s="5">
        <f t="shared" ref="V10" si="40">IFERROR(U10/U$17,0)</f>
        <v>1.5150973694402291E-2</v>
      </c>
      <c r="W10" s="411">
        <f>[38]Composition!$P$19</f>
        <v>149.63</v>
      </c>
      <c r="X10" s="5">
        <f t="shared" ref="X10" si="41">IFERROR(W10/W$17,0)</f>
        <v>1.4477205778343076E-2</v>
      </c>
      <c r="Y10" s="424">
        <f>[39]Composition!$R$19</f>
        <v>122.07000000000001</v>
      </c>
      <c r="Z10" s="5">
        <f t="shared" ref="Z10" si="42">IFERROR(Y10/Y$17,0)</f>
        <v>1.3818554355301105E-2</v>
      </c>
      <c r="AA10" s="411">
        <f>[40]Composition!$T$19</f>
        <v>177.72899999999998</v>
      </c>
      <c r="AB10" s="5">
        <f t="shared" ref="AB10" si="43">IFERROR(AA10/AA$17,0)</f>
        <v>1.8732697874654751E-2</v>
      </c>
      <c r="AC10" s="411"/>
      <c r="AD10" s="96" t="e">
        <f t="shared" si="4"/>
        <v>#DIV/0!</v>
      </c>
      <c r="AE10" s="411"/>
      <c r="AF10" s="96" t="e">
        <f t="shared" si="4"/>
        <v>#DIV/0!</v>
      </c>
      <c r="AG10" s="411"/>
      <c r="AH10" s="96" t="e">
        <f t="shared" si="4"/>
        <v>#DIV/0!</v>
      </c>
      <c r="AI10" s="411"/>
      <c r="AJ10" s="96" t="e">
        <f t="shared" si="5"/>
        <v>#DIV/0!</v>
      </c>
      <c r="AK10" s="411"/>
      <c r="AL10" s="96" t="e">
        <f t="shared" si="6"/>
        <v>#DIV/0!</v>
      </c>
      <c r="AM10" s="411"/>
      <c r="AN10" s="96" t="e">
        <f t="shared" si="7"/>
        <v>#DIV/0!</v>
      </c>
      <c r="AO10" s="411"/>
      <c r="AP10" s="96" t="e">
        <f t="shared" si="8"/>
        <v>#DIV/0!</v>
      </c>
      <c r="AQ10" s="411"/>
      <c r="AR10" s="96" t="e">
        <f t="shared" si="9"/>
        <v>#DIV/0!</v>
      </c>
      <c r="AS10" s="411"/>
      <c r="AT10" s="96" t="e">
        <f t="shared" si="10"/>
        <v>#DIV/0!</v>
      </c>
      <c r="AU10" s="411"/>
      <c r="AV10" s="96" t="e">
        <f t="shared" si="11"/>
        <v>#DIV/0!</v>
      </c>
      <c r="AW10" s="411"/>
      <c r="AX10" s="96" t="e">
        <f t="shared" si="12"/>
        <v>#DIV/0!</v>
      </c>
      <c r="AY10" s="16">
        <f t="shared" si="22"/>
        <v>1635.5379159032482</v>
      </c>
      <c r="AZ10" s="15">
        <f t="shared" si="13"/>
        <v>1.4192706222818501E-2</v>
      </c>
      <c r="BD10" s="13"/>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row>
    <row r="11" spans="1:85" ht="14.5">
      <c r="A11" s="9" t="s">
        <v>2</v>
      </c>
      <c r="B11" s="12"/>
      <c r="C11" s="409">
        <f>[30]Composition!T10</f>
        <v>1168.556849434018</v>
      </c>
      <c r="D11" s="5">
        <f t="shared" si="0"/>
        <v>0.17207839522563009</v>
      </c>
      <c r="E11" s="409">
        <f>[30]Composition!V10</f>
        <v>1832.6070095369178</v>
      </c>
      <c r="F11" s="5">
        <f t="shared" si="1"/>
        <v>0.26311847314581116</v>
      </c>
      <c r="G11" s="409">
        <f>[30]Composition!X10</f>
        <v>2529.6700381910337</v>
      </c>
      <c r="H11" s="5">
        <f t="shared" si="2"/>
        <v>0.28781835248478049</v>
      </c>
      <c r="I11" s="411">
        <f>[31]Composition!B10</f>
        <v>1659.6676762938514</v>
      </c>
      <c r="J11" s="5">
        <f t="shared" si="3"/>
        <v>0.22717777431991823</v>
      </c>
      <c r="K11" s="411">
        <f>[52]Composition!D10</f>
        <v>2306.9699999999998</v>
      </c>
      <c r="L11" s="5">
        <f t="shared" si="14"/>
        <v>0.23333069690828254</v>
      </c>
      <c r="M11" s="413">
        <f>[33]Composition!$F$10</f>
        <v>1481.9550000000002</v>
      </c>
      <c r="N11" s="5">
        <f t="shared" si="14"/>
        <v>0.1602034450948448</v>
      </c>
      <c r="O11" s="411">
        <f>[34]Composition!H10</f>
        <v>1601.49</v>
      </c>
      <c r="P11" s="5">
        <f t="shared" ref="P11" si="44">IFERROR(O11/O$17,0)</f>
        <v>0.15805727008765991</v>
      </c>
      <c r="Q11" s="411">
        <f>[35]Composition!J10</f>
        <v>1544.3</v>
      </c>
      <c r="R11" s="5">
        <f t="shared" ref="R11" si="45">IFERROR(Q11/Q$17,0)</f>
        <v>0.15069399448863768</v>
      </c>
      <c r="S11" s="411">
        <f>[36]Composition!L10</f>
        <v>1354.6</v>
      </c>
      <c r="T11" s="5">
        <f t="shared" ref="T11" si="46">IFERROR(S11/S$17,0)</f>
        <v>0.15736743541963874</v>
      </c>
      <c r="U11" s="411">
        <f>[37]Composition!N10</f>
        <v>1386.51</v>
      </c>
      <c r="V11" s="5">
        <f t="shared" ref="V11" si="47">IFERROR(U11/U$17,0)</f>
        <v>0.16113351643035759</v>
      </c>
      <c r="W11" s="411">
        <f>[38]Composition!P10</f>
        <v>1630.5649999999998</v>
      </c>
      <c r="X11" s="5">
        <f t="shared" ref="X11" si="48">IFERROR(W11/W$17,0)</f>
        <v>0.15776264813181834</v>
      </c>
      <c r="Y11" s="424">
        <f>[39]Composition!R10</f>
        <v>1482.1695</v>
      </c>
      <c r="Z11" s="5">
        <f t="shared" ref="Z11" si="49">IFERROR(Y11/Y$17,0)</f>
        <v>0.16778438436568738</v>
      </c>
      <c r="AA11" s="411">
        <f>[40]Composition!T10</f>
        <v>1335.55</v>
      </c>
      <c r="AB11" s="5">
        <f t="shared" ref="AB11" si="50">IFERROR(AA11/AA$17,0)</f>
        <v>0.14076743045026502</v>
      </c>
      <c r="AC11" s="411"/>
      <c r="AD11" s="96" t="e">
        <f t="shared" si="4"/>
        <v>#DIV/0!</v>
      </c>
      <c r="AE11" s="411"/>
      <c r="AF11" s="96" t="e">
        <f t="shared" si="4"/>
        <v>#DIV/0!</v>
      </c>
      <c r="AG11" s="411"/>
      <c r="AH11" s="96" t="e">
        <f t="shared" si="4"/>
        <v>#DIV/0!</v>
      </c>
      <c r="AI11" s="411"/>
      <c r="AJ11" s="96" t="e">
        <f t="shared" si="5"/>
        <v>#DIV/0!</v>
      </c>
      <c r="AK11" s="411"/>
      <c r="AL11" s="96" t="e">
        <f t="shared" si="6"/>
        <v>#DIV/0!</v>
      </c>
      <c r="AM11" s="411"/>
      <c r="AN11" s="96" t="e">
        <f t="shared" si="7"/>
        <v>#DIV/0!</v>
      </c>
      <c r="AO11" s="411"/>
      <c r="AP11" s="96" t="e">
        <f t="shared" si="8"/>
        <v>#DIV/0!</v>
      </c>
      <c r="AQ11" s="411"/>
      <c r="AR11" s="96" t="e">
        <f t="shared" si="9"/>
        <v>#DIV/0!</v>
      </c>
      <c r="AS11" s="411"/>
      <c r="AT11" s="96" t="e">
        <f t="shared" si="10"/>
        <v>#DIV/0!</v>
      </c>
      <c r="AU11" s="411"/>
      <c r="AV11" s="96" t="e">
        <f t="shared" si="11"/>
        <v>#DIV/0!</v>
      </c>
      <c r="AW11" s="411"/>
      <c r="AX11" s="96" t="e">
        <f t="shared" si="12"/>
        <v>#DIV/0!</v>
      </c>
      <c r="AY11" s="16">
        <f t="shared" si="22"/>
        <v>21314.611073455821</v>
      </c>
      <c r="AZ11" s="15">
        <f t="shared" si="13"/>
        <v>0.18496178552493303</v>
      </c>
      <c r="BD11" s="13"/>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row>
    <row r="12" spans="1:85" ht="14.5">
      <c r="A12" s="9" t="s">
        <v>8</v>
      </c>
      <c r="B12" s="12"/>
      <c r="C12" s="409">
        <f>[30]Composition!T11</f>
        <v>219.82225968553189</v>
      </c>
      <c r="D12" s="5">
        <f t="shared" si="0"/>
        <v>3.2370407738296275E-2</v>
      </c>
      <c r="E12" s="409">
        <f>[30]Composition!V11</f>
        <v>160.89571153383318</v>
      </c>
      <c r="F12" s="5">
        <f t="shared" si="1"/>
        <v>2.3100770505722679E-2</v>
      </c>
      <c r="G12" s="409">
        <f>[30]Composition!X11</f>
        <v>115.67688981431989</v>
      </c>
      <c r="H12" s="5">
        <f t="shared" si="2"/>
        <v>1.3161373358688914E-2</v>
      </c>
      <c r="I12" s="411">
        <f>[31]Composition!B11</f>
        <v>211.95506106717576</v>
      </c>
      <c r="J12" s="5">
        <f t="shared" si="3"/>
        <v>2.9012723280005551E-2</v>
      </c>
      <c r="K12" s="411">
        <f>[52]Composition!D11</f>
        <v>314.61</v>
      </c>
      <c r="L12" s="5">
        <f t="shared" si="14"/>
        <v>3.1820166952459192E-2</v>
      </c>
      <c r="M12" s="413">
        <f>[33]Composition!$F$11</f>
        <v>337.18500000000006</v>
      </c>
      <c r="N12" s="5">
        <f t="shared" si="14"/>
        <v>3.645063354440941E-2</v>
      </c>
      <c r="O12" s="411">
        <f>[34]Composition!H11</f>
        <v>343.04</v>
      </c>
      <c r="P12" s="5">
        <f t="shared" ref="P12" si="51">IFERROR(O12/O$17,0)</f>
        <v>3.3855950353028026E-2</v>
      </c>
      <c r="Q12" s="411">
        <f>[35]Composition!J11</f>
        <v>424.04</v>
      </c>
      <c r="R12" s="5">
        <f t="shared" ref="R12" si="52">IFERROR(Q12/Q$17,0)</f>
        <v>4.1378152834916748E-2</v>
      </c>
      <c r="S12" s="411">
        <f>[36]Composition!L11</f>
        <v>272.08</v>
      </c>
      <c r="T12" s="5">
        <f t="shared" ref="T12" si="53">IFERROR(S12/S$17,0)</f>
        <v>3.1608247326867941E-2</v>
      </c>
      <c r="U12" s="411">
        <f>[37]Composition!N11</f>
        <v>330.04</v>
      </c>
      <c r="V12" s="5">
        <f t="shared" ref="V12" si="54">IFERROR(U12/U$17,0)</f>
        <v>3.8355659723099886E-2</v>
      </c>
      <c r="W12" s="411">
        <f>[38]Composition!P11</f>
        <v>372.03999999999996</v>
      </c>
      <c r="X12" s="5">
        <f t="shared" ref="X12" si="55">IFERROR(W12/W$17,0)</f>
        <v>3.5996121351164589E-2</v>
      </c>
      <c r="Y12" s="424">
        <f>[39]Composition!R11</f>
        <v>349.15000000000003</v>
      </c>
      <c r="Z12" s="5">
        <f t="shared" ref="Z12" si="56">IFERROR(Y12/Y$17,0)</f>
        <v>3.9524438872396012E-2</v>
      </c>
      <c r="AA12" s="411">
        <f>[40]Composition!T11</f>
        <v>340.07399999999996</v>
      </c>
      <c r="AB12" s="5">
        <f t="shared" ref="AB12" si="57">IFERROR(AA12/AA$17,0)</f>
        <v>3.5843916845452004E-2</v>
      </c>
      <c r="AC12" s="411"/>
      <c r="AD12" s="96" t="e">
        <f t="shared" si="4"/>
        <v>#DIV/0!</v>
      </c>
      <c r="AE12" s="411"/>
      <c r="AF12" s="96" t="e">
        <f t="shared" si="4"/>
        <v>#DIV/0!</v>
      </c>
      <c r="AG12" s="411"/>
      <c r="AH12" s="96" t="e">
        <f t="shared" si="4"/>
        <v>#DIV/0!</v>
      </c>
      <c r="AI12" s="411"/>
      <c r="AJ12" s="96" t="e">
        <f t="shared" si="5"/>
        <v>#DIV/0!</v>
      </c>
      <c r="AK12" s="411"/>
      <c r="AL12" s="96" t="e">
        <f t="shared" si="6"/>
        <v>#DIV/0!</v>
      </c>
      <c r="AM12" s="411"/>
      <c r="AN12" s="96" t="e">
        <f t="shared" si="7"/>
        <v>#DIV/0!</v>
      </c>
      <c r="AO12" s="411"/>
      <c r="AP12" s="96" t="e">
        <f t="shared" si="8"/>
        <v>#DIV/0!</v>
      </c>
      <c r="AQ12" s="411"/>
      <c r="AR12" s="96" t="e">
        <f t="shared" si="9"/>
        <v>#DIV/0!</v>
      </c>
      <c r="AS12" s="411"/>
      <c r="AT12" s="96" t="e">
        <f t="shared" si="10"/>
        <v>#DIV/0!</v>
      </c>
      <c r="AU12" s="411"/>
      <c r="AV12" s="96" t="e">
        <f t="shared" si="11"/>
        <v>#DIV/0!</v>
      </c>
      <c r="AW12" s="411"/>
      <c r="AX12" s="96" t="e">
        <f t="shared" si="12"/>
        <v>#DIV/0!</v>
      </c>
      <c r="AY12" s="16">
        <f t="shared" si="22"/>
        <v>3790.608922100861</v>
      </c>
      <c r="AZ12" s="15">
        <f t="shared" si="13"/>
        <v>3.2893764377978967E-2</v>
      </c>
      <c r="BD12" s="13"/>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row>
    <row r="13" spans="1:85" ht="14.5">
      <c r="A13" s="9" t="s">
        <v>10</v>
      </c>
      <c r="B13" s="12"/>
      <c r="C13" s="409">
        <f>[30]Composition!T12</f>
        <v>7.151599943121381</v>
      </c>
      <c r="D13" s="5">
        <f t="shared" si="0"/>
        <v>1.0531244946312061E-3</v>
      </c>
      <c r="E13" s="409">
        <f>[30]Composition!V12</f>
        <v>4.8262753227492681</v>
      </c>
      <c r="F13" s="5">
        <f t="shared" si="1"/>
        <v>6.9293754050628754E-4</v>
      </c>
      <c r="G13" s="409">
        <f>[30]Composition!X12</f>
        <v>57.748796671371991</v>
      </c>
      <c r="H13" s="5">
        <f t="shared" si="2"/>
        <v>6.570486769024885E-3</v>
      </c>
      <c r="I13" s="411">
        <f>[31]Composition!B12</f>
        <v>31.038443685051622</v>
      </c>
      <c r="J13" s="5">
        <f t="shared" si="3"/>
        <v>4.2485882297051466E-3</v>
      </c>
      <c r="K13" s="411">
        <f>[52]Composition!D12</f>
        <v>54.39</v>
      </c>
      <c r="L13" s="5">
        <f t="shared" si="14"/>
        <v>5.5010930375520651E-3</v>
      </c>
      <c r="M13" s="413">
        <f>[33]Composition!$F$12</f>
        <v>48.17</v>
      </c>
      <c r="N13" s="5">
        <f t="shared" si="14"/>
        <v>5.2073105797535504E-3</v>
      </c>
      <c r="O13" s="411">
        <f>[34]Composition!H12</f>
        <v>50.92</v>
      </c>
      <c r="P13" s="5">
        <f t="shared" ref="P13" si="58">IFERROR(O13/O$17,0)</f>
        <v>5.0254926305275975E-3</v>
      </c>
      <c r="Q13" s="411">
        <f>[35]Composition!J12</f>
        <v>56.12</v>
      </c>
      <c r="R13" s="5">
        <f t="shared" ref="R13" si="59">IFERROR(Q13/Q$17,0)</f>
        <v>5.4762332258643702E-3</v>
      </c>
      <c r="S13" s="411">
        <f>[36]Composition!L12</f>
        <v>44.32</v>
      </c>
      <c r="T13" s="5">
        <f t="shared" ref="T13" si="60">IFERROR(S13/S$17,0)</f>
        <v>5.1487706613010413E-3</v>
      </c>
      <c r="U13" s="411">
        <f>[37]Composition!N12</f>
        <v>41</v>
      </c>
      <c r="V13" s="5">
        <f t="shared" ref="V13" si="61">IFERROR(U13/U$17,0)</f>
        <v>4.7648225931617239E-3</v>
      </c>
      <c r="W13" s="411">
        <f>[38]Composition!P12</f>
        <v>50.629999999999995</v>
      </c>
      <c r="X13" s="5">
        <f t="shared" ref="X13" si="62">IFERROR(W13/W$17,0)</f>
        <v>4.8986227932734739E-3</v>
      </c>
      <c r="Y13" s="424">
        <f>[39]Composition!R12</f>
        <v>50.34</v>
      </c>
      <c r="Z13" s="5">
        <f t="shared" ref="Z13" si="63">IFERROR(Y13/Y$17,0)</f>
        <v>5.6985829953785337E-3</v>
      </c>
      <c r="AA13" s="411">
        <f>[40]Composition!T12</f>
        <v>49.83</v>
      </c>
      <c r="AB13" s="5">
        <f t="shared" ref="AB13" si="64">IFERROR(AA13/AA$17,0)</f>
        <v>5.2520991796164169E-3</v>
      </c>
      <c r="AC13" s="411"/>
      <c r="AD13" s="96" t="e">
        <f t="shared" si="4"/>
        <v>#DIV/0!</v>
      </c>
      <c r="AE13" s="411"/>
      <c r="AF13" s="96" t="e">
        <f t="shared" si="4"/>
        <v>#DIV/0!</v>
      </c>
      <c r="AG13" s="411"/>
      <c r="AH13" s="96" t="e">
        <f t="shared" si="4"/>
        <v>#DIV/0!</v>
      </c>
      <c r="AI13" s="411"/>
      <c r="AJ13" s="96" t="e">
        <f t="shared" si="5"/>
        <v>#DIV/0!</v>
      </c>
      <c r="AK13" s="411"/>
      <c r="AL13" s="96" t="e">
        <f t="shared" si="6"/>
        <v>#DIV/0!</v>
      </c>
      <c r="AM13" s="411"/>
      <c r="AN13" s="96" t="e">
        <f t="shared" si="7"/>
        <v>#DIV/0!</v>
      </c>
      <c r="AO13" s="411"/>
      <c r="AP13" s="96" t="e">
        <f t="shared" si="8"/>
        <v>#DIV/0!</v>
      </c>
      <c r="AQ13" s="411"/>
      <c r="AR13" s="96" t="e">
        <f t="shared" si="9"/>
        <v>#DIV/0!</v>
      </c>
      <c r="AS13" s="411"/>
      <c r="AT13" s="96" t="e">
        <f t="shared" si="10"/>
        <v>#DIV/0!</v>
      </c>
      <c r="AU13" s="411"/>
      <c r="AV13" s="96" t="e">
        <f t="shared" si="11"/>
        <v>#DIV/0!</v>
      </c>
      <c r="AW13" s="411"/>
      <c r="AX13" s="96" t="e">
        <f t="shared" si="12"/>
        <v>#DIV/0!</v>
      </c>
      <c r="AY13" s="16">
        <f t="shared" si="22"/>
        <v>546.48511562229419</v>
      </c>
      <c r="AZ13" s="15">
        <f t="shared" si="13"/>
        <v>4.7422335035790407E-3</v>
      </c>
      <c r="BD13" s="13"/>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row>
    <row r="14" spans="1:85" ht="14.5">
      <c r="A14" s="9" t="s">
        <v>11</v>
      </c>
      <c r="B14" s="12"/>
      <c r="C14" s="409">
        <f>[30]Composition!T13</f>
        <v>38.599417389831245</v>
      </c>
      <c r="D14" s="5">
        <f t="shared" si="0"/>
        <v>5.6840416487255246E-3</v>
      </c>
      <c r="E14" s="409">
        <f>[30]Composition!V13</f>
        <v>27.981778750235076</v>
      </c>
      <c r="F14" s="5">
        <f t="shared" si="1"/>
        <v>4.0175132269772325E-3</v>
      </c>
      <c r="G14" s="409">
        <f>[30]Composition!X13</f>
        <v>12.10712844060062</v>
      </c>
      <c r="H14" s="5">
        <f t="shared" si="2"/>
        <v>1.3775131572444821E-3</v>
      </c>
      <c r="I14" s="411">
        <f>[31]Composition!B13</f>
        <v>22.788483339938335</v>
      </c>
      <c r="J14" s="5">
        <f t="shared" si="3"/>
        <v>3.1193214155103605E-3</v>
      </c>
      <c r="K14" s="411">
        <f>[52]Composition!D13</f>
        <v>68.62</v>
      </c>
      <c r="L14" s="5">
        <f t="shared" si="14"/>
        <v>6.9403383753782449E-3</v>
      </c>
      <c r="M14" s="413">
        <f>[33]Composition!$F$13</f>
        <v>79.28</v>
      </c>
      <c r="N14" s="5">
        <f t="shared" si="14"/>
        <v>8.5703878505887787E-3</v>
      </c>
      <c r="O14" s="411">
        <f>[34]Composition!H13</f>
        <v>85.07</v>
      </c>
      <c r="P14" s="5">
        <f t="shared" ref="P14" si="65">IFERROR(O14/O$17,0)</f>
        <v>8.3958888075212623E-3</v>
      </c>
      <c r="Q14" s="411">
        <f>[35]Composition!J13</f>
        <v>117.24</v>
      </c>
      <c r="R14" s="5">
        <f t="shared" ref="R14" si="66">IFERROR(Q14/Q$17,0)</f>
        <v>1.1440370338566265E-2</v>
      </c>
      <c r="S14" s="411">
        <f>[36]Composition!L13</f>
        <v>75.88</v>
      </c>
      <c r="T14" s="5">
        <f t="shared" ref="T14" si="67">IFERROR(S14/S$17,0)</f>
        <v>8.8151786502599951E-3</v>
      </c>
      <c r="U14" s="411">
        <f>[37]Composition!N13</f>
        <v>72.77</v>
      </c>
      <c r="V14" s="5">
        <f t="shared" ref="V14" si="68">IFERROR(U14/U$17,0)</f>
        <v>8.4569790269360644E-3</v>
      </c>
      <c r="W14" s="411">
        <f>[38]Composition!P13</f>
        <v>96.24</v>
      </c>
      <c r="X14" s="5">
        <f t="shared" ref="X14" si="69">IFERROR(W14/W$17,0)</f>
        <v>9.3115437018494798E-3</v>
      </c>
      <c r="Y14" s="424">
        <f>[39]Composition!R13</f>
        <v>106.75999999999999</v>
      </c>
      <c r="Z14" s="5">
        <f t="shared" ref="Z14" si="70">IFERROR(Y14/Y$17,0)</f>
        <v>1.2085433464175847E-2</v>
      </c>
      <c r="AA14" s="411">
        <f>[40]Composition!T13</f>
        <v>120.38200000000001</v>
      </c>
      <c r="AB14" s="5">
        <f t="shared" ref="AB14" si="71">IFERROR(AA14/AA$17,0)</f>
        <v>1.2688304303443379E-2</v>
      </c>
      <c r="AC14" s="411"/>
      <c r="AD14" s="96" t="e">
        <f t="shared" si="4"/>
        <v>#DIV/0!</v>
      </c>
      <c r="AE14" s="411"/>
      <c r="AF14" s="96" t="e">
        <f t="shared" si="4"/>
        <v>#DIV/0!</v>
      </c>
      <c r="AG14" s="411"/>
      <c r="AH14" s="96" t="e">
        <f t="shared" si="4"/>
        <v>#DIV/0!</v>
      </c>
      <c r="AI14" s="411"/>
      <c r="AJ14" s="96" t="e">
        <f t="shared" si="5"/>
        <v>#DIV/0!</v>
      </c>
      <c r="AK14" s="411"/>
      <c r="AL14" s="96" t="e">
        <f t="shared" si="6"/>
        <v>#DIV/0!</v>
      </c>
      <c r="AM14" s="411"/>
      <c r="AN14" s="96" t="e">
        <f t="shared" si="7"/>
        <v>#DIV/0!</v>
      </c>
      <c r="AO14" s="411"/>
      <c r="AP14" s="96" t="e">
        <f t="shared" si="8"/>
        <v>#DIV/0!</v>
      </c>
      <c r="AQ14" s="411"/>
      <c r="AR14" s="96" t="e">
        <f t="shared" si="9"/>
        <v>#DIV/0!</v>
      </c>
      <c r="AS14" s="411"/>
      <c r="AT14" s="96" t="e">
        <f t="shared" si="10"/>
        <v>#DIV/0!</v>
      </c>
      <c r="AU14" s="411"/>
      <c r="AV14" s="96" t="e">
        <f t="shared" si="11"/>
        <v>#DIV/0!</v>
      </c>
      <c r="AW14" s="411"/>
      <c r="AX14" s="96" t="e">
        <f t="shared" si="12"/>
        <v>#DIV/0!</v>
      </c>
      <c r="AY14" s="16">
        <f t="shared" si="22"/>
        <v>923.71880792060529</v>
      </c>
      <c r="AZ14" s="15">
        <f t="shared" si="13"/>
        <v>8.0157540499873076E-3</v>
      </c>
      <c r="BD14" s="13"/>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row>
    <row r="15" spans="1:85" ht="14.5">
      <c r="A15" s="9" t="s">
        <v>9</v>
      </c>
      <c r="B15" s="12"/>
      <c r="C15" s="409">
        <f>[30]Composition!T14</f>
        <v>16.640316417024948</v>
      </c>
      <c r="D15" s="5">
        <f t="shared" si="0"/>
        <v>2.4504061967333857E-3</v>
      </c>
      <c r="E15" s="409">
        <f>[30]Composition!V14</f>
        <v>22.458835197864342</v>
      </c>
      <c r="F15" s="5">
        <f t="shared" si="1"/>
        <v>3.2245508148463866E-3</v>
      </c>
      <c r="G15" s="409">
        <f>[30]Composition!X14</f>
        <v>37.646774226293665</v>
      </c>
      <c r="H15" s="5">
        <f t="shared" si="2"/>
        <v>4.2833382894184703E-3</v>
      </c>
      <c r="I15" s="411">
        <f>[31]Composition!B14</f>
        <v>11.84212449212272</v>
      </c>
      <c r="J15" s="5">
        <f t="shared" si="3"/>
        <v>1.620967573067024E-3</v>
      </c>
      <c r="K15" s="411">
        <f>[52]Composition!D14</f>
        <v>0</v>
      </c>
      <c r="L15" s="5">
        <f t="shared" si="14"/>
        <v>0</v>
      </c>
      <c r="M15" s="413">
        <f>[33]Composition!$F$14</f>
        <v>0</v>
      </c>
      <c r="N15" s="5">
        <f t="shared" si="14"/>
        <v>0</v>
      </c>
      <c r="O15" s="411">
        <f>[34]Composition!H14</f>
        <v>0</v>
      </c>
      <c r="P15" s="5">
        <f t="shared" ref="P15" si="72">IFERROR(O15/O$17,0)</f>
        <v>0</v>
      </c>
      <c r="Q15" s="411">
        <f>[35]Composition!J14</f>
        <v>0</v>
      </c>
      <c r="R15" s="5">
        <f t="shared" ref="R15" si="73">IFERROR(Q15/Q$17,0)</f>
        <v>0</v>
      </c>
      <c r="S15" s="411">
        <f>[36]Composition!L14</f>
        <v>0</v>
      </c>
      <c r="T15" s="5">
        <f t="shared" ref="T15" si="74">IFERROR(S15/S$17,0)</f>
        <v>0</v>
      </c>
      <c r="U15" s="411">
        <f>[37]Composition!$N$14</f>
        <v>0</v>
      </c>
      <c r="V15" s="5">
        <f t="shared" ref="V15" si="75">IFERROR(U15/U$17,0)</f>
        <v>0</v>
      </c>
      <c r="W15" s="411">
        <f>[38]Composition!P14</f>
        <v>0</v>
      </c>
      <c r="X15" s="5">
        <f t="shared" ref="X15" si="76">IFERROR(W15/W$17,0)</f>
        <v>0</v>
      </c>
      <c r="Y15" s="424">
        <f>[39]Composition!R14</f>
        <v>0</v>
      </c>
      <c r="Z15" s="5">
        <f t="shared" ref="Z15" si="77">IFERROR(Y15/Y$17,0)</f>
        <v>0</v>
      </c>
      <c r="AA15" s="411">
        <f>[40]Composition!T14</f>
        <v>0</v>
      </c>
      <c r="AB15" s="5">
        <f t="shared" ref="AB15" si="78">IFERROR(AA15/AA$17,0)</f>
        <v>0</v>
      </c>
      <c r="AC15" s="411"/>
      <c r="AD15" s="96" t="e">
        <f t="shared" si="4"/>
        <v>#DIV/0!</v>
      </c>
      <c r="AE15" s="411"/>
      <c r="AF15" s="96" t="e">
        <f t="shared" si="4"/>
        <v>#DIV/0!</v>
      </c>
      <c r="AG15" s="411"/>
      <c r="AH15" s="96" t="e">
        <f t="shared" si="4"/>
        <v>#DIV/0!</v>
      </c>
      <c r="AI15" s="411"/>
      <c r="AJ15" s="96" t="e">
        <f t="shared" si="5"/>
        <v>#DIV/0!</v>
      </c>
      <c r="AK15" s="411"/>
      <c r="AL15" s="96" t="e">
        <f t="shared" si="6"/>
        <v>#DIV/0!</v>
      </c>
      <c r="AM15" s="411"/>
      <c r="AN15" s="96" t="e">
        <f t="shared" si="7"/>
        <v>#DIV/0!</v>
      </c>
      <c r="AO15" s="411"/>
      <c r="AP15" s="96" t="e">
        <f t="shared" si="8"/>
        <v>#DIV/0!</v>
      </c>
      <c r="AQ15" s="411"/>
      <c r="AR15" s="96" t="e">
        <f t="shared" si="9"/>
        <v>#DIV/0!</v>
      </c>
      <c r="AS15" s="411"/>
      <c r="AT15" s="96" t="e">
        <f t="shared" si="10"/>
        <v>#DIV/0!</v>
      </c>
      <c r="AU15" s="411"/>
      <c r="AV15" s="96" t="e">
        <f t="shared" si="11"/>
        <v>#DIV/0!</v>
      </c>
      <c r="AW15" s="411"/>
      <c r="AX15" s="96" t="e">
        <f t="shared" si="12"/>
        <v>#DIV/0!</v>
      </c>
      <c r="AY15" s="16">
        <f t="shared" si="22"/>
        <v>88.588050333305674</v>
      </c>
      <c r="AZ15" s="15">
        <f t="shared" si="13"/>
        <v>7.6874046208736323E-4</v>
      </c>
      <c r="BD15" s="13"/>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row>
    <row r="16" spans="1:85" ht="15">
      <c r="A16" s="9" t="s">
        <v>5</v>
      </c>
      <c r="B16" s="12"/>
      <c r="C16" s="410">
        <f>[30]Composition!T20+[30]Composition!T18+[30]Composition!T17+[30]Composition!T16+[30]Composition!T15</f>
        <v>1338.0290578072111</v>
      </c>
      <c r="D16" s="72">
        <f t="shared" si="0"/>
        <v>0.19703439601098111</v>
      </c>
      <c r="E16" s="410">
        <f>[30]Composition!V20+[30]Composition!V18+[30]Composition!V17+[30]Composition!V16+[30]Composition!V15</f>
        <v>1077.2343357104257</v>
      </c>
      <c r="F16" s="72">
        <f t="shared" si="1"/>
        <v>0.15466504938447881</v>
      </c>
      <c r="G16" s="410">
        <f>[30]Composition!X20+[30]Composition!X18+[30]Composition!X17+[30]Composition!X16+[30]Composition!X15</f>
        <v>1411.9905158528927</v>
      </c>
      <c r="H16" s="72">
        <f t="shared" si="2"/>
        <v>0.16065209211535317</v>
      </c>
      <c r="I16" s="412">
        <f>[31]Composition!B20+[31]Composition!$B$16++[31]Composition!$B$17+[31]Composition!$B$18+[31]Composition!$B$15</f>
        <v>856.43069772704246</v>
      </c>
      <c r="J16" s="72">
        <f t="shared" si="3"/>
        <v>0.11722950476649284</v>
      </c>
      <c r="K16" s="412">
        <f>[52]Composition!D20+[52]Composition!D17+[52]Composition!D16+[52]Composition!D15</f>
        <v>1184.4724999999999</v>
      </c>
      <c r="L16" s="72">
        <f t="shared" si="14"/>
        <v>0.1197994745894813</v>
      </c>
      <c r="M16" s="414">
        <f>[33]Composition!$F$20+[33]Composition!$F$15+[33]Composition!$F$16</f>
        <v>1809.2375</v>
      </c>
      <c r="N16" s="72">
        <f t="shared" si="14"/>
        <v>0.19558359092872876</v>
      </c>
      <c r="O16" s="412">
        <f>[34]Composition!$H$20+[34]Composition!$H$18+[34]Composition!$H$16+[34]Composition!$H$15</f>
        <v>2044.57</v>
      </c>
      <c r="P16" s="72">
        <f t="shared" ref="P16" si="79">IFERROR(O16/O$17,0)</f>
        <v>0.20178655670851944</v>
      </c>
      <c r="Q16" s="412">
        <f>[35]Composition!$J$20+[35]Composition!$J$18+[35]Composition!$J$16+[35]Composition!$J$15</f>
        <v>2202.9100000000003</v>
      </c>
      <c r="R16" s="72">
        <f t="shared" ref="R16" si="80">IFERROR(Q16/Q$17,0)</f>
        <v>0.21496167027065008</v>
      </c>
      <c r="S16" s="412">
        <f>[36]Composition!$L$20+[36]Composition!$L$18+[36]Composition!$L$15+[36]Composition!$L$16</f>
        <v>1696.0200000000002</v>
      </c>
      <c r="T16" s="72">
        <f t="shared" ref="T16" si="81">IFERROR(S16/S$17,0)</f>
        <v>0.1970310924408798</v>
      </c>
      <c r="U16" s="412">
        <f>[37]Composition!$N$20+[37]Composition!$N$18+[37]Composition!$N$16+[37]Composition!$N$15</f>
        <v>1802.9235000000001</v>
      </c>
      <c r="V16" s="72">
        <f t="shared" ref="V16" si="82">IFERROR(U16/U$17,0)</f>
        <v>0.20952708845224907</v>
      </c>
      <c r="W16" s="411">
        <f>[38]Composition!$P$20+[38]Composition!$P$15+[38]Composition!$P$16+[38]Composition!$P$18</f>
        <v>2359.2299999999996</v>
      </c>
      <c r="X16" s="72">
        <f t="shared" ref="X16" si="83">IFERROR(W16/W$17,0)</f>
        <v>0.2282634377360177</v>
      </c>
      <c r="Y16" s="425">
        <f>[39]Composition!$R$20+[39]Composition!$R$18+[39]Composition!$R$16+[39]Composition!$R$15</f>
        <v>1903.7995000000001</v>
      </c>
      <c r="Z16" s="72">
        <f t="shared" ref="Z16" si="84">IFERROR(Y16/Y$17,0)</f>
        <v>0.21551369601331255</v>
      </c>
      <c r="AA16" s="411">
        <f>[40]Composition!$T$20+[40]Composition!$T$18+[40]Composition!$T$16+[40]Composition!$T$15</f>
        <v>1947.1090000000002</v>
      </c>
      <c r="AB16" s="72">
        <f t="shared" ref="AB16" si="85">IFERROR(AA16/AA$17,0)</f>
        <v>0.20522595989411485</v>
      </c>
      <c r="AC16" s="411"/>
      <c r="AD16" s="96" t="e">
        <f t="shared" si="4"/>
        <v>#DIV/0!</v>
      </c>
      <c r="AE16" s="411"/>
      <c r="AF16" s="96" t="e">
        <f t="shared" si="4"/>
        <v>#DIV/0!</v>
      </c>
      <c r="AG16" s="411"/>
      <c r="AH16" s="96" t="e">
        <f t="shared" si="4"/>
        <v>#DIV/0!</v>
      </c>
      <c r="AI16" s="411"/>
      <c r="AJ16" s="96" t="e">
        <f t="shared" si="5"/>
        <v>#DIV/0!</v>
      </c>
      <c r="AK16" s="411"/>
      <c r="AL16" s="96" t="e">
        <f t="shared" si="6"/>
        <v>#DIV/0!</v>
      </c>
      <c r="AM16" s="411"/>
      <c r="AN16" s="96" t="e">
        <f t="shared" si="7"/>
        <v>#DIV/0!</v>
      </c>
      <c r="AO16" s="411"/>
      <c r="AP16" s="96" t="e">
        <f t="shared" si="8"/>
        <v>#DIV/0!</v>
      </c>
      <c r="AQ16" s="411"/>
      <c r="AR16" s="96" t="e">
        <f t="shared" si="9"/>
        <v>#DIV/0!</v>
      </c>
      <c r="AS16" s="411"/>
      <c r="AT16" s="74" t="e">
        <f t="shared" si="10"/>
        <v>#DIV/0!</v>
      </c>
      <c r="AU16" s="411"/>
      <c r="AV16" s="74" t="e">
        <f t="shared" si="11"/>
        <v>#DIV/0!</v>
      </c>
      <c r="AW16" s="412"/>
      <c r="AX16" s="74" t="e">
        <f t="shared" si="12"/>
        <v>#DIV/0!</v>
      </c>
      <c r="AY16" s="17">
        <f t="shared" si="22"/>
        <v>21633.956607097571</v>
      </c>
      <c r="AZ16" s="97">
        <f t="shared" si="13"/>
        <v>0.18773297003767084</v>
      </c>
      <c r="BD16" s="13"/>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row>
    <row r="17" spans="1:59" s="1" customFormat="1" ht="14.5">
      <c r="A17" s="18"/>
      <c r="B17" s="267"/>
      <c r="C17" s="46">
        <f t="shared" ref="C17:AZ17" si="86">SUM(C6:C16)</f>
        <v>6790.8400000000011</v>
      </c>
      <c r="D17" s="45">
        <f t="shared" si="86"/>
        <v>0.99999999999999978</v>
      </c>
      <c r="E17" s="46">
        <f t="shared" si="86"/>
        <v>6964.9500000000007</v>
      </c>
      <c r="F17" s="45">
        <f t="shared" si="86"/>
        <v>0.99999999999999967</v>
      </c>
      <c r="G17" s="46">
        <f t="shared" si="86"/>
        <v>8789.119999999999</v>
      </c>
      <c r="H17" s="20">
        <f t="shared" si="86"/>
        <v>1</v>
      </c>
      <c r="I17" s="46">
        <f t="shared" si="86"/>
        <v>7305.59</v>
      </c>
      <c r="J17" s="20">
        <f t="shared" si="86"/>
        <v>1.0000000000000002</v>
      </c>
      <c r="K17" s="46">
        <f t="shared" si="86"/>
        <v>9887.1260000000002</v>
      </c>
      <c r="L17" s="20">
        <f t="shared" si="14"/>
        <v>1</v>
      </c>
      <c r="M17" s="46">
        <f t="shared" si="86"/>
        <v>9250.4565000000002</v>
      </c>
      <c r="N17" s="20">
        <f t="shared" si="14"/>
        <v>1</v>
      </c>
      <c r="O17" s="46">
        <f t="shared" si="86"/>
        <v>10132.34</v>
      </c>
      <c r="P17" s="20">
        <f t="shared" ref="P17" si="87">IFERROR(O17/O$17,0)</f>
        <v>1</v>
      </c>
      <c r="Q17" s="46">
        <f t="shared" si="86"/>
        <v>10247.92</v>
      </c>
      <c r="R17" s="20">
        <f t="shared" ref="R17" si="88">IFERROR(Q17/Q$17,0)</f>
        <v>1</v>
      </c>
      <c r="S17" s="46">
        <f t="shared" si="86"/>
        <v>8607.8799999999992</v>
      </c>
      <c r="T17" s="20">
        <f t="shared" ref="T17" si="89">IFERROR(S17/S$17,0)</f>
        <v>1</v>
      </c>
      <c r="U17" s="46">
        <f t="shared" si="86"/>
        <v>8604.7275000000009</v>
      </c>
      <c r="V17" s="20">
        <f t="shared" ref="V17" si="90">IFERROR(U17/U$17,0)</f>
        <v>1</v>
      </c>
      <c r="W17" s="46">
        <f t="shared" si="86"/>
        <v>10335.557999999999</v>
      </c>
      <c r="X17" s="20">
        <f t="shared" ref="X17" si="91">IFERROR(W17/W$17,0)</f>
        <v>1</v>
      </c>
      <c r="Y17" s="46">
        <f t="shared" si="86"/>
        <v>8833.7749999999996</v>
      </c>
      <c r="Z17" s="20">
        <f t="shared" ref="Z17" si="92">IFERROR(Y17/Y$17,0)</f>
        <v>1</v>
      </c>
      <c r="AA17" s="46">
        <f t="shared" ref="AA17:AF17" si="93">SUM(AA6:AA16)</f>
        <v>9487.6349999999984</v>
      </c>
      <c r="AB17" s="20">
        <f t="shared" ref="AB17" si="94">IFERROR(AA17/AA$17,0)</f>
        <v>1</v>
      </c>
      <c r="AC17" s="46">
        <f t="shared" si="93"/>
        <v>0</v>
      </c>
      <c r="AD17" s="45" t="e">
        <f t="shared" si="93"/>
        <v>#DIV/0!</v>
      </c>
      <c r="AE17" s="46">
        <f t="shared" si="93"/>
        <v>0</v>
      </c>
      <c r="AF17" s="45" t="e">
        <f t="shared" si="93"/>
        <v>#DIV/0!</v>
      </c>
      <c r="AG17" s="46">
        <f t="shared" ref="AG17:AN17" si="95">SUM(AG6:AG16)</f>
        <v>0</v>
      </c>
      <c r="AH17" s="45" t="e">
        <f t="shared" si="95"/>
        <v>#DIV/0!</v>
      </c>
      <c r="AI17" s="46">
        <f t="shared" si="95"/>
        <v>0</v>
      </c>
      <c r="AJ17" s="45" t="e">
        <f t="shared" si="95"/>
        <v>#DIV/0!</v>
      </c>
      <c r="AK17" s="46">
        <f t="shared" si="95"/>
        <v>0</v>
      </c>
      <c r="AL17" s="45" t="e">
        <f t="shared" si="95"/>
        <v>#DIV/0!</v>
      </c>
      <c r="AM17" s="46">
        <f t="shared" si="95"/>
        <v>0</v>
      </c>
      <c r="AN17" s="45" t="e">
        <f t="shared" si="95"/>
        <v>#DIV/0!</v>
      </c>
      <c r="AO17" s="46">
        <f t="shared" ref="AO17:AT17" si="96">SUM(AO6:AO16)</f>
        <v>0</v>
      </c>
      <c r="AP17" s="45" t="e">
        <f t="shared" si="96"/>
        <v>#DIV/0!</v>
      </c>
      <c r="AQ17" s="46">
        <f t="shared" si="96"/>
        <v>0</v>
      </c>
      <c r="AR17" s="45" t="e">
        <f t="shared" si="96"/>
        <v>#DIV/0!</v>
      </c>
      <c r="AS17" s="46">
        <f t="shared" si="96"/>
        <v>0</v>
      </c>
      <c r="AT17" s="45" t="e">
        <f t="shared" si="96"/>
        <v>#DIV/0!</v>
      </c>
      <c r="AU17" s="46">
        <f>SUM(AU6:AU16)</f>
        <v>0</v>
      </c>
      <c r="AV17" s="45" t="e">
        <f>SUM(AV6:AV16)</f>
        <v>#DIV/0!</v>
      </c>
      <c r="AW17" s="46">
        <f>SUM(AW6:AW16)</f>
        <v>0</v>
      </c>
      <c r="AX17" s="45" t="e">
        <f>SUM(AX6:AX16)</f>
        <v>#DIV/0!</v>
      </c>
      <c r="AY17" s="19">
        <f t="shared" si="86"/>
        <v>115237.91800000001</v>
      </c>
      <c r="AZ17" s="20">
        <f t="shared" si="86"/>
        <v>1.0000000000000002</v>
      </c>
      <c r="BD17" s="13"/>
      <c r="BE17"/>
      <c r="BF17"/>
      <c r="BG17"/>
    </row>
    <row r="18" spans="1:59" ht="14.5">
      <c r="C18" s="47"/>
      <c r="E18" s="47"/>
      <c r="G18" s="47"/>
      <c r="I18" s="47"/>
      <c r="K18" s="47"/>
      <c r="M18" s="47"/>
      <c r="O18" s="47"/>
      <c r="Q18" s="47"/>
      <c r="S18" s="47"/>
      <c r="U18" s="47"/>
      <c r="Y18" s="47"/>
      <c r="BD18" s="13"/>
    </row>
    <row r="19" spans="1:59" ht="38.5">
      <c r="A19" s="494" t="s">
        <v>308</v>
      </c>
      <c r="C19" s="47"/>
      <c r="D19" s="47"/>
      <c r="E19" s="47"/>
      <c r="F19" s="47"/>
      <c r="G19" s="47"/>
      <c r="H19" s="47"/>
      <c r="I19" s="47"/>
      <c r="J19" s="47"/>
      <c r="K19" s="47"/>
      <c r="L19" s="47"/>
      <c r="M19" s="47"/>
      <c r="N19" s="47"/>
      <c r="O19" s="47"/>
      <c r="P19" s="47"/>
      <c r="Q19" s="66"/>
      <c r="Y19" s="47"/>
      <c r="AC19" s="181"/>
      <c r="AE19" s="181"/>
      <c r="BD19" s="13"/>
    </row>
    <row r="20" spans="1:59">
      <c r="A20" s="495"/>
      <c r="C20" s="181"/>
      <c r="D20" s="407"/>
    </row>
    <row r="21" spans="1:59">
      <c r="A21" s="495"/>
      <c r="C21" s="181"/>
      <c r="D21" s="407"/>
    </row>
    <row r="22" spans="1:59">
      <c r="A22" s="495"/>
      <c r="C22" s="181"/>
      <c r="D22" s="407"/>
    </row>
    <row r="23" spans="1:59">
      <c r="A23" s="495"/>
      <c r="C23" s="181"/>
      <c r="D23" s="407"/>
    </row>
    <row r="24" spans="1:59">
      <c r="A24" s="9"/>
      <c r="C24" s="181"/>
      <c r="D24" s="407"/>
    </row>
    <row r="25" spans="1:59">
      <c r="A25" s="9"/>
      <c r="C25" s="181"/>
      <c r="D25" s="407"/>
    </row>
    <row r="26" spans="1:59">
      <c r="A26" s="9"/>
      <c r="C26" s="181"/>
      <c r="D26" s="407"/>
    </row>
    <row r="27" spans="1:59">
      <c r="A27" s="9"/>
      <c r="C27" s="181"/>
      <c r="D27" s="407"/>
    </row>
    <row r="28" spans="1:59">
      <c r="A28" s="9"/>
      <c r="C28" s="181"/>
      <c r="D28" s="407"/>
    </row>
    <row r="29" spans="1:59" ht="14">
      <c r="A29" s="9"/>
      <c r="C29" s="73"/>
      <c r="D29" s="369"/>
    </row>
    <row r="30" spans="1:59">
      <c r="C30" s="181"/>
      <c r="D30" s="407"/>
    </row>
  </sheetData>
  <phoneticPr fontId="0" type="noConversion"/>
  <pageMargins left="0.75" right="0.7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D00B92E0E8DEF46B614A431C7CAEAB2" ma:contentTypeVersion="15" ma:contentTypeDescription="" ma:contentTypeScope="" ma:versionID="6dbb6b68b71a99f632c99a08d998a88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Pending</CaseStatus>
    <OpenedDate xmlns="dc463f71-b30c-4ab2-9473-d307f9d35888">2024-11-15T08:00:00+00:00</OpenedDate>
    <SignificantOrder xmlns="dc463f71-b30c-4ab2-9473-d307f9d35888">false</SignificantOrder>
    <Date1 xmlns="dc463f71-b30c-4ab2-9473-d307f9d35888">2024-11-15T08:00:00+00:00</Date1>
    <IsDocumentOrder xmlns="dc463f71-b30c-4ab2-9473-d307f9d35888">false</IsDocumentOrder>
    <IsHighlyConfidential xmlns="dc463f71-b30c-4ab2-9473-d307f9d35888">false</IsHighlyConfidential>
    <CaseCompanyNames xmlns="dc463f71-b30c-4ab2-9473-d307f9d35888">Waste Management of Washington, Inc.  </CaseCompanyNames>
    <Nickname xmlns="http://schemas.microsoft.com/sharepoint/v3" xsi:nil="true"/>
    <DocketNumber xmlns="dc463f71-b30c-4ab2-9473-d307f9d35888">240904</DocketNumber>
    <DelegatedOrder xmlns="dc463f71-b30c-4ab2-9473-d307f9d35888">false</DelegatedOrder>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6A90070B-B2EB-4BCF-9C8C-E90149F76599}"/>
</file>

<file path=customXml/itemProps2.xml><?xml version="1.0" encoding="utf-8"?>
<ds:datastoreItem xmlns:ds="http://schemas.openxmlformats.org/officeDocument/2006/customXml" ds:itemID="{EAFD99F7-EE5C-4B76-B160-BE8A8864929D}">
  <ds:schemaRefs>
    <ds:schemaRef ds:uri="http://schemas.microsoft.com/sharepoint/v3/contenttype/forms"/>
  </ds:schemaRefs>
</ds:datastoreItem>
</file>

<file path=customXml/itemProps3.xml><?xml version="1.0" encoding="utf-8"?>
<ds:datastoreItem xmlns:ds="http://schemas.openxmlformats.org/officeDocument/2006/customXml" ds:itemID="{E884EDD1-79CA-4E4D-AD1E-F015405478D2}"/>
</file>

<file path=customXml/itemProps4.xml><?xml version="1.0" encoding="utf-8"?>
<ds:datastoreItem xmlns:ds="http://schemas.openxmlformats.org/officeDocument/2006/customXml" ds:itemID="{CE8B1CB4-3DDD-4191-9FBF-56683E8E90F2}">
  <ds:schemaRefs>
    <ds:schemaRef ds:uri="http://purl.org/dc/dcmitype/"/>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5.xml><?xml version="1.0" encoding="utf-8"?>
<ds:datastoreItem xmlns:ds="http://schemas.openxmlformats.org/officeDocument/2006/customXml" ds:itemID="{C50088DE-79D3-495C-AC91-4F0C9E16397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Rebate (Charge) Analysis</vt:lpstr>
      <vt:lpstr>Rate Sheet Summary</vt:lpstr>
      <vt:lpstr>Rebate (charge) Calculation</vt:lpstr>
      <vt:lpstr>2023-2024 Recy. Tons &amp; Revenue</vt:lpstr>
      <vt:lpstr>KC Tonnage - Enspire</vt:lpstr>
      <vt:lpstr>SC Tonnage - Enspire</vt:lpstr>
      <vt:lpstr>Customer Counts - Enspire</vt:lpstr>
      <vt:lpstr>Prices - Recy. Acct. Analysis</vt:lpstr>
      <vt:lpstr>Composition-Rec. Acct. Analysis</vt:lpstr>
      <vt:lpstr>SC 2024-2025 Budget</vt:lpstr>
      <vt:lpstr>KC 2024-2025 Budget</vt:lpstr>
      <vt:lpstr>SC 2022-2023 Budget vs. Actual</vt:lpstr>
      <vt:lpstr>KC 2022-2023 Budget vs. Actual</vt:lpstr>
      <vt:lpstr>KC Incentive Analysis</vt:lpstr>
      <vt:lpstr>SC Incentive Analysis</vt:lpstr>
    </vt:vector>
  </TitlesOfParts>
  <Company>WMI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 Lewis</dc:creator>
  <cp:lastModifiedBy>Burmester, Evan</cp:lastModifiedBy>
  <cp:lastPrinted>2019-12-13T16:30:59Z</cp:lastPrinted>
  <dcterms:created xsi:type="dcterms:W3CDTF">2003-10-21T02:01:02Z</dcterms:created>
  <dcterms:modified xsi:type="dcterms:W3CDTF">2024-11-15T21:01:27Z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fidentiality">
    <vt:lpwstr>None</vt:lpwstr>
  </property>
  <property fmtid="{D5CDD505-2E9C-101B-9397-08002B2CF9AE}" pid="5" name="DocumentDescription">
    <vt:lpwstr>Accounting workpapers</vt:lpwstr>
  </property>
  <property fmtid="{D5CDD505-2E9C-101B-9397-08002B2CF9AE}" pid="6" name="EFilingId">
    <vt:lpwstr>15981.0000000000</vt:lpwstr>
  </property>
  <property fmtid="{D5CDD505-2E9C-101B-9397-08002B2CF9AE}" pid="7" name="ContentTypeId">
    <vt:lpwstr>0x0101006E56B4D1795A2E4DB2F0B01679ED314A009D00B92E0E8DEF46B614A431C7CAEAB2</vt:lpwstr>
  </property>
</Properties>
</file>