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14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29D Bill Discount Rate Rider\2024\Eff. Jan 01, 2025\Filed 11-15-24 (UG-)\"/>
    </mc:Choice>
  </mc:AlternateContent>
  <bookViews>
    <workbookView xWindow="0" yWindow="0" windowWidth="28800" windowHeight="11085" tabRatio="861"/>
  </bookViews>
  <sheets>
    <sheet name="Rates" sheetId="2" r:id="rId1"/>
    <sheet name="Rate Impacts--&gt;" sheetId="3" r:id="rId2"/>
    <sheet name="Sch. 129D" sheetId="25" r:id="rId3"/>
    <sheet name="Typical Res Bill Sch 129D" sheetId="24" r:id="rId4"/>
    <sheet name="Rate Impacts Sch 129D" sheetId="23" r:id="rId5"/>
    <sheet name="Work Papers--&gt;" sheetId="8" r:id="rId6"/>
    <sheet name="Sch 85 87 Rate Calc" sheetId="9" r:id="rId7"/>
    <sheet name="Margin Revenue" sheetId="10" r:id="rId8"/>
    <sheet name="Forecast Therms" sheetId="11" r:id="rId9"/>
    <sheet name="Revenue Requirement" sheetId="18" r:id="rId10"/>
    <sheet name="2022 GRC Rates--&gt;" sheetId="13" r:id="rId11"/>
    <sheet name="Exh JDT-5 (JDT-RES_RD)" sheetId="14" r:id="rId12"/>
    <sheet name="Exh JDT-5 (JDT-C&amp;I-RD)" sheetId="15" r:id="rId13"/>
    <sheet name="Exh JDT-5 (JDT-INTRPL-RD)" sheetId="16" r:id="rId14"/>
  </sheets>
  <definedNames>
    <definedName name="_xlnm.Print_Area" localSheetId="8">'Forecast Therms'!$A$1:$N$25</definedName>
    <definedName name="_xlnm.Print_Area" localSheetId="7">'Margin Revenue'!$A$1:$H$32</definedName>
    <definedName name="_xlnm.Print_Area" localSheetId="4">'Rate Impacts Sch 129D'!$A$1:$Y$39</definedName>
    <definedName name="_xlnm.Print_Area" localSheetId="0">Rates!$A$1:$J$50</definedName>
    <definedName name="_xlnm.Print_Area" localSheetId="6">'Sch 85 87 Rate Calc'!$A$1:$M$53</definedName>
    <definedName name="_xlnm.Print_Area" localSheetId="2">'Sch. 129D'!$A$1:$I$59</definedName>
    <definedName name="_xlnm.Print_Area" localSheetId="3">'Typical Res Bill Sch 129D'!$B$1:$H$44</definedName>
    <definedName name="_xlnm.Print_Titles" localSheetId="12">'Exh JDT-5 (JDT-C&amp;I-RD)'!$1:$8</definedName>
    <definedName name="_xlnm.Print_Titles" localSheetId="13">'Exh JDT-5 (JDT-INTRPL-RD)'!$1:$8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9" l="1"/>
  <c r="M49" i="9"/>
  <c r="K49" i="2"/>
  <c r="D13" i="18" l="1"/>
  <c r="F56" i="9"/>
  <c r="G45" i="9" l="1"/>
  <c r="G44" i="9"/>
  <c r="G43" i="9"/>
  <c r="G42" i="9"/>
  <c r="G41" i="9"/>
  <c r="G40" i="9"/>
  <c r="N23" i="23"/>
  <c r="N22" i="23"/>
  <c r="N21" i="23"/>
  <c r="N20" i="23"/>
  <c r="N19" i="23"/>
  <c r="N18" i="23"/>
  <c r="N17" i="23"/>
  <c r="N16" i="23"/>
  <c r="N15" i="23"/>
  <c r="N14" i="23"/>
  <c r="N13" i="23"/>
  <c r="N11" i="23"/>
  <c r="D21" i="24"/>
  <c r="D18" i="24"/>
  <c r="D12" i="24"/>
  <c r="D24" i="25"/>
  <c r="D23" i="25"/>
  <c r="G23" i="25" s="1"/>
  <c r="D15" i="25"/>
  <c r="D14" i="25"/>
  <c r="D12" i="25"/>
  <c r="D11" i="25"/>
  <c r="D9" i="25"/>
  <c r="G55" i="25"/>
  <c r="G53" i="25"/>
  <c r="G51" i="25"/>
  <c r="D57" i="25"/>
  <c r="G47" i="25"/>
  <c r="G46" i="25"/>
  <c r="G45" i="25"/>
  <c r="G44" i="25"/>
  <c r="G43" i="25"/>
  <c r="G38" i="25"/>
  <c r="G36" i="25"/>
  <c r="G32" i="25"/>
  <c r="G31" i="25"/>
  <c r="G30" i="25"/>
  <c r="G29" i="25"/>
  <c r="G28" i="25"/>
  <c r="G27" i="25"/>
  <c r="G24" i="25"/>
  <c r="G20" i="25"/>
  <c r="G18" i="25"/>
  <c r="G14" i="25"/>
  <c r="G11" i="25"/>
  <c r="G34" i="24"/>
  <c r="G33" i="24"/>
  <c r="G35" i="24" s="1"/>
  <c r="H35" i="24" s="1"/>
  <c r="G31" i="24"/>
  <c r="H31" i="24" s="1"/>
  <c r="E31" i="24"/>
  <c r="G28" i="24"/>
  <c r="G27" i="24"/>
  <c r="G26" i="24"/>
  <c r="G25" i="24"/>
  <c r="G24" i="24"/>
  <c r="G23" i="24"/>
  <c r="G22" i="24"/>
  <c r="G20" i="24"/>
  <c r="G19" i="24"/>
  <c r="G18" i="24"/>
  <c r="G15" i="24"/>
  <c r="H15" i="24" s="1"/>
  <c r="D13" i="24"/>
  <c r="W35" i="23"/>
  <c r="U35" i="23"/>
  <c r="R35" i="23"/>
  <c r="Q35" i="23"/>
  <c r="P35" i="23"/>
  <c r="O35" i="23"/>
  <c r="N35" i="23"/>
  <c r="M35" i="23"/>
  <c r="L35" i="23"/>
  <c r="K35" i="23"/>
  <c r="J35" i="23"/>
  <c r="I35" i="23"/>
  <c r="G35" i="23"/>
  <c r="U34" i="23"/>
  <c r="Q34" i="23"/>
  <c r="L34" i="23"/>
  <c r="K34" i="23"/>
  <c r="J34" i="23"/>
  <c r="I34" i="23"/>
  <c r="G34" i="23"/>
  <c r="E34" i="23"/>
  <c r="U33" i="23"/>
  <c r="T33" i="23"/>
  <c r="M33" i="23"/>
  <c r="I33" i="23"/>
  <c r="U32" i="23"/>
  <c r="T32" i="23"/>
  <c r="I32" i="23"/>
  <c r="E32" i="23"/>
  <c r="D32" i="23"/>
  <c r="U31" i="23"/>
  <c r="T31" i="23"/>
  <c r="R31" i="23"/>
  <c r="P31" i="23"/>
  <c r="N31" i="23"/>
  <c r="L31" i="23"/>
  <c r="J31" i="23"/>
  <c r="G31" i="23"/>
  <c r="S30" i="23"/>
  <c r="O30" i="23"/>
  <c r="G30" i="23"/>
  <c r="U29" i="23"/>
  <c r="R29" i="23"/>
  <c r="Q29" i="23"/>
  <c r="P29" i="23"/>
  <c r="L29" i="23"/>
  <c r="J29" i="23"/>
  <c r="T28" i="23"/>
  <c r="S28" i="23"/>
  <c r="L28" i="23"/>
  <c r="T35" i="23"/>
  <c r="S35" i="23"/>
  <c r="E35" i="23"/>
  <c r="D35" i="23"/>
  <c r="F35" i="23" s="1"/>
  <c r="T34" i="23"/>
  <c r="S34" i="23"/>
  <c r="R34" i="23"/>
  <c r="P34" i="23"/>
  <c r="O34" i="23"/>
  <c r="N34" i="23"/>
  <c r="M34" i="23"/>
  <c r="D33" i="23"/>
  <c r="F21" i="23"/>
  <c r="H21" i="23" s="1"/>
  <c r="V21" i="23" s="1"/>
  <c r="A21" i="23"/>
  <c r="A22" i="23" s="1"/>
  <c r="A23" i="23" s="1"/>
  <c r="A24" i="23" s="1"/>
  <c r="A25" i="23" s="1"/>
  <c r="A28" i="23" s="1"/>
  <c r="A29" i="23" s="1"/>
  <c r="A30" i="23" s="1"/>
  <c r="A31" i="23" s="1"/>
  <c r="A32" i="23" s="1"/>
  <c r="A33" i="23" s="1"/>
  <c r="A34" i="23" s="1"/>
  <c r="A35" i="23" s="1"/>
  <c r="A36" i="23" s="1"/>
  <c r="K30" i="23"/>
  <c r="F19" i="23"/>
  <c r="H19" i="23" s="1"/>
  <c r="N29" i="23"/>
  <c r="M29" i="23"/>
  <c r="F18" i="23"/>
  <c r="H18" i="23" s="1"/>
  <c r="V18" i="23" s="1"/>
  <c r="S33" i="23"/>
  <c r="R33" i="23"/>
  <c r="Q33" i="23"/>
  <c r="P33" i="23"/>
  <c r="L33" i="23"/>
  <c r="K33" i="23"/>
  <c r="J33" i="23"/>
  <c r="G33" i="23"/>
  <c r="F17" i="23"/>
  <c r="H17" i="23" s="1"/>
  <c r="T25" i="23"/>
  <c r="S32" i="23"/>
  <c r="Q32" i="23"/>
  <c r="P32" i="23"/>
  <c r="O32" i="23"/>
  <c r="N32" i="23"/>
  <c r="M32" i="23"/>
  <c r="L32" i="23"/>
  <c r="K32" i="23"/>
  <c r="J32" i="23"/>
  <c r="G32" i="23"/>
  <c r="Q31" i="23"/>
  <c r="O31" i="23"/>
  <c r="M31" i="23"/>
  <c r="K31" i="23"/>
  <c r="I31" i="23"/>
  <c r="F15" i="23"/>
  <c r="H15" i="23" s="1"/>
  <c r="E31" i="23"/>
  <c r="U30" i="23"/>
  <c r="T30" i="23"/>
  <c r="Q30" i="23"/>
  <c r="P30" i="23"/>
  <c r="M30" i="23"/>
  <c r="L30" i="23"/>
  <c r="J30" i="23"/>
  <c r="I30" i="23"/>
  <c r="D30" i="23"/>
  <c r="T29" i="23"/>
  <c r="S29" i="23"/>
  <c r="P25" i="23"/>
  <c r="O29" i="23"/>
  <c r="K29" i="23"/>
  <c r="I29" i="23"/>
  <c r="G29" i="23"/>
  <c r="D29" i="23"/>
  <c r="P28" i="23"/>
  <c r="L25" i="23"/>
  <c r="G28" i="23"/>
  <c r="F12" i="23"/>
  <c r="A12" i="23"/>
  <c r="A13" i="23" s="1"/>
  <c r="A14" i="23" s="1"/>
  <c r="A15" i="23" s="1"/>
  <c r="A16" i="23" s="1"/>
  <c r="A17" i="23" s="1"/>
  <c r="A18" i="23" s="1"/>
  <c r="A19" i="23" s="1"/>
  <c r="A20" i="23" s="1"/>
  <c r="R28" i="23"/>
  <c r="O28" i="23"/>
  <c r="N28" i="23"/>
  <c r="J28" i="23"/>
  <c r="E7" i="23"/>
  <c r="X6" i="23"/>
  <c r="N30" i="23" l="1"/>
  <c r="G9" i="25"/>
  <c r="G12" i="25"/>
  <c r="J12" i="25" s="1"/>
  <c r="G15" i="25"/>
  <c r="G19" i="25"/>
  <c r="D21" i="25"/>
  <c r="G52" i="25"/>
  <c r="G42" i="25"/>
  <c r="D48" i="25"/>
  <c r="D59" i="25" s="1"/>
  <c r="G37" i="25"/>
  <c r="D39" i="25"/>
  <c r="G33" i="25"/>
  <c r="D33" i="25"/>
  <c r="G54" i="25"/>
  <c r="G56" i="25"/>
  <c r="E12" i="24"/>
  <c r="E13" i="24" s="1"/>
  <c r="E15" i="24"/>
  <c r="G12" i="24"/>
  <c r="D29" i="24"/>
  <c r="D35" i="24"/>
  <c r="E35" i="24" s="1"/>
  <c r="I25" i="23"/>
  <c r="I28" i="23"/>
  <c r="I36" i="23" s="1"/>
  <c r="M25" i="23"/>
  <c r="M28" i="23"/>
  <c r="M36" i="23" s="1"/>
  <c r="Q25" i="23"/>
  <c r="Q28" i="23"/>
  <c r="Q36" i="23" s="1"/>
  <c r="U25" i="23"/>
  <c r="U28" i="23"/>
  <c r="U36" i="23" s="1"/>
  <c r="G36" i="23"/>
  <c r="N33" i="23"/>
  <c r="N36" i="23" s="1"/>
  <c r="N25" i="23"/>
  <c r="V19" i="23"/>
  <c r="K28" i="23"/>
  <c r="K36" i="23" s="1"/>
  <c r="F13" i="23"/>
  <c r="H13" i="23" s="1"/>
  <c r="E29" i="23"/>
  <c r="F29" i="23" s="1"/>
  <c r="R30" i="23"/>
  <c r="V15" i="23"/>
  <c r="S31" i="23"/>
  <c r="S36" i="23" s="1"/>
  <c r="S25" i="23"/>
  <c r="V17" i="23"/>
  <c r="H33" i="23"/>
  <c r="G25" i="23"/>
  <c r="H12" i="23"/>
  <c r="V12" i="23" s="1"/>
  <c r="P36" i="23"/>
  <c r="T36" i="23"/>
  <c r="E30" i="23"/>
  <c r="F30" i="23" s="1"/>
  <c r="F14" i="23"/>
  <c r="H14" i="23" s="1"/>
  <c r="D31" i="23"/>
  <c r="F31" i="23" s="1"/>
  <c r="F20" i="23"/>
  <c r="H20" i="23" s="1"/>
  <c r="V20" i="23" s="1"/>
  <c r="D34" i="23"/>
  <c r="F34" i="23" s="1"/>
  <c r="F23" i="23"/>
  <c r="H23" i="23" s="1"/>
  <c r="L36" i="23"/>
  <c r="E25" i="23"/>
  <c r="F25" i="23" s="1"/>
  <c r="J36" i="23"/>
  <c r="O33" i="23"/>
  <c r="O36" i="23" s="1"/>
  <c r="D25" i="23"/>
  <c r="J25" i="23"/>
  <c r="O25" i="23"/>
  <c r="F32" i="23"/>
  <c r="F11" i="23"/>
  <c r="H11" i="23" s="1"/>
  <c r="F22" i="23"/>
  <c r="H22" i="23" s="1"/>
  <c r="V22" i="23" s="1"/>
  <c r="F24" i="23"/>
  <c r="H24" i="23" s="1"/>
  <c r="K25" i="23"/>
  <c r="D28" i="23"/>
  <c r="D36" i="23" s="1"/>
  <c r="E33" i="23"/>
  <c r="F33" i="23" s="1"/>
  <c r="F16" i="23"/>
  <c r="H16" i="23" s="1"/>
  <c r="R32" i="23"/>
  <c r="R36" i="23" s="1"/>
  <c r="R25" i="23"/>
  <c r="E28" i="23"/>
  <c r="G21" i="25" l="1"/>
  <c r="G57" i="25"/>
  <c r="G48" i="25"/>
  <c r="G39" i="25"/>
  <c r="E29" i="24"/>
  <c r="E36" i="24" s="1"/>
  <c r="E38" i="24" s="1"/>
  <c r="D42" i="24"/>
  <c r="D36" i="24"/>
  <c r="H12" i="24"/>
  <c r="H13" i="24" s="1"/>
  <c r="G13" i="24"/>
  <c r="H30" i="23"/>
  <c r="V14" i="23"/>
  <c r="Y12" i="23"/>
  <c r="X12" i="23"/>
  <c r="H31" i="23"/>
  <c r="V13" i="23"/>
  <c r="H29" i="23"/>
  <c r="F28" i="23"/>
  <c r="E36" i="23"/>
  <c r="F36" i="23" s="1"/>
  <c r="V16" i="23"/>
  <c r="H32" i="23"/>
  <c r="H35" i="23"/>
  <c r="V24" i="23"/>
  <c r="H28" i="23"/>
  <c r="V11" i="23"/>
  <c r="H25" i="23"/>
  <c r="V33" i="23"/>
  <c r="V31" i="23"/>
  <c r="H34" i="23"/>
  <c r="V23" i="23"/>
  <c r="G59" i="25" l="1"/>
  <c r="V28" i="23"/>
  <c r="V25" i="23"/>
  <c r="V34" i="23"/>
  <c r="H36" i="23"/>
  <c r="X24" i="23"/>
  <c r="X35" i="23" s="1"/>
  <c r="Y24" i="23"/>
  <c r="V35" i="23"/>
  <c r="Y35" i="23" s="1"/>
  <c r="V32" i="23"/>
  <c r="V29" i="23"/>
  <c r="V30" i="23"/>
  <c r="V36" i="23" l="1"/>
  <c r="H50" i="2" l="1"/>
  <c r="C29" i="18"/>
  <c r="E28" i="18"/>
  <c r="E27" i="18"/>
  <c r="C30" i="18"/>
  <c r="E15" i="18"/>
  <c r="E11" i="18"/>
  <c r="E10" i="18"/>
  <c r="E9" i="18"/>
  <c r="D12" i="18"/>
  <c r="E8" i="18"/>
  <c r="D29" i="18" l="1"/>
  <c r="E29" i="18" s="1"/>
  <c r="D16" i="18"/>
  <c r="E12" i="18"/>
  <c r="E13" i="18"/>
  <c r="E30" i="18"/>
  <c r="D30" i="18"/>
  <c r="C13" i="18"/>
  <c r="C16" i="18" s="1"/>
  <c r="E16" i="18" s="1"/>
  <c r="D31" i="18" l="1"/>
  <c r="C31" i="18"/>
  <c r="E31" i="18"/>
  <c r="E26" i="10" l="1"/>
  <c r="D26" i="10"/>
  <c r="E25" i="10"/>
  <c r="D25" i="10"/>
  <c r="E21" i="10"/>
  <c r="D21" i="10"/>
  <c r="D20" i="10"/>
  <c r="E17" i="10"/>
  <c r="D17" i="10"/>
  <c r="E15" i="10"/>
  <c r="D15" i="10"/>
  <c r="E13" i="10"/>
  <c r="D13" i="10"/>
  <c r="E10" i="10"/>
  <c r="D10" i="10"/>
  <c r="K168" i="16" l="1"/>
  <c r="L168" i="16" s="1"/>
  <c r="D152" i="16"/>
  <c r="D151" i="16"/>
  <c r="D150" i="16"/>
  <c r="D149" i="16"/>
  <c r="D153" i="16" s="1"/>
  <c r="D163" i="16" s="1"/>
  <c r="D148" i="16"/>
  <c r="D147" i="16"/>
  <c r="F144" i="16"/>
  <c r="D142" i="16"/>
  <c r="D141" i="16"/>
  <c r="D134" i="16"/>
  <c r="H133" i="16"/>
  <c r="I133" i="16" s="1"/>
  <c r="F133" i="16"/>
  <c r="F132" i="16"/>
  <c r="F131" i="16"/>
  <c r="F150" i="16" s="1"/>
  <c r="F130" i="16"/>
  <c r="F129" i="16"/>
  <c r="F128" i="16"/>
  <c r="F147" i="16" s="1"/>
  <c r="L125" i="16"/>
  <c r="I125" i="16"/>
  <c r="I144" i="16" s="1"/>
  <c r="K144" i="16" s="1"/>
  <c r="L144" i="16" s="1"/>
  <c r="F124" i="16"/>
  <c r="F142" i="16" s="1"/>
  <c r="I123" i="16"/>
  <c r="F123" i="16"/>
  <c r="F141" i="16" s="1"/>
  <c r="D116" i="16"/>
  <c r="F115" i="16"/>
  <c r="F152" i="16" s="1"/>
  <c r="F114" i="16"/>
  <c r="F113" i="16"/>
  <c r="F112" i="16"/>
  <c r="F111" i="16"/>
  <c r="F148" i="16" s="1"/>
  <c r="O110" i="16"/>
  <c r="H115" i="16" s="1"/>
  <c r="I115" i="16" s="1"/>
  <c r="K115" i="16" s="1"/>
  <c r="L115" i="16" s="1"/>
  <c r="F110" i="16"/>
  <c r="K107" i="16"/>
  <c r="L107" i="16" s="1"/>
  <c r="I107" i="16"/>
  <c r="H106" i="16"/>
  <c r="D106" i="16"/>
  <c r="H105" i="16"/>
  <c r="I105" i="16" s="1"/>
  <c r="K105" i="16" s="1"/>
  <c r="L105" i="16" s="1"/>
  <c r="F105" i="16"/>
  <c r="I104" i="16"/>
  <c r="K104" i="16" s="1"/>
  <c r="L104" i="16" s="1"/>
  <c r="F104" i="16"/>
  <c r="D95" i="16"/>
  <c r="D94" i="16"/>
  <c r="I91" i="16"/>
  <c r="F91" i="16"/>
  <c r="D89" i="16"/>
  <c r="D88" i="16"/>
  <c r="F81" i="16"/>
  <c r="F83" i="16" s="1"/>
  <c r="D81" i="16"/>
  <c r="F80" i="16"/>
  <c r="F79" i="16"/>
  <c r="L76" i="16"/>
  <c r="K76" i="16"/>
  <c r="I76" i="16"/>
  <c r="I75" i="16"/>
  <c r="K75" i="16" s="1"/>
  <c r="L75" i="16" s="1"/>
  <c r="F75" i="16"/>
  <c r="H74" i="16"/>
  <c r="I74" i="16" s="1"/>
  <c r="F74" i="16"/>
  <c r="D67" i="16"/>
  <c r="F66" i="16"/>
  <c r="F95" i="16" s="1"/>
  <c r="F65" i="16"/>
  <c r="F94" i="16" s="1"/>
  <c r="I62" i="16"/>
  <c r="K62" i="16" s="1"/>
  <c r="L62" i="16" s="1"/>
  <c r="H61" i="16"/>
  <c r="I60" i="16"/>
  <c r="K60" i="16" s="1"/>
  <c r="L60" i="16" s="1"/>
  <c r="H60" i="16"/>
  <c r="H75" i="16" s="1"/>
  <c r="F60" i="16"/>
  <c r="F89" i="16" s="1"/>
  <c r="K59" i="16"/>
  <c r="H59" i="16"/>
  <c r="I59" i="16" s="1"/>
  <c r="F59" i="16"/>
  <c r="F88" i="16" s="1"/>
  <c r="D51" i="16"/>
  <c r="D50" i="16"/>
  <c r="D49" i="16"/>
  <c r="D52" i="16" s="1"/>
  <c r="D161" i="16" s="1"/>
  <c r="F46" i="16"/>
  <c r="D44" i="16"/>
  <c r="D43" i="16"/>
  <c r="D36" i="16"/>
  <c r="F35" i="16"/>
  <c r="F51" i="16" s="1"/>
  <c r="I34" i="16"/>
  <c r="K34" i="16" s="1"/>
  <c r="L34" i="16" s="1"/>
  <c r="H34" i="16"/>
  <c r="F34" i="16"/>
  <c r="F33" i="16"/>
  <c r="L30" i="16"/>
  <c r="K30" i="16"/>
  <c r="I30" i="16"/>
  <c r="F29" i="16"/>
  <c r="H28" i="16"/>
  <c r="I28" i="16" s="1"/>
  <c r="F28" i="16"/>
  <c r="F36" i="16" s="1"/>
  <c r="F38" i="16" s="1"/>
  <c r="D21" i="16"/>
  <c r="D14" i="16" s="1"/>
  <c r="H20" i="16"/>
  <c r="I20" i="16" s="1"/>
  <c r="F20" i="16"/>
  <c r="K19" i="16"/>
  <c r="L19" i="16" s="1"/>
  <c r="I19" i="16"/>
  <c r="H19" i="16"/>
  <c r="F19" i="16"/>
  <c r="F50" i="16" s="1"/>
  <c r="F18" i="16"/>
  <c r="F49" i="16" s="1"/>
  <c r="L15" i="16"/>
  <c r="K15" i="16"/>
  <c r="I15" i="16"/>
  <c r="I46" i="16" s="1"/>
  <c r="K46" i="16" s="1"/>
  <c r="L46" i="16" s="1"/>
  <c r="H14" i="16"/>
  <c r="I13" i="16"/>
  <c r="K13" i="16" s="1"/>
  <c r="L13" i="16" s="1"/>
  <c r="H13" i="16"/>
  <c r="H29" i="16" s="1"/>
  <c r="I29" i="16" s="1"/>
  <c r="K29" i="16" s="1"/>
  <c r="L29" i="16" s="1"/>
  <c r="F13" i="16"/>
  <c r="F44" i="16" s="1"/>
  <c r="I12" i="16"/>
  <c r="F12" i="16"/>
  <c r="D93" i="15"/>
  <c r="D81" i="15"/>
  <c r="D80" i="15"/>
  <c r="D82" i="15" s="1"/>
  <c r="D79" i="15"/>
  <c r="D76" i="15"/>
  <c r="D74" i="15"/>
  <c r="D75" i="15" s="1"/>
  <c r="D66" i="15"/>
  <c r="D94" i="15" s="1"/>
  <c r="F65" i="15"/>
  <c r="F81" i="15" s="1"/>
  <c r="H64" i="15"/>
  <c r="I64" i="15" s="1"/>
  <c r="I80" i="15" s="1"/>
  <c r="F64" i="15"/>
  <c r="F80" i="15" s="1"/>
  <c r="H60" i="15"/>
  <c r="I60" i="15" s="1"/>
  <c r="K60" i="15" s="1"/>
  <c r="F60" i="15"/>
  <c r="F76" i="15" s="1"/>
  <c r="F59" i="15"/>
  <c r="D59" i="15"/>
  <c r="I58" i="15"/>
  <c r="H58" i="15"/>
  <c r="F58" i="15"/>
  <c r="F74" i="15" s="1"/>
  <c r="F50" i="15"/>
  <c r="F83" i="15" s="1"/>
  <c r="D49" i="15"/>
  <c r="D50" i="15" s="1"/>
  <c r="H48" i="15"/>
  <c r="H65" i="15" s="1"/>
  <c r="I65" i="15" s="1"/>
  <c r="F48" i="15"/>
  <c r="I47" i="15"/>
  <c r="K47" i="15" s="1"/>
  <c r="L47" i="15" s="1"/>
  <c r="F47" i="15"/>
  <c r="H46" i="15"/>
  <c r="H42" i="15" s="1"/>
  <c r="H59" i="15" s="1"/>
  <c r="I59" i="15" s="1"/>
  <c r="I43" i="15"/>
  <c r="K43" i="15" s="1"/>
  <c r="L43" i="15" s="1"/>
  <c r="H43" i="15"/>
  <c r="F43" i="15"/>
  <c r="D42" i="15"/>
  <c r="I41" i="15"/>
  <c r="F41" i="15"/>
  <c r="K41" i="15" s="1"/>
  <c r="D32" i="15"/>
  <c r="D31" i="15"/>
  <c r="F23" i="15"/>
  <c r="I22" i="15"/>
  <c r="H22" i="15"/>
  <c r="F22" i="15"/>
  <c r="I14" i="15"/>
  <c r="D14" i="15"/>
  <c r="D33" i="15" s="1"/>
  <c r="F13" i="15"/>
  <c r="F32" i="15" s="1"/>
  <c r="I12" i="15"/>
  <c r="I31" i="15" s="1"/>
  <c r="F12" i="15"/>
  <c r="D37" i="14"/>
  <c r="I28" i="14"/>
  <c r="K28" i="14" s="1"/>
  <c r="H28" i="14"/>
  <c r="F28" i="14"/>
  <c r="F32" i="14" s="1"/>
  <c r="F21" i="14"/>
  <c r="I20" i="14"/>
  <c r="H20" i="14"/>
  <c r="F20" i="14"/>
  <c r="F22" i="14" s="1"/>
  <c r="F24" i="14" s="1"/>
  <c r="F13" i="14"/>
  <c r="K12" i="14"/>
  <c r="I12" i="14"/>
  <c r="F12" i="14"/>
  <c r="F14" i="14" s="1"/>
  <c r="F16" i="14" s="1"/>
  <c r="M23" i="11"/>
  <c r="J23" i="11"/>
  <c r="I23" i="11"/>
  <c r="F23" i="11"/>
  <c r="E23" i="11"/>
  <c r="B23" i="11"/>
  <c r="J7" i="11"/>
  <c r="K7" i="11" s="1"/>
  <c r="L7" i="11" s="1"/>
  <c r="M7" i="11" s="1"/>
  <c r="A4" i="11" s="1"/>
  <c r="C7" i="11"/>
  <c r="D7" i="11" s="1"/>
  <c r="E7" i="11" s="1"/>
  <c r="F7" i="11" s="1"/>
  <c r="G7" i="11" s="1"/>
  <c r="H7" i="11" s="1"/>
  <c r="I7" i="11" s="1"/>
  <c r="A2" i="11"/>
  <c r="F26" i="10"/>
  <c r="E22" i="10"/>
  <c r="D22" i="10"/>
  <c r="F21" i="10"/>
  <c r="F20" i="10"/>
  <c r="A17" i="10"/>
  <c r="A19" i="10" s="1"/>
  <c r="A20" i="10" s="1"/>
  <c r="A21" i="10" s="1"/>
  <c r="A22" i="10" s="1"/>
  <c r="A24" i="10" s="1"/>
  <c r="A25" i="10" s="1"/>
  <c r="A26" i="10" s="1"/>
  <c r="A27" i="10" s="1"/>
  <c r="A28" i="10" s="1"/>
  <c r="F15" i="10"/>
  <c r="A15" i="10"/>
  <c r="A13" i="10"/>
  <c r="A12" i="10"/>
  <c r="H6" i="10"/>
  <c r="F6" i="10"/>
  <c r="E6" i="10"/>
  <c r="A2" i="10"/>
  <c r="D46" i="9"/>
  <c r="G35" i="9"/>
  <c r="E45" i="9"/>
  <c r="E44" i="9"/>
  <c r="G33" i="9"/>
  <c r="E43" i="9"/>
  <c r="E42" i="9"/>
  <c r="E41" i="9"/>
  <c r="E40" i="9"/>
  <c r="D37" i="9"/>
  <c r="D36" i="9"/>
  <c r="E35" i="9"/>
  <c r="G31" i="9"/>
  <c r="A31" i="9"/>
  <c r="A32" i="9" s="1"/>
  <c r="A33" i="9" s="1"/>
  <c r="A34" i="9" s="1"/>
  <c r="A35" i="9" s="1"/>
  <c r="A36" i="9" s="1"/>
  <c r="A37" i="9" s="1"/>
  <c r="A39" i="9" s="1"/>
  <c r="A40" i="9" s="1"/>
  <c r="A41" i="9" s="1"/>
  <c r="A42" i="9" s="1"/>
  <c r="A43" i="9" s="1"/>
  <c r="A44" i="9" s="1"/>
  <c r="A45" i="9" s="1"/>
  <c r="A46" i="9" s="1"/>
  <c r="A30" i="9"/>
  <c r="A29" i="9"/>
  <c r="D27" i="9"/>
  <c r="G26" i="9"/>
  <c r="G22" i="9"/>
  <c r="D18" i="9"/>
  <c r="D17" i="9"/>
  <c r="G16" i="9"/>
  <c r="E16" i="9"/>
  <c r="E15" i="9"/>
  <c r="E14" i="9"/>
  <c r="E13" i="9"/>
  <c r="G12" i="9"/>
  <c r="E12" i="9"/>
  <c r="E11" i="9"/>
  <c r="A4" i="9"/>
  <c r="A2" i="9"/>
  <c r="A34" i="2"/>
  <c r="A35" i="2" s="1"/>
  <c r="A36" i="2" s="1"/>
  <c r="A37" i="2" s="1"/>
  <c r="A39" i="2" s="1"/>
  <c r="A40" i="2" s="1"/>
  <c r="A41" i="2" s="1"/>
  <c r="A42" i="2" s="1"/>
  <c r="A43" i="2" s="1"/>
  <c r="A44" i="2" s="1"/>
  <c r="A45" i="2" s="1"/>
  <c r="A46" i="2" s="1"/>
  <c r="A48" i="2" s="1"/>
  <c r="A50" i="2" s="1"/>
  <c r="A33" i="2"/>
  <c r="F6" i="2"/>
  <c r="N12" i="11" l="1"/>
  <c r="G15" i="10" s="1"/>
  <c r="E14" i="2" s="1"/>
  <c r="N13" i="11"/>
  <c r="G20" i="10" s="1"/>
  <c r="F18" i="9" s="1"/>
  <c r="F16" i="9" s="1"/>
  <c r="H16" i="9" s="1"/>
  <c r="N16" i="11"/>
  <c r="N17" i="11"/>
  <c r="N18" i="11"/>
  <c r="G25" i="10" s="1"/>
  <c r="N19" i="11"/>
  <c r="N20" i="11"/>
  <c r="N22" i="11"/>
  <c r="H15" i="10"/>
  <c r="F14" i="2" s="1"/>
  <c r="G23" i="11"/>
  <c r="K23" i="11"/>
  <c r="C23" i="11"/>
  <c r="D23" i="11"/>
  <c r="H23" i="11"/>
  <c r="L23" i="11"/>
  <c r="K59" i="15"/>
  <c r="K65" i="15"/>
  <c r="F31" i="15"/>
  <c r="F24" i="15"/>
  <c r="F26" i="15" s="1"/>
  <c r="L26" i="15" s="1"/>
  <c r="D95" i="15"/>
  <c r="F37" i="14"/>
  <c r="F39" i="14" s="1"/>
  <c r="I33" i="15"/>
  <c r="I42" i="15"/>
  <c r="F42" i="15"/>
  <c r="F75" i="15" s="1"/>
  <c r="F84" i="15" s="1"/>
  <c r="F86" i="15" s="1"/>
  <c r="D83" i="15"/>
  <c r="I50" i="15"/>
  <c r="L60" i="15"/>
  <c r="K76" i="15"/>
  <c r="L76" i="15" s="1"/>
  <c r="K64" i="15"/>
  <c r="F67" i="15"/>
  <c r="F69" i="15" s="1"/>
  <c r="F43" i="16"/>
  <c r="F52" i="16" s="1"/>
  <c r="F54" i="16" s="1"/>
  <c r="K12" i="16"/>
  <c r="H13" i="14"/>
  <c r="L28" i="14"/>
  <c r="K32" i="14"/>
  <c r="L32" i="14" s="1"/>
  <c r="H63" i="15"/>
  <c r="K20" i="16"/>
  <c r="L20" i="16" s="1"/>
  <c r="I51" i="16"/>
  <c r="K51" i="16" s="1"/>
  <c r="L51" i="16" s="1"/>
  <c r="L12" i="14"/>
  <c r="I32" i="14"/>
  <c r="L41" i="15"/>
  <c r="F51" i="15"/>
  <c r="K58" i="15"/>
  <c r="I76" i="15"/>
  <c r="I14" i="16"/>
  <c r="D45" i="16"/>
  <c r="F14" i="16"/>
  <c r="F45" i="16" s="1"/>
  <c r="I50" i="16"/>
  <c r="K50" i="16" s="1"/>
  <c r="L50" i="16" s="1"/>
  <c r="I89" i="16"/>
  <c r="K89" i="16" s="1"/>
  <c r="L89" i="16" s="1"/>
  <c r="K123" i="16"/>
  <c r="I141" i="16"/>
  <c r="I152" i="16"/>
  <c r="K152" i="16" s="1"/>
  <c r="L152" i="16" s="1"/>
  <c r="K133" i="16"/>
  <c r="L133" i="16" s="1"/>
  <c r="I67" i="15"/>
  <c r="I69" i="15" s="1"/>
  <c r="L59" i="16"/>
  <c r="K74" i="16"/>
  <c r="K91" i="16"/>
  <c r="L91" i="16" s="1"/>
  <c r="F134" i="16"/>
  <c r="F136" i="16" s="1"/>
  <c r="F149" i="16"/>
  <c r="F153" i="16" s="1"/>
  <c r="F155" i="16" s="1"/>
  <c r="F151" i="16"/>
  <c r="H13" i="15"/>
  <c r="I74" i="15"/>
  <c r="H35" i="16"/>
  <c r="I35" i="16" s="1"/>
  <c r="K35" i="16" s="1"/>
  <c r="L35" i="16" s="1"/>
  <c r="I43" i="16"/>
  <c r="I44" i="16"/>
  <c r="K44" i="16" s="1"/>
  <c r="L44" i="16" s="1"/>
  <c r="D61" i="16"/>
  <c r="I61" i="16"/>
  <c r="D96" i="16"/>
  <c r="D162" i="16" s="1"/>
  <c r="D164" i="16" s="1"/>
  <c r="F106" i="16"/>
  <c r="F143" i="16" s="1"/>
  <c r="I106" i="16"/>
  <c r="H124" i="16"/>
  <c r="I124" i="16" s="1"/>
  <c r="K20" i="14"/>
  <c r="K12" i="15"/>
  <c r="F14" i="15"/>
  <c r="K22" i="15"/>
  <c r="I48" i="15"/>
  <c r="K48" i="15" s="1"/>
  <c r="L48" i="15" s="1"/>
  <c r="K28" i="16"/>
  <c r="I88" i="16"/>
  <c r="F37" i="9"/>
  <c r="F35" i="9" s="1"/>
  <c r="H35" i="9" s="1"/>
  <c r="E25" i="9"/>
  <c r="E21" i="9"/>
  <c r="E26" i="9"/>
  <c r="E23" i="9"/>
  <c r="E22" i="9"/>
  <c r="D48" i="9"/>
  <c r="E24" i="9"/>
  <c r="G23" i="9"/>
  <c r="G13" i="9"/>
  <c r="G32" i="9"/>
  <c r="G25" i="9"/>
  <c r="G15" i="9"/>
  <c r="G34" i="9"/>
  <c r="G21" i="9"/>
  <c r="G30" i="9"/>
  <c r="G11" i="9"/>
  <c r="E18" i="9"/>
  <c r="F15" i="9"/>
  <c r="F13" i="10"/>
  <c r="D27" i="10"/>
  <c r="D28" i="10" s="1"/>
  <c r="F25" i="10"/>
  <c r="H25" i="10" s="1"/>
  <c r="N8" i="11"/>
  <c r="E34" i="9"/>
  <c r="E32" i="9"/>
  <c r="E31" i="9"/>
  <c r="E30" i="9"/>
  <c r="E33" i="9"/>
  <c r="E46" i="9"/>
  <c r="F10" i="10"/>
  <c r="N21" i="11"/>
  <c r="G14" i="9"/>
  <c r="G24" i="9"/>
  <c r="F17" i="10"/>
  <c r="E27" i="10"/>
  <c r="E28" i="10" s="1"/>
  <c r="N9" i="11"/>
  <c r="N10" i="11"/>
  <c r="N11" i="11"/>
  <c r="N14" i="11"/>
  <c r="N15" i="11"/>
  <c r="F11" i="9" l="1"/>
  <c r="F14" i="9"/>
  <c r="H20" i="10"/>
  <c r="F20" i="2" s="1"/>
  <c r="F12" i="9"/>
  <c r="H13" i="9"/>
  <c r="F13" i="9"/>
  <c r="F17" i="9" s="1"/>
  <c r="E19" i="2" s="1"/>
  <c r="F31" i="9"/>
  <c r="H31" i="9" s="1"/>
  <c r="F32" i="9"/>
  <c r="H32" i="9" s="1"/>
  <c r="F34" i="9"/>
  <c r="H34" i="9" s="1"/>
  <c r="F33" i="9"/>
  <c r="H33" i="9" s="1"/>
  <c r="L74" i="16"/>
  <c r="H21" i="14"/>
  <c r="I21" i="14" s="1"/>
  <c r="I13" i="14"/>
  <c r="F34" i="15"/>
  <c r="F36" i="15" s="1"/>
  <c r="L59" i="15"/>
  <c r="K88" i="16"/>
  <c r="F15" i="15"/>
  <c r="F33" i="15"/>
  <c r="K33" i="15" s="1"/>
  <c r="L33" i="15" s="1"/>
  <c r="I143" i="16"/>
  <c r="K143" i="16" s="1"/>
  <c r="L143" i="16" s="1"/>
  <c r="K106" i="16"/>
  <c r="L106" i="16" s="1"/>
  <c r="I90" i="16"/>
  <c r="K43" i="16"/>
  <c r="D167" i="16"/>
  <c r="D169" i="16" s="1"/>
  <c r="K141" i="16"/>
  <c r="I45" i="16"/>
  <c r="K45" i="16" s="1"/>
  <c r="L45" i="16" s="1"/>
  <c r="K14" i="16"/>
  <c r="L14" i="16" s="1"/>
  <c r="K42" i="15"/>
  <c r="I75" i="15"/>
  <c r="I84" i="15" s="1"/>
  <c r="I86" i="15" s="1"/>
  <c r="O43" i="15" s="1"/>
  <c r="L22" i="15"/>
  <c r="K124" i="16"/>
  <c r="L124" i="16" s="1"/>
  <c r="I142" i="16"/>
  <c r="K142" i="16" s="1"/>
  <c r="L142" i="16" s="1"/>
  <c r="L12" i="15"/>
  <c r="I13" i="15"/>
  <c r="H23" i="15"/>
  <c r="I23" i="15" s="1"/>
  <c r="H18" i="16"/>
  <c r="L123" i="16"/>
  <c r="I51" i="15"/>
  <c r="K50" i="15"/>
  <c r="L50" i="15" s="1"/>
  <c r="I83" i="15"/>
  <c r="K83" i="15" s="1"/>
  <c r="L83" i="15" s="1"/>
  <c r="K31" i="15"/>
  <c r="L65" i="15"/>
  <c r="K81" i="15"/>
  <c r="L81" i="15" s="1"/>
  <c r="F94" i="15"/>
  <c r="F53" i="15"/>
  <c r="L12" i="16"/>
  <c r="L28" i="16"/>
  <c r="D90" i="16"/>
  <c r="F61" i="16"/>
  <c r="L20" i="14"/>
  <c r="F116" i="16"/>
  <c r="K74" i="15"/>
  <c r="K67" i="15"/>
  <c r="L58" i="15"/>
  <c r="F21" i="16"/>
  <c r="K80" i="15"/>
  <c r="L80" i="15" s="1"/>
  <c r="L64" i="15"/>
  <c r="K14" i="15"/>
  <c r="L14" i="15" s="1"/>
  <c r="I81" i="15"/>
  <c r="N23" i="11"/>
  <c r="H11" i="9"/>
  <c r="E17" i="2"/>
  <c r="G13" i="10"/>
  <c r="E12" i="2" s="1"/>
  <c r="F37" i="2"/>
  <c r="G21" i="10"/>
  <c r="H12" i="9"/>
  <c r="E18" i="2"/>
  <c r="G26" i="10"/>
  <c r="H15" i="9"/>
  <c r="G17" i="10"/>
  <c r="E22" i="2" s="1"/>
  <c r="G10" i="10"/>
  <c r="H10" i="10"/>
  <c r="E37" i="9"/>
  <c r="F30" i="9"/>
  <c r="E27" i="9"/>
  <c r="F36" i="9" l="1"/>
  <c r="E35" i="2"/>
  <c r="H14" i="9"/>
  <c r="H18" i="9" s="1"/>
  <c r="L74" i="15"/>
  <c r="I32" i="15"/>
  <c r="K13" i="15"/>
  <c r="I15" i="15"/>
  <c r="L141" i="16"/>
  <c r="L43" i="16"/>
  <c r="K21" i="14"/>
  <c r="I22" i="14"/>
  <c r="I24" i="14" s="1"/>
  <c r="F161" i="16"/>
  <c r="F23" i="16"/>
  <c r="F90" i="16"/>
  <c r="F96" i="16" s="1"/>
  <c r="F98" i="16" s="1"/>
  <c r="F67" i="16"/>
  <c r="H33" i="16"/>
  <c r="I33" i="16" s="1"/>
  <c r="I18" i="16"/>
  <c r="L42" i="15"/>
  <c r="K51" i="15"/>
  <c r="O109" i="16"/>
  <c r="L88" i="16"/>
  <c r="F167" i="16"/>
  <c r="F169" i="16" s="1"/>
  <c r="F174" i="16" s="1"/>
  <c r="F163" i="16"/>
  <c r="F118" i="16"/>
  <c r="I94" i="15"/>
  <c r="K94" i="15" s="1"/>
  <c r="L94" i="15" s="1"/>
  <c r="I53" i="15"/>
  <c r="K90" i="16"/>
  <c r="L90" i="16" s="1"/>
  <c r="O65" i="16"/>
  <c r="L67" i="15"/>
  <c r="K69" i="15"/>
  <c r="L69" i="15" s="1"/>
  <c r="L31" i="15"/>
  <c r="K23" i="15"/>
  <c r="I24" i="15"/>
  <c r="I26" i="15" s="1"/>
  <c r="K61" i="16"/>
  <c r="F93" i="15"/>
  <c r="F95" i="15" s="1"/>
  <c r="F97" i="15" s="1"/>
  <c r="F17" i="15"/>
  <c r="K75" i="15"/>
  <c r="L75" i="15" s="1"/>
  <c r="K13" i="14"/>
  <c r="I14" i="14"/>
  <c r="H36" i="9"/>
  <c r="F10" i="2"/>
  <c r="E36" i="2"/>
  <c r="E20" i="2"/>
  <c r="H30" i="9"/>
  <c r="E34" i="2"/>
  <c r="F58" i="9"/>
  <c r="F46" i="9"/>
  <c r="H26" i="10"/>
  <c r="G27" i="10"/>
  <c r="H17" i="10"/>
  <c r="F22" i="2" s="1"/>
  <c r="H17" i="9"/>
  <c r="E10" i="2"/>
  <c r="F27" i="9"/>
  <c r="H21" i="10"/>
  <c r="G22" i="10"/>
  <c r="G28" i="10" s="1"/>
  <c r="G29" i="10" s="1"/>
  <c r="H13" i="10"/>
  <c r="F12" i="2" s="1"/>
  <c r="H114" i="16" l="1"/>
  <c r="H112" i="16"/>
  <c r="H111" i="16"/>
  <c r="H113" i="16"/>
  <c r="H110" i="16"/>
  <c r="K33" i="16"/>
  <c r="I36" i="16"/>
  <c r="I38" i="16" s="1"/>
  <c r="F164" i="16"/>
  <c r="F173" i="16" s="1"/>
  <c r="L13" i="15"/>
  <c r="K15" i="15"/>
  <c r="L23" i="15"/>
  <c r="K24" i="15"/>
  <c r="L24" i="15" s="1"/>
  <c r="L51" i="15"/>
  <c r="K53" i="15"/>
  <c r="L53" i="15" s="1"/>
  <c r="F162" i="16"/>
  <c r="F69" i="16"/>
  <c r="K32" i="15"/>
  <c r="I34" i="15"/>
  <c r="I36" i="15" s="1"/>
  <c r="O14" i="15" s="1"/>
  <c r="I37" i="14"/>
  <c r="I16" i="14"/>
  <c r="H65" i="16"/>
  <c r="H66" i="16"/>
  <c r="L21" i="14"/>
  <c r="K22" i="14"/>
  <c r="L13" i="14"/>
  <c r="K14" i="14"/>
  <c r="L61" i="16"/>
  <c r="I49" i="16"/>
  <c r="K18" i="16"/>
  <c r="I21" i="16"/>
  <c r="I93" i="15"/>
  <c r="I17" i="15"/>
  <c r="K84" i="15"/>
  <c r="F31" i="2"/>
  <c r="H22" i="10"/>
  <c r="H37" i="9"/>
  <c r="F48" i="9"/>
  <c r="F22" i="9"/>
  <c r="F26" i="9"/>
  <c r="F25" i="9"/>
  <c r="F23" i="9"/>
  <c r="F24" i="9"/>
  <c r="F21" i="9"/>
  <c r="F46" i="2"/>
  <c r="H27" i="10"/>
  <c r="E37" i="2"/>
  <c r="F44" i="9"/>
  <c r="F42" i="9"/>
  <c r="F40" i="9"/>
  <c r="F41" i="9"/>
  <c r="F43" i="9"/>
  <c r="F45" i="9"/>
  <c r="H28" i="10" l="1"/>
  <c r="K49" i="16"/>
  <c r="I52" i="16"/>
  <c r="I54" i="16" s="1"/>
  <c r="O14" i="16" s="1"/>
  <c r="K16" i="14"/>
  <c r="L16" i="14" s="1"/>
  <c r="L14" i="14"/>
  <c r="I113" i="16"/>
  <c r="K113" i="16" s="1"/>
  <c r="L113" i="16" s="1"/>
  <c r="H131" i="16"/>
  <c r="I131" i="16" s="1"/>
  <c r="K93" i="15"/>
  <c r="I95" i="15"/>
  <c r="N14" i="14"/>
  <c r="K37" i="14"/>
  <c r="L37" i="14" s="1"/>
  <c r="I111" i="16"/>
  <c r="K111" i="16" s="1"/>
  <c r="L111" i="16" s="1"/>
  <c r="H129" i="16"/>
  <c r="I129" i="16" s="1"/>
  <c r="L84" i="15"/>
  <c r="K86" i="15"/>
  <c r="L86" i="15" s="1"/>
  <c r="I161" i="16"/>
  <c r="I23" i="16"/>
  <c r="L22" i="14"/>
  <c r="K24" i="14"/>
  <c r="L24" i="14" s="1"/>
  <c r="H80" i="16"/>
  <c r="I80" i="16" s="1"/>
  <c r="K80" i="16" s="1"/>
  <c r="L80" i="16" s="1"/>
  <c r="I66" i="16"/>
  <c r="L15" i="15"/>
  <c r="K17" i="15"/>
  <c r="L17" i="15" s="1"/>
  <c r="L33" i="16"/>
  <c r="K36" i="16"/>
  <c r="H130" i="16"/>
  <c r="I130" i="16" s="1"/>
  <c r="I112" i="16"/>
  <c r="K112" i="16" s="1"/>
  <c r="L112" i="16" s="1"/>
  <c r="L18" i="16"/>
  <c r="K21" i="16"/>
  <c r="H79" i="16"/>
  <c r="I79" i="16" s="1"/>
  <c r="I65" i="16"/>
  <c r="L32" i="15"/>
  <c r="K34" i="15"/>
  <c r="I110" i="16"/>
  <c r="H128" i="16"/>
  <c r="I128" i="16" s="1"/>
  <c r="H132" i="16"/>
  <c r="I132" i="16" s="1"/>
  <c r="I114" i="16"/>
  <c r="K114" i="16" s="1"/>
  <c r="L114" i="16" s="1"/>
  <c r="H45" i="9"/>
  <c r="E45" i="2"/>
  <c r="H44" i="9"/>
  <c r="E44" i="2"/>
  <c r="H24" i="9"/>
  <c r="E28" i="2"/>
  <c r="H22" i="9"/>
  <c r="E26" i="2"/>
  <c r="H41" i="9"/>
  <c r="E41" i="2"/>
  <c r="F59" i="9"/>
  <c r="H23" i="9"/>
  <c r="E27" i="2"/>
  <c r="F48" i="2"/>
  <c r="G46" i="2" s="1"/>
  <c r="H46" i="2" s="1"/>
  <c r="I46" i="9" s="1"/>
  <c r="H42" i="9"/>
  <c r="E42" i="2"/>
  <c r="H21" i="9"/>
  <c r="E25" i="2"/>
  <c r="H26" i="9"/>
  <c r="E30" i="2"/>
  <c r="H43" i="9"/>
  <c r="E43" i="2"/>
  <c r="H40" i="9"/>
  <c r="E40" i="2"/>
  <c r="H25" i="9"/>
  <c r="E29" i="2"/>
  <c r="F57" i="9"/>
  <c r="E46" i="2" l="1"/>
  <c r="G31" i="2"/>
  <c r="H31" i="2" s="1"/>
  <c r="I27" i="9" s="1"/>
  <c r="I147" i="16"/>
  <c r="K128" i="16"/>
  <c r="I134" i="16"/>
  <c r="I136" i="16" s="1"/>
  <c r="I94" i="16"/>
  <c r="K65" i="16"/>
  <c r="I67" i="16"/>
  <c r="I150" i="16"/>
  <c r="K150" i="16" s="1"/>
  <c r="L150" i="16" s="1"/>
  <c r="K131" i="16"/>
  <c r="L131" i="16" s="1"/>
  <c r="I151" i="16"/>
  <c r="K151" i="16" s="1"/>
  <c r="L151" i="16" s="1"/>
  <c r="K132" i="16"/>
  <c r="L132" i="16" s="1"/>
  <c r="K161" i="16"/>
  <c r="K95" i="15"/>
  <c r="L95" i="15" s="1"/>
  <c r="L93" i="15"/>
  <c r="K79" i="16"/>
  <c r="I81" i="16"/>
  <c r="I83" i="16" s="1"/>
  <c r="I149" i="16"/>
  <c r="K149" i="16" s="1"/>
  <c r="L149" i="16" s="1"/>
  <c r="K130" i="16"/>
  <c r="L130" i="16" s="1"/>
  <c r="K110" i="16"/>
  <c r="L110" i="16" s="1"/>
  <c r="I116" i="16"/>
  <c r="L34" i="15"/>
  <c r="K36" i="15"/>
  <c r="L36" i="15" s="1"/>
  <c r="K23" i="16"/>
  <c r="L23" i="16" s="1"/>
  <c r="L21" i="16"/>
  <c r="K38" i="16"/>
  <c r="L38" i="16" s="1"/>
  <c r="L36" i="16"/>
  <c r="I95" i="16"/>
  <c r="K95" i="16" s="1"/>
  <c r="L95" i="16" s="1"/>
  <c r="K66" i="16"/>
  <c r="L66" i="16" s="1"/>
  <c r="I148" i="16"/>
  <c r="K148" i="16" s="1"/>
  <c r="L148" i="16" s="1"/>
  <c r="K129" i="16"/>
  <c r="L129" i="16" s="1"/>
  <c r="L49" i="16"/>
  <c r="K52" i="16"/>
  <c r="E31" i="2"/>
  <c r="E48" i="2" s="1"/>
  <c r="H46" i="9"/>
  <c r="H27" i="9"/>
  <c r="G20" i="2"/>
  <c r="H20" i="2" s="1"/>
  <c r="I18" i="9" s="1"/>
  <c r="G14" i="2"/>
  <c r="H14" i="2" s="1"/>
  <c r="I14" i="2" s="1"/>
  <c r="G37" i="2"/>
  <c r="H37" i="2" s="1"/>
  <c r="I37" i="9" s="1"/>
  <c r="G12" i="2"/>
  <c r="H12" i="2" s="1"/>
  <c r="I12" i="2" s="1"/>
  <c r="G22" i="2"/>
  <c r="H22" i="2" s="1"/>
  <c r="I22" i="2" s="1"/>
  <c r="G10" i="2"/>
  <c r="F12" i="25" l="1"/>
  <c r="H12" i="25" s="1"/>
  <c r="I12" i="25" s="1"/>
  <c r="W18" i="23" s="1"/>
  <c r="X18" i="23" s="1"/>
  <c r="F11" i="25"/>
  <c r="H11" i="25" s="1"/>
  <c r="I11" i="25" s="1"/>
  <c r="F24" i="25"/>
  <c r="H24" i="25" s="1"/>
  <c r="I24" i="25" s="1"/>
  <c r="F23" i="25"/>
  <c r="H23" i="25" s="1"/>
  <c r="I23" i="25" s="1"/>
  <c r="F14" i="25"/>
  <c r="H14" i="25" s="1"/>
  <c r="I14" i="25" s="1"/>
  <c r="F15" i="25"/>
  <c r="H15" i="25" s="1"/>
  <c r="I15" i="25" s="1"/>
  <c r="I48" i="9"/>
  <c r="K94" i="16"/>
  <c r="I96" i="16"/>
  <c r="I98" i="16" s="1"/>
  <c r="L161" i="16"/>
  <c r="I162" i="16"/>
  <c r="I69" i="16"/>
  <c r="L128" i="16"/>
  <c r="K134" i="16"/>
  <c r="K116" i="16"/>
  <c r="I163" i="16"/>
  <c r="K163" i="16" s="1"/>
  <c r="L163" i="16" s="1"/>
  <c r="I118" i="16"/>
  <c r="L79" i="16"/>
  <c r="K81" i="16"/>
  <c r="K54" i="16"/>
  <c r="L54" i="16" s="1"/>
  <c r="L52" i="16"/>
  <c r="L65" i="16"/>
  <c r="K67" i="16"/>
  <c r="K147" i="16"/>
  <c r="I153" i="16"/>
  <c r="I155" i="16" s="1"/>
  <c r="O106" i="16" s="1"/>
  <c r="J22" i="2"/>
  <c r="G48" i="2"/>
  <c r="H10" i="2"/>
  <c r="J14" i="2"/>
  <c r="J12" i="2"/>
  <c r="H48" i="9"/>
  <c r="J11" i="25" l="1"/>
  <c r="W13" i="23"/>
  <c r="J15" i="25"/>
  <c r="W19" i="23"/>
  <c r="J14" i="25"/>
  <c r="W14" i="23"/>
  <c r="W16" i="23"/>
  <c r="J23" i="25"/>
  <c r="W21" i="23"/>
  <c r="J24" i="25"/>
  <c r="J33" i="9"/>
  <c r="K136" i="16"/>
  <c r="L136" i="16" s="1"/>
  <c r="L134" i="16"/>
  <c r="L147" i="16"/>
  <c r="K153" i="16"/>
  <c r="O61" i="16"/>
  <c r="I167" i="16"/>
  <c r="K69" i="16"/>
  <c r="L69" i="16" s="1"/>
  <c r="L67" i="16"/>
  <c r="K83" i="16"/>
  <c r="L83" i="16" s="1"/>
  <c r="L81" i="16"/>
  <c r="K118" i="16"/>
  <c r="L118" i="16" s="1"/>
  <c r="L116" i="16"/>
  <c r="K162" i="16"/>
  <c r="I164" i="16"/>
  <c r="L94" i="16"/>
  <c r="K96" i="16"/>
  <c r="I10" i="2"/>
  <c r="F9" i="25" s="1"/>
  <c r="H48" i="2"/>
  <c r="W32" i="23" l="1"/>
  <c r="Y32" i="23" s="1"/>
  <c r="Y16" i="23"/>
  <c r="X16" i="23"/>
  <c r="W30" i="23"/>
  <c r="Y30" i="23" s="1"/>
  <c r="X14" i="23"/>
  <c r="Y14" i="23"/>
  <c r="X21" i="23"/>
  <c r="Y21" i="23"/>
  <c r="G21" i="24"/>
  <c r="G29" i="24" s="1"/>
  <c r="H9" i="25"/>
  <c r="I9" i="25" s="1"/>
  <c r="J35" i="9"/>
  <c r="X19" i="23"/>
  <c r="Y19" i="23"/>
  <c r="W29" i="23"/>
  <c r="Y29" i="23" s="1"/>
  <c r="X13" i="23"/>
  <c r="X29" i="23" s="1"/>
  <c r="Y18" i="23"/>
  <c r="Y13" i="23"/>
  <c r="J21" i="9"/>
  <c r="J42" i="9"/>
  <c r="K42" i="9" s="1"/>
  <c r="I42" i="2" s="1"/>
  <c r="J15" i="9"/>
  <c r="J22" i="9"/>
  <c r="J32" i="9"/>
  <c r="J23" i="9"/>
  <c r="J30" i="9"/>
  <c r="J16" i="9"/>
  <c r="J45" i="9"/>
  <c r="K45" i="9" s="1"/>
  <c r="I45" i="2" s="1"/>
  <c r="J40" i="9"/>
  <c r="K40" i="9" s="1"/>
  <c r="J34" i="9"/>
  <c r="J13" i="9"/>
  <c r="J44" i="9"/>
  <c r="K44" i="9" s="1"/>
  <c r="K25" i="9" s="1"/>
  <c r="J41" i="9"/>
  <c r="K41" i="9" s="1"/>
  <c r="L41" i="9" s="1"/>
  <c r="J25" i="9"/>
  <c r="J11" i="9"/>
  <c r="J14" i="9"/>
  <c r="J24" i="9"/>
  <c r="J26" i="9"/>
  <c r="J43" i="9"/>
  <c r="K43" i="9" s="1"/>
  <c r="L43" i="9" s="1"/>
  <c r="J12" i="9"/>
  <c r="J31" i="9"/>
  <c r="K98" i="16"/>
  <c r="L98" i="16" s="1"/>
  <c r="L96" i="16"/>
  <c r="L153" i="16"/>
  <c r="K155" i="16"/>
  <c r="L155" i="16" s="1"/>
  <c r="K167" i="16"/>
  <c r="I169" i="16"/>
  <c r="I174" i="16" s="1"/>
  <c r="L162" i="16"/>
  <c r="K164" i="16"/>
  <c r="L164" i="16" s="1"/>
  <c r="K23" i="9"/>
  <c r="J10" i="2"/>
  <c r="W11" i="23" l="1"/>
  <c r="J9" i="25"/>
  <c r="G42" i="24"/>
  <c r="H29" i="24"/>
  <c r="H36" i="24" s="1"/>
  <c r="H38" i="24" s="1"/>
  <c r="H39" i="24" s="1"/>
  <c r="H40" i="24" s="1"/>
  <c r="G36" i="24"/>
  <c r="X30" i="23"/>
  <c r="X32" i="23"/>
  <c r="L42" i="9"/>
  <c r="F56" i="25"/>
  <c r="H56" i="25" s="1"/>
  <c r="I56" i="25" s="1"/>
  <c r="J56" i="25" s="1"/>
  <c r="F47" i="25"/>
  <c r="H47" i="25" s="1"/>
  <c r="I47" i="25" s="1"/>
  <c r="J47" i="25" s="1"/>
  <c r="F53" i="25"/>
  <c r="H53" i="25" s="1"/>
  <c r="I53" i="25" s="1"/>
  <c r="J53" i="25" s="1"/>
  <c r="F44" i="25"/>
  <c r="H44" i="25" s="1"/>
  <c r="I44" i="25" s="1"/>
  <c r="J44" i="25" s="1"/>
  <c r="L44" i="9"/>
  <c r="J36" i="9"/>
  <c r="J18" i="9"/>
  <c r="J17" i="9"/>
  <c r="L45" i="9"/>
  <c r="I41" i="2"/>
  <c r="K31" i="9"/>
  <c r="K12" i="9" s="1"/>
  <c r="I44" i="2"/>
  <c r="K26" i="9"/>
  <c r="I30" i="2" s="1"/>
  <c r="F32" i="25" s="1"/>
  <c r="H32" i="25" s="1"/>
  <c r="I32" i="25" s="1"/>
  <c r="J32" i="25" s="1"/>
  <c r="J37" i="9"/>
  <c r="K22" i="9"/>
  <c r="L22" i="9" s="1"/>
  <c r="J27" i="9"/>
  <c r="I43" i="2"/>
  <c r="K24" i="9"/>
  <c r="I28" i="2" s="1"/>
  <c r="F30" i="25" s="1"/>
  <c r="H30" i="25" s="1"/>
  <c r="I30" i="25" s="1"/>
  <c r="J30" i="25" s="1"/>
  <c r="J46" i="9"/>
  <c r="K169" i="16"/>
  <c r="L167" i="16"/>
  <c r="K30" i="9"/>
  <c r="K21" i="9"/>
  <c r="I40" i="2"/>
  <c r="L40" i="9"/>
  <c r="L26" i="9"/>
  <c r="I27" i="2"/>
  <c r="F29" i="25" s="1"/>
  <c r="H29" i="25" s="1"/>
  <c r="I29" i="25" s="1"/>
  <c r="J29" i="25" s="1"/>
  <c r="L23" i="9"/>
  <c r="I29" i="2"/>
  <c r="F31" i="25" s="1"/>
  <c r="H31" i="25" s="1"/>
  <c r="I31" i="25" s="1"/>
  <c r="J31" i="25" s="1"/>
  <c r="L25" i="9"/>
  <c r="K36" i="9" l="1"/>
  <c r="I36" i="2" s="1"/>
  <c r="F38" i="25" s="1"/>
  <c r="H38" i="25" s="1"/>
  <c r="I38" i="25" s="1"/>
  <c r="J38" i="25" s="1"/>
  <c r="W28" i="23"/>
  <c r="Y28" i="23" s="1"/>
  <c r="X11" i="23"/>
  <c r="X28" i="23" s="1"/>
  <c r="Y11" i="23"/>
  <c r="I26" i="2"/>
  <c r="F28" i="25" s="1"/>
  <c r="H28" i="25" s="1"/>
  <c r="I28" i="25" s="1"/>
  <c r="J28" i="25" s="1"/>
  <c r="F55" i="25"/>
  <c r="H55" i="25" s="1"/>
  <c r="I55" i="25" s="1"/>
  <c r="J55" i="25" s="1"/>
  <c r="F46" i="25"/>
  <c r="H46" i="25" s="1"/>
  <c r="I46" i="25" s="1"/>
  <c r="J46" i="25" s="1"/>
  <c r="L31" i="9"/>
  <c r="F52" i="25"/>
  <c r="H52" i="25" s="1"/>
  <c r="I52" i="25" s="1"/>
  <c r="F43" i="25"/>
  <c r="H43" i="25" s="1"/>
  <c r="I43" i="25" s="1"/>
  <c r="J43" i="25" s="1"/>
  <c r="F51" i="25"/>
  <c r="H51" i="25" s="1"/>
  <c r="F42" i="25"/>
  <c r="H42" i="25" s="1"/>
  <c r="F45" i="25"/>
  <c r="H45" i="25" s="1"/>
  <c r="I45" i="25" s="1"/>
  <c r="J45" i="25" s="1"/>
  <c r="F54" i="25"/>
  <c r="H54" i="25" s="1"/>
  <c r="I54" i="25" s="1"/>
  <c r="J54" i="25" s="1"/>
  <c r="L46" i="9"/>
  <c r="M46" i="9" s="1"/>
  <c r="I35" i="2"/>
  <c r="F37" i="25" s="1"/>
  <c r="H37" i="25" s="1"/>
  <c r="J48" i="9"/>
  <c r="L24" i="9"/>
  <c r="K17" i="9"/>
  <c r="L17" i="9" s="1"/>
  <c r="L36" i="9"/>
  <c r="K174" i="16"/>
  <c r="L169" i="16"/>
  <c r="I25" i="2"/>
  <c r="F27" i="25" s="1"/>
  <c r="H27" i="25" s="1"/>
  <c r="L21" i="9"/>
  <c r="L27" i="9" s="1"/>
  <c r="K11" i="9"/>
  <c r="I34" i="2"/>
  <c r="F36" i="25" s="1"/>
  <c r="H36" i="25" s="1"/>
  <c r="I36" i="25" s="1"/>
  <c r="J36" i="25" s="1"/>
  <c r="L30" i="9"/>
  <c r="I18" i="2"/>
  <c r="F19" i="25" s="1"/>
  <c r="H19" i="25" s="1"/>
  <c r="I19" i="25" s="1"/>
  <c r="J19" i="25" s="1"/>
  <c r="L12" i="9"/>
  <c r="I19" i="2" l="1"/>
  <c r="F20" i="25" s="1"/>
  <c r="H20" i="25" s="1"/>
  <c r="I20" i="25" s="1"/>
  <c r="J20" i="25" s="1"/>
  <c r="J52" i="25"/>
  <c r="I51" i="25"/>
  <c r="J51" i="25" s="1"/>
  <c r="H57" i="25"/>
  <c r="H39" i="25"/>
  <c r="I37" i="25"/>
  <c r="I42" i="25"/>
  <c r="H48" i="25"/>
  <c r="J46" i="2"/>
  <c r="I27" i="25"/>
  <c r="H33" i="25"/>
  <c r="L37" i="9"/>
  <c r="M37" i="9" s="1"/>
  <c r="I17" i="2"/>
  <c r="F18" i="25" s="1"/>
  <c r="H18" i="25" s="1"/>
  <c r="L11" i="9"/>
  <c r="L18" i="9" s="1"/>
  <c r="M27" i="9"/>
  <c r="J31" i="2"/>
  <c r="I48" i="25" l="1"/>
  <c r="J42" i="25"/>
  <c r="I33" i="25"/>
  <c r="J27" i="25"/>
  <c r="I39" i="25"/>
  <c r="J37" i="25"/>
  <c r="I18" i="25"/>
  <c r="H21" i="25"/>
  <c r="H59" i="25" s="1"/>
  <c r="I57" i="25"/>
  <c r="J37" i="2"/>
  <c r="M18" i="9"/>
  <c r="L48" i="9"/>
  <c r="M48" i="9" s="1"/>
  <c r="J20" i="2"/>
  <c r="J18" i="25" l="1"/>
  <c r="I21" i="25"/>
  <c r="W17" i="23"/>
  <c r="J33" i="25"/>
  <c r="W23" i="23"/>
  <c r="J57" i="25"/>
  <c r="W20" i="23"/>
  <c r="J39" i="25"/>
  <c r="W22" i="23"/>
  <c r="J48" i="25"/>
  <c r="J48" i="2"/>
  <c r="I48" i="2" s="1"/>
  <c r="K48" i="2" l="1"/>
  <c r="X20" i="23"/>
  <c r="Y20" i="23"/>
  <c r="W15" i="23"/>
  <c r="I59" i="25"/>
  <c r="J59" i="25" s="1"/>
  <c r="J21" i="25"/>
  <c r="W33" i="23"/>
  <c r="Y33" i="23" s="1"/>
  <c r="X17" i="23"/>
  <c r="Y17" i="23"/>
  <c r="X22" i="23"/>
  <c r="Y22" i="23"/>
  <c r="W34" i="23"/>
  <c r="Y34" i="23" s="1"/>
  <c r="Y23" i="23"/>
  <c r="X23" i="23"/>
  <c r="X34" i="23" s="1"/>
  <c r="X33" i="23" l="1"/>
  <c r="W31" i="23"/>
  <c r="W25" i="23"/>
  <c r="Y25" i="23" s="1"/>
  <c r="X15" i="23"/>
  <c r="Y15" i="23"/>
  <c r="X31" i="23" l="1"/>
  <c r="X36" i="23" s="1"/>
  <c r="X25" i="23"/>
  <c r="W36" i="23"/>
  <c r="Y36" i="23" s="1"/>
  <c r="Y31" i="23"/>
</calcChain>
</file>

<file path=xl/sharedStrings.xml><?xml version="1.0" encoding="utf-8"?>
<sst xmlns="http://schemas.openxmlformats.org/spreadsheetml/2006/main" count="853" uniqueCount="314">
  <si>
    <t>Puget Sound Energy</t>
  </si>
  <si>
    <t>2024 Gas Schedule 129D Bill Discount Rate Filing</t>
  </si>
  <si>
    <t>Calculation of Schedule 129D Rates</t>
  </si>
  <si>
    <t>Proposed Effective January 1, 2025</t>
  </si>
  <si>
    <t>Forecasted</t>
  </si>
  <si>
    <t>Proposed</t>
  </si>
  <si>
    <t>Line</t>
  </si>
  <si>
    <t>Rate</t>
  </si>
  <si>
    <t>Therms</t>
  </si>
  <si>
    <t>Margin at</t>
  </si>
  <si>
    <t>Margin</t>
  </si>
  <si>
    <t>Revenue</t>
  </si>
  <si>
    <t>Sch. 129D</t>
  </si>
  <si>
    <t>Estimated</t>
  </si>
  <si>
    <t>No.</t>
  </si>
  <si>
    <t>Customer Class</t>
  </si>
  <si>
    <t>Schedule</t>
  </si>
  <si>
    <t>1/1/25 - 12/31/25</t>
  </si>
  <si>
    <t>Current Rates</t>
  </si>
  <si>
    <t>Spread</t>
  </si>
  <si>
    <t>Requirement</t>
  </si>
  <si>
    <t>Rates</t>
  </si>
  <si>
    <t>(a)</t>
  </si>
  <si>
    <t>(b)</t>
  </si>
  <si>
    <t>(c)</t>
  </si>
  <si>
    <t>(d)</t>
  </si>
  <si>
    <t>(e)</t>
  </si>
  <si>
    <t>(f)</t>
  </si>
  <si>
    <t>(g)</t>
  </si>
  <si>
    <t>(h)</t>
  </si>
  <si>
    <t>Residential</t>
  </si>
  <si>
    <t>23/53</t>
  </si>
  <si>
    <t>Commercial &amp; industrial</t>
  </si>
  <si>
    <t>31/31T</t>
  </si>
  <si>
    <t>Large volume</t>
  </si>
  <si>
    <t>41/41T</t>
  </si>
  <si>
    <t>Interruptible</t>
  </si>
  <si>
    <t>First 25,000 therms</t>
  </si>
  <si>
    <t>Next 25,000 therms</t>
  </si>
  <si>
    <t>Over 50,000 therms</t>
  </si>
  <si>
    <t>Total</t>
  </si>
  <si>
    <t>86/86T</t>
  </si>
  <si>
    <t>Next 50,000 therms</t>
  </si>
  <si>
    <t>Next 100,000 therms</t>
  </si>
  <si>
    <t>Next 300,000 therms</t>
  </si>
  <si>
    <t>Over 500,000 therms</t>
  </si>
  <si>
    <t>Transportation</t>
  </si>
  <si>
    <t>85T</t>
  </si>
  <si>
    <t>87T/88T</t>
  </si>
  <si>
    <t>2024 Gas Schedule 129D Bill Discount Rate Rider</t>
  </si>
  <si>
    <t>Rate Change Impacts by Rate Schedule</t>
  </si>
  <si>
    <t>Proposed Rates Effective January 1, 2025</t>
  </si>
  <si>
    <t>12ME Dec. 2025</t>
  </si>
  <si>
    <t>UG-220067</t>
  </si>
  <si>
    <t>Base Sch.</t>
  </si>
  <si>
    <t>Total Forecasted</t>
  </si>
  <si>
    <t>Volume</t>
  </si>
  <si>
    <t>Base Schedule</t>
  </si>
  <si>
    <t>Jan. 2025 -</t>
  </si>
  <si>
    <t>Sch. 101</t>
  </si>
  <si>
    <t>Sch. 106</t>
  </si>
  <si>
    <t>Sch. 111</t>
  </si>
  <si>
    <t>Sch. 120</t>
  </si>
  <si>
    <t>Sch. 129</t>
  </si>
  <si>
    <t>Sch. 140</t>
  </si>
  <si>
    <t>Sch. 141D</t>
  </si>
  <si>
    <t>Sch. 141LNG</t>
  </si>
  <si>
    <t>Sch. 141N</t>
  </si>
  <si>
    <t>Sch. 141PFG</t>
  </si>
  <si>
    <t>Sch. 141R</t>
  </si>
  <si>
    <t>Sch. 142</t>
  </si>
  <si>
    <t xml:space="preserve">Revenue at </t>
  </si>
  <si>
    <t>Percent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</si>
  <si>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</si>
  <si>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</si>
  <si>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</si>
  <si>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</si>
  <si>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Dec. 2025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</si>
  <si>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</si>
  <si>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</si>
  <si>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Proposed Rates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</si>
  <si>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</si>
  <si>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</si>
  <si>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</si>
  <si>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</si>
  <si>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</si>
  <si>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</si>
  <si>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</si>
  <si>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</si>
  <si>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</si>
  <si>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</si>
  <si>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</si>
  <si>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</si>
  <si>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</si>
  <si>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</si>
  <si>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</si>
  <si>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</si>
  <si>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</si>
  <si>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</si>
  <si>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</si>
  <si>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</si>
  <si>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U=sum(G:T)</t>
  </si>
  <si>
    <t>V</t>
  </si>
  <si>
    <t>W=U+V</t>
  </si>
  <si>
    <t>X=V/U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</si>
  <si>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</si>
  <si>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</si>
  <si>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</si>
  <si>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</si>
  <si>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</si>
  <si>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</si>
  <si>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</si>
  <si>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</si>
  <si>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</si>
  <si>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</si>
  <si>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</si>
  <si>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</si>
  <si>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</si>
  <si>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</si>
  <si>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87T</t>
  </si>
  <si>
    <t>Exclusive Interruptible Transportation</t>
  </si>
  <si>
    <t>88T</t>
  </si>
  <si>
    <t>Contracts</t>
  </si>
  <si>
    <t>By Customer Class:</t>
  </si>
  <si>
    <t>16,23,53</t>
  </si>
  <si>
    <t>31,31T</t>
  </si>
  <si>
    <t>41,41T</t>
  </si>
  <si>
    <t>85,85T</t>
  </si>
  <si>
    <t>Limited interruptible</t>
  </si>
  <si>
    <t>86,86T</t>
  </si>
  <si>
    <t>Non-exclusive interruptible</t>
  </si>
  <si>
    <t>87,87T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</si>
  <si>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</si>
  <si>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</si>
  <si>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check</t>
  </si>
  <si>
    <t>Typical Residential Bill Impacts</t>
  </si>
  <si>
    <t>Schedule 129D Bill Discount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</si>
  <si>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</si>
  <si>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</si>
  <si>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</si>
  <si>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</si>
  <si>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</si>
  <si>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</si>
  <si>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</si>
  <si>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</si>
  <si>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</si>
  <si>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charge (Sch. 23)</t>
  </si>
  <si>
    <t>Conservation charge (Sch. 120)</t>
  </si>
  <si>
    <t>Low Income charge (Sch. 129)</t>
  </si>
  <si>
    <t>Low Income Discount charge (Sch. 129D)</t>
  </si>
  <si>
    <t>Property Tax charge (Sch. 140)</t>
  </si>
  <si>
    <t>Dist. Pipeline Provisional (Sch. 141D)</t>
  </si>
  <si>
    <t>LNG charge (Sch. 141LNG)</t>
  </si>
  <si>
    <t>Rates Not Subject to Refund (Sch. 141N)</t>
  </si>
  <si>
    <t>Participatory Funding (Sch. 141PFG)</t>
  </si>
  <si>
    <t>Rates Subject to Refund (Sch. 141R)</t>
  </si>
  <si>
    <t>Decoupling charge (Sch. 142)</t>
  </si>
  <si>
    <t>Cap &amp; Invest charge (Sch. 111)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</si>
  <si>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</si>
  <si>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</si>
  <si>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</si>
  <si>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</si>
  <si>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</si>
  <si>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</si>
  <si>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</si>
  <si>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Volume (Therms)</t>
  </si>
  <si>
    <t>Gas Schedule 129D</t>
  </si>
  <si>
    <t>Sched 129D</t>
  </si>
  <si>
    <t>Current</t>
  </si>
  <si>
    <t xml:space="preserve">Rate </t>
  </si>
  <si>
    <t>Allocated</t>
  </si>
  <si>
    <r>
      <t>Volume</t>
    </r>
    <r>
      <rPr>
        <vertAlign val="superscript"/>
        <sz val="10"/>
        <rFont val="Arial"/>
        <family val="2"/>
      </rPr>
      <t xml:space="preserve"> (1)</t>
    </r>
  </si>
  <si>
    <t>Revenue at</t>
  </si>
  <si>
    <t>Rate per</t>
  </si>
  <si>
    <t>Rate Schedule</t>
  </si>
  <si>
    <t>(Therms)</t>
  </si>
  <si>
    <t>% to Total</t>
  </si>
  <si>
    <r>
      <t xml:space="preserve">Base Rates </t>
    </r>
    <r>
      <rPr>
        <vertAlign val="superscript"/>
        <sz val="10"/>
        <rFont val="Arial"/>
        <family val="2"/>
      </rPr>
      <t>(2)</t>
    </r>
  </si>
  <si>
    <t>Base Rates</t>
  </si>
  <si>
    <t>Therm</t>
  </si>
  <si>
    <t>(i)</t>
  </si>
  <si>
    <t>(j)</t>
  </si>
  <si>
    <t>Interruptible Schedule 85</t>
  </si>
  <si>
    <t>Subtotal over 50,000 therms</t>
  </si>
  <si>
    <t>Interruptible Schedule 87</t>
  </si>
  <si>
    <t>Transportation Schedule 85T</t>
  </si>
  <si>
    <t>Transportation Schedule 87T/88T</t>
  </si>
  <si>
    <t>Percent of revenue at Schedule 87T base rates</t>
  </si>
  <si>
    <t>(1)</t>
  </si>
  <si>
    <t>Calendar volume for year ending December 31, 2023 from Customer Information System (CIS).</t>
  </si>
  <si>
    <t>(2)</t>
  </si>
  <si>
    <t>Current Schedule 87T Base Rates effective January 7, 2023</t>
  </si>
  <si>
    <t>Check</t>
  </si>
  <si>
    <t>Forecasted Margin Revenue at Current Rates</t>
  </si>
  <si>
    <t>Base</t>
  </si>
  <si>
    <t>Average Base</t>
  </si>
  <si>
    <r>
      <t xml:space="preserve">(Therms) </t>
    </r>
    <r>
      <rPr>
        <vertAlign val="superscript"/>
        <sz val="10"/>
        <rFont val="Arial"/>
        <family val="2"/>
      </rPr>
      <t>(1)</t>
    </r>
  </si>
  <si>
    <r>
      <t>Revenue</t>
    </r>
    <r>
      <rPr>
        <vertAlign val="superscript"/>
        <sz val="10"/>
        <rFont val="Arial"/>
        <family val="2"/>
      </rPr>
      <t xml:space="preserve"> (2)</t>
    </r>
  </si>
  <si>
    <t>General service</t>
  </si>
  <si>
    <t>Non exclusive interruptible</t>
  </si>
  <si>
    <t xml:space="preserve">   Subtotal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</si>
  <si>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</si>
  <si>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</si>
  <si>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Forecasted Therm Volumes</t>
  </si>
  <si>
    <t xml:space="preserve">Source: F2024 Load Forecast Calendar Month Therms (5-30-2024)  </t>
  </si>
  <si>
    <t>Electric</t>
  </si>
  <si>
    <t>Gas</t>
  </si>
  <si>
    <t>2022 Gas General Rate Case Filing</t>
  </si>
  <si>
    <t>Gas Rate Spread &amp; Design Work Paper</t>
  </si>
  <si>
    <t>Current and Proposed Rates by Rate Schedule (Schedules 16, 23 &amp; 53)</t>
  </si>
  <si>
    <t>Rate Spread and Schedule 141R and 141N Allocation</t>
  </si>
  <si>
    <t xml:space="preserve">Billing </t>
  </si>
  <si>
    <t>Current Base Rates</t>
  </si>
  <si>
    <t>Proposed Base Rates</t>
  </si>
  <si>
    <t xml:space="preserve">Difference </t>
  </si>
  <si>
    <t>Target</t>
  </si>
  <si>
    <t>Description</t>
  </si>
  <si>
    <t>Units</t>
  </si>
  <si>
    <t>Determinants</t>
  </si>
  <si>
    <t>Revenues</t>
  </si>
  <si>
    <t>$</t>
  </si>
  <si>
    <t>%</t>
  </si>
  <si>
    <t>Increase</t>
  </si>
  <si>
    <t>Schedule 23</t>
  </si>
  <si>
    <t>TARGET</t>
  </si>
  <si>
    <t>Basic Charge</t>
  </si>
  <si>
    <t>Bills</t>
  </si>
  <si>
    <t>Delivery Charge</t>
  </si>
  <si>
    <t>over (under)</t>
  </si>
  <si>
    <t>Total Base Revenues</t>
  </si>
  <si>
    <t>Schedule 53</t>
  </si>
  <si>
    <t>Total Delivery Charges</t>
  </si>
  <si>
    <t>Schedule 16</t>
  </si>
  <si>
    <t>Total Delivery Charge</t>
  </si>
  <si>
    <t>Mantles</t>
  </si>
  <si>
    <t>Calculated Total Therms</t>
  </si>
  <si>
    <t>Residential Summary</t>
  </si>
  <si>
    <t>Total Residential Base Revenues</t>
  </si>
  <si>
    <t>Backup</t>
  </si>
  <si>
    <t>Delta</t>
  </si>
  <si>
    <t>Current and Proposed Rates by Rate Schedule (Schedules 31, 31T, 41 &amp; 41T)</t>
  </si>
  <si>
    <t>Schedule 31 - Sales</t>
  </si>
  <si>
    <t>TARGET 31/31T</t>
  </si>
  <si>
    <t>Procurement Charge</t>
  </si>
  <si>
    <t>Schedule 31 - Transportation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</si>
  <si>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</si>
  <si>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</si>
  <si>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</si>
  <si>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</si>
  <si>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</si>
  <si>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</si>
  <si>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</si>
  <si>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</si>
  <si>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</si>
  <si>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</si>
  <si>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</si>
  <si>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</si>
  <si>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41 - Transportation</t>
  </si>
  <si>
    <t>Schedule 41 - Total</t>
  </si>
  <si>
    <t>Commercial &amp; Industrial Summary</t>
  </si>
  <si>
    <t>Schedules 31, 31T</t>
  </si>
  <si>
    <t>Schedule 41, 41T</t>
  </si>
  <si>
    <t>Current and Proposed Rates by Rate Schedule (Schedules 85, 85T, 86, 86T, 87 &amp; 87T)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</si>
  <si>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</si>
  <si>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</si>
  <si>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</si>
  <si>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</si>
  <si>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</si>
  <si>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</si>
  <si>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</si>
  <si>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</si>
  <si>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</si>
  <si>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</si>
  <si>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</si>
  <si>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</si>
  <si>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</si>
  <si>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</si>
  <si>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</si>
  <si>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</si>
  <si>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</si>
  <si>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 xml:space="preserve"> 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</si>
  <si>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</si>
  <si>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</si>
  <si>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</si>
  <si>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</si>
  <si>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</si>
  <si>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</si>
  <si>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</si>
  <si>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</si>
  <si>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</si>
  <si>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</si>
  <si>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(1) Schedule 101 rates in effective November 1, 2018</t>
  </si>
  <si>
    <t>Proposed Bill Discount Rate Rider Schedule 129D</t>
  </si>
  <si>
    <t xml:space="preserve">2025 PROGRAM YEAR (Jan 1 - Dec 31,2025 ) REVENUE REQUIREMENT </t>
  </si>
  <si>
    <t>Combined</t>
  </si>
  <si>
    <t>Total Estimated Bill Discounts</t>
  </si>
  <si>
    <t>Administrative Costs</t>
  </si>
  <si>
    <t xml:space="preserve">True-up (Over)/Under Collection </t>
  </si>
  <si>
    <t>Portion Cover by Prior year Unspent HELP funds</t>
  </si>
  <si>
    <t>Total Schedule 129D Revenue Requirement</t>
  </si>
  <si>
    <t>Prior Year Schedule 129D Revenue Requirement</t>
  </si>
  <si>
    <t xml:space="preserve">Change in Revenue Requirement </t>
  </si>
  <si>
    <t>Breakdown of Change in Revenue Requirement</t>
  </si>
  <si>
    <t>Difference in forecasted versus actual discounts</t>
  </si>
  <si>
    <t>Reduction of Unspent HELP Funding to $0</t>
  </si>
  <si>
    <t>Total Change in Revenue Requirement</t>
  </si>
  <si>
    <t>Rate Stabilization</t>
  </si>
  <si>
    <t>Increase (Decrease) in Estimated Discounts  for next year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</si>
  <si>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2024.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</si>
  <si>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2024.</t>
    </r>
  </si>
  <si>
    <t>Bill Discount</t>
  </si>
  <si>
    <t>Total revenue requirement for low income bill discount rates</t>
  </si>
  <si>
    <t>Bill Discount Rate Rider</t>
  </si>
  <si>
    <t>Calculation of Bill Discount Rates by Block for Schedules 85, 85T, 87, 87T and 88T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</si>
</sst>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_(* #,##0.00000_);_(* \(#,##0.00000\);_(* &quot;-&quot;??_);_(@_)"/>
    <numFmt numFmtId="169" formatCode="_(&quot;$&quot;* #,##0.00000_);_(&quot;$&quot;* \(#,##0.00000\);_(&quot;$&quot;* &quot;-&quot;?????_);_(@_)"/>
    <numFmt numFmtId="170" formatCode="_(&quot;$&quot;* #,##0.00_);_(&quot;$&quot;* \(#,##0.00\);_(&quot;$&quot;* &quot;-&quot;_);_(@_)"/>
    <numFmt numFmtId="171" formatCode="_(&quot;$&quot;* #,##0.0000_);_(&quot;$&quot;* \(#,##0.0000\);_(&quot;$&quot;* &quot;-&quot;??_);_(@_)"/>
    <numFmt numFmtId="172" formatCode="0.0000%"/>
    <numFmt numFmtId="173" formatCode="&quot;$&quot;#,##0\ ;\(&quot;$&quot;#,##0\)"/>
    <numFmt numFmtId="174" formatCode="&quot;$&quot;#,##0.00\ ;\(&quot;$&quot;#,##0.00\)"/>
    <numFmt numFmtId="175" formatCode="0.000%"/>
    <numFmt numFmtId="176" formatCode="&quot;$&quot;#,##0.00000\ ;\(&quot;$&quot;#,##0.00000\)"/>
    <numFmt numFmtId="177" formatCode="&quot;$&quot;#,##0.00000000_);\(&quot;$&quot;#,##0.00000000\)"/>
    <numFmt numFmtId="178" formatCode="&quot;$&quot;#,##0.0000\ ;\(&quot;$&quot;#,##0.0000\)"/>
    <numFmt numFmtId="179" formatCode="#,##0.0"/>
    <numFmt numFmtId="180" formatCode="&quot;$&quot;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sz val="10"/>
      <color rgb="FF009999"/>
      <name val="Arial"/>
      <family val="2"/>
    </font>
    <font>
      <sz val="10"/>
      <color indexed="12"/>
      <name val="Arial"/>
      <family val="2"/>
    </font>
    <font>
      <sz val="10"/>
      <color rgb="FF006666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i/>
      <sz val="10"/>
      <color rgb="FF0000FF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1">
    <xf numFmtId="0" fontId="0" fillId="0" borderId="0" xfId="0"/>
    <xf numFmtId="0" fontId="4" fillId="0" borderId="0" xfId="0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8" fillId="0" borderId="0" xfId="0" applyNumberFormat="1" applyFont="1" applyFill="1"/>
    <xf numFmtId="164" fontId="8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168" fontId="5" fillId="0" borderId="0" xfId="0" applyNumberFormat="1" applyFont="1" applyFill="1"/>
    <xf numFmtId="166" fontId="5" fillId="0" borderId="0" xfId="0" applyNumberFormat="1" applyFont="1" applyFill="1"/>
    <xf numFmtId="10" fontId="5" fillId="0" borderId="0" xfId="0" applyNumberFormat="1" applyFont="1" applyFill="1"/>
    <xf numFmtId="3" fontId="9" fillId="0" borderId="0" xfId="0" applyNumberFormat="1" applyFont="1" applyFill="1"/>
    <xf numFmtId="164" fontId="10" fillId="0" borderId="0" xfId="0" applyNumberFormat="1" applyFont="1" applyFill="1"/>
    <xf numFmtId="164" fontId="5" fillId="0" borderId="0" xfId="0" applyNumberFormat="1" applyFont="1" applyFill="1"/>
    <xf numFmtId="164" fontId="4" fillId="0" borderId="0" xfId="0" applyNumberFormat="1" applyFont="1" applyFill="1" applyBorder="1"/>
    <xf numFmtId="169" fontId="5" fillId="0" borderId="0" xfId="0" applyNumberFormat="1" applyFont="1" applyFill="1"/>
    <xf numFmtId="3" fontId="5" fillId="0" borderId="0" xfId="0" applyNumberFormat="1" applyFont="1" applyFill="1"/>
    <xf numFmtId="166" fontId="8" fillId="0" borderId="0" xfId="0" applyNumberFormat="1" applyFont="1" applyFill="1" applyBorder="1"/>
    <xf numFmtId="3" fontId="8" fillId="0" borderId="1" xfId="0" applyNumberFormat="1" applyFont="1" applyFill="1" applyBorder="1"/>
    <xf numFmtId="3" fontId="11" fillId="0" borderId="0" xfId="0" applyNumberFormat="1" applyFont="1" applyFill="1"/>
    <xf numFmtId="168" fontId="4" fillId="0" borderId="0" xfId="0" applyNumberFormat="1" applyFont="1" applyFill="1"/>
    <xf numFmtId="166" fontId="8" fillId="0" borderId="0" xfId="0" applyNumberFormat="1" applyFont="1" applyFill="1"/>
    <xf numFmtId="3" fontId="5" fillId="0" borderId="1" xfId="0" applyNumberFormat="1" applyFont="1" applyFill="1" applyBorder="1"/>
    <xf numFmtId="0" fontId="5" fillId="0" borderId="1" xfId="0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6" fontId="4" fillId="0" borderId="1" xfId="0" applyNumberFormat="1" applyFont="1" applyFill="1" applyBorder="1"/>
    <xf numFmtId="166" fontId="5" fillId="0" borderId="0" xfId="0" applyNumberFormat="1" applyFont="1" applyFill="1" applyBorder="1"/>
    <xf numFmtId="3" fontId="5" fillId="0" borderId="2" xfId="0" applyNumberFormat="1" applyFont="1" applyFill="1" applyBorder="1"/>
    <xf numFmtId="42" fontId="5" fillId="0" borderId="2" xfId="0" applyNumberFormat="1" applyFont="1" applyFill="1" applyBorder="1"/>
    <xf numFmtId="164" fontId="12" fillId="0" borderId="3" xfId="0" applyNumberFormat="1" applyFont="1" applyFill="1" applyBorder="1"/>
    <xf numFmtId="0" fontId="5" fillId="0" borderId="0" xfId="0" applyFont="1" applyFill="1" applyBorder="1"/>
    <xf numFmtId="42" fontId="5" fillId="0" borderId="0" xfId="0" applyNumberFormat="1" applyFont="1" applyFill="1" applyBorder="1"/>
    <xf numFmtId="10" fontId="12" fillId="0" borderId="4" xfId="0" applyNumberFormat="1" applyFont="1" applyFill="1" applyBorder="1"/>
    <xf numFmtId="8" fontId="5" fillId="0" borderId="0" xfId="0" applyNumberFormat="1" applyFont="1" applyFill="1"/>
    <xf numFmtId="164" fontId="5" fillId="0" borderId="0" xfId="0" applyNumberFormat="1" applyFont="1" applyFill="1" applyBorder="1"/>
    <xf numFmtId="0" fontId="5" fillId="0" borderId="0" xfId="0" quotePrefix="1" applyFont="1" applyAlignment="1">
      <alignment vertical="top"/>
    </xf>
    <xf numFmtId="0" fontId="12" fillId="0" borderId="0" xfId="0" applyFont="1"/>
    <xf numFmtId="41" fontId="5" fillId="0" borderId="0" xfId="0" quotePrefix="1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3" fontId="17" fillId="0" borderId="0" xfId="0" applyNumberFormat="1" applyFont="1"/>
    <xf numFmtId="42" fontId="17" fillId="0" borderId="0" xfId="0" applyNumberFormat="1" applyFont="1"/>
    <xf numFmtId="166" fontId="0" fillId="0" borderId="0" xfId="0" applyNumberFormat="1"/>
    <xf numFmtId="42" fontId="0" fillId="0" borderId="0" xfId="0" applyNumberFormat="1"/>
    <xf numFmtId="42" fontId="13" fillId="0" borderId="0" xfId="0" applyNumberFormat="1" applyFont="1"/>
    <xf numFmtId="42" fontId="0" fillId="0" borderId="0" xfId="0" applyNumberFormat="1" applyFont="1"/>
    <xf numFmtId="10" fontId="0" fillId="0" borderId="0" xfId="0" applyNumberFormat="1" applyFont="1"/>
    <xf numFmtId="42" fontId="14" fillId="0" borderId="0" xfId="0" applyNumberFormat="1" applyFont="1"/>
    <xf numFmtId="166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13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3" fontId="20" fillId="0" borderId="0" xfId="0" applyNumberFormat="1" applyFont="1" applyBorder="1"/>
    <xf numFmtId="42" fontId="20" fillId="0" borderId="0" xfId="0" applyNumberFormat="1" applyFont="1" applyBorder="1"/>
    <xf numFmtId="0" fontId="20" fillId="0" borderId="0" xfId="0" applyFont="1"/>
    <xf numFmtId="42" fontId="20" fillId="0" borderId="0" xfId="0" applyNumberFormat="1" applyFont="1"/>
    <xf numFmtId="10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7" fontId="20" fillId="0" borderId="0" xfId="0" applyNumberFormat="1" applyFont="1" applyFill="1"/>
    <xf numFmtId="164" fontId="20" fillId="0" borderId="0" xfId="0" applyNumberFormat="1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167" fontId="20" fillId="0" borderId="2" xfId="0" applyNumberFormat="1" applyFont="1" applyFill="1" applyBorder="1"/>
    <xf numFmtId="164" fontId="20" fillId="0" borderId="2" xfId="0" applyNumberFormat="1" applyFont="1" applyFill="1" applyBorder="1"/>
    <xf numFmtId="166" fontId="0" fillId="0" borderId="2" xfId="0" applyNumberFormat="1" applyBorder="1"/>
    <xf numFmtId="0" fontId="20" fillId="0" borderId="0" xfId="0" applyFont="1" applyFill="1"/>
    <xf numFmtId="0" fontId="20" fillId="0" borderId="0" xfId="0" applyFont="1" applyBorder="1"/>
    <xf numFmtId="44" fontId="20" fillId="0" borderId="0" xfId="0" applyNumberFormat="1" applyFont="1"/>
    <xf numFmtId="0" fontId="2" fillId="0" borderId="0" xfId="0" applyFont="1"/>
    <xf numFmtId="0" fontId="13" fillId="0" borderId="0" xfId="0" applyFont="1" applyFill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2" fillId="0" borderId="0" xfId="0" applyFont="1"/>
    <xf numFmtId="170" fontId="13" fillId="0" borderId="0" xfId="0" applyNumberFormat="1" applyFont="1"/>
    <xf numFmtId="0" fontId="22" fillId="0" borderId="0" xfId="0" applyFont="1" applyBorder="1"/>
    <xf numFmtId="44" fontId="17" fillId="0" borderId="0" xfId="0" applyNumberFormat="1" applyFont="1" applyFill="1"/>
    <xf numFmtId="44" fontId="22" fillId="0" borderId="0" xfId="0" applyNumberFormat="1" applyFont="1" applyBorder="1"/>
    <xf numFmtId="44" fontId="13" fillId="0" borderId="0" xfId="0" applyNumberFormat="1" applyFont="1"/>
    <xf numFmtId="44" fontId="13" fillId="0" borderId="2" xfId="0" applyNumberFormat="1" applyFont="1" applyFill="1" applyBorder="1"/>
    <xf numFmtId="44" fontId="13" fillId="0" borderId="2" xfId="0" applyNumberFormat="1" applyFont="1" applyBorder="1"/>
    <xf numFmtId="44" fontId="13" fillId="0" borderId="0" xfId="0" applyNumberFormat="1" applyFont="1" applyFill="1" applyBorder="1"/>
    <xf numFmtId="44" fontId="13" fillId="0" borderId="0" xfId="0" applyNumberFormat="1" applyFont="1" applyBorder="1"/>
    <xf numFmtId="44" fontId="0" fillId="0" borderId="0" xfId="0" applyNumberFormat="1" applyFont="1"/>
    <xf numFmtId="44" fontId="22" fillId="0" borderId="0" xfId="0" applyNumberFormat="1" applyFont="1" applyFill="1"/>
    <xf numFmtId="0" fontId="13" fillId="0" borderId="0" xfId="0" applyFont="1" applyFill="1"/>
    <xf numFmtId="169" fontId="17" fillId="0" borderId="0" xfId="0" applyNumberFormat="1" applyFont="1" applyFill="1"/>
    <xf numFmtId="169" fontId="22" fillId="0" borderId="0" xfId="0" applyNumberFormat="1" applyFont="1" applyBorder="1"/>
    <xf numFmtId="169" fontId="13" fillId="0" borderId="0" xfId="0" applyNumberFormat="1" applyFont="1"/>
    <xf numFmtId="169" fontId="0" fillId="0" borderId="0" xfId="0" applyNumberFormat="1" applyFont="1" applyFill="1"/>
    <xf numFmtId="169" fontId="0" fillId="0" borderId="0" xfId="0" applyNumberFormat="1" applyFont="1"/>
    <xf numFmtId="169" fontId="17" fillId="0" borderId="0" xfId="0" applyNumberFormat="1" applyFont="1"/>
    <xf numFmtId="169" fontId="13" fillId="0" borderId="2" xfId="0" applyNumberFormat="1" applyFont="1" applyFill="1" applyBorder="1"/>
    <xf numFmtId="169" fontId="13" fillId="0" borderId="2" xfId="0" applyNumberFormat="1" applyFont="1" applyBorder="1"/>
    <xf numFmtId="169" fontId="13" fillId="0" borderId="0" xfId="0" applyNumberFormat="1" applyFont="1" applyFill="1"/>
    <xf numFmtId="170" fontId="13" fillId="0" borderId="2" xfId="0" applyNumberFormat="1" applyFont="1" applyBorder="1"/>
    <xf numFmtId="169" fontId="13" fillId="0" borderId="0" xfId="0" applyNumberFormat="1" applyFont="1" applyBorder="1"/>
    <xf numFmtId="165" fontId="13" fillId="0" borderId="0" xfId="0" applyNumberFormat="1" applyFont="1"/>
    <xf numFmtId="165" fontId="13" fillId="0" borderId="0" xfId="0" applyNumberFormat="1" applyFont="1" applyBorder="1"/>
    <xf numFmtId="10" fontId="13" fillId="0" borderId="0" xfId="0" applyNumberFormat="1" applyFont="1"/>
    <xf numFmtId="0" fontId="13" fillId="0" borderId="0" xfId="0" applyFont="1" applyFill="1" applyAlignment="1"/>
    <xf numFmtId="0" fontId="13" fillId="0" borderId="0" xfId="0" applyFont="1" applyAlignment="1"/>
    <xf numFmtId="164" fontId="0" fillId="0" borderId="0" xfId="0" applyNumberFormat="1" applyFont="1" applyBorder="1"/>
    <xf numFmtId="0" fontId="13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14" fillId="0" borderId="0" xfId="0" applyNumberFormat="1" applyFont="1"/>
    <xf numFmtId="166" fontId="17" fillId="0" borderId="0" xfId="0" applyNumberFormat="1" applyFont="1"/>
    <xf numFmtId="164" fontId="0" fillId="0" borderId="0" xfId="0" applyNumberFormat="1" applyFont="1"/>
    <xf numFmtId="3" fontId="17" fillId="0" borderId="0" xfId="0" applyNumberFormat="1" applyFont="1" applyFill="1"/>
    <xf numFmtId="3" fontId="17" fillId="0" borderId="0" xfId="0" quotePrefix="1" applyNumberFormat="1" applyFont="1" applyFill="1"/>
    <xf numFmtId="3" fontId="13" fillId="0" borderId="0" xfId="0" applyNumberFormat="1" applyFont="1"/>
    <xf numFmtId="3" fontId="23" fillId="0" borderId="0" xfId="0" applyNumberFormat="1" applyFont="1"/>
    <xf numFmtId="166" fontId="14" fillId="0" borderId="0" xfId="0" applyNumberFormat="1" applyFont="1" applyBorder="1"/>
    <xf numFmtId="166" fontId="17" fillId="0" borderId="0" xfId="0" applyNumberFormat="1" applyFont="1" applyBorder="1"/>
    <xf numFmtId="3" fontId="13" fillId="0" borderId="2" xfId="0" applyNumberFormat="1" applyFont="1" applyFill="1" applyBorder="1"/>
    <xf numFmtId="164" fontId="0" fillId="0" borderId="2" xfId="0" applyNumberFormat="1" applyFont="1" applyBorder="1"/>
    <xf numFmtId="165" fontId="13" fillId="0" borderId="2" xfId="0" applyNumberFormat="1" applyFont="1" applyBorder="1"/>
    <xf numFmtId="3" fontId="13" fillId="0" borderId="0" xfId="0" applyNumberFormat="1" applyFont="1" applyFill="1"/>
    <xf numFmtId="8" fontId="13" fillId="0" borderId="0" xfId="0" applyNumberFormat="1" applyFont="1"/>
    <xf numFmtId="3" fontId="23" fillId="0" borderId="0" xfId="0" applyNumberFormat="1" applyFont="1" applyFill="1"/>
    <xf numFmtId="166" fontId="17" fillId="0" borderId="0" xfId="0" applyNumberFormat="1" applyFont="1" applyFill="1"/>
    <xf numFmtId="3" fontId="13" fillId="0" borderId="0" xfId="0" applyNumberFormat="1" applyFont="1" applyBorder="1"/>
    <xf numFmtId="166" fontId="14" fillId="0" borderId="0" xfId="0" applyNumberFormat="1" applyFont="1" applyFill="1" applyBorder="1"/>
    <xf numFmtId="166" fontId="14" fillId="0" borderId="0" xfId="0" applyNumberFormat="1" applyFont="1" applyFill="1"/>
    <xf numFmtId="3" fontId="13" fillId="0" borderId="2" xfId="0" applyNumberFormat="1" applyFont="1" applyBorder="1"/>
    <xf numFmtId="0" fontId="13" fillId="0" borderId="0" xfId="0" applyFont="1" applyFill="1" applyBorder="1"/>
    <xf numFmtId="164" fontId="13" fillId="0" borderId="0" xfId="0" applyNumberFormat="1" applyFont="1" applyBorder="1"/>
    <xf numFmtId="0" fontId="13" fillId="0" borderId="0" xfId="0" quotePrefix="1" applyFont="1" applyAlignment="1">
      <alignment vertical="top"/>
    </xf>
    <xf numFmtId="0" fontId="24" fillId="0" borderId="0" xfId="0" applyFont="1"/>
    <xf numFmtId="0" fontId="24" fillId="0" borderId="0" xfId="0" applyFont="1" applyFill="1"/>
    <xf numFmtId="41" fontId="13" fillId="0" borderId="0" xfId="0" quotePrefix="1" applyNumberFormat="1" applyFont="1" applyAlignment="1">
      <alignment horizontal="righ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/>
    <xf numFmtId="0" fontId="5" fillId="0" borderId="0" xfId="0" applyFont="1" applyFill="1" applyAlignment="1"/>
    <xf numFmtId="0" fontId="26" fillId="0" borderId="1" xfId="0" applyFont="1" applyFill="1" applyBorder="1" applyAlignment="1">
      <alignment horizontal="center"/>
    </xf>
    <xf numFmtId="3" fontId="26" fillId="0" borderId="0" xfId="0" applyNumberFormat="1" applyFont="1" applyFill="1"/>
    <xf numFmtId="10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5" fillId="0" borderId="5" xfId="0" applyFont="1" applyFill="1" applyBorder="1"/>
    <xf numFmtId="164" fontId="5" fillId="0" borderId="2" xfId="0" applyNumberFormat="1" applyFont="1" applyFill="1" applyBorder="1"/>
    <xf numFmtId="164" fontId="5" fillId="0" borderId="5" xfId="0" applyNumberFormat="1" applyFont="1" applyFill="1" applyBorder="1"/>
    <xf numFmtId="3" fontId="4" fillId="0" borderId="2" xfId="0" applyNumberFormat="1" applyFont="1" applyFill="1" applyBorder="1"/>
    <xf numFmtId="10" fontId="5" fillId="0" borderId="2" xfId="0" applyNumberFormat="1" applyFont="1" applyFill="1" applyBorder="1" applyAlignment="1">
      <alignment horizontal="right"/>
    </xf>
    <xf numFmtId="3" fontId="27" fillId="0" borderId="2" xfId="0" applyNumberFormat="1" applyFont="1" applyFill="1" applyBorder="1"/>
    <xf numFmtId="164" fontId="27" fillId="0" borderId="0" xfId="0" applyNumberFormat="1" applyFont="1" applyFill="1"/>
    <xf numFmtId="0" fontId="28" fillId="0" borderId="0" xfId="0" applyFont="1" applyFill="1" applyAlignment="1">
      <alignment horizontal="right"/>
    </xf>
    <xf numFmtId="43" fontId="29" fillId="0" borderId="0" xfId="0" applyNumberFormat="1" applyFont="1" applyFill="1"/>
    <xf numFmtId="3" fontId="4" fillId="0" borderId="0" xfId="0" applyNumberFormat="1" applyFont="1" applyFill="1"/>
    <xf numFmtId="3" fontId="26" fillId="0" borderId="1" xfId="0" applyNumberFormat="1" applyFont="1" applyFill="1" applyBorder="1"/>
    <xf numFmtId="10" fontId="4" fillId="0" borderId="1" xfId="0" applyNumberFormat="1" applyFont="1" applyFill="1" applyBorder="1"/>
    <xf numFmtId="3" fontId="10" fillId="0" borderId="0" xfId="0" applyNumberFormat="1" applyFont="1" applyFill="1"/>
    <xf numFmtId="3" fontId="4" fillId="0" borderId="5" xfId="0" applyNumberFormat="1" applyFont="1" applyFill="1" applyBorder="1"/>
    <xf numFmtId="10" fontId="4" fillId="0" borderId="5" xfId="0" applyNumberFormat="1" applyFont="1" applyFill="1" applyBorder="1"/>
    <xf numFmtId="169" fontId="27" fillId="0" borderId="0" xfId="0" applyNumberFormat="1" applyFont="1" applyFill="1"/>
    <xf numFmtId="164" fontId="5" fillId="0" borderId="1" xfId="0" applyNumberFormat="1" applyFont="1" applyFill="1" applyBorder="1"/>
    <xf numFmtId="3" fontId="8" fillId="0" borderId="0" xfId="0" applyNumberFormat="1" applyFont="1" applyFill="1" applyBorder="1"/>
    <xf numFmtId="42" fontId="12" fillId="0" borderId="6" xfId="0" applyNumberFormat="1" applyFont="1" applyFill="1" applyBorder="1"/>
    <xf numFmtId="3" fontId="29" fillId="0" borderId="0" xfId="0" applyNumberFormat="1" applyFont="1" applyFill="1"/>
    <xf numFmtId="0" fontId="25" fillId="0" borderId="0" xfId="0" quotePrefix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0" fontId="25" fillId="0" borderId="0" xfId="0" quotePrefix="1" applyFont="1" applyFill="1" applyAlignment="1">
      <alignment horizontal="center" vertical="top"/>
    </xf>
    <xf numFmtId="0" fontId="5" fillId="0" borderId="0" xfId="0" applyFont="1" applyFill="1" applyAlignment="1">
      <alignment wrapText="1"/>
    </xf>
    <xf numFmtId="0" fontId="5" fillId="0" borderId="7" xfId="0" applyFont="1" applyFill="1" applyBorder="1" applyAlignment="1">
      <alignment horizontal="center"/>
    </xf>
    <xf numFmtId="3" fontId="5" fillId="0" borderId="8" xfId="0" applyNumberFormat="1" applyFont="1" applyFill="1" applyBorder="1"/>
    <xf numFmtId="3" fontId="5" fillId="0" borderId="9" xfId="0" applyNumberFormat="1" applyFont="1" applyFill="1" applyBorder="1"/>
    <xf numFmtId="0" fontId="4" fillId="0" borderId="0" xfId="0" applyFont="1" applyFill="1" applyAlignment="1"/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3" fontId="27" fillId="0" borderId="0" xfId="0" applyNumberFormat="1" applyFont="1" applyFill="1"/>
    <xf numFmtId="42" fontId="27" fillId="0" borderId="0" xfId="0" applyNumberFormat="1" applyFont="1" applyFill="1"/>
    <xf numFmtId="42" fontId="5" fillId="0" borderId="0" xfId="0" applyNumberFormat="1" applyFont="1" applyFill="1"/>
    <xf numFmtId="9" fontId="4" fillId="0" borderId="0" xfId="0" applyNumberFormat="1" applyFont="1" applyFill="1"/>
    <xf numFmtId="0" fontId="5" fillId="0" borderId="0" xfId="0" applyFont="1" applyFill="1" applyBorder="1" applyAlignment="1">
      <alignment horizontal="left" indent="1"/>
    </xf>
    <xf numFmtId="0" fontId="27" fillId="0" borderId="0" xfId="0" applyFont="1" applyFill="1"/>
    <xf numFmtId="0" fontId="5" fillId="0" borderId="0" xfId="0" applyFont="1" applyFill="1" applyAlignment="1">
      <alignment horizontal="left" indent="1"/>
    </xf>
    <xf numFmtId="42" fontId="27" fillId="0" borderId="0" xfId="0" applyNumberFormat="1" applyFont="1" applyFill="1" applyBorder="1"/>
    <xf numFmtId="3" fontId="10" fillId="0" borderId="0" xfId="0" applyNumberFormat="1" applyFont="1" applyFill="1" applyBorder="1"/>
    <xf numFmtId="42" fontId="10" fillId="0" borderId="0" xfId="0" applyNumberFormat="1" applyFont="1" applyFill="1" applyBorder="1"/>
    <xf numFmtId="3" fontId="30" fillId="0" borderId="5" xfId="0" applyNumberFormat="1" applyFont="1" applyFill="1" applyBorder="1"/>
    <xf numFmtId="164" fontId="30" fillId="0" borderId="5" xfId="0" applyNumberFormat="1" applyFont="1" applyFill="1" applyBorder="1"/>
    <xf numFmtId="164" fontId="30" fillId="0" borderId="0" xfId="0" applyNumberFormat="1" applyFont="1" applyFill="1" applyBorder="1"/>
    <xf numFmtId="41" fontId="5" fillId="0" borderId="0" xfId="0" applyNumberFormat="1" applyFont="1" applyFill="1" applyBorder="1"/>
    <xf numFmtId="167" fontId="5" fillId="0" borderId="0" xfId="0" applyNumberFormat="1" applyFont="1" applyFill="1" applyBorder="1"/>
    <xf numFmtId="171" fontId="5" fillId="0" borderId="0" xfId="0" applyNumberFormat="1" applyFont="1" applyFill="1" applyBorder="1"/>
    <xf numFmtId="167" fontId="5" fillId="0" borderId="0" xfId="0" applyNumberFormat="1" applyFont="1" applyFill="1"/>
    <xf numFmtId="44" fontId="5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17" fontId="26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9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/>
    <xf numFmtId="173" fontId="5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0" xfId="0" applyFont="1"/>
    <xf numFmtId="3" fontId="5" fillId="0" borderId="0" xfId="0" applyNumberFormat="1" applyFont="1" applyBorder="1"/>
    <xf numFmtId="174" fontId="5" fillId="0" borderId="0" xfId="0" applyNumberFormat="1" applyFont="1"/>
    <xf numFmtId="174" fontId="5" fillId="0" borderId="0" xfId="0" applyNumberFormat="1" applyFont="1" applyBorder="1"/>
    <xf numFmtId="173" fontId="5" fillId="0" borderId="0" xfId="0" applyNumberFormat="1" applyFont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Continuous"/>
    </xf>
    <xf numFmtId="174" fontId="5" fillId="0" borderId="5" xfId="0" applyNumberFormat="1" applyFont="1" applyBorder="1" applyAlignment="1">
      <alignment horizontal="centerContinuous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Continuous"/>
    </xf>
    <xf numFmtId="174" fontId="5" fillId="0" borderId="2" xfId="0" applyNumberFormat="1" applyFont="1" applyBorder="1" applyAlignment="1">
      <alignment horizontal="left"/>
    </xf>
    <xf numFmtId="174" fontId="5" fillId="0" borderId="12" xfId="0" applyNumberFormat="1" applyFont="1" applyBorder="1" applyAlignment="1">
      <alignment horizontal="centerContinuous"/>
    </xf>
    <xf numFmtId="174" fontId="5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4" fontId="5" fillId="0" borderId="1" xfId="0" applyNumberFormat="1" applyFont="1" applyBorder="1" applyAlignment="1">
      <alignment horizontal="center"/>
    </xf>
    <xf numFmtId="175" fontId="5" fillId="0" borderId="14" xfId="0" applyNumberFormat="1" applyFont="1" applyBorder="1" applyAlignment="1">
      <alignment horizontal="center"/>
    </xf>
    <xf numFmtId="175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3" fontId="5" fillId="0" borderId="0" xfId="0" applyNumberFormat="1" applyFont="1" applyBorder="1" applyAlignment="1">
      <alignment horizontal="right"/>
    </xf>
    <xf numFmtId="0" fontId="7" fillId="0" borderId="1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5" fillId="0" borderId="5" xfId="0" applyFont="1" applyBorder="1"/>
    <xf numFmtId="3" fontId="5" fillId="0" borderId="5" xfId="0" applyNumberFormat="1" applyFont="1" applyBorder="1"/>
    <xf numFmtId="173" fontId="5" fillId="0" borderId="5" xfId="0" applyNumberFormat="1" applyFont="1" applyBorder="1"/>
    <xf numFmtId="165" fontId="5" fillId="0" borderId="12" xfId="0" applyNumberFormat="1" applyFont="1" applyBorder="1" applyAlignment="1">
      <alignment horizontal="right"/>
    </xf>
    <xf numFmtId="0" fontId="5" fillId="0" borderId="16" xfId="0" applyFont="1" applyBorder="1"/>
    <xf numFmtId="3" fontId="5" fillId="0" borderId="0" xfId="0" applyNumberFormat="1" applyFont="1" applyBorder="1" applyProtection="1">
      <protection locked="0"/>
    </xf>
    <xf numFmtId="173" fontId="5" fillId="0" borderId="0" xfId="0" applyNumberFormat="1" applyFont="1" applyBorder="1"/>
    <xf numFmtId="165" fontId="5" fillId="0" borderId="17" xfId="0" applyNumberFormat="1" applyFont="1" applyBorder="1" applyAlignment="1">
      <alignment horizontal="right"/>
    </xf>
    <xf numFmtId="0" fontId="5" fillId="0" borderId="16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74" fontId="5" fillId="0" borderId="0" xfId="0" applyNumberFormat="1" applyFont="1" applyFill="1" applyBorder="1"/>
    <xf numFmtId="174" fontId="26" fillId="0" borderId="0" xfId="0" applyNumberFormat="1" applyFont="1" applyFill="1" applyBorder="1"/>
    <xf numFmtId="165" fontId="5" fillId="0" borderId="17" xfId="0" applyNumberFormat="1" applyFont="1" applyBorder="1"/>
    <xf numFmtId="173" fontId="27" fillId="0" borderId="18" xfId="0" applyNumberFormat="1" applyFont="1" applyFill="1" applyBorder="1" applyAlignment="1">
      <alignment horizontal="center"/>
    </xf>
    <xf numFmtId="176" fontId="5" fillId="0" borderId="0" xfId="0" applyNumberFormat="1" applyFont="1" applyFill="1" applyBorder="1"/>
    <xf numFmtId="176" fontId="26" fillId="0" borderId="0" xfId="0" applyNumberFormat="1" applyFont="1" applyFill="1" applyBorder="1"/>
    <xf numFmtId="173" fontId="5" fillId="0" borderId="18" xfId="0" applyNumberFormat="1" applyFont="1" applyBorder="1" applyAlignment="1">
      <alignment horizontal="center"/>
    </xf>
    <xf numFmtId="0" fontId="7" fillId="0" borderId="16" xfId="0" applyFont="1" applyBorder="1"/>
    <xf numFmtId="0" fontId="5" fillId="0" borderId="0" xfId="0" applyFont="1" applyBorder="1" applyProtection="1">
      <protection locked="0"/>
    </xf>
    <xf numFmtId="173" fontId="5" fillId="0" borderId="2" xfId="0" applyNumberFormat="1" applyFont="1" applyBorder="1"/>
    <xf numFmtId="165" fontId="5" fillId="0" borderId="19" xfId="0" applyNumberFormat="1" applyFont="1" applyBorder="1"/>
    <xf numFmtId="173" fontId="5" fillId="0" borderId="4" xfId="0" applyNumberFormat="1" applyFont="1" applyBorder="1" applyAlignment="1">
      <alignment horizontal="center"/>
    </xf>
    <xf numFmtId="0" fontId="7" fillId="0" borderId="0" xfId="0" applyFont="1" applyBorder="1"/>
    <xf numFmtId="173" fontId="7" fillId="0" borderId="0" xfId="0" applyNumberFormat="1" applyFont="1" applyBorder="1"/>
    <xf numFmtId="175" fontId="5" fillId="0" borderId="0" xfId="0" applyNumberFormat="1" applyFont="1" applyBorder="1"/>
    <xf numFmtId="0" fontId="5" fillId="0" borderId="16" xfId="0" applyFont="1" applyBorder="1" applyProtection="1">
      <protection locked="0"/>
    </xf>
    <xf numFmtId="10" fontId="27" fillId="0" borderId="0" xfId="0" applyNumberFormat="1" applyFont="1" applyBorder="1" applyAlignment="1">
      <alignment horizontal="center"/>
    </xf>
    <xf numFmtId="0" fontId="5" fillId="0" borderId="13" xfId="0" applyFont="1" applyFill="1" applyBorder="1"/>
    <xf numFmtId="173" fontId="5" fillId="0" borderId="1" xfId="0" applyNumberFormat="1" applyFont="1" applyFill="1" applyBorder="1"/>
    <xf numFmtId="165" fontId="5" fillId="0" borderId="14" xfId="0" applyNumberFormat="1" applyFont="1" applyFill="1" applyBorder="1"/>
    <xf numFmtId="0" fontId="7" fillId="0" borderId="15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5" fontId="5" fillId="0" borderId="12" xfId="0" applyNumberFormat="1" applyFont="1" applyBorder="1"/>
    <xf numFmtId="0" fontId="5" fillId="0" borderId="16" xfId="0" applyFont="1" applyFill="1" applyBorder="1"/>
    <xf numFmtId="173" fontId="5" fillId="0" borderId="0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165" fontId="5" fillId="0" borderId="17" xfId="0" applyNumberFormat="1" applyFont="1" applyFill="1" applyBorder="1" applyAlignment="1">
      <alignment horizontal="right"/>
    </xf>
    <xf numFmtId="17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73" fontId="5" fillId="0" borderId="0" xfId="0" applyNumberFormat="1" applyFont="1" applyFill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0" fontId="7" fillId="0" borderId="16" xfId="0" applyFont="1" applyFill="1" applyBorder="1"/>
    <xf numFmtId="173" fontId="7" fillId="0" borderId="0" xfId="0" applyNumberFormat="1" applyFont="1" applyFill="1" applyBorder="1"/>
    <xf numFmtId="177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Alignment="1">
      <alignment horizontal="center"/>
    </xf>
    <xf numFmtId="177" fontId="5" fillId="0" borderId="0" xfId="0" applyNumberFormat="1" applyFont="1" applyFill="1"/>
    <xf numFmtId="3" fontId="5" fillId="0" borderId="0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178" fontId="5" fillId="0" borderId="0" xfId="0" applyNumberFormat="1" applyFont="1" applyBorder="1" applyAlignment="1">
      <alignment horizontal="right"/>
    </xf>
    <xf numFmtId="0" fontId="7" fillId="0" borderId="13" xfId="0" applyFont="1" applyBorder="1"/>
    <xf numFmtId="0" fontId="7" fillId="0" borderId="1" xfId="0" applyFont="1" applyBorder="1"/>
    <xf numFmtId="173" fontId="7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174" fontId="5" fillId="0" borderId="1" xfId="0" applyNumberFormat="1" applyFont="1" applyBorder="1"/>
    <xf numFmtId="165" fontId="5" fillId="0" borderId="14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167" fontId="5" fillId="0" borderId="0" xfId="0" applyNumberFormat="1" applyFont="1"/>
    <xf numFmtId="173" fontId="5" fillId="0" borderId="0" xfId="0" applyNumberFormat="1" applyFont="1"/>
    <xf numFmtId="165" fontId="5" fillId="0" borderId="0" xfId="0" applyNumberFormat="1" applyFont="1"/>
    <xf numFmtId="0" fontId="5" fillId="0" borderId="20" xfId="0" applyFont="1" applyBorder="1"/>
    <xf numFmtId="0" fontId="5" fillId="0" borderId="21" xfId="0" applyFont="1" applyBorder="1"/>
    <xf numFmtId="164" fontId="5" fillId="0" borderId="21" xfId="0" applyNumberFormat="1" applyFont="1" applyBorder="1"/>
    <xf numFmtId="0" fontId="5" fillId="0" borderId="21" xfId="0" applyFont="1" applyFill="1" applyBorder="1"/>
    <xf numFmtId="173" fontId="5" fillId="0" borderId="22" xfId="0" applyNumberFormat="1" applyFont="1" applyFill="1" applyBorder="1"/>
    <xf numFmtId="0" fontId="31" fillId="0" borderId="0" xfId="0" applyFont="1" applyFill="1"/>
    <xf numFmtId="175" fontId="5" fillId="0" borderId="0" xfId="0" applyNumberFormat="1" applyFont="1" applyAlignment="1">
      <alignment horizontal="left"/>
    </xf>
    <xf numFmtId="175" fontId="5" fillId="0" borderId="0" xfId="0" applyNumberFormat="1" applyFont="1"/>
    <xf numFmtId="174" fontId="5" fillId="0" borderId="0" xfId="0" applyNumberFormat="1" applyFont="1" applyAlignment="1">
      <alignment horizontal="centerContinuous"/>
    </xf>
    <xf numFmtId="3" fontId="5" fillId="0" borderId="0" xfId="0" applyNumberFormat="1" applyFont="1" applyFill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175" fontId="5" fillId="0" borderId="0" xfId="0" applyNumberFormat="1" applyFont="1" applyAlignment="1">
      <alignment horizontal="centerContinuous"/>
    </xf>
    <xf numFmtId="175" fontId="5" fillId="0" borderId="0" xfId="0" applyNumberFormat="1" applyFont="1" applyBorder="1" applyAlignment="1">
      <alignment horizontal="centerContinuous"/>
    </xf>
    <xf numFmtId="0" fontId="5" fillId="0" borderId="0" xfId="0" applyFont="1" applyAlignment="1"/>
    <xf numFmtId="174" fontId="5" fillId="0" borderId="0" xfId="0" applyNumberFormat="1" applyFont="1" applyAlignment="1"/>
    <xf numFmtId="3" fontId="5" fillId="0" borderId="1" xfId="0" applyNumberFormat="1" applyFont="1" applyFill="1" applyBorder="1" applyAlignment="1"/>
    <xf numFmtId="165" fontId="5" fillId="0" borderId="0" xfId="0" applyNumberFormat="1" applyFont="1" applyAlignment="1"/>
    <xf numFmtId="165" fontId="5" fillId="0" borderId="14" xfId="0" applyNumberFormat="1" applyFont="1" applyBorder="1" applyAlignment="1">
      <alignment horizontal="center"/>
    </xf>
    <xf numFmtId="175" fontId="5" fillId="0" borderId="0" xfId="0" applyNumberFormat="1" applyFont="1" applyBorder="1" applyAlignment="1">
      <alignment horizontal="left"/>
    </xf>
    <xf numFmtId="174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5" xfId="0" applyFont="1" applyBorder="1" applyProtection="1">
      <protection locked="0"/>
    </xf>
    <xf numFmtId="3" fontId="5" fillId="0" borderId="5" xfId="0" applyNumberFormat="1" applyFont="1" applyFill="1" applyBorder="1"/>
    <xf numFmtId="165" fontId="5" fillId="0" borderId="0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73" fontId="8" fillId="0" borderId="18" xfId="0" applyNumberFormat="1" applyFont="1" applyFill="1" applyBorder="1" applyAlignment="1">
      <alignment horizontal="center"/>
    </xf>
    <xf numFmtId="174" fontId="5" fillId="0" borderId="0" xfId="0" applyNumberFormat="1" applyFont="1" applyBorder="1" applyAlignment="1">
      <alignment horizontal="right"/>
    </xf>
    <xf numFmtId="173" fontId="5" fillId="0" borderId="4" xfId="0" applyNumberFormat="1" applyFont="1" applyFill="1" applyBorder="1" applyAlignment="1">
      <alignment horizontal="center"/>
    </xf>
    <xf numFmtId="173" fontId="5" fillId="0" borderId="2" xfId="0" applyNumberFormat="1" applyFont="1" applyFill="1" applyBorder="1"/>
    <xf numFmtId="10" fontId="10" fillId="0" borderId="0" xfId="0" applyNumberFormat="1" applyFont="1" applyFill="1" applyBorder="1" applyAlignment="1">
      <alignment horizontal="center"/>
    </xf>
    <xf numFmtId="10" fontId="27" fillId="0" borderId="6" xfId="0" applyNumberFormat="1" applyFont="1" applyBorder="1" applyAlignment="1">
      <alignment horizontal="center"/>
    </xf>
    <xf numFmtId="179" fontId="5" fillId="0" borderId="0" xfId="0" applyNumberFormat="1" applyFont="1" applyFill="1" applyBorder="1"/>
    <xf numFmtId="0" fontId="5" fillId="0" borderId="13" xfId="0" applyFont="1" applyBorder="1"/>
    <xf numFmtId="0" fontId="5" fillId="0" borderId="1" xfId="0" applyFont="1" applyBorder="1" applyProtection="1">
      <protection locked="0"/>
    </xf>
    <xf numFmtId="174" fontId="5" fillId="0" borderId="1" xfId="0" applyNumberFormat="1" applyFont="1" applyFill="1" applyBorder="1" applyAlignment="1">
      <alignment horizontal="center"/>
    </xf>
    <xf numFmtId="173" fontId="5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/>
    <xf numFmtId="173" fontId="5" fillId="0" borderId="1" xfId="0" applyNumberFormat="1" applyFont="1" applyBorder="1"/>
    <xf numFmtId="165" fontId="5" fillId="0" borderId="14" xfId="0" applyNumberFormat="1" applyFont="1" applyBorder="1"/>
    <xf numFmtId="165" fontId="5" fillId="0" borderId="0" xfId="0" applyNumberFormat="1" applyFont="1" applyBorder="1"/>
    <xf numFmtId="174" fontId="10" fillId="0" borderId="0" xfId="0" applyNumberFormat="1" applyFont="1" applyFill="1" applyBorder="1"/>
    <xf numFmtId="176" fontId="10" fillId="0" borderId="0" xfId="0" applyNumberFormat="1" applyFont="1" applyFill="1" applyBorder="1"/>
    <xf numFmtId="0" fontId="4" fillId="0" borderId="3" xfId="0" applyFont="1" applyFill="1" applyBorder="1" applyAlignment="1">
      <alignment horizontal="center"/>
    </xf>
    <xf numFmtId="173" fontId="5" fillId="0" borderId="18" xfId="0" applyNumberFormat="1" applyFont="1" applyFill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5" fillId="0" borderId="17" xfId="0" applyNumberFormat="1" applyFont="1" applyFill="1" applyBorder="1"/>
    <xf numFmtId="165" fontId="5" fillId="0" borderId="0" xfId="0" applyNumberFormat="1" applyFont="1" applyFill="1" applyBorder="1" applyAlignment="1">
      <alignment horizontal="left"/>
    </xf>
    <xf numFmtId="175" fontId="5" fillId="0" borderId="0" xfId="0" applyNumberFormat="1" applyFont="1" applyFill="1" applyBorder="1"/>
    <xf numFmtId="166" fontId="5" fillId="0" borderId="0" xfId="0" applyNumberFormat="1" applyFont="1" applyBorder="1"/>
    <xf numFmtId="173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Alignment="1">
      <alignment horizontal="center"/>
    </xf>
    <xf numFmtId="174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/>
    <xf numFmtId="8" fontId="5" fillId="0" borderId="0" xfId="0" applyNumberFormat="1" applyFont="1" applyBorder="1"/>
    <xf numFmtId="176" fontId="5" fillId="0" borderId="0" xfId="0" applyNumberFormat="1" applyFont="1" applyAlignment="1">
      <alignment horizontal="center"/>
    </xf>
    <xf numFmtId="173" fontId="5" fillId="0" borderId="1" xfId="0" applyNumberFormat="1" applyFont="1" applyBorder="1" applyAlignment="1">
      <alignment horizontal="center"/>
    </xf>
    <xf numFmtId="180" fontId="5" fillId="0" borderId="0" xfId="0" applyNumberFormat="1" applyFont="1"/>
    <xf numFmtId="180" fontId="5" fillId="0" borderId="0" xfId="0" applyNumberFormat="1" applyFont="1" applyFill="1"/>
    <xf numFmtId="180" fontId="5" fillId="0" borderId="0" xfId="0" applyNumberFormat="1" applyFont="1" applyBorder="1"/>
    <xf numFmtId="180" fontId="5" fillId="0" borderId="0" xfId="0" applyNumberFormat="1" applyFont="1" applyAlignment="1">
      <alignment horizontal="left"/>
    </xf>
    <xf numFmtId="3" fontId="5" fillId="0" borderId="0" xfId="0" applyNumberFormat="1" applyFont="1"/>
    <xf numFmtId="167" fontId="5" fillId="0" borderId="2" xfId="0" applyNumberFormat="1" applyFont="1" applyBorder="1"/>
    <xf numFmtId="180" fontId="5" fillId="0" borderId="2" xfId="0" applyNumberFormat="1" applyFont="1" applyBorder="1"/>
    <xf numFmtId="173" fontId="5" fillId="0" borderId="22" xfId="0" applyNumberFormat="1" applyFont="1" applyBorder="1"/>
    <xf numFmtId="176" fontId="5" fillId="0" borderId="0" xfId="0" applyNumberFormat="1" applyFont="1" applyAlignment="1">
      <alignment horizontal="centerContinuous"/>
    </xf>
    <xf numFmtId="3" fontId="5" fillId="0" borderId="0" xfId="0" applyNumberFormat="1" applyFont="1" applyFill="1" applyBorder="1" applyAlignment="1">
      <alignment horizontal="centerContinuous"/>
    </xf>
    <xf numFmtId="174" fontId="5" fillId="0" borderId="0" xfId="0" applyNumberFormat="1" applyFont="1" applyFill="1" applyAlignment="1">
      <alignment horizontal="centerContinuous"/>
    </xf>
    <xf numFmtId="0" fontId="12" fillId="0" borderId="0" xfId="0" applyFont="1" applyBorder="1" applyAlignment="1">
      <alignment horizontal="left"/>
    </xf>
    <xf numFmtId="176" fontId="5" fillId="0" borderId="0" xfId="0" applyNumberFormat="1" applyFont="1" applyBorder="1"/>
    <xf numFmtId="175" fontId="5" fillId="0" borderId="0" xfId="0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5" fontId="5" fillId="0" borderId="17" xfId="0" applyNumberFormat="1" applyFont="1" applyBorder="1" applyAlignment="1">
      <alignment horizontal="right"/>
    </xf>
    <xf numFmtId="176" fontId="5" fillId="0" borderId="5" xfId="0" applyNumberFormat="1" applyFont="1" applyBorder="1"/>
    <xf numFmtId="3" fontId="5" fillId="0" borderId="5" xfId="0" applyNumberFormat="1" applyFont="1" applyFill="1" applyBorder="1" applyProtection="1">
      <protection locked="0"/>
    </xf>
    <xf numFmtId="174" fontId="5" fillId="0" borderId="5" xfId="0" applyNumberFormat="1" applyFont="1" applyFill="1" applyBorder="1"/>
    <xf numFmtId="174" fontId="5" fillId="0" borderId="5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center"/>
    </xf>
    <xf numFmtId="7" fontId="5" fillId="0" borderId="0" xfId="0" applyNumberFormat="1" applyFont="1"/>
    <xf numFmtId="9" fontId="10" fillId="0" borderId="0" xfId="0" applyNumberFormat="1" applyFont="1" applyFill="1" applyBorder="1"/>
    <xf numFmtId="173" fontId="5" fillId="0" borderId="2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17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6" fontId="5" fillId="0" borderId="1" xfId="0" applyNumberFormat="1" applyFont="1" applyBorder="1"/>
    <xf numFmtId="174" fontId="5" fillId="0" borderId="1" xfId="0" applyNumberFormat="1" applyFont="1" applyFill="1" applyBorder="1"/>
    <xf numFmtId="174" fontId="5" fillId="0" borderId="1" xfId="0" applyNumberFormat="1" applyFont="1" applyBorder="1" applyAlignment="1">
      <alignment horizontal="right"/>
    </xf>
    <xf numFmtId="174" fontId="5" fillId="0" borderId="0" xfId="0" applyNumberFormat="1" applyFont="1" applyFill="1" applyBorder="1" applyAlignment="1">
      <alignment horizontal="right"/>
    </xf>
    <xf numFmtId="173" fontId="5" fillId="0" borderId="5" xfId="0" applyNumberFormat="1" applyFont="1" applyFill="1" applyBorder="1"/>
    <xf numFmtId="174" fontId="5" fillId="0" borderId="5" xfId="0" applyNumberFormat="1" applyFont="1" applyFill="1" applyBorder="1" applyAlignment="1">
      <alignment horizontal="right"/>
    </xf>
    <xf numFmtId="0" fontId="7" fillId="0" borderId="0" xfId="0" applyFont="1" applyFill="1" applyBorder="1" applyProtection="1">
      <protection locked="0"/>
    </xf>
    <xf numFmtId="173" fontId="5" fillId="0" borderId="0" xfId="0" applyNumberFormat="1" applyFont="1" applyFill="1" applyBorder="1" applyProtection="1">
      <protection locked="0"/>
    </xf>
    <xf numFmtId="173" fontId="5" fillId="0" borderId="1" xfId="0" applyNumberFormat="1" applyFont="1" applyFill="1" applyBorder="1" applyAlignment="1">
      <alignment horizontal="right"/>
    </xf>
    <xf numFmtId="175" fontId="5" fillId="0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/>
    <xf numFmtId="174" fontId="5" fillId="0" borderId="1" xfId="0" applyNumberFormat="1" applyFont="1" applyFill="1" applyBorder="1" applyAlignment="1">
      <alignment horizontal="right"/>
    </xf>
    <xf numFmtId="173" fontId="5" fillId="0" borderId="5" xfId="0" applyNumberFormat="1" applyFont="1" applyFill="1" applyBorder="1" applyAlignment="1">
      <alignment horizontal="right"/>
    </xf>
    <xf numFmtId="174" fontId="10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73" fontId="8" fillId="0" borderId="18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72" fontId="10" fillId="0" borderId="0" xfId="0" applyNumberFormat="1" applyFont="1" applyFill="1" applyBorder="1"/>
    <xf numFmtId="0" fontId="5" fillId="0" borderId="5" xfId="0" applyFont="1" applyFill="1" applyBorder="1" applyProtection="1">
      <protection locked="0"/>
    </xf>
    <xf numFmtId="165" fontId="5" fillId="0" borderId="12" xfId="0" applyNumberFormat="1" applyFont="1" applyFill="1" applyBorder="1" applyAlignment="1">
      <alignment horizontal="right"/>
    </xf>
    <xf numFmtId="173" fontId="10" fillId="0" borderId="0" xfId="0" applyNumberFormat="1" applyFont="1" applyFill="1" applyBorder="1" applyAlignment="1">
      <alignment horizontal="right"/>
    </xf>
    <xf numFmtId="165" fontId="5" fillId="0" borderId="17" xfId="0" applyNumberFormat="1" applyFont="1" applyFill="1" applyBorder="1" applyAlignment="1">
      <alignment horizontal="center"/>
    </xf>
    <xf numFmtId="5" fontId="5" fillId="0" borderId="0" xfId="0" applyNumberFormat="1" applyFont="1" applyFill="1" applyBorder="1"/>
    <xf numFmtId="5" fontId="5" fillId="0" borderId="0" xfId="0" applyNumberFormat="1" applyFont="1" applyBorder="1"/>
    <xf numFmtId="5" fontId="5" fillId="0" borderId="2" xfId="0" applyNumberFormat="1" applyFont="1" applyFill="1" applyBorder="1"/>
    <xf numFmtId="5" fontId="5" fillId="0" borderId="2" xfId="0" applyNumberFormat="1" applyFont="1" applyBorder="1"/>
    <xf numFmtId="5" fontId="5" fillId="0" borderId="0" xfId="0" applyNumberFormat="1" applyFont="1" applyFill="1"/>
    <xf numFmtId="5" fontId="5" fillId="0" borderId="0" xfId="0" applyNumberFormat="1" applyFont="1" applyFill="1" applyBorder="1" applyAlignment="1">
      <alignment horizontal="center"/>
    </xf>
    <xf numFmtId="5" fontId="5" fillId="0" borderId="0" xfId="0" applyNumberFormat="1" applyFont="1"/>
    <xf numFmtId="5" fontId="8" fillId="0" borderId="0" xfId="0" applyNumberFormat="1" applyFont="1" applyFill="1"/>
    <xf numFmtId="41" fontId="8" fillId="0" borderId="0" xfId="0" applyNumberFormat="1" applyFont="1" applyFill="1"/>
    <xf numFmtId="41" fontId="5" fillId="0" borderId="0" xfId="0" applyNumberFormat="1" applyFont="1"/>
    <xf numFmtId="174" fontId="5" fillId="0" borderId="0" xfId="0" applyNumberFormat="1" applyFont="1" applyFill="1"/>
    <xf numFmtId="42" fontId="5" fillId="0" borderId="0" xfId="0" applyNumberFormat="1" applyFont="1"/>
    <xf numFmtId="42" fontId="8" fillId="0" borderId="0" xfId="0" applyNumberFormat="1" applyFont="1"/>
    <xf numFmtId="176" fontId="5" fillId="0" borderId="0" xfId="0" applyNumberFormat="1" applyFont="1"/>
    <xf numFmtId="0" fontId="4" fillId="0" borderId="23" xfId="0" applyFont="1" applyBorder="1"/>
    <xf numFmtId="0" fontId="5" fillId="0" borderId="24" xfId="0" applyFont="1" applyBorder="1"/>
    <xf numFmtId="164" fontId="5" fillId="0" borderId="24" xfId="0" applyNumberFormat="1" applyFont="1" applyFill="1" applyBorder="1"/>
    <xf numFmtId="173" fontId="5" fillId="0" borderId="25" xfId="0" applyNumberFormat="1" applyFont="1" applyBorder="1"/>
    <xf numFmtId="0" fontId="4" fillId="0" borderId="26" xfId="0" applyFont="1" applyBorder="1"/>
    <xf numFmtId="0" fontId="5" fillId="0" borderId="27" xfId="0" applyFont="1" applyBorder="1"/>
    <xf numFmtId="164" fontId="5" fillId="0" borderId="27" xfId="0" applyNumberFormat="1" applyFont="1" applyFill="1" applyBorder="1"/>
    <xf numFmtId="173" fontId="5" fillId="0" borderId="28" xfId="0" applyNumberFormat="1" applyFont="1" applyBorder="1"/>
    <xf numFmtId="175" fontId="5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35" fillId="0" borderId="0" xfId="0" applyFont="1"/>
    <xf numFmtId="0" fontId="32" fillId="0" borderId="0" xfId="0" applyFont="1" applyFill="1" applyAlignment="1">
      <alignment horizontal="centerContinuous"/>
    </xf>
    <xf numFmtId="0" fontId="13" fillId="0" borderId="0" xfId="0" applyFont="1"/>
    <xf numFmtId="0" fontId="32" fillId="0" borderId="1" xfId="0" applyFont="1" applyBorder="1" applyAlignment="1">
      <alignment horizontal="center"/>
    </xf>
    <xf numFmtId="164" fontId="13" fillId="0" borderId="0" xfId="0" applyNumberFormat="1" applyFont="1"/>
    <xf numFmtId="167" fontId="13" fillId="0" borderId="0" xfId="0" applyNumberFormat="1" applyFont="1"/>
    <xf numFmtId="167" fontId="13" fillId="0" borderId="1" xfId="0" applyNumberFormat="1" applyFont="1" applyBorder="1"/>
    <xf numFmtId="0" fontId="32" fillId="0" borderId="0" xfId="0" applyFont="1"/>
    <xf numFmtId="167" fontId="32" fillId="0" borderId="0" xfId="0" applyNumberFormat="1" applyFont="1"/>
    <xf numFmtId="42" fontId="13" fillId="0" borderId="29" xfId="0" applyNumberFormat="1" applyFont="1" applyBorder="1"/>
    <xf numFmtId="0" fontId="33" fillId="0" borderId="0" xfId="0" applyFont="1"/>
    <xf numFmtId="42" fontId="33" fillId="0" borderId="0" xfId="0" applyNumberFormat="1" applyFont="1"/>
    <xf numFmtId="0" fontId="34" fillId="0" borderId="0" xfId="0" applyFont="1"/>
    <xf numFmtId="164" fontId="34" fillId="0" borderId="0" xfId="0" applyNumberFormat="1" applyFont="1"/>
    <xf numFmtId="167" fontId="34" fillId="0" borderId="0" xfId="0" applyNumberFormat="1" applyFont="1"/>
    <xf numFmtId="164" fontId="34" fillId="0" borderId="10" xfId="0" applyNumberFormat="1" applyFont="1" applyBorder="1"/>
    <xf numFmtId="166" fontId="17" fillId="0" borderId="0" xfId="0" applyNumberFormat="1" applyFont="1" applyFill="1" applyBorder="1"/>
    <xf numFmtId="0" fontId="29" fillId="0" borderId="0" xfId="0" applyFont="1" applyFill="1"/>
    <xf numFmtId="9" fontId="29" fillId="0" borderId="0" xfId="0" applyNumberFormat="1" applyFont="1" applyFill="1"/>
    <xf numFmtId="167" fontId="32" fillId="2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167" fontId="2" fillId="0" borderId="0" xfId="1" applyNumberFormat="1" applyFont="1"/>
    <xf numFmtId="176" fontId="26" fillId="3" borderId="0" xfId="0" applyNumberFormat="1" applyFont="1" applyFill="1" applyBorder="1"/>
    <xf numFmtId="174" fontId="26" fillId="4" borderId="0" xfId="0" applyNumberFormat="1" applyFont="1" applyFill="1" applyBorder="1"/>
    <xf numFmtId="44" fontId="14" fillId="0" borderId="0" xfId="0" applyNumberFormat="1" applyFont="1" applyFill="1"/>
    <xf numFmtId="169" fontId="14" fillId="0" borderId="0" xfId="0" applyNumberFormat="1" applyFont="1" applyFill="1"/>
    <xf numFmtId="3" fontId="14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Fill="1" applyAlignment="1">
      <alignment horizontal="center"/>
    </xf>
    <xf numFmtId="174" fontId="5" fillId="0" borderId="5" xfId="0" applyNumberFormat="1" applyFont="1" applyBorder="1" applyAlignment="1">
      <alignment horizontal="center"/>
    </xf>
    <xf numFmtId="174" fontId="5" fillId="0" borderId="1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pane ySplit="8" topLeftCell="A9" activePane="bottomLeft" state="frozen"/>
      <selection activeCell="E26" sqref="E26"/>
      <selection pane="bottomLeft" activeCell="L16" sqref="L16"/>
    </sheetView>
  </sheetViews>
  <sheetFormatPr defaultColWidth="8.85546875" defaultRowHeight="12.75" x14ac:dyDescent="0.2"/>
  <cols>
    <col min="1" max="1" width="4.5703125" style="3" customWidth="1"/>
    <col min="2" max="2" width="2.85546875" style="3" customWidth="1"/>
    <col min="3" max="3" width="26.7109375" style="3" customWidth="1"/>
    <col min="4" max="4" width="8.85546875" style="3" customWidth="1"/>
    <col min="5" max="5" width="15.85546875" style="3" bestFit="1" customWidth="1"/>
    <col min="6" max="6" width="14.5703125" style="3" bestFit="1" customWidth="1"/>
    <col min="7" max="7" width="8.28515625" style="3" customWidth="1"/>
    <col min="8" max="8" width="13.28515625" style="3" customWidth="1"/>
    <col min="9" max="9" width="12.5703125" style="6" customWidth="1"/>
    <col min="10" max="10" width="13.42578125" style="3" customWidth="1"/>
    <col min="11" max="11" width="15.28515625" style="3" bestFit="1" customWidth="1"/>
    <col min="12" max="12" width="10" style="3" customWidth="1"/>
    <col min="13" max="13" width="14.5703125" style="3" customWidth="1"/>
    <col min="14" max="14" width="10.5703125" style="3" customWidth="1"/>
    <col min="15" max="16384" width="8.85546875" style="3"/>
  </cols>
  <sheetData>
    <row r="1" spans="1:14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s="6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4"/>
      <c r="I2" s="4"/>
      <c r="J2" s="4"/>
      <c r="K2" s="5"/>
    </row>
    <row r="3" spans="1:14" s="6" customFormat="1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6" customFormat="1" ht="15" customHeight="1" x14ac:dyDescent="0.2">
      <c r="A4" s="5" t="s">
        <v>3</v>
      </c>
      <c r="B4" s="5"/>
      <c r="C4" s="5"/>
      <c r="D4" s="5"/>
      <c r="E4" s="5"/>
      <c r="F4" s="5"/>
      <c r="G4" s="5"/>
      <c r="H4" s="7"/>
      <c r="I4" s="7"/>
      <c r="J4" s="7"/>
      <c r="K4" s="5"/>
    </row>
    <row r="5" spans="1:14" s="6" customFormat="1" x14ac:dyDescent="0.2">
      <c r="I5" s="484"/>
    </row>
    <row r="6" spans="1:14" s="6" customFormat="1" x14ac:dyDescent="0.2">
      <c r="E6" s="9" t="s">
        <v>4</v>
      </c>
      <c r="F6" s="10" t="str">
        <f>+E6</f>
        <v>Forecasted</v>
      </c>
      <c r="G6" s="8"/>
      <c r="H6" s="8" t="s">
        <v>310</v>
      </c>
      <c r="I6" s="484" t="s">
        <v>5</v>
      </c>
      <c r="J6" s="8"/>
    </row>
    <row r="7" spans="1:14" s="6" customFormat="1" x14ac:dyDescent="0.2">
      <c r="A7" s="8" t="s">
        <v>6</v>
      </c>
      <c r="D7" s="8" t="s">
        <v>7</v>
      </c>
      <c r="E7" s="8" t="s">
        <v>8</v>
      </c>
      <c r="F7" s="10" t="s">
        <v>9</v>
      </c>
      <c r="G7" s="8" t="s">
        <v>10</v>
      </c>
      <c r="H7" s="8" t="s">
        <v>11</v>
      </c>
      <c r="I7" s="484" t="s">
        <v>12</v>
      </c>
      <c r="J7" s="8" t="s">
        <v>13</v>
      </c>
    </row>
    <row r="8" spans="1:14" s="6" customFormat="1" x14ac:dyDescent="0.2">
      <c r="A8" s="11" t="s">
        <v>14</v>
      </c>
      <c r="B8" s="491" t="s">
        <v>15</v>
      </c>
      <c r="C8" s="491"/>
      <c r="D8" s="11" t="s">
        <v>16</v>
      </c>
      <c r="E8" s="11" t="s">
        <v>17</v>
      </c>
      <c r="F8" s="11" t="s">
        <v>18</v>
      </c>
      <c r="G8" s="11" t="s">
        <v>19</v>
      </c>
      <c r="H8" s="11" t="s">
        <v>20</v>
      </c>
      <c r="I8" s="479" t="s">
        <v>21</v>
      </c>
      <c r="J8" s="11" t="s">
        <v>11</v>
      </c>
    </row>
    <row r="9" spans="1:14" s="6" customFormat="1" x14ac:dyDescent="0.2">
      <c r="A9" s="10"/>
      <c r="B9" s="10"/>
      <c r="C9" s="10" t="s">
        <v>22</v>
      </c>
      <c r="D9" s="10" t="s">
        <v>23</v>
      </c>
      <c r="E9" s="10" t="s">
        <v>24</v>
      </c>
      <c r="F9" s="10" t="s">
        <v>25</v>
      </c>
      <c r="G9" s="10" t="s">
        <v>26</v>
      </c>
      <c r="H9" s="10" t="s">
        <v>27</v>
      </c>
      <c r="I9" s="10" t="s">
        <v>28</v>
      </c>
      <c r="J9" s="10" t="s">
        <v>29</v>
      </c>
    </row>
    <row r="10" spans="1:14" s="6" customFormat="1" x14ac:dyDescent="0.2">
      <c r="A10" s="8">
        <v>1</v>
      </c>
      <c r="B10" s="6" t="s">
        <v>30</v>
      </c>
      <c r="D10" s="8" t="s">
        <v>31</v>
      </c>
      <c r="E10" s="12">
        <f>'Margin Revenue'!G10</f>
        <v>561414251</v>
      </c>
      <c r="F10" s="13">
        <f>+'Margin Revenue'!H10</f>
        <v>364982212.75791681</v>
      </c>
      <c r="G10" s="14">
        <f>F10/$F$48</f>
        <v>0.68887755851533727</v>
      </c>
      <c r="H10" s="15">
        <f>$H$50*G10</f>
        <v>0</v>
      </c>
      <c r="I10" s="16">
        <f>ROUND(H10/E10,5)</f>
        <v>0</v>
      </c>
      <c r="J10" s="15">
        <f>E10*(I10)</f>
        <v>0</v>
      </c>
      <c r="K10" s="17"/>
      <c r="L10" s="18"/>
      <c r="M10" s="19"/>
      <c r="N10" s="20"/>
    </row>
    <row r="11" spans="1:14" s="6" customFormat="1" x14ac:dyDescent="0.2">
      <c r="A11" s="8"/>
      <c r="D11" s="8"/>
      <c r="E11" s="21"/>
      <c r="F11" s="22"/>
      <c r="G11" s="14"/>
      <c r="H11" s="15"/>
      <c r="I11" s="16"/>
      <c r="J11" s="15"/>
      <c r="L11" s="18"/>
      <c r="M11" s="19"/>
      <c r="N11" s="20"/>
    </row>
    <row r="12" spans="1:14" s="6" customFormat="1" x14ac:dyDescent="0.2">
      <c r="A12" s="8">
        <v>2</v>
      </c>
      <c r="B12" s="6" t="s">
        <v>32</v>
      </c>
      <c r="D12" s="8" t="s">
        <v>33</v>
      </c>
      <c r="E12" s="12">
        <f>'Margin Revenue'!G13</f>
        <v>229680981</v>
      </c>
      <c r="F12" s="13">
        <f>+'Margin Revenue'!H13</f>
        <v>126255133.242742</v>
      </c>
      <c r="G12" s="14">
        <f>F12/$F$48</f>
        <v>0.2382974427194251</v>
      </c>
      <c r="H12" s="15">
        <f>$H$50*G12</f>
        <v>0</v>
      </c>
      <c r="I12" s="16">
        <f>ROUND(H12/E12,5)</f>
        <v>0</v>
      </c>
      <c r="J12" s="15">
        <f>E12*(I12)</f>
        <v>0</v>
      </c>
      <c r="K12" s="17"/>
      <c r="L12" s="18"/>
      <c r="M12" s="19"/>
      <c r="N12" s="20"/>
    </row>
    <row r="13" spans="1:14" s="6" customFormat="1" x14ac:dyDescent="0.2">
      <c r="A13" s="8"/>
      <c r="D13" s="8"/>
      <c r="E13" s="21"/>
      <c r="F13" s="23"/>
      <c r="G13" s="14"/>
      <c r="H13" s="15"/>
      <c r="I13" s="16"/>
      <c r="J13" s="15"/>
      <c r="L13" s="18"/>
      <c r="M13" s="19"/>
      <c r="N13" s="20"/>
    </row>
    <row r="14" spans="1:14" s="6" customFormat="1" x14ac:dyDescent="0.2">
      <c r="A14" s="8">
        <v>3</v>
      </c>
      <c r="B14" s="6" t="s">
        <v>34</v>
      </c>
      <c r="D14" s="8" t="s">
        <v>35</v>
      </c>
      <c r="E14" s="12">
        <f>'Margin Revenue'!G15</f>
        <v>83914230</v>
      </c>
      <c r="F14" s="13">
        <f>+'Margin Revenue'!H15</f>
        <v>22778011.057274926</v>
      </c>
      <c r="G14" s="14">
        <f>F14/F$48</f>
        <v>4.2991850277861378E-2</v>
      </c>
      <c r="H14" s="24">
        <f>$H$50*G14</f>
        <v>0</v>
      </c>
      <c r="I14" s="16">
        <f>ROUND(H14/E14,5)</f>
        <v>0</v>
      </c>
      <c r="J14" s="15">
        <f>E14*(I14)</f>
        <v>0</v>
      </c>
      <c r="K14" s="25"/>
      <c r="L14" s="18"/>
      <c r="M14" s="19"/>
      <c r="N14" s="20"/>
    </row>
    <row r="15" spans="1:14" s="6" customFormat="1" x14ac:dyDescent="0.2">
      <c r="A15" s="8"/>
      <c r="D15" s="8"/>
      <c r="E15" s="26"/>
      <c r="F15" s="13"/>
      <c r="G15" s="14"/>
      <c r="H15" s="24"/>
      <c r="I15" s="16"/>
      <c r="J15" s="15"/>
      <c r="L15" s="18"/>
      <c r="M15" s="19"/>
      <c r="N15" s="20"/>
    </row>
    <row r="16" spans="1:14" s="6" customFormat="1" x14ac:dyDescent="0.2">
      <c r="A16" s="8">
        <v>4</v>
      </c>
      <c r="B16" s="6" t="s">
        <v>36</v>
      </c>
      <c r="D16" s="8">
        <v>85</v>
      </c>
      <c r="E16" s="12"/>
      <c r="F16" s="13"/>
      <c r="G16" s="14"/>
      <c r="H16" s="24"/>
      <c r="I16" s="16"/>
      <c r="J16" s="15"/>
      <c r="L16" s="18"/>
      <c r="M16" s="19"/>
      <c r="N16" s="20"/>
    </row>
    <row r="17" spans="1:14" s="6" customFormat="1" x14ac:dyDescent="0.2">
      <c r="A17" s="8">
        <v>5</v>
      </c>
      <c r="C17" s="6" t="s">
        <v>37</v>
      </c>
      <c r="D17" s="8"/>
      <c r="E17" s="12">
        <f>'Sch 85 87 Rate Calc'!F11</f>
        <v>6766891.4937784234</v>
      </c>
      <c r="F17" s="13"/>
      <c r="G17" s="14"/>
      <c r="H17" s="23"/>
      <c r="I17" s="27">
        <f>'Sch 85 87 Rate Calc'!K11</f>
        <v>0</v>
      </c>
      <c r="J17" s="15"/>
      <c r="K17" s="26"/>
      <c r="L17" s="18"/>
      <c r="M17" s="19"/>
      <c r="N17" s="20"/>
    </row>
    <row r="18" spans="1:14" s="6" customFormat="1" x14ac:dyDescent="0.2">
      <c r="A18" s="8">
        <v>6</v>
      </c>
      <c r="C18" s="6" t="s">
        <v>38</v>
      </c>
      <c r="D18" s="8"/>
      <c r="E18" s="12">
        <f>'Sch 85 87 Rate Calc'!F12</f>
        <v>3986765.0034058425</v>
      </c>
      <c r="F18" s="13"/>
      <c r="G18" s="14"/>
      <c r="H18" s="23"/>
      <c r="I18" s="27">
        <f>'Sch 85 87 Rate Calc'!K12</f>
        <v>0</v>
      </c>
      <c r="J18" s="15"/>
      <c r="L18" s="18"/>
      <c r="M18" s="19"/>
      <c r="N18" s="20"/>
    </row>
    <row r="19" spans="1:14" s="6" customFormat="1" x14ac:dyDescent="0.2">
      <c r="A19" s="8">
        <v>7</v>
      </c>
      <c r="C19" s="6" t="s">
        <v>39</v>
      </c>
      <c r="D19" s="8"/>
      <c r="E19" s="28">
        <f>'Sch 85 87 Rate Calc'!F17</f>
        <v>6640096.5028157346</v>
      </c>
      <c r="F19" s="13"/>
      <c r="G19" s="14"/>
      <c r="H19" s="23"/>
      <c r="I19" s="27">
        <f>'Sch 85 87 Rate Calc'!K17</f>
        <v>0</v>
      </c>
      <c r="J19" s="15"/>
      <c r="L19" s="18"/>
      <c r="M19" s="19"/>
      <c r="N19" s="20"/>
    </row>
    <row r="20" spans="1:14" s="6" customFormat="1" x14ac:dyDescent="0.2">
      <c r="A20" s="8">
        <v>8</v>
      </c>
      <c r="C20" s="6" t="s">
        <v>40</v>
      </c>
      <c r="D20" s="8"/>
      <c r="E20" s="26">
        <f>SUM(E17:E19)</f>
        <v>17393753</v>
      </c>
      <c r="F20" s="13">
        <f>+'Margin Revenue'!H20</f>
        <v>1976900.5002439506</v>
      </c>
      <c r="G20" s="14">
        <f>F20/F$48</f>
        <v>3.7312568734385863E-3</v>
      </c>
      <c r="H20" s="24">
        <f>$H$50*G20</f>
        <v>0</v>
      </c>
      <c r="I20" s="16"/>
      <c r="J20" s="13">
        <f>'Sch 85 87 Rate Calc'!L18</f>
        <v>0</v>
      </c>
      <c r="L20" s="18"/>
      <c r="M20" s="19"/>
      <c r="N20" s="20"/>
    </row>
    <row r="21" spans="1:14" s="6" customFormat="1" x14ac:dyDescent="0.2">
      <c r="A21" s="8"/>
      <c r="D21" s="8"/>
      <c r="E21" s="26"/>
      <c r="F21" s="22"/>
      <c r="G21" s="14"/>
      <c r="H21" s="24"/>
      <c r="I21" s="16"/>
      <c r="J21" s="15"/>
      <c r="L21" s="18"/>
      <c r="M21" s="19"/>
      <c r="N21" s="20"/>
    </row>
    <row r="22" spans="1:14" s="6" customFormat="1" x14ac:dyDescent="0.2">
      <c r="A22" s="8">
        <v>9</v>
      </c>
      <c r="B22" s="6" t="s">
        <v>36</v>
      </c>
      <c r="D22" s="8" t="s">
        <v>41</v>
      </c>
      <c r="E22" s="29">
        <f>'Margin Revenue'!G17</f>
        <v>6379401</v>
      </c>
      <c r="F22" s="13">
        <f>'Margin Revenue'!H17</f>
        <v>1328419.9122781721</v>
      </c>
      <c r="G22" s="14">
        <f>F22/F$48</f>
        <v>2.5072966130004807E-3</v>
      </c>
      <c r="H22" s="24">
        <f>$H$50*G22</f>
        <v>0</v>
      </c>
      <c r="I22" s="16">
        <f>ROUND(H22/E22,5)</f>
        <v>0</v>
      </c>
      <c r="J22" s="15">
        <f>E22*(I22)</f>
        <v>0</v>
      </c>
      <c r="L22" s="18"/>
      <c r="M22" s="19"/>
      <c r="N22" s="20"/>
    </row>
    <row r="23" spans="1:14" s="6" customFormat="1" x14ac:dyDescent="0.2">
      <c r="A23" s="8"/>
      <c r="D23" s="8"/>
      <c r="E23" s="26"/>
      <c r="F23" s="13"/>
      <c r="G23" s="14"/>
      <c r="H23" s="24"/>
      <c r="I23" s="16"/>
      <c r="J23" s="15"/>
      <c r="L23" s="18"/>
      <c r="M23" s="19"/>
      <c r="N23" s="20"/>
    </row>
    <row r="24" spans="1:14" s="6" customFormat="1" x14ac:dyDescent="0.2">
      <c r="A24" s="8">
        <v>10</v>
      </c>
      <c r="B24" s="6" t="s">
        <v>36</v>
      </c>
      <c r="D24" s="8">
        <v>87</v>
      </c>
      <c r="E24" s="26"/>
      <c r="F24" s="13"/>
      <c r="G24" s="14"/>
      <c r="H24" s="24"/>
      <c r="I24" s="16"/>
      <c r="J24" s="15"/>
      <c r="L24" s="18"/>
      <c r="M24" s="19"/>
      <c r="N24" s="20"/>
    </row>
    <row r="25" spans="1:14" s="6" customFormat="1" x14ac:dyDescent="0.2">
      <c r="A25" s="8">
        <v>11</v>
      </c>
      <c r="C25" s="6" t="s">
        <v>37</v>
      </c>
      <c r="D25" s="8"/>
      <c r="E25" s="12">
        <f>'Sch 85 87 Rate Calc'!F21</f>
        <v>1114987.4718052619</v>
      </c>
      <c r="F25" s="13"/>
      <c r="G25" s="14"/>
      <c r="H25" s="24"/>
      <c r="I25" s="27">
        <f>'Sch 85 87 Rate Calc'!K21</f>
        <v>0</v>
      </c>
      <c r="J25" s="15"/>
      <c r="L25" s="18"/>
      <c r="M25" s="19"/>
      <c r="N25" s="20"/>
    </row>
    <row r="26" spans="1:14" s="6" customFormat="1" x14ac:dyDescent="0.2">
      <c r="A26" s="8">
        <v>12</v>
      </c>
      <c r="C26" s="6" t="s">
        <v>38</v>
      </c>
      <c r="D26" s="8"/>
      <c r="E26" s="12">
        <f>'Sch 85 87 Rate Calc'!F22</f>
        <v>1114987.4718052619</v>
      </c>
      <c r="F26" s="13"/>
      <c r="G26" s="14"/>
      <c r="H26" s="24"/>
      <c r="I26" s="27">
        <f>'Sch 85 87 Rate Calc'!K22</f>
        <v>0</v>
      </c>
      <c r="J26" s="15"/>
      <c r="L26" s="18"/>
      <c r="M26" s="19"/>
      <c r="N26" s="20"/>
    </row>
    <row r="27" spans="1:14" s="6" customFormat="1" x14ac:dyDescent="0.2">
      <c r="A27" s="8">
        <v>13</v>
      </c>
      <c r="C27" s="6" t="s">
        <v>42</v>
      </c>
      <c r="D27" s="8"/>
      <c r="E27" s="12">
        <f>'Sch 85 87 Rate Calc'!F23</f>
        <v>2087608.6974292956</v>
      </c>
      <c r="F27" s="13"/>
      <c r="G27" s="14"/>
      <c r="H27" s="24"/>
      <c r="I27" s="27">
        <f>'Sch 85 87 Rate Calc'!K23</f>
        <v>0</v>
      </c>
      <c r="J27" s="15"/>
      <c r="L27" s="18"/>
      <c r="M27" s="19"/>
      <c r="N27" s="20"/>
    </row>
    <row r="28" spans="1:14" s="6" customFormat="1" x14ac:dyDescent="0.2">
      <c r="A28" s="8">
        <v>14</v>
      </c>
      <c r="C28" s="6" t="s">
        <v>43</v>
      </c>
      <c r="D28" s="8"/>
      <c r="E28" s="12">
        <f>'Sch 85 87 Rate Calc'!F24</f>
        <v>2883898.3710122332</v>
      </c>
      <c r="F28" s="13"/>
      <c r="G28" s="14"/>
      <c r="H28" s="24"/>
      <c r="I28" s="27">
        <f>'Sch 85 87 Rate Calc'!K24</f>
        <v>0</v>
      </c>
      <c r="J28" s="15"/>
      <c r="L28" s="18"/>
      <c r="M28" s="19"/>
      <c r="N28" s="20"/>
    </row>
    <row r="29" spans="1:14" s="6" customFormat="1" x14ac:dyDescent="0.2">
      <c r="A29" s="8">
        <v>15</v>
      </c>
      <c r="C29" s="6" t="s">
        <v>44</v>
      </c>
      <c r="D29" s="8"/>
      <c r="E29" s="12">
        <f>'Sch 85 87 Rate Calc'!F25</f>
        <v>3520491.1764771822</v>
      </c>
      <c r="F29" s="13"/>
      <c r="G29" s="14"/>
      <c r="H29" s="24"/>
      <c r="I29" s="27">
        <f>'Sch 85 87 Rate Calc'!K25</f>
        <v>0</v>
      </c>
      <c r="J29" s="15"/>
      <c r="L29" s="18"/>
      <c r="M29" s="19"/>
      <c r="N29" s="20"/>
    </row>
    <row r="30" spans="1:14" s="6" customFormat="1" x14ac:dyDescent="0.2">
      <c r="A30" s="8">
        <v>16</v>
      </c>
      <c r="C30" s="6" t="s">
        <v>45</v>
      </c>
      <c r="D30" s="8"/>
      <c r="E30" s="28">
        <f>'Sch 85 87 Rate Calc'!F26</f>
        <v>7529714.8114707656</v>
      </c>
      <c r="F30" s="13"/>
      <c r="G30" s="14"/>
      <c r="H30" s="24"/>
      <c r="I30" s="27">
        <f>'Sch 85 87 Rate Calc'!K26</f>
        <v>0</v>
      </c>
      <c r="J30" s="15"/>
      <c r="L30" s="18"/>
      <c r="M30" s="19"/>
      <c r="N30" s="20"/>
    </row>
    <row r="31" spans="1:14" s="6" customFormat="1" x14ac:dyDescent="0.2">
      <c r="A31" s="8">
        <v>17</v>
      </c>
      <c r="C31" s="6" t="s">
        <v>40</v>
      </c>
      <c r="D31" s="8"/>
      <c r="E31" s="26">
        <f>SUM(E25:E30)</f>
        <v>18251688</v>
      </c>
      <c r="F31" s="13">
        <f>+'Margin Revenue'!H21</f>
        <v>1262969.4905798696</v>
      </c>
      <c r="G31" s="14">
        <f>F31/F$48</f>
        <v>2.3837636704972494E-3</v>
      </c>
      <c r="H31" s="24">
        <f>$H$50*G31</f>
        <v>0</v>
      </c>
      <c r="I31" s="16"/>
      <c r="J31" s="13">
        <f>'Sch 85 87 Rate Calc'!L27</f>
        <v>0</v>
      </c>
      <c r="L31" s="18"/>
      <c r="M31" s="19"/>
      <c r="N31" s="20"/>
    </row>
    <row r="32" spans="1:14" s="6" customFormat="1" x14ac:dyDescent="0.2">
      <c r="A32" s="8"/>
      <c r="D32" s="8"/>
      <c r="E32" s="26"/>
      <c r="F32" s="22"/>
      <c r="G32" s="14"/>
      <c r="H32" s="24"/>
      <c r="I32" s="16"/>
      <c r="J32" s="13"/>
      <c r="L32" s="30"/>
      <c r="M32" s="19"/>
      <c r="N32" s="20"/>
    </row>
    <row r="33" spans="1:14" s="6" customFormat="1" x14ac:dyDescent="0.2">
      <c r="A33" s="8">
        <f>A31+1</f>
        <v>18</v>
      </c>
      <c r="B33" s="6" t="s">
        <v>46</v>
      </c>
      <c r="D33" s="8" t="s">
        <v>47</v>
      </c>
      <c r="E33" s="26"/>
      <c r="F33" s="22"/>
      <c r="G33" s="14"/>
      <c r="H33" s="24"/>
      <c r="I33" s="16"/>
      <c r="J33" s="13"/>
      <c r="L33" s="30"/>
      <c r="M33" s="19"/>
      <c r="N33" s="20"/>
    </row>
    <row r="34" spans="1:14" s="6" customFormat="1" x14ac:dyDescent="0.2">
      <c r="A34" s="8">
        <f>A33+1</f>
        <v>19</v>
      </c>
      <c r="C34" s="6" t="s">
        <v>37</v>
      </c>
      <c r="D34" s="8"/>
      <c r="E34" s="12">
        <f>'Sch 85 87 Rate Calc'!F30</f>
        <v>21536052.476621006</v>
      </c>
      <c r="F34" s="22"/>
      <c r="G34" s="14"/>
      <c r="H34" s="24"/>
      <c r="I34" s="31">
        <f>'Sch 85 87 Rate Calc'!K30</f>
        <v>0</v>
      </c>
      <c r="J34" s="13"/>
      <c r="L34" s="30"/>
      <c r="M34" s="19"/>
      <c r="N34" s="20"/>
    </row>
    <row r="35" spans="1:14" s="6" customFormat="1" x14ac:dyDescent="0.2">
      <c r="A35" s="8">
        <f>A34+1</f>
        <v>20</v>
      </c>
      <c r="C35" s="6" t="s">
        <v>38</v>
      </c>
      <c r="D35" s="8"/>
      <c r="E35" s="12">
        <f>'Sch 85 87 Rate Calc'!F31</f>
        <v>14196989.43645848</v>
      </c>
      <c r="F35" s="22"/>
      <c r="G35" s="14"/>
      <c r="H35" s="24"/>
      <c r="I35" s="31">
        <f>'Sch 85 87 Rate Calc'!K31</f>
        <v>0</v>
      </c>
      <c r="J35" s="13"/>
      <c r="L35" s="30"/>
      <c r="M35" s="19"/>
      <c r="N35" s="20"/>
    </row>
    <row r="36" spans="1:14" s="6" customFormat="1" x14ac:dyDescent="0.2">
      <c r="A36" s="8">
        <f>A35+1</f>
        <v>21</v>
      </c>
      <c r="C36" s="6" t="s">
        <v>39</v>
      </c>
      <c r="D36" s="8"/>
      <c r="E36" s="28">
        <f>'Sch 85 87 Rate Calc'!F36</f>
        <v>20110953.086920518</v>
      </c>
      <c r="F36" s="22"/>
      <c r="G36" s="14"/>
      <c r="H36" s="24"/>
      <c r="I36" s="31">
        <f>'Sch 85 87 Rate Calc'!K36</f>
        <v>0</v>
      </c>
      <c r="J36" s="13"/>
      <c r="L36" s="30"/>
      <c r="M36" s="19"/>
      <c r="N36" s="20"/>
    </row>
    <row r="37" spans="1:14" s="6" customFormat="1" x14ac:dyDescent="0.2">
      <c r="A37" s="8">
        <f>A36+1</f>
        <v>22</v>
      </c>
      <c r="C37" s="6" t="s">
        <v>40</v>
      </c>
      <c r="D37" s="8"/>
      <c r="E37" s="26">
        <f>SUM(E34:E36)</f>
        <v>55843995</v>
      </c>
      <c r="F37" s="13">
        <f>+'Margin Revenue'!H25</f>
        <v>5950007.2064976655</v>
      </c>
      <c r="G37" s="14">
        <f>F37/F$48</f>
        <v>1.1230208745211972E-2</v>
      </c>
      <c r="H37" s="24">
        <f>$H$50*G37</f>
        <v>0</v>
      </c>
      <c r="I37" s="16"/>
      <c r="J37" s="13">
        <f>'Sch 85 87 Rate Calc'!L37</f>
        <v>0</v>
      </c>
      <c r="L37" s="18"/>
      <c r="M37" s="19"/>
      <c r="N37" s="20"/>
    </row>
    <row r="38" spans="1:14" s="6" customFormat="1" x14ac:dyDescent="0.2">
      <c r="A38" s="8"/>
      <c r="D38" s="8"/>
      <c r="E38" s="26"/>
      <c r="F38" s="22"/>
      <c r="G38" s="14"/>
      <c r="H38" s="24"/>
      <c r="I38" s="16"/>
      <c r="J38" s="13"/>
      <c r="L38" s="30"/>
      <c r="M38" s="19"/>
      <c r="N38" s="20"/>
    </row>
    <row r="39" spans="1:14" s="6" customFormat="1" x14ac:dyDescent="0.2">
      <c r="A39" s="8">
        <f>A37+1</f>
        <v>23</v>
      </c>
      <c r="B39" s="6" t="s">
        <v>46</v>
      </c>
      <c r="D39" s="8" t="s">
        <v>48</v>
      </c>
      <c r="E39" s="26"/>
      <c r="F39" s="22"/>
      <c r="G39" s="14"/>
      <c r="H39" s="24"/>
      <c r="I39" s="16"/>
      <c r="J39" s="13"/>
      <c r="L39" s="30"/>
      <c r="M39" s="19"/>
      <c r="N39" s="20"/>
    </row>
    <row r="40" spans="1:14" s="6" customFormat="1" x14ac:dyDescent="0.2">
      <c r="A40" s="8">
        <f t="shared" ref="A40:A46" si="0">A39+1</f>
        <v>24</v>
      </c>
      <c r="C40" s="6" t="s">
        <v>37</v>
      </c>
      <c r="D40" s="8"/>
      <c r="E40" s="12">
        <f>'Sch 85 87 Rate Calc'!F40</f>
        <v>3497798.1513156076</v>
      </c>
      <c r="F40" s="22"/>
      <c r="G40" s="14"/>
      <c r="H40" s="24"/>
      <c r="I40" s="31">
        <f>'Sch 85 87 Rate Calc'!K40</f>
        <v>0</v>
      </c>
      <c r="J40" s="13"/>
      <c r="L40" s="30"/>
      <c r="M40" s="19"/>
      <c r="N40" s="20"/>
    </row>
    <row r="41" spans="1:14" s="6" customFormat="1" x14ac:dyDescent="0.2">
      <c r="A41" s="8">
        <f t="shared" si="0"/>
        <v>25</v>
      </c>
      <c r="C41" s="6" t="s">
        <v>38</v>
      </c>
      <c r="D41" s="8"/>
      <c r="E41" s="12">
        <f>'Sch 85 87 Rate Calc'!F41</f>
        <v>3497798.1513156076</v>
      </c>
      <c r="F41" s="22"/>
      <c r="G41" s="14"/>
      <c r="H41" s="24"/>
      <c r="I41" s="31">
        <f>'Sch 85 87 Rate Calc'!K41</f>
        <v>0</v>
      </c>
      <c r="J41" s="13"/>
      <c r="L41" s="30"/>
      <c r="M41" s="19"/>
      <c r="N41" s="20"/>
    </row>
    <row r="42" spans="1:14" s="6" customFormat="1" x14ac:dyDescent="0.2">
      <c r="A42" s="8">
        <f t="shared" si="0"/>
        <v>26</v>
      </c>
      <c r="C42" s="6" t="s">
        <v>42</v>
      </c>
      <c r="D42" s="8"/>
      <c r="E42" s="12">
        <f>'Sch 85 87 Rate Calc'!F42</f>
        <v>6995596.3026312152</v>
      </c>
      <c r="F42" s="22"/>
      <c r="G42" s="14"/>
      <c r="H42" s="24"/>
      <c r="I42" s="31">
        <f>'Sch 85 87 Rate Calc'!K42</f>
        <v>0</v>
      </c>
      <c r="J42" s="13"/>
      <c r="L42" s="30"/>
      <c r="M42" s="19"/>
      <c r="N42" s="20"/>
    </row>
    <row r="43" spans="1:14" s="6" customFormat="1" x14ac:dyDescent="0.2">
      <c r="A43" s="8">
        <f t="shared" si="0"/>
        <v>27</v>
      </c>
      <c r="C43" s="6" t="s">
        <v>43</v>
      </c>
      <c r="D43" s="8"/>
      <c r="E43" s="12">
        <f>'Sch 85 87 Rate Calc'!F43</f>
        <v>13360036.973803859</v>
      </c>
      <c r="F43" s="22"/>
      <c r="G43" s="14"/>
      <c r="H43" s="24"/>
      <c r="I43" s="31">
        <f>'Sch 85 87 Rate Calc'!K43</f>
        <v>0</v>
      </c>
      <c r="J43" s="13"/>
      <c r="L43" s="30"/>
      <c r="M43" s="19"/>
      <c r="N43" s="20"/>
    </row>
    <row r="44" spans="1:14" s="6" customFormat="1" x14ac:dyDescent="0.2">
      <c r="A44" s="8">
        <f t="shared" si="0"/>
        <v>28</v>
      </c>
      <c r="C44" s="6" t="s">
        <v>44</v>
      </c>
      <c r="D44" s="8"/>
      <c r="E44" s="12">
        <f>'Sch 85 87 Rate Calc'!F44</f>
        <v>29714855.804310955</v>
      </c>
      <c r="F44" s="22"/>
      <c r="G44" s="14"/>
      <c r="H44" s="24"/>
      <c r="I44" s="31">
        <f>'Sch 85 87 Rate Calc'!K44</f>
        <v>0</v>
      </c>
      <c r="J44" s="13"/>
      <c r="L44" s="30"/>
      <c r="M44" s="19"/>
      <c r="N44" s="20"/>
    </row>
    <row r="45" spans="1:14" s="6" customFormat="1" x14ac:dyDescent="0.2">
      <c r="A45" s="8">
        <f t="shared" si="0"/>
        <v>29</v>
      </c>
      <c r="C45" s="6" t="s">
        <v>45</v>
      </c>
      <c r="D45" s="8"/>
      <c r="E45" s="28">
        <f>'Sch 85 87 Rate Calc'!F45</f>
        <v>50568823.616622761</v>
      </c>
      <c r="F45" s="22"/>
      <c r="G45" s="14"/>
      <c r="H45" s="24"/>
      <c r="I45" s="31">
        <f>'Sch 85 87 Rate Calc'!K45</f>
        <v>0</v>
      </c>
      <c r="J45" s="13"/>
      <c r="L45" s="30"/>
      <c r="M45" s="19"/>
      <c r="N45" s="20"/>
    </row>
    <row r="46" spans="1:14" s="6" customFormat="1" x14ac:dyDescent="0.2">
      <c r="A46" s="8">
        <f t="shared" si="0"/>
        <v>30</v>
      </c>
      <c r="C46" s="6" t="s">
        <v>40</v>
      </c>
      <c r="D46" s="8"/>
      <c r="E46" s="26">
        <f>SUM(E40:E45)</f>
        <v>107634909</v>
      </c>
      <c r="F46" s="13">
        <f>+'Margin Revenue'!H26</f>
        <v>5287949.4633399947</v>
      </c>
      <c r="G46" s="14">
        <f>F46/F$48</f>
        <v>9.9806225852279665E-3</v>
      </c>
      <c r="H46" s="24">
        <f>$H$50*G46</f>
        <v>0</v>
      </c>
      <c r="I46" s="16"/>
      <c r="J46" s="13">
        <f>'Sch 85 87 Rate Calc'!L46</f>
        <v>0</v>
      </c>
      <c r="L46" s="18"/>
      <c r="M46" s="19"/>
      <c r="N46" s="20"/>
    </row>
    <row r="47" spans="1:14" s="6" customFormat="1" x14ac:dyDescent="0.2">
      <c r="A47" s="8"/>
      <c r="E47" s="32"/>
      <c r="F47" s="33"/>
      <c r="G47" s="34"/>
      <c r="H47" s="35"/>
      <c r="I47" s="36"/>
      <c r="J47" s="35"/>
      <c r="K47" s="33"/>
      <c r="L47" s="18"/>
      <c r="M47" s="37"/>
      <c r="N47" s="20"/>
    </row>
    <row r="48" spans="1:14" s="6" customFormat="1" x14ac:dyDescent="0.2">
      <c r="A48" s="8">
        <f>A46+1</f>
        <v>31</v>
      </c>
      <c r="C48" s="6" t="s">
        <v>40</v>
      </c>
      <c r="E48" s="38">
        <f>E10+E12+E14+E20+E22+E31+E37+E46</f>
        <v>1080513208</v>
      </c>
      <c r="F48" s="39">
        <f>F10+F12+F14+F20+F22+F31+F37+F46</f>
        <v>529821603.63087338</v>
      </c>
      <c r="G48" s="14">
        <f>SUM(G10:G47)</f>
        <v>0.99999999999999989</v>
      </c>
      <c r="H48" s="39">
        <f>H10+H12+H14+H20+H22+H31+H37+H46</f>
        <v>0</v>
      </c>
      <c r="I48" s="16">
        <f>ROUND(J48/E48,5)</f>
        <v>0</v>
      </c>
      <c r="J48" s="39">
        <f>J10+J12+J14+J20+J22+J31+J37+J46</f>
        <v>0</v>
      </c>
      <c r="K48" s="40">
        <f>J48-H48</f>
        <v>0</v>
      </c>
      <c r="L48" s="18"/>
      <c r="M48" s="19"/>
      <c r="N48" s="20"/>
    </row>
    <row r="49" spans="1:13" s="6" customFormat="1" x14ac:dyDescent="0.2">
      <c r="A49" s="8"/>
      <c r="E49" s="41"/>
      <c r="F49" s="42"/>
      <c r="G49" s="41"/>
      <c r="H49" s="41"/>
      <c r="I49" s="41"/>
      <c r="J49" s="41"/>
      <c r="K49" s="43">
        <f>IF(H48=0,0,K48/H48)</f>
        <v>0</v>
      </c>
      <c r="M49" s="44"/>
    </row>
    <row r="50" spans="1:13" s="6" customFormat="1" ht="15" customHeight="1" x14ac:dyDescent="0.2">
      <c r="A50" s="8">
        <f>A48+1</f>
        <v>32</v>
      </c>
      <c r="C50" s="6" t="s">
        <v>311</v>
      </c>
      <c r="E50" s="41"/>
      <c r="F50" s="42"/>
      <c r="G50" s="41"/>
      <c r="H50" s="13">
        <f>'Revenue Requirement'!D13</f>
        <v>0</v>
      </c>
      <c r="I50" s="41"/>
      <c r="J50" s="45"/>
      <c r="K50" s="41"/>
    </row>
    <row r="51" spans="1:13" s="6" customFormat="1" x14ac:dyDescent="0.2">
      <c r="H51" s="23"/>
      <c r="M51" s="44"/>
    </row>
    <row r="52" spans="1:13" x14ac:dyDescent="0.2">
      <c r="A52" s="46"/>
      <c r="C52" s="47"/>
      <c r="D52" s="47"/>
      <c r="E52" s="47"/>
      <c r="F52" s="47"/>
      <c r="G52" s="47"/>
    </row>
    <row r="53" spans="1:13" x14ac:dyDescent="0.2">
      <c r="B53" s="41"/>
      <c r="C53" s="41"/>
      <c r="G53" s="47"/>
    </row>
    <row r="54" spans="1:13" x14ac:dyDescent="0.2">
      <c r="B54" s="41"/>
      <c r="C54" s="48"/>
      <c r="D54" s="49"/>
      <c r="E54" s="49"/>
      <c r="G54" s="47"/>
    </row>
    <row r="55" spans="1:13" x14ac:dyDescent="0.2">
      <c r="B55" s="41"/>
      <c r="C55" s="49"/>
      <c r="D55" s="41"/>
      <c r="E55" s="41"/>
      <c r="F55" s="47"/>
      <c r="G55" s="47"/>
    </row>
    <row r="56" spans="1:13" x14ac:dyDescent="0.2">
      <c r="B56" s="41"/>
      <c r="C56" s="49"/>
      <c r="D56" s="50"/>
      <c r="E56" s="51"/>
      <c r="G56" s="47"/>
    </row>
    <row r="57" spans="1:13" x14ac:dyDescent="0.2">
      <c r="B57" s="47"/>
      <c r="C57" s="47"/>
      <c r="D57" s="50"/>
      <c r="E57" s="51"/>
      <c r="G57" s="47"/>
    </row>
    <row r="58" spans="1:13" x14ac:dyDescent="0.2">
      <c r="D58" s="50"/>
      <c r="E58" s="51"/>
    </row>
    <row r="59" spans="1:13" x14ac:dyDescent="0.2">
      <c r="D59" s="49"/>
      <c r="E59" s="49"/>
    </row>
    <row r="60" spans="1:13" x14ac:dyDescent="0.2">
      <c r="D60" s="49"/>
      <c r="E60" s="49"/>
    </row>
    <row r="61" spans="1:13" x14ac:dyDescent="0.2">
      <c r="D61" s="49"/>
      <c r="E61" s="49"/>
    </row>
  </sheetData>
  <mergeCells count="1">
    <mergeCell ref="B8:C8"/>
  </mergeCells>
  <printOptions horizontalCentered="1"/>
  <pageMargins left="0.75" right="0.75" top="1" bottom="1" header="0.5" footer="0.5"/>
  <pageSetup scale="75" orientation="portrait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="90" zoomScaleNormal="90" zoomScaleSheetLayoutView="144" workbookViewId="0">
      <selection activeCell="E21" sqref="E21"/>
    </sheetView>
  </sheetViews>
  <sheetFormatPr defaultRowHeight="15.75" x14ac:dyDescent="0.25"/>
  <cols>
    <col min="1" max="1" width="9.140625" style="459"/>
    <col min="2" max="2" width="51" style="459" customWidth="1"/>
    <col min="3" max="3" width="15.42578125" style="459" bestFit="1" customWidth="1"/>
    <col min="4" max="5" width="16" style="459" bestFit="1" customWidth="1"/>
    <col min="6" max="6" width="9.140625" style="459"/>
    <col min="7" max="9" width="14.28515625" style="459" bestFit="1" customWidth="1"/>
    <col min="10" max="10" width="9.140625" style="459"/>
    <col min="11" max="13" width="15.140625" style="459" bestFit="1" customWidth="1"/>
    <col min="14" max="16384" width="9.140625" style="459"/>
  </cols>
  <sheetData>
    <row r="1" spans="2:5" x14ac:dyDescent="0.25">
      <c r="B1" s="457" t="s">
        <v>0</v>
      </c>
      <c r="C1" s="458"/>
      <c r="D1" s="458"/>
      <c r="E1" s="458"/>
    </row>
    <row r="2" spans="2:5" x14ac:dyDescent="0.25">
      <c r="B2" s="460" t="s">
        <v>292</v>
      </c>
      <c r="C2" s="458"/>
      <c r="D2" s="458"/>
      <c r="E2" s="458"/>
    </row>
    <row r="3" spans="2:5" x14ac:dyDescent="0.25">
      <c r="B3" s="460" t="s">
        <v>293</v>
      </c>
      <c r="C3" s="458"/>
      <c r="D3" s="458"/>
      <c r="E3" s="458"/>
    </row>
    <row r="4" spans="2:5" x14ac:dyDescent="0.25">
      <c r="B4" s="461"/>
      <c r="C4" s="461"/>
      <c r="D4" s="461"/>
      <c r="E4" s="461"/>
    </row>
    <row r="5" spans="2:5" x14ac:dyDescent="0.25">
      <c r="B5" s="461"/>
      <c r="C5" s="461"/>
      <c r="D5" s="461"/>
      <c r="E5" s="461"/>
    </row>
    <row r="6" spans="2:5" x14ac:dyDescent="0.25">
      <c r="B6" s="462" t="s">
        <v>216</v>
      </c>
      <c r="C6" s="462" t="s">
        <v>205</v>
      </c>
      <c r="D6" s="462" t="s">
        <v>206</v>
      </c>
      <c r="E6" s="462" t="s">
        <v>294</v>
      </c>
    </row>
    <row r="7" spans="2:5" x14ac:dyDescent="0.25">
      <c r="B7" s="461"/>
      <c r="C7" s="461"/>
      <c r="D7" s="461"/>
      <c r="E7" s="461"/>
    </row>
    <row r="8" spans="2:5" x14ac:dyDescent="0.25">
      <c r="B8" s="461" t="s">
        <v>295</v>
      </c>
      <c r="C8" s="463">
        <v>24015109.303887352</v>
      </c>
      <c r="D8" s="463">
        <v>6664416.3543475075</v>
      </c>
      <c r="E8" s="463">
        <f>SUM(C8:D8)</f>
        <v>30679525.658234861</v>
      </c>
    </row>
    <row r="9" spans="2:5" x14ac:dyDescent="0.25">
      <c r="B9" s="461" t="s">
        <v>296</v>
      </c>
      <c r="C9" s="464">
        <v>0</v>
      </c>
      <c r="D9" s="464">
        <v>0</v>
      </c>
      <c r="E9" s="464">
        <f t="shared" ref="E9:E11" si="0">SUM(C9:D9)</f>
        <v>0</v>
      </c>
    </row>
    <row r="10" spans="2:5" x14ac:dyDescent="0.25">
      <c r="B10" s="461" t="s">
        <v>297</v>
      </c>
      <c r="C10" s="464">
        <v>-8572668.1774703581</v>
      </c>
      <c r="D10" s="464">
        <v>-15429090.508240551</v>
      </c>
      <c r="E10" s="464">
        <f t="shared" si="0"/>
        <v>-24001758.685710907</v>
      </c>
    </row>
    <row r="11" spans="2:5" x14ac:dyDescent="0.25">
      <c r="B11" s="461" t="s">
        <v>298</v>
      </c>
      <c r="C11" s="464">
        <v>0</v>
      </c>
      <c r="D11" s="464">
        <v>0</v>
      </c>
      <c r="E11" s="464">
        <f t="shared" si="0"/>
        <v>0</v>
      </c>
    </row>
    <row r="12" spans="2:5" x14ac:dyDescent="0.25">
      <c r="B12" s="461" t="s">
        <v>306</v>
      </c>
      <c r="C12" s="465"/>
      <c r="D12" s="465">
        <f>-SUM(D8:D11)</f>
        <v>8764674.1538930424</v>
      </c>
      <c r="E12" s="465">
        <f>SUM(C12:D12)</f>
        <v>8764674.1538930424</v>
      </c>
    </row>
    <row r="13" spans="2:5" x14ac:dyDescent="0.25">
      <c r="B13" s="466" t="s">
        <v>299</v>
      </c>
      <c r="C13" s="467">
        <f>SUM(C8:C10)-C11+C12</f>
        <v>15442441.126416994</v>
      </c>
      <c r="D13" s="478">
        <f>SUM(D8:D10)-D11+D12</f>
        <v>0</v>
      </c>
      <c r="E13" s="467">
        <f>SUM(E8:E10)-E11+E12</f>
        <v>15442441.126416996</v>
      </c>
    </row>
    <row r="14" spans="2:5" x14ac:dyDescent="0.25">
      <c r="B14" s="461"/>
      <c r="C14" s="464"/>
      <c r="D14" s="464"/>
      <c r="E14" s="464"/>
    </row>
    <row r="15" spans="2:5" ht="16.5" thickBot="1" x14ac:dyDescent="0.3">
      <c r="B15" s="461" t="s">
        <v>300</v>
      </c>
      <c r="C15" s="468">
        <v>11937090.611619256</v>
      </c>
      <c r="D15" s="468">
        <v>14004477.433514832</v>
      </c>
      <c r="E15" s="468">
        <f t="shared" ref="E15:E16" si="1">SUM(C15:D15)</f>
        <v>25941568.04513409</v>
      </c>
    </row>
    <row r="16" spans="2:5" ht="16.5" thickTop="1" x14ac:dyDescent="0.25">
      <c r="B16" s="469" t="s">
        <v>301</v>
      </c>
      <c r="C16" s="470">
        <f>C13-C15</f>
        <v>3505350.5147977378</v>
      </c>
      <c r="D16" s="470">
        <f>D13-D15</f>
        <v>-14004477.433514832</v>
      </c>
      <c r="E16" s="470">
        <f t="shared" si="1"/>
        <v>-10499126.918717094</v>
      </c>
    </row>
    <row r="17" spans="2:5" x14ac:dyDescent="0.25">
      <c r="B17" s="461"/>
      <c r="C17" s="461"/>
      <c r="D17" s="461"/>
      <c r="E17" s="461"/>
    </row>
    <row r="18" spans="2:5" x14ac:dyDescent="0.25">
      <c r="B18" s="461"/>
      <c r="C18" s="461"/>
      <c r="D18" s="461"/>
      <c r="E18" s="461"/>
    </row>
    <row r="25" spans="2:5" x14ac:dyDescent="0.25">
      <c r="B25" s="471" t="s">
        <v>302</v>
      </c>
      <c r="C25" s="471"/>
      <c r="D25" s="471"/>
      <c r="E25" s="471"/>
    </row>
    <row r="26" spans="2:5" x14ac:dyDescent="0.25">
      <c r="B26" s="471" t="s">
        <v>307</v>
      </c>
      <c r="C26" s="472">
        <v>3951754.6922680959</v>
      </c>
      <c r="D26" s="472">
        <v>-9098251.079167325</v>
      </c>
      <c r="E26" s="472">
        <v>-5146496.3868992291</v>
      </c>
    </row>
    <row r="27" spans="2:5" x14ac:dyDescent="0.25">
      <c r="B27" s="471" t="s">
        <v>303</v>
      </c>
      <c r="C27" s="473">
        <v>-8572668.1774703581</v>
      </c>
      <c r="D27" s="473">
        <v>-15429090.508240551</v>
      </c>
      <c r="E27" s="473">
        <f>SUM(C27:D27)</f>
        <v>-24001758.685710907</v>
      </c>
    </row>
    <row r="28" spans="2:5" x14ac:dyDescent="0.25">
      <c r="B28" s="471" t="s">
        <v>304</v>
      </c>
      <c r="C28" s="473">
        <v>8126264</v>
      </c>
      <c r="D28" s="473">
        <v>1758190</v>
      </c>
      <c r="E28" s="473">
        <f>SUM(C28:D28)</f>
        <v>9884454</v>
      </c>
    </row>
    <row r="29" spans="2:5" x14ac:dyDescent="0.25">
      <c r="B29" s="471" t="s">
        <v>306</v>
      </c>
      <c r="C29" s="473">
        <f>C12</f>
        <v>0</v>
      </c>
      <c r="D29" s="473">
        <f>D12</f>
        <v>8764674.1538930424</v>
      </c>
      <c r="E29" s="473">
        <f>SUM(C29:D29)</f>
        <v>8764674.1538930424</v>
      </c>
    </row>
    <row r="30" spans="2:5" ht="16.5" thickBot="1" x14ac:dyDescent="0.3">
      <c r="B30" s="471" t="s">
        <v>305</v>
      </c>
      <c r="C30" s="474">
        <f>SUM(C26:C28)</f>
        <v>3505350.5147977378</v>
      </c>
      <c r="D30" s="474">
        <f>SUM(D26:D29)</f>
        <v>-14004477.433514833</v>
      </c>
      <c r="E30" s="474">
        <f>SUM(E26:E29)</f>
        <v>-10499126.918717094</v>
      </c>
    </row>
    <row r="31" spans="2:5" ht="16.5" thickTop="1" x14ac:dyDescent="0.25">
      <c r="B31" s="471"/>
      <c r="C31" s="473">
        <f>C30-C16</f>
        <v>0</v>
      </c>
      <c r="D31" s="473">
        <f>D30-D16</f>
        <v>0</v>
      </c>
      <c r="E31" s="473">
        <f>E30-E16</f>
        <v>0</v>
      </c>
    </row>
    <row r="32" spans="2:5" x14ac:dyDescent="0.25">
      <c r="B32" s="461"/>
      <c r="C32" s="464"/>
      <c r="D32" s="464"/>
      <c r="E32" s="464"/>
    </row>
    <row r="33" spans="2:5" x14ac:dyDescent="0.25">
      <c r="B33" s="461"/>
      <c r="C33" s="464"/>
      <c r="D33" s="464"/>
      <c r="E33" s="464"/>
    </row>
    <row r="34" spans="2:5" x14ac:dyDescent="0.25">
      <c r="B34" s="461"/>
      <c r="C34" s="461"/>
      <c r="D34" s="461"/>
      <c r="E34" s="461"/>
    </row>
    <row r="35" spans="2:5" x14ac:dyDescent="0.25">
      <c r="B35" s="461"/>
      <c r="C35" s="461"/>
      <c r="D35" s="461"/>
      <c r="E35" s="461"/>
    </row>
    <row r="36" spans="2:5" x14ac:dyDescent="0.25">
      <c r="B36" s="461"/>
      <c r="C36" s="461"/>
      <c r="D36" s="461"/>
      <c r="E36" s="461"/>
    </row>
    <row r="37" spans="2:5" x14ac:dyDescent="0.25">
      <c r="B37" s="461"/>
      <c r="C37" s="461"/>
      <c r="D37" s="461"/>
      <c r="E37" s="461"/>
    </row>
    <row r="38" spans="2:5" x14ac:dyDescent="0.25">
      <c r="B38" s="461"/>
      <c r="C38" s="461"/>
      <c r="D38" s="461"/>
      <c r="E38" s="461"/>
    </row>
    <row r="39" spans="2:5" x14ac:dyDescent="0.25">
      <c r="B39" s="461"/>
      <c r="C39" s="461"/>
      <c r="D39" s="461"/>
      <c r="E39" s="461"/>
    </row>
    <row r="40" spans="2:5" x14ac:dyDescent="0.25">
      <c r="B40" s="461"/>
      <c r="C40" s="461"/>
      <c r="D40" s="461"/>
      <c r="E40" s="461"/>
    </row>
    <row r="41" spans="2:5" x14ac:dyDescent="0.25">
      <c r="B41" s="461"/>
      <c r="C41" s="461"/>
      <c r="D41" s="461"/>
      <c r="E41" s="461"/>
    </row>
    <row r="42" spans="2:5" x14ac:dyDescent="0.25">
      <c r="B42" s="461"/>
      <c r="C42" s="461"/>
      <c r="D42" s="461"/>
      <c r="E42" s="461"/>
    </row>
  </sheetData>
  <pageMargins left="0.7" right="0.7" top="0.75" bottom="0.75" header="0.3" footer="0.3"/>
  <pageSetup scale="96" orientation="portrait" horizontalDpi="4294967293" verticalDpi="1200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B36" sqref="B3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B36" sqref="B36"/>
      <selection pane="bottomLeft" activeCell="H12" sqref="H12"/>
    </sheetView>
  </sheetViews>
  <sheetFormatPr defaultColWidth="9.140625" defaultRowHeight="12.75" x14ac:dyDescent="0.2"/>
  <cols>
    <col min="1" max="1" width="2.42578125" style="3" customWidth="1"/>
    <col min="2" max="2" width="31.7109375" style="233" customWidth="1"/>
    <col min="3" max="3" width="9.7109375" style="233" customWidth="1"/>
    <col min="4" max="4" width="15.28515625" style="6" bestFit="1" customWidth="1"/>
    <col min="5" max="5" width="10.42578125" style="6" customWidth="1"/>
    <col min="6" max="6" width="13.7109375" style="233" bestFit="1" customWidth="1"/>
    <col min="7" max="7" width="2.85546875" style="234" customWidth="1"/>
    <col min="8" max="8" width="10.42578125" style="3" bestFit="1" customWidth="1"/>
    <col min="9" max="9" width="13.28515625" style="235" customWidth="1"/>
    <col min="10" max="10" width="2.85546875" style="236" customWidth="1"/>
    <col min="11" max="11" width="13.28515625" style="3" customWidth="1"/>
    <col min="12" max="12" width="10.42578125" style="237" customWidth="1"/>
    <col min="13" max="13" width="2.85546875" style="237" customWidth="1"/>
    <col min="14" max="14" width="14.5703125" style="3" customWidth="1"/>
    <col min="15" max="16384" width="9.140625" style="3"/>
  </cols>
  <sheetData>
    <row r="1" spans="2:23" x14ac:dyDescent="0.2"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  <c r="N1" s="2"/>
    </row>
    <row r="2" spans="2:23" x14ac:dyDescent="0.2">
      <c r="B2" s="230" t="s">
        <v>207</v>
      </c>
      <c r="C2" s="231"/>
      <c r="D2" s="7"/>
      <c r="E2" s="7"/>
      <c r="F2" s="231"/>
      <c r="G2" s="231"/>
      <c r="H2" s="231"/>
      <c r="I2" s="231"/>
      <c r="J2" s="231"/>
      <c r="K2" s="231"/>
      <c r="L2" s="231"/>
      <c r="M2" s="229"/>
      <c r="N2" s="2"/>
    </row>
    <row r="3" spans="2:23" x14ac:dyDescent="0.2">
      <c r="B3" s="230" t="s">
        <v>208</v>
      </c>
      <c r="C3" s="231"/>
      <c r="D3" s="7"/>
      <c r="E3" s="7"/>
      <c r="F3" s="231"/>
      <c r="G3" s="231"/>
      <c r="H3" s="231"/>
      <c r="I3" s="231"/>
      <c r="J3" s="231"/>
      <c r="K3" s="231"/>
      <c r="L3" s="231"/>
      <c r="M3" s="229"/>
      <c r="N3" s="2"/>
    </row>
    <row r="4" spans="2:23" x14ac:dyDescent="0.2">
      <c r="B4" s="230" t="s">
        <v>209</v>
      </c>
      <c r="C4" s="231"/>
      <c r="D4" s="7"/>
      <c r="E4" s="7"/>
      <c r="F4" s="231"/>
      <c r="G4" s="231"/>
      <c r="H4" s="231"/>
      <c r="I4" s="231"/>
      <c r="J4" s="231"/>
      <c r="K4" s="231"/>
      <c r="L4" s="231"/>
      <c r="M4" s="229"/>
      <c r="N4" s="2"/>
    </row>
    <row r="5" spans="2:23" x14ac:dyDescent="0.2">
      <c r="B5" s="230" t="s">
        <v>210</v>
      </c>
      <c r="C5" s="231"/>
      <c r="D5" s="7"/>
      <c r="E5" s="7"/>
      <c r="F5" s="231"/>
      <c r="G5" s="231"/>
      <c r="H5" s="231"/>
      <c r="I5" s="231"/>
      <c r="J5" s="231"/>
      <c r="K5" s="231"/>
      <c r="L5" s="231"/>
      <c r="M5" s="229"/>
      <c r="N5" s="232"/>
    </row>
    <row r="6" spans="2:23" x14ac:dyDescent="0.2">
      <c r="N6" s="49"/>
    </row>
    <row r="7" spans="2:23" ht="15" customHeight="1" x14ac:dyDescent="0.2">
      <c r="B7" s="238"/>
      <c r="C7" s="239"/>
      <c r="D7" s="240" t="s">
        <v>211</v>
      </c>
      <c r="E7" s="241" t="s">
        <v>212</v>
      </c>
      <c r="F7" s="242"/>
      <c r="G7" s="243"/>
      <c r="H7" s="244" t="s">
        <v>213</v>
      </c>
      <c r="I7" s="242"/>
      <c r="J7" s="245"/>
      <c r="K7" s="242" t="s">
        <v>214</v>
      </c>
      <c r="L7" s="246"/>
      <c r="M7" s="247"/>
      <c r="N7" s="248" t="s">
        <v>215</v>
      </c>
    </row>
    <row r="8" spans="2:23" x14ac:dyDescent="0.2">
      <c r="B8" s="249" t="s">
        <v>216</v>
      </c>
      <c r="C8" s="250" t="s">
        <v>217</v>
      </c>
      <c r="D8" s="11" t="s">
        <v>218</v>
      </c>
      <c r="E8" s="11" t="s">
        <v>21</v>
      </c>
      <c r="F8" s="251" t="s">
        <v>219</v>
      </c>
      <c r="G8" s="250"/>
      <c r="H8" s="250" t="s">
        <v>21</v>
      </c>
      <c r="I8" s="251" t="s">
        <v>219</v>
      </c>
      <c r="J8" s="251"/>
      <c r="K8" s="251" t="s">
        <v>220</v>
      </c>
      <c r="L8" s="252" t="s">
        <v>221</v>
      </c>
      <c r="M8" s="253"/>
      <c r="N8" s="254" t="s">
        <v>222</v>
      </c>
    </row>
    <row r="9" spans="2:23" x14ac:dyDescent="0.2">
      <c r="B9" s="49"/>
      <c r="C9" s="49"/>
      <c r="D9" s="41"/>
      <c r="E9" s="41"/>
      <c r="F9" s="49"/>
      <c r="H9" s="49"/>
      <c r="I9" s="236"/>
      <c r="K9" s="49"/>
      <c r="L9" s="255"/>
      <c r="M9" s="255"/>
      <c r="N9" s="49"/>
    </row>
    <row r="10" spans="2:23" x14ac:dyDescent="0.2">
      <c r="B10" s="256" t="s">
        <v>223</v>
      </c>
      <c r="C10" s="257"/>
      <c r="D10" s="169"/>
      <c r="E10" s="169"/>
      <c r="F10" s="258"/>
      <c r="G10" s="259"/>
      <c r="H10" s="169"/>
      <c r="I10" s="260"/>
      <c r="J10" s="260"/>
      <c r="K10" s="260"/>
      <c r="L10" s="261"/>
      <c r="M10" s="255"/>
      <c r="N10" s="49"/>
    </row>
    <row r="11" spans="2:23" x14ac:dyDescent="0.2">
      <c r="B11" s="262"/>
      <c r="C11" s="49"/>
      <c r="D11" s="41"/>
      <c r="E11" s="41"/>
      <c r="F11" s="49"/>
      <c r="G11" s="263"/>
      <c r="H11" s="41"/>
      <c r="I11" s="264"/>
      <c r="J11" s="264"/>
      <c r="K11" s="264"/>
      <c r="L11" s="265"/>
      <c r="M11" s="255"/>
      <c r="N11" s="248" t="s">
        <v>224</v>
      </c>
    </row>
    <row r="12" spans="2:23" x14ac:dyDescent="0.2">
      <c r="B12" s="266" t="s">
        <v>225</v>
      </c>
      <c r="C12" s="267" t="s">
        <v>226</v>
      </c>
      <c r="D12" s="51">
        <v>9634497.6315792762</v>
      </c>
      <c r="E12" s="268">
        <v>11.52</v>
      </c>
      <c r="F12" s="264">
        <f>SUM(+D12*E12)</f>
        <v>110989412.71579325</v>
      </c>
      <c r="H12" s="487">
        <v>12.5</v>
      </c>
      <c r="I12" s="264">
        <f>SUM(+D12*H12)</f>
        <v>120431220.39474095</v>
      </c>
      <c r="J12" s="264"/>
      <c r="K12" s="264">
        <f>I12-F12</f>
        <v>9441807.6789477021</v>
      </c>
      <c r="L12" s="270">
        <f>IFERROR(ROUND(K12/F12,5), )</f>
        <v>8.5070000000000007E-2</v>
      </c>
      <c r="M12" s="255"/>
      <c r="N12" s="271">
        <v>403617221.39551479</v>
      </c>
    </row>
    <row r="13" spans="2:23" x14ac:dyDescent="0.2">
      <c r="B13" s="262" t="s">
        <v>227</v>
      </c>
      <c r="C13" s="49" t="s">
        <v>8</v>
      </c>
      <c r="D13" s="234">
        <v>620836684.05687141</v>
      </c>
      <c r="E13" s="272">
        <v>0.41964000000000001</v>
      </c>
      <c r="F13" s="264">
        <f>ROUND(D13*E13,2)</f>
        <v>260527906.09999999</v>
      </c>
      <c r="H13" s="486">
        <f>ROUND((N12-I12-I20-I32)/D13, 5)</f>
        <v>0.45612999999999998</v>
      </c>
      <c r="I13" s="264">
        <f>ROUND(D13*H13,2)</f>
        <v>283182236.69999999</v>
      </c>
      <c r="J13" s="264"/>
      <c r="K13" s="264">
        <f>I13-F13</f>
        <v>22654330.599999994</v>
      </c>
      <c r="L13" s="270">
        <f>IFERROR(ROUND(K13/F13,5), )</f>
        <v>8.6959999999999996E-2</v>
      </c>
      <c r="M13" s="49"/>
      <c r="N13" s="274" t="s">
        <v>228</v>
      </c>
    </row>
    <row r="14" spans="2:23" x14ac:dyDescent="0.2">
      <c r="B14" s="275"/>
      <c r="C14" s="276"/>
      <c r="D14" s="51"/>
      <c r="E14" s="41"/>
      <c r="F14" s="277">
        <f>SUM(F12:F13)</f>
        <v>371517318.81579328</v>
      </c>
      <c r="H14" s="41"/>
      <c r="I14" s="277">
        <f>SUM(I12:I13)</f>
        <v>403613457.09474093</v>
      </c>
      <c r="J14" s="264"/>
      <c r="K14" s="277">
        <f>SUM(K12:K13)</f>
        <v>32096138.278947696</v>
      </c>
      <c r="L14" s="278">
        <f>IFERROR(ROUND(K14/F14,5), )</f>
        <v>8.6389999999999995E-2</v>
      </c>
      <c r="M14" s="49"/>
      <c r="N14" s="279">
        <f>I37-N12</f>
        <v>1468.8492261171341</v>
      </c>
    </row>
    <row r="15" spans="2:23" x14ac:dyDescent="0.2">
      <c r="B15" s="275"/>
      <c r="C15" s="280"/>
      <c r="D15" s="41"/>
      <c r="E15" s="272"/>
      <c r="F15" s="281"/>
      <c r="H15" s="41"/>
      <c r="I15" s="264"/>
      <c r="J15" s="264"/>
      <c r="K15" s="264"/>
      <c r="L15" s="265"/>
      <c r="M15" s="282"/>
    </row>
    <row r="16" spans="2:23" x14ac:dyDescent="0.2">
      <c r="B16" s="283" t="s">
        <v>229</v>
      </c>
      <c r="C16" s="276"/>
      <c r="D16" s="234"/>
      <c r="E16" s="41"/>
      <c r="F16" s="277">
        <f>F14</f>
        <v>371517318.81579328</v>
      </c>
      <c r="H16" s="41"/>
      <c r="I16" s="277">
        <f>I14</f>
        <v>403613457.09474093</v>
      </c>
      <c r="J16" s="264"/>
      <c r="K16" s="277">
        <f>K14</f>
        <v>32096138.278947696</v>
      </c>
      <c r="L16" s="278">
        <f>IFERROR(ROUND(K16/F16,5), )</f>
        <v>8.6389999999999995E-2</v>
      </c>
      <c r="M16" s="282"/>
      <c r="N16" s="284">
        <v>8.0480791636416082E-2</v>
      </c>
      <c r="O16" s="49"/>
      <c r="W16" s="49"/>
    </row>
    <row r="17" spans="1:23" s="6" customFormat="1" x14ac:dyDescent="0.2">
      <c r="B17" s="285"/>
      <c r="C17" s="33"/>
      <c r="D17" s="33"/>
      <c r="E17" s="33"/>
      <c r="F17" s="286"/>
      <c r="G17" s="32"/>
      <c r="H17" s="33"/>
      <c r="I17" s="286"/>
      <c r="J17" s="286"/>
      <c r="K17" s="286"/>
      <c r="L17" s="287"/>
      <c r="M17" s="41"/>
      <c r="N17" s="41"/>
      <c r="O17" s="41"/>
      <c r="W17" s="41"/>
    </row>
    <row r="18" spans="1:23" x14ac:dyDescent="0.2">
      <c r="A18" s="6"/>
      <c r="B18" s="288" t="s">
        <v>230</v>
      </c>
      <c r="C18" s="289"/>
      <c r="D18" s="169"/>
      <c r="E18" s="169"/>
      <c r="F18" s="260"/>
      <c r="G18" s="259"/>
      <c r="H18" s="169"/>
      <c r="I18" s="260"/>
      <c r="J18" s="260"/>
      <c r="K18" s="260"/>
      <c r="L18" s="290"/>
      <c r="M18" s="49"/>
      <c r="N18" s="49"/>
      <c r="O18" s="49"/>
      <c r="W18" s="49"/>
    </row>
    <row r="19" spans="1:23" s="6" customFormat="1" x14ac:dyDescent="0.2">
      <c r="B19" s="291"/>
      <c r="C19" s="41"/>
      <c r="D19" s="41"/>
      <c r="E19" s="41"/>
      <c r="F19" s="292"/>
      <c r="G19" s="293"/>
      <c r="H19" s="41"/>
      <c r="I19" s="292"/>
      <c r="J19" s="292"/>
      <c r="K19" s="292"/>
      <c r="L19" s="294"/>
      <c r="M19" s="295"/>
      <c r="N19" s="296"/>
      <c r="O19" s="41"/>
      <c r="W19" s="41"/>
    </row>
    <row r="20" spans="1:23" s="6" customFormat="1" ht="13.5" customHeight="1" x14ac:dyDescent="0.2">
      <c r="B20" s="266" t="s">
        <v>225</v>
      </c>
      <c r="C20" s="267" t="s">
        <v>226</v>
      </c>
      <c r="D20" s="51">
        <v>0</v>
      </c>
      <c r="E20" s="268">
        <v>11.52</v>
      </c>
      <c r="F20" s="292">
        <f>SUM(+D20*E20)</f>
        <v>0</v>
      </c>
      <c r="G20" s="51"/>
      <c r="H20" s="269">
        <f>H12</f>
        <v>12.5</v>
      </c>
      <c r="I20" s="292">
        <f>SUM(+D20*H20)</f>
        <v>0</v>
      </c>
      <c r="J20" s="292"/>
      <c r="K20" s="292">
        <f>I20-F20</f>
        <v>0</v>
      </c>
      <c r="L20" s="270">
        <f t="shared" ref="L20:L21" si="0">IFERROR(ROUND(K20/F20,5), )</f>
        <v>0</v>
      </c>
      <c r="M20" s="295"/>
      <c r="N20" s="297"/>
      <c r="O20" s="41"/>
      <c r="W20" s="41"/>
    </row>
    <row r="21" spans="1:23" s="6" customFormat="1" ht="13.5" customHeight="1" x14ac:dyDescent="0.2">
      <c r="B21" s="262" t="s">
        <v>227</v>
      </c>
      <c r="C21" s="49" t="s">
        <v>8</v>
      </c>
      <c r="D21" s="51">
        <v>0</v>
      </c>
      <c r="E21" s="272">
        <v>0.41964000000000001</v>
      </c>
      <c r="F21" s="292">
        <f>ROUND(D21*E21,2)</f>
        <v>0</v>
      </c>
      <c r="G21" s="51"/>
      <c r="H21" s="273">
        <f>H13</f>
        <v>0.45612999999999998</v>
      </c>
      <c r="I21" s="292">
        <f>ROUND(D21*H21,2)</f>
        <v>0</v>
      </c>
      <c r="J21" s="292"/>
      <c r="K21" s="292">
        <f>I21-F21</f>
        <v>0</v>
      </c>
      <c r="L21" s="270">
        <f t="shared" si="0"/>
        <v>0</v>
      </c>
      <c r="M21" s="295"/>
      <c r="N21" s="298"/>
      <c r="O21" s="41"/>
      <c r="W21" s="41"/>
    </row>
    <row r="22" spans="1:23" s="6" customFormat="1" ht="13.5" customHeight="1" x14ac:dyDescent="0.2">
      <c r="B22" s="283" t="s">
        <v>231</v>
      </c>
      <c r="C22" s="267"/>
      <c r="D22" s="51"/>
      <c r="E22" s="41"/>
      <c r="F22" s="277">
        <f>SUM(F20:F21)</f>
        <v>0</v>
      </c>
      <c r="G22" s="51"/>
      <c r="H22" s="41"/>
      <c r="I22" s="277">
        <f>SUM(I20:I21)</f>
        <v>0</v>
      </c>
      <c r="J22" s="292"/>
      <c r="K22" s="277">
        <f>SUM(K20:K21)</f>
        <v>0</v>
      </c>
      <c r="L22" s="278">
        <f>IFERROR(ROUND(K22/F22,5), )</f>
        <v>0</v>
      </c>
      <c r="M22" s="41"/>
      <c r="N22" s="298"/>
      <c r="O22" s="41"/>
      <c r="W22" s="41"/>
    </row>
    <row r="23" spans="1:23" s="6" customFormat="1" ht="13.5" customHeight="1" x14ac:dyDescent="0.2">
      <c r="B23" s="299"/>
      <c r="C23" s="227"/>
      <c r="D23" s="41"/>
      <c r="E23" s="41"/>
      <c r="F23" s="300"/>
      <c r="G23" s="51"/>
      <c r="H23" s="41"/>
      <c r="I23" s="292"/>
      <c r="J23" s="292"/>
      <c r="K23" s="292"/>
      <c r="L23" s="294"/>
      <c r="M23" s="41"/>
      <c r="N23" s="301"/>
      <c r="O23" s="41"/>
      <c r="W23" s="41"/>
    </row>
    <row r="24" spans="1:23" s="6" customFormat="1" ht="13.5" customHeight="1" x14ac:dyDescent="0.2">
      <c r="B24" s="266" t="s">
        <v>229</v>
      </c>
      <c r="C24" s="267"/>
      <c r="D24" s="41"/>
      <c r="E24" s="41"/>
      <c r="F24" s="277">
        <f>F22</f>
        <v>0</v>
      </c>
      <c r="G24" s="51"/>
      <c r="H24" s="41"/>
      <c r="I24" s="277">
        <f>I22</f>
        <v>0</v>
      </c>
      <c r="J24" s="292"/>
      <c r="K24" s="277">
        <f>K22</f>
        <v>0</v>
      </c>
      <c r="L24" s="278">
        <f>IFERROR(ROUND(K24/F24,5), )</f>
        <v>0</v>
      </c>
      <c r="M24" s="41"/>
      <c r="N24" s="302"/>
      <c r="O24" s="41"/>
      <c r="W24" s="41"/>
    </row>
    <row r="25" spans="1:23" s="6" customFormat="1" ht="13.5" customHeight="1" x14ac:dyDescent="0.2">
      <c r="B25" s="285"/>
      <c r="C25" s="33"/>
      <c r="D25" s="33"/>
      <c r="E25" s="33"/>
      <c r="F25" s="286"/>
      <c r="G25" s="33"/>
      <c r="H25" s="33"/>
      <c r="I25" s="286"/>
      <c r="J25" s="286"/>
      <c r="K25" s="286"/>
      <c r="L25" s="287"/>
      <c r="M25" s="41"/>
      <c r="N25" s="303"/>
      <c r="O25" s="41"/>
      <c r="W25" s="41"/>
    </row>
    <row r="26" spans="1:23" ht="13.5" customHeight="1" x14ac:dyDescent="0.2">
      <c r="B26" s="288" t="s">
        <v>232</v>
      </c>
      <c r="C26" s="257"/>
      <c r="D26" s="169"/>
      <c r="E26" s="169"/>
      <c r="F26" s="260"/>
      <c r="G26" s="259"/>
      <c r="H26" s="258"/>
      <c r="I26" s="260"/>
      <c r="J26" s="260"/>
      <c r="K26" s="260"/>
      <c r="L26" s="290"/>
      <c r="M26" s="49"/>
      <c r="N26" s="6"/>
      <c r="O26" s="49"/>
      <c r="W26" s="49"/>
    </row>
    <row r="27" spans="1:23" ht="13.5" customHeight="1" x14ac:dyDescent="0.2">
      <c r="B27" s="275"/>
      <c r="C27" s="280"/>
      <c r="D27" s="41"/>
      <c r="E27" s="41"/>
      <c r="F27" s="264"/>
      <c r="G27" s="304"/>
      <c r="H27" s="49"/>
      <c r="I27" s="264"/>
      <c r="J27" s="264"/>
      <c r="K27" s="264"/>
      <c r="L27" s="265"/>
      <c r="M27" s="255"/>
      <c r="N27" s="6"/>
      <c r="O27" s="49"/>
      <c r="W27" s="49"/>
    </row>
    <row r="28" spans="1:23" ht="13.5" customHeight="1" x14ac:dyDescent="0.2">
      <c r="B28" s="291" t="s">
        <v>233</v>
      </c>
      <c r="C28" s="305" t="s">
        <v>234</v>
      </c>
      <c r="D28" s="51">
        <v>431.06668421052632</v>
      </c>
      <c r="E28" s="268">
        <v>11.24</v>
      </c>
      <c r="F28" s="264">
        <f>ROUND(D28*E28,2)</f>
        <v>4845.1899999999996</v>
      </c>
      <c r="H28" s="269">
        <f>ROUND(E28*(1+N16), 2)</f>
        <v>12.14</v>
      </c>
      <c r="I28" s="264">
        <f>ROUND(D28*H28,2)</f>
        <v>5233.1499999999996</v>
      </c>
      <c r="J28" s="264"/>
      <c r="K28" s="264">
        <f>I28-F28</f>
        <v>387.96000000000004</v>
      </c>
      <c r="L28" s="270">
        <f>IFERROR(ROUND(K28/F28,5), )</f>
        <v>8.0070000000000002E-2</v>
      </c>
      <c r="M28" s="306"/>
      <c r="N28" s="6"/>
      <c r="O28" s="49"/>
      <c r="W28" s="49"/>
    </row>
    <row r="29" spans="1:23" ht="13.5" customHeight="1" x14ac:dyDescent="0.2">
      <c r="B29" s="262"/>
      <c r="C29" s="49"/>
      <c r="D29" s="41"/>
      <c r="E29" s="41"/>
      <c r="F29" s="264"/>
      <c r="G29" s="49"/>
      <c r="H29" s="49"/>
      <c r="I29" s="264"/>
      <c r="J29" s="264"/>
      <c r="K29" s="264"/>
      <c r="L29" s="270"/>
      <c r="M29" s="306"/>
      <c r="N29" s="6"/>
      <c r="O29" s="49"/>
      <c r="W29" s="49"/>
    </row>
    <row r="30" spans="1:23" ht="13.5" customHeight="1" x14ac:dyDescent="0.2">
      <c r="B30" s="283" t="s">
        <v>235</v>
      </c>
      <c r="C30" s="276"/>
      <c r="D30" s="51">
        <v>8190.2669999999998</v>
      </c>
      <c r="E30" s="51"/>
      <c r="F30" s="281"/>
      <c r="H30" s="49"/>
      <c r="I30" s="264"/>
      <c r="J30" s="264"/>
      <c r="K30" s="264"/>
      <c r="L30" s="265"/>
      <c r="M30" s="306"/>
      <c r="N30" s="6"/>
      <c r="O30" s="49"/>
      <c r="W30" s="49"/>
    </row>
    <row r="31" spans="1:23" ht="13.5" customHeight="1" x14ac:dyDescent="0.2">
      <c r="B31" s="262"/>
      <c r="C31" s="49"/>
      <c r="D31" s="41"/>
      <c r="E31" s="41"/>
      <c r="F31" s="292"/>
      <c r="G31" s="51"/>
      <c r="H31" s="41"/>
      <c r="I31" s="292"/>
      <c r="J31" s="264"/>
      <c r="K31" s="264"/>
      <c r="L31" s="265"/>
      <c r="M31" s="282"/>
      <c r="N31" s="6"/>
      <c r="O31" s="49"/>
      <c r="W31" s="49"/>
    </row>
    <row r="32" spans="1:23" ht="13.5" customHeight="1" x14ac:dyDescent="0.2">
      <c r="B32" s="262" t="s">
        <v>229</v>
      </c>
      <c r="C32" s="49"/>
      <c r="D32" s="41"/>
      <c r="E32" s="41"/>
      <c r="F32" s="277">
        <f>F28</f>
        <v>4845.1899999999996</v>
      </c>
      <c r="H32" s="49"/>
      <c r="I32" s="277">
        <f>I28</f>
        <v>5233.1499999999996</v>
      </c>
      <c r="J32" s="264"/>
      <c r="K32" s="277">
        <f>K28</f>
        <v>387.96000000000004</v>
      </c>
      <c r="L32" s="278">
        <f>IFERROR(ROUND(K32/F32,5), )</f>
        <v>8.0070000000000002E-2</v>
      </c>
      <c r="M32" s="255"/>
      <c r="N32" s="6"/>
      <c r="O32" s="49"/>
      <c r="W32" s="49"/>
    </row>
    <row r="33" spans="2:23" ht="13.5" customHeight="1" x14ac:dyDescent="0.2">
      <c r="B33" s="307"/>
      <c r="C33" s="308"/>
      <c r="D33" s="33"/>
      <c r="E33" s="33"/>
      <c r="F33" s="309"/>
      <c r="G33" s="310"/>
      <c r="H33" s="311"/>
      <c r="I33" s="312"/>
      <c r="J33" s="312"/>
      <c r="K33" s="311"/>
      <c r="L33" s="313"/>
      <c r="M33" s="298"/>
      <c r="N33" s="6"/>
      <c r="O33" s="49"/>
      <c r="W33" s="49"/>
    </row>
    <row r="34" spans="2:23" ht="13.5" customHeight="1" x14ac:dyDescent="0.2">
      <c r="B34" s="3"/>
      <c r="K34" s="49"/>
      <c r="L34" s="314"/>
      <c r="M34" s="282"/>
      <c r="O34" s="49"/>
      <c r="W34" s="49"/>
    </row>
    <row r="35" spans="2:23" x14ac:dyDescent="0.2">
      <c r="B35" s="233" t="s">
        <v>236</v>
      </c>
      <c r="K35" s="49"/>
      <c r="L35" s="314"/>
      <c r="M35" s="298"/>
      <c r="O35" s="49"/>
      <c r="W35" s="49"/>
    </row>
    <row r="36" spans="2:23" x14ac:dyDescent="0.2">
      <c r="B36" s="3"/>
      <c r="D36" s="315" t="s">
        <v>8</v>
      </c>
      <c r="F36" s="250" t="s">
        <v>168</v>
      </c>
      <c r="I36" s="251" t="s">
        <v>5</v>
      </c>
      <c r="K36" s="251" t="s">
        <v>79</v>
      </c>
      <c r="L36" s="314"/>
      <c r="O36" s="49"/>
      <c r="W36" s="49"/>
    </row>
    <row r="37" spans="2:23" x14ac:dyDescent="0.2">
      <c r="B37" s="3" t="s">
        <v>237</v>
      </c>
      <c r="D37" s="316">
        <f>D13+D21+D30</f>
        <v>620844874.32387137</v>
      </c>
      <c r="F37" s="317">
        <f>F14+F22+F28</f>
        <v>371522164.00579327</v>
      </c>
      <c r="G37" s="317"/>
      <c r="H37" s="317"/>
      <c r="I37" s="317">
        <f>I14+I22+I28</f>
        <v>403618690.2447409</v>
      </c>
      <c r="J37" s="317"/>
      <c r="K37" s="264">
        <f>I37-F37</f>
        <v>32096526.23894763</v>
      </c>
      <c r="L37" s="318">
        <f>K37/F37</f>
        <v>8.6391955443194335E-2</v>
      </c>
    </row>
    <row r="38" spans="2:23" ht="13.5" thickBot="1" x14ac:dyDescent="0.25">
      <c r="B38" s="3"/>
      <c r="D38" s="26"/>
      <c r="F38" s="264"/>
      <c r="I38" s="264"/>
      <c r="K38" s="264"/>
      <c r="L38" s="318"/>
    </row>
    <row r="39" spans="2:23" ht="13.5" thickBot="1" x14ac:dyDescent="0.25">
      <c r="B39" s="319" t="s">
        <v>192</v>
      </c>
      <c r="C39" s="320" t="s">
        <v>238</v>
      </c>
      <c r="D39" s="321">
        <v>373297420.99925822</v>
      </c>
      <c r="E39" s="322" t="s">
        <v>239</v>
      </c>
      <c r="F39" s="323">
        <f>D39-F37</f>
        <v>1775256.9934649467</v>
      </c>
      <c r="K39" s="49"/>
      <c r="L39" s="314"/>
      <c r="N39" s="317"/>
    </row>
    <row r="40" spans="2:23" x14ac:dyDescent="0.2">
      <c r="B40" s="3"/>
      <c r="F40" s="3"/>
      <c r="L40" s="314"/>
    </row>
    <row r="41" spans="2:23" x14ac:dyDescent="0.2">
      <c r="B41" s="324"/>
      <c r="L41" s="314"/>
    </row>
    <row r="42" spans="2:23" x14ac:dyDescent="0.2">
      <c r="B42" s="3"/>
      <c r="C42" s="3"/>
      <c r="D42" s="3"/>
      <c r="F42" s="3"/>
      <c r="G42" s="3"/>
      <c r="I42" s="3"/>
      <c r="J42" s="3"/>
      <c r="L42" s="318"/>
      <c r="M42" s="3"/>
    </row>
    <row r="43" spans="2:23" x14ac:dyDescent="0.2">
      <c r="L43" s="314"/>
    </row>
    <row r="44" spans="2:23" x14ac:dyDescent="0.2">
      <c r="L44" s="314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9" activePane="bottomLeft" state="frozen"/>
      <selection activeCell="B36" sqref="B36"/>
      <selection pane="bottomLeft" activeCell="O72" sqref="O72"/>
    </sheetView>
  </sheetViews>
  <sheetFormatPr defaultColWidth="9.140625" defaultRowHeight="12.75" x14ac:dyDescent="0.2"/>
  <cols>
    <col min="1" max="1" width="2.42578125" style="3" customWidth="1"/>
    <col min="2" max="2" width="31.7109375" style="3" customWidth="1"/>
    <col min="3" max="3" width="9.7109375" style="3" customWidth="1"/>
    <col min="4" max="4" width="14.5703125" style="3" bestFit="1" customWidth="1"/>
    <col min="5" max="5" width="10.42578125" style="3" customWidth="1"/>
    <col min="6" max="6" width="14.7109375" style="235" bestFit="1" customWidth="1"/>
    <col min="7" max="7" width="2.85546875" style="26" customWidth="1"/>
    <col min="8" max="8" width="10.42578125" style="6" customWidth="1"/>
    <col min="9" max="9" width="15" style="235" customWidth="1"/>
    <col min="10" max="10" width="2.85546875" style="235" customWidth="1"/>
    <col min="11" max="11" width="13.28515625" style="235" customWidth="1"/>
    <col min="12" max="12" width="10.42578125" style="318" customWidth="1"/>
    <col min="13" max="13" width="2.85546875" style="325" customWidth="1"/>
    <col min="14" max="14" width="2" style="326" customWidth="1"/>
    <col min="15" max="15" width="14.5703125" style="3" customWidth="1"/>
    <col min="16" max="16" width="15" style="3" bestFit="1" customWidth="1"/>
    <col min="17" max="16384" width="9.140625" style="3"/>
  </cols>
  <sheetData>
    <row r="1" spans="1:15" x14ac:dyDescent="0.2">
      <c r="B1" s="228" t="s">
        <v>0</v>
      </c>
    </row>
    <row r="2" spans="1:15" x14ac:dyDescent="0.2">
      <c r="B2" s="230" t="s">
        <v>207</v>
      </c>
      <c r="C2" s="2"/>
      <c r="D2" s="2"/>
      <c r="E2" s="2"/>
      <c r="F2" s="327"/>
      <c r="G2" s="328"/>
      <c r="H2" s="5"/>
      <c r="I2" s="327"/>
      <c r="J2" s="327"/>
      <c r="K2" s="327"/>
      <c r="L2" s="329"/>
      <c r="M2" s="330"/>
      <c r="N2" s="330"/>
      <c r="O2" s="2"/>
    </row>
    <row r="3" spans="1:15" x14ac:dyDescent="0.2">
      <c r="B3" s="230" t="s">
        <v>208</v>
      </c>
      <c r="C3" s="2"/>
      <c r="D3" s="2"/>
      <c r="E3" s="2"/>
      <c r="F3" s="2"/>
      <c r="G3" s="5"/>
      <c r="H3" s="5"/>
      <c r="I3" s="2"/>
      <c r="J3" s="2"/>
      <c r="K3" s="2"/>
      <c r="L3" s="329"/>
      <c r="M3" s="2"/>
      <c r="N3" s="330"/>
      <c r="O3" s="2"/>
    </row>
    <row r="4" spans="1:15" x14ac:dyDescent="0.2">
      <c r="B4" s="230" t="s">
        <v>240</v>
      </c>
      <c r="C4" s="2"/>
      <c r="D4" s="2"/>
      <c r="E4" s="2"/>
      <c r="F4" s="2"/>
      <c r="G4" s="5"/>
      <c r="H4" s="5"/>
      <c r="I4" s="2"/>
      <c r="J4" s="2"/>
      <c r="K4" s="2"/>
      <c r="L4" s="329"/>
      <c r="M4" s="2"/>
      <c r="N4" s="330"/>
      <c r="O4" s="2"/>
    </row>
    <row r="5" spans="1:15" x14ac:dyDescent="0.2">
      <c r="B5" s="230" t="s">
        <v>210</v>
      </c>
      <c r="C5" s="2"/>
      <c r="D5" s="2"/>
      <c r="E5" s="2"/>
      <c r="F5" s="2"/>
      <c r="G5" s="5"/>
      <c r="H5" s="5"/>
      <c r="I5" s="2"/>
      <c r="J5" s="2"/>
      <c r="K5" s="2"/>
      <c r="L5" s="329"/>
      <c r="M5" s="2"/>
      <c r="N5" s="331"/>
      <c r="O5" s="232"/>
    </row>
    <row r="6" spans="1:15" ht="13.5" customHeight="1" x14ac:dyDescent="0.2">
      <c r="B6" s="332"/>
      <c r="C6" s="332"/>
      <c r="D6" s="332"/>
      <c r="E6" s="332"/>
      <c r="F6" s="333"/>
      <c r="G6" s="334"/>
      <c r="H6" s="163"/>
      <c r="I6" s="333"/>
      <c r="J6" s="333"/>
      <c r="K6" s="333"/>
      <c r="L6" s="335"/>
      <c r="N6" s="282"/>
      <c r="O6" s="49"/>
    </row>
    <row r="7" spans="1:15" ht="12" customHeight="1" x14ac:dyDescent="0.2">
      <c r="B7" s="238"/>
      <c r="C7" s="239"/>
      <c r="D7" s="240" t="s">
        <v>211</v>
      </c>
      <c r="E7" s="241" t="s">
        <v>212</v>
      </c>
      <c r="F7" s="242"/>
      <c r="G7" s="10"/>
      <c r="H7" s="244" t="s">
        <v>213</v>
      </c>
      <c r="I7" s="242"/>
      <c r="J7" s="245"/>
      <c r="K7" s="499" t="s">
        <v>214</v>
      </c>
      <c r="L7" s="500"/>
      <c r="M7" s="247"/>
      <c r="N7" s="331"/>
      <c r="O7" s="248" t="s">
        <v>215</v>
      </c>
    </row>
    <row r="8" spans="1:15" x14ac:dyDescent="0.2">
      <c r="B8" s="249" t="s">
        <v>216</v>
      </c>
      <c r="C8" s="250" t="s">
        <v>217</v>
      </c>
      <c r="D8" s="11" t="s">
        <v>218</v>
      </c>
      <c r="E8" s="250" t="s">
        <v>21</v>
      </c>
      <c r="F8" s="251" t="s">
        <v>219</v>
      </c>
      <c r="G8" s="11"/>
      <c r="H8" s="11" t="s">
        <v>21</v>
      </c>
      <c r="I8" s="251" t="s">
        <v>219</v>
      </c>
      <c r="J8" s="251"/>
      <c r="K8" s="251" t="s">
        <v>220</v>
      </c>
      <c r="L8" s="336" t="s">
        <v>221</v>
      </c>
      <c r="M8" s="337"/>
      <c r="N8" s="253"/>
      <c r="O8" s="254" t="s">
        <v>222</v>
      </c>
    </row>
    <row r="9" spans="1:15" x14ac:dyDescent="0.2">
      <c r="A9" s="49"/>
      <c r="B9" s="296"/>
      <c r="C9" s="296"/>
      <c r="D9" s="296"/>
      <c r="E9" s="296"/>
      <c r="F9" s="338"/>
      <c r="G9" s="10"/>
      <c r="H9" s="10"/>
      <c r="I9" s="338"/>
      <c r="J9" s="338"/>
      <c r="K9" s="338"/>
      <c r="L9" s="339"/>
      <c r="M9" s="337"/>
      <c r="N9" s="253"/>
      <c r="O9" s="49"/>
    </row>
    <row r="10" spans="1:15" x14ac:dyDescent="0.2">
      <c r="B10" s="256" t="s">
        <v>241</v>
      </c>
      <c r="C10" s="340"/>
      <c r="D10" s="258"/>
      <c r="E10" s="258"/>
      <c r="F10" s="260"/>
      <c r="G10" s="341"/>
      <c r="H10" s="169"/>
      <c r="I10" s="260"/>
      <c r="J10" s="260"/>
      <c r="K10" s="260"/>
      <c r="L10" s="290"/>
      <c r="M10" s="342"/>
      <c r="N10" s="282"/>
      <c r="O10" s="49"/>
    </row>
    <row r="11" spans="1:15" x14ac:dyDescent="0.2">
      <c r="B11" s="262"/>
      <c r="C11" s="49"/>
      <c r="D11" s="234"/>
      <c r="E11" s="49"/>
      <c r="F11" s="264"/>
      <c r="G11" s="51"/>
      <c r="H11" s="41"/>
      <c r="I11" s="264"/>
      <c r="J11" s="264"/>
      <c r="K11" s="264"/>
      <c r="L11" s="270"/>
      <c r="M11" s="342"/>
      <c r="N11" s="282"/>
      <c r="O11" s="343" t="s">
        <v>242</v>
      </c>
    </row>
    <row r="12" spans="1:15" x14ac:dyDescent="0.2">
      <c r="B12" s="266" t="s">
        <v>225</v>
      </c>
      <c r="C12" s="267" t="s">
        <v>226</v>
      </c>
      <c r="D12" s="51">
        <v>698499.36081828561</v>
      </c>
      <c r="E12" s="268">
        <v>33.840000000000003</v>
      </c>
      <c r="F12" s="264">
        <f>ROUND(D12*E12,2)</f>
        <v>23637218.370000001</v>
      </c>
      <c r="G12" s="51"/>
      <c r="H12" s="269">
        <v>38.89</v>
      </c>
      <c r="I12" s="292">
        <f>ROUND(D12*H12,2)</f>
        <v>27164640.140000001</v>
      </c>
      <c r="J12" s="264"/>
      <c r="K12" s="264">
        <f>I12-F12</f>
        <v>3527421.7699999996</v>
      </c>
      <c r="L12" s="270">
        <f>IFERROR(ROUND(K12/F12,5), )</f>
        <v>0.14923</v>
      </c>
      <c r="M12" s="342"/>
      <c r="N12" s="282"/>
      <c r="O12" s="344">
        <v>122144166.5837137</v>
      </c>
    </row>
    <row r="13" spans="1:15" x14ac:dyDescent="0.2">
      <c r="B13" s="262" t="s">
        <v>227</v>
      </c>
      <c r="C13" s="49" t="s">
        <v>8</v>
      </c>
      <c r="D13" s="51">
        <v>222166912.14539161</v>
      </c>
      <c r="E13" s="272">
        <v>0.37956000000000001</v>
      </c>
      <c r="F13" s="264">
        <f>ROUND(D13*E13,2)</f>
        <v>84325673.170000002</v>
      </c>
      <c r="G13" s="51"/>
      <c r="H13" s="273">
        <f>ROUND((O12-I12-I14-I22)/D32,5)</f>
        <v>0.41249000000000002</v>
      </c>
      <c r="I13" s="292">
        <f>ROUND(D13*H13,2)</f>
        <v>91641629.590000004</v>
      </c>
      <c r="J13" s="264"/>
      <c r="K13" s="264">
        <f>I13-F13</f>
        <v>7315956.4200000018</v>
      </c>
      <c r="L13" s="270">
        <f>IFERROR(ROUND(K13/F13,5), )</f>
        <v>8.6760000000000004E-2</v>
      </c>
      <c r="M13" s="342"/>
      <c r="N13" s="282"/>
      <c r="O13" s="274" t="s">
        <v>228</v>
      </c>
    </row>
    <row r="14" spans="1:15" x14ac:dyDescent="0.2">
      <c r="B14" s="262" t="s">
        <v>243</v>
      </c>
      <c r="C14" s="49"/>
      <c r="D14" s="51">
        <f>D13</f>
        <v>222166912.14539161</v>
      </c>
      <c r="E14" s="272">
        <v>1.371E-2</v>
      </c>
      <c r="F14" s="264">
        <f>ROUND(D14*E14,2)</f>
        <v>3045908.37</v>
      </c>
      <c r="G14" s="51"/>
      <c r="H14" s="273">
        <v>1.4919999999999999E-2</v>
      </c>
      <c r="I14" s="264">
        <f>ROUND(D14*H14,2)</f>
        <v>3314730.33</v>
      </c>
      <c r="J14" s="345"/>
      <c r="K14" s="264">
        <f>I14-F14</f>
        <v>268821.95999999996</v>
      </c>
      <c r="L14" s="270">
        <f>IFERROR(ROUND(K14/F14,5), )</f>
        <v>8.8260000000000005E-2</v>
      </c>
      <c r="M14" s="337"/>
      <c r="N14" s="337"/>
      <c r="O14" s="346">
        <f>I36-O12</f>
        <v>815.4562863111496</v>
      </c>
    </row>
    <row r="15" spans="1:15" x14ac:dyDescent="0.2">
      <c r="B15" s="283" t="s">
        <v>231</v>
      </c>
      <c r="C15" s="276"/>
      <c r="D15" s="51"/>
      <c r="E15" s="41"/>
      <c r="F15" s="277">
        <f>SUM(F12:F14)</f>
        <v>111008799.91000001</v>
      </c>
      <c r="G15" s="51"/>
      <c r="H15" s="51"/>
      <c r="I15" s="347">
        <f>SUM(I12:I14)</f>
        <v>122121000.06</v>
      </c>
      <c r="J15" s="264"/>
      <c r="K15" s="277">
        <f>SUM(K12:K14)</f>
        <v>11112200.150000002</v>
      </c>
      <c r="L15" s="278">
        <f>IFERROR(ROUND(K15/F15,5), )</f>
        <v>0.10009999999999999</v>
      </c>
      <c r="M15" s="342"/>
      <c r="N15" s="282"/>
      <c r="O15" s="348"/>
    </row>
    <row r="16" spans="1:15" x14ac:dyDescent="0.2">
      <c r="B16" s="262"/>
      <c r="C16" s="49"/>
      <c r="D16" s="41"/>
      <c r="E16" s="41"/>
      <c r="F16" s="264"/>
      <c r="G16" s="51"/>
      <c r="H16" s="51"/>
      <c r="I16" s="292"/>
      <c r="J16" s="264"/>
      <c r="K16" s="264"/>
      <c r="L16" s="270"/>
      <c r="M16" s="342"/>
      <c r="N16" s="282"/>
      <c r="O16" s="349">
        <v>9.5490287038700439E-2</v>
      </c>
    </row>
    <row r="17" spans="1:15" x14ac:dyDescent="0.2">
      <c r="B17" s="283" t="s">
        <v>229</v>
      </c>
      <c r="C17" s="49"/>
      <c r="D17" s="41"/>
      <c r="E17" s="49"/>
      <c r="F17" s="277">
        <f>F15</f>
        <v>111008799.91000001</v>
      </c>
      <c r="G17" s="350"/>
      <c r="H17" s="225"/>
      <c r="I17" s="347">
        <f>I15</f>
        <v>122121000.06</v>
      </c>
      <c r="J17" s="264"/>
      <c r="K17" s="347">
        <f>K15</f>
        <v>11112200.150000002</v>
      </c>
      <c r="L17" s="278">
        <f>ROUND(K17/F17,5)</f>
        <v>0.10009999999999999</v>
      </c>
      <c r="M17" s="342"/>
      <c r="N17" s="282"/>
      <c r="O17" s="296"/>
    </row>
    <row r="18" spans="1:15" x14ac:dyDescent="0.2">
      <c r="B18" s="351"/>
      <c r="C18" s="352"/>
      <c r="D18" s="33"/>
      <c r="E18" s="353"/>
      <c r="F18" s="354"/>
      <c r="G18" s="33"/>
      <c r="H18" s="355"/>
      <c r="I18" s="286"/>
      <c r="J18" s="356"/>
      <c r="K18" s="356"/>
      <c r="L18" s="357"/>
      <c r="M18" s="342"/>
      <c r="N18" s="282"/>
      <c r="O18" s="49"/>
    </row>
    <row r="19" spans="1:15" x14ac:dyDescent="0.2">
      <c r="A19" s="49"/>
      <c r="B19" s="49"/>
      <c r="C19" s="49"/>
      <c r="D19" s="41"/>
      <c r="E19" s="49"/>
      <c r="F19" s="255"/>
      <c r="G19" s="350"/>
      <c r="H19" s="225"/>
      <c r="I19" s="255"/>
      <c r="J19" s="255"/>
      <c r="K19" s="264"/>
      <c r="L19" s="358"/>
      <c r="M19" s="342"/>
      <c r="N19" s="282"/>
      <c r="O19" s="49"/>
    </row>
    <row r="20" spans="1:15" x14ac:dyDescent="0.2">
      <c r="A20" s="49"/>
      <c r="B20" s="288" t="s">
        <v>244</v>
      </c>
      <c r="C20" s="340"/>
      <c r="D20" s="258"/>
      <c r="E20" s="258"/>
      <c r="F20" s="260"/>
      <c r="G20" s="341"/>
      <c r="H20" s="169"/>
      <c r="I20" s="260"/>
      <c r="J20" s="260"/>
      <c r="K20" s="260"/>
      <c r="L20" s="290"/>
      <c r="M20" s="342"/>
      <c r="N20" s="282"/>
      <c r="O20" s="49"/>
    </row>
    <row r="21" spans="1:15" x14ac:dyDescent="0.2">
      <c r="A21" s="49"/>
      <c r="B21" s="262"/>
      <c r="C21" s="49"/>
      <c r="D21" s="234"/>
      <c r="E21" s="49"/>
      <c r="F21" s="264"/>
      <c r="G21" s="51"/>
      <c r="H21" s="41"/>
      <c r="I21" s="264"/>
      <c r="J21" s="264"/>
      <c r="K21" s="264"/>
      <c r="L21" s="270"/>
      <c r="M21" s="342"/>
      <c r="N21" s="282"/>
      <c r="O21" s="49"/>
    </row>
    <row r="22" spans="1:15" x14ac:dyDescent="0.2">
      <c r="A22" s="49"/>
      <c r="B22" s="266" t="s">
        <v>225</v>
      </c>
      <c r="C22" s="267" t="s">
        <v>226</v>
      </c>
      <c r="D22" s="51">
        <v>24</v>
      </c>
      <c r="E22" s="268">
        <v>364.04</v>
      </c>
      <c r="F22" s="264">
        <f>ROUND(D22*E22,2)</f>
        <v>8736.9599999999991</v>
      </c>
      <c r="G22" s="51"/>
      <c r="H22" s="269">
        <f>E22</f>
        <v>364.04</v>
      </c>
      <c r="I22" s="292">
        <f>ROUND(D22*H22,2)</f>
        <v>8736.9599999999991</v>
      </c>
      <c r="J22" s="264"/>
      <c r="K22" s="264">
        <f>I22-F22</f>
        <v>0</v>
      </c>
      <c r="L22" s="270">
        <f>IFERROR(ROUND(K22/F22,5), )</f>
        <v>0</v>
      </c>
      <c r="M22" s="342"/>
      <c r="N22" s="282"/>
      <c r="O22" s="49"/>
    </row>
    <row r="23" spans="1:15" x14ac:dyDescent="0.2">
      <c r="A23" s="49"/>
      <c r="B23" s="262" t="s">
        <v>227</v>
      </c>
      <c r="C23" s="49" t="s">
        <v>8</v>
      </c>
      <c r="D23" s="51">
        <v>36958.529999999992</v>
      </c>
      <c r="E23" s="272">
        <v>0.37956000000000001</v>
      </c>
      <c r="F23" s="264">
        <f>ROUND(D23*E23,2)</f>
        <v>14027.98</v>
      </c>
      <c r="G23" s="51"/>
      <c r="H23" s="273">
        <f>H13</f>
        <v>0.41249000000000002</v>
      </c>
      <c r="I23" s="292">
        <f>ROUND(D23*H23,2)</f>
        <v>15245.02</v>
      </c>
      <c r="J23" s="264"/>
      <c r="K23" s="264">
        <f>I23-F23</f>
        <v>1217.0400000000009</v>
      </c>
      <c r="L23" s="270">
        <f>IFERROR(ROUND(K23/F23,5), )</f>
        <v>8.6760000000000004E-2</v>
      </c>
      <c r="M23" s="342"/>
      <c r="N23" s="282"/>
      <c r="O23" s="49"/>
    </row>
    <row r="24" spans="1:15" x14ac:dyDescent="0.2">
      <c r="A24" s="49"/>
      <c r="B24" s="283" t="s">
        <v>231</v>
      </c>
      <c r="C24" s="276"/>
      <c r="D24" s="51"/>
      <c r="E24" s="41"/>
      <c r="F24" s="277">
        <f>SUM(F22:F23)</f>
        <v>22764.94</v>
      </c>
      <c r="G24" s="51"/>
      <c r="H24" s="51"/>
      <c r="I24" s="347">
        <f>SUM(I22:I23)</f>
        <v>23981.98</v>
      </c>
      <c r="J24" s="264"/>
      <c r="K24" s="347">
        <f>SUM(K22:K23)</f>
        <v>1217.0400000000009</v>
      </c>
      <c r="L24" s="278">
        <f>IFERROR(ROUND(K24/F24,5), )</f>
        <v>5.3460000000000001E-2</v>
      </c>
      <c r="M24" s="342"/>
      <c r="N24" s="282"/>
      <c r="O24" s="49"/>
    </row>
    <row r="25" spans="1:15" x14ac:dyDescent="0.2">
      <c r="A25" s="49"/>
      <c r="B25" s="262"/>
      <c r="C25" s="49"/>
      <c r="D25" s="49"/>
      <c r="E25" s="49"/>
      <c r="F25" s="236"/>
      <c r="G25" s="51"/>
      <c r="H25" s="41"/>
      <c r="I25" s="236"/>
      <c r="J25" s="236"/>
      <c r="K25" s="236"/>
      <c r="L25" s="270"/>
      <c r="M25" s="342"/>
      <c r="N25" s="282"/>
      <c r="O25" s="49"/>
    </row>
    <row r="26" spans="1:15" x14ac:dyDescent="0.2">
      <c r="A26" s="49"/>
      <c r="B26" s="283" t="s">
        <v>229</v>
      </c>
      <c r="C26" s="49"/>
      <c r="D26" s="41"/>
      <c r="E26" s="49"/>
      <c r="F26" s="277">
        <f>F24</f>
        <v>22764.94</v>
      </c>
      <c r="G26" s="350"/>
      <c r="H26" s="225"/>
      <c r="I26" s="277">
        <f>I24</f>
        <v>23981.98</v>
      </c>
      <c r="J26" s="264"/>
      <c r="K26" s="277">
        <v>1223.6925354000009</v>
      </c>
      <c r="L26" s="278">
        <f>ROUND(K26/F26,5)</f>
        <v>5.3749999999999999E-2</v>
      </c>
      <c r="M26" s="342"/>
      <c r="N26" s="282"/>
      <c r="O26" s="49"/>
    </row>
    <row r="27" spans="1:15" x14ac:dyDescent="0.2">
      <c r="A27" s="49"/>
      <c r="B27" s="351"/>
      <c r="C27" s="352"/>
      <c r="D27" s="33"/>
      <c r="E27" s="353"/>
      <c r="F27" s="354"/>
      <c r="G27" s="33"/>
      <c r="H27" s="355"/>
      <c r="I27" s="286"/>
      <c r="J27" s="356"/>
      <c r="K27" s="356"/>
      <c r="L27" s="357"/>
      <c r="M27" s="342"/>
      <c r="N27" s="282"/>
      <c r="O27" s="49"/>
    </row>
    <row r="28" spans="1:15" x14ac:dyDescent="0.2">
      <c r="A28" s="49"/>
      <c r="B28" s="49"/>
      <c r="C28" s="49"/>
      <c r="D28" s="41"/>
      <c r="E28" s="49"/>
      <c r="F28" s="255"/>
      <c r="G28" s="350"/>
      <c r="H28" s="225"/>
      <c r="I28" s="255"/>
      <c r="J28" s="255"/>
      <c r="K28" s="264"/>
      <c r="L28" s="358"/>
      <c r="M28" s="342"/>
      <c r="N28" s="282"/>
      <c r="O28" s="49"/>
    </row>
    <row r="29" spans="1:15" x14ac:dyDescent="0.2">
      <c r="A29" s="49"/>
      <c r="B29" s="256" t="s">
        <v>245</v>
      </c>
      <c r="C29" s="340"/>
      <c r="D29" s="258"/>
      <c r="E29" s="258"/>
      <c r="F29" s="260"/>
      <c r="G29" s="341"/>
      <c r="H29" s="169"/>
      <c r="I29" s="260"/>
      <c r="J29" s="260"/>
      <c r="K29" s="260"/>
      <c r="L29" s="290"/>
      <c r="M29" s="342"/>
      <c r="N29" s="282"/>
      <c r="O29" s="49"/>
    </row>
    <row r="30" spans="1:15" x14ac:dyDescent="0.2">
      <c r="A30" s="49"/>
      <c r="B30" s="262"/>
      <c r="C30" s="49"/>
      <c r="D30" s="234"/>
      <c r="E30" s="49"/>
      <c r="F30" s="264"/>
      <c r="G30" s="51"/>
      <c r="H30" s="41"/>
      <c r="I30" s="264"/>
      <c r="J30" s="264"/>
      <c r="K30" s="264"/>
      <c r="L30" s="270"/>
      <c r="M30" s="342"/>
      <c r="N30" s="282"/>
      <c r="O30" s="49"/>
    </row>
    <row r="31" spans="1:15" x14ac:dyDescent="0.2">
      <c r="A31" s="49"/>
      <c r="B31" s="266" t="s">
        <v>225</v>
      </c>
      <c r="C31" s="267" t="s">
        <v>226</v>
      </c>
      <c r="D31" s="51">
        <f>D12+D22</f>
        <v>698523.36081828561</v>
      </c>
      <c r="E31" s="268"/>
      <c r="F31" s="264">
        <f>F12+F22</f>
        <v>23645955.330000002</v>
      </c>
      <c r="G31" s="51"/>
      <c r="H31" s="359"/>
      <c r="I31" s="264">
        <f>I12+I22</f>
        <v>27173377.100000001</v>
      </c>
      <c r="J31" s="264"/>
      <c r="K31" s="264">
        <f>I31-F31</f>
        <v>3527421.7699999996</v>
      </c>
      <c r="L31" s="270">
        <f>IFERROR(ROUND(K31/F31,5), )</f>
        <v>0.14918000000000001</v>
      </c>
      <c r="M31" s="342"/>
      <c r="N31" s="282"/>
      <c r="O31" s="49"/>
    </row>
    <row r="32" spans="1:15" x14ac:dyDescent="0.2">
      <c r="A32" s="49"/>
      <c r="B32" s="262" t="s">
        <v>227</v>
      </c>
      <c r="C32" s="49" t="s">
        <v>8</v>
      </c>
      <c r="D32" s="51">
        <f>D13+D23</f>
        <v>222203870.67539161</v>
      </c>
      <c r="E32" s="272"/>
      <c r="F32" s="264">
        <f>F13+F23</f>
        <v>84339701.150000006</v>
      </c>
      <c r="G32" s="51"/>
      <c r="H32" s="360"/>
      <c r="I32" s="264">
        <f>I13+I23</f>
        <v>91656874.609999999</v>
      </c>
      <c r="J32" s="264"/>
      <c r="K32" s="264">
        <f>I32-F32</f>
        <v>7317173.4599999934</v>
      </c>
      <c r="L32" s="270">
        <f>IFERROR(ROUND(K32/F32,5), )</f>
        <v>8.6760000000000004E-2</v>
      </c>
      <c r="M32" s="342"/>
      <c r="N32" s="282"/>
      <c r="O32" s="49"/>
    </row>
    <row r="33" spans="1:15" x14ac:dyDescent="0.2">
      <c r="A33" s="49"/>
      <c r="B33" s="262" t="s">
        <v>243</v>
      </c>
      <c r="C33" s="49" t="s">
        <v>8</v>
      </c>
      <c r="D33" s="51">
        <f>D14</f>
        <v>222166912.14539161</v>
      </c>
      <c r="E33" s="272"/>
      <c r="F33" s="264">
        <f>F14</f>
        <v>3045908.37</v>
      </c>
      <c r="G33" s="51"/>
      <c r="H33" s="360"/>
      <c r="I33" s="264">
        <f>I14</f>
        <v>3314730.33</v>
      </c>
      <c r="J33" s="264"/>
      <c r="K33" s="264">
        <f>I33-F33</f>
        <v>268821.95999999996</v>
      </c>
      <c r="L33" s="270">
        <f>IFERROR(ROUND(K33/F33,5), )</f>
        <v>8.8260000000000005E-2</v>
      </c>
      <c r="M33" s="342"/>
      <c r="N33" s="282"/>
      <c r="O33" s="49"/>
    </row>
    <row r="34" spans="1:15" x14ac:dyDescent="0.2">
      <c r="A34" s="49"/>
      <c r="B34" s="283" t="s">
        <v>231</v>
      </c>
      <c r="C34" s="276"/>
      <c r="D34" s="51"/>
      <c r="E34" s="41"/>
      <c r="F34" s="277">
        <f>SUM(F31:F33)</f>
        <v>111031564.85000001</v>
      </c>
      <c r="G34" s="51"/>
      <c r="H34" s="51"/>
      <c r="I34" s="277">
        <f>SUM(I31:I33)</f>
        <v>122144982.04000001</v>
      </c>
      <c r="J34" s="264"/>
      <c r="K34" s="277">
        <f>SUM(K31:K33)</f>
        <v>11113417.189999994</v>
      </c>
      <c r="L34" s="278">
        <f>IFERROR(ROUND(K34/F34,5), )</f>
        <v>0.10009</v>
      </c>
      <c r="M34" s="342"/>
      <c r="N34" s="282"/>
      <c r="O34" s="49"/>
    </row>
    <row r="35" spans="1:15" x14ac:dyDescent="0.2">
      <c r="A35" s="49"/>
      <c r="B35" s="283"/>
      <c r="C35" s="276"/>
      <c r="D35" s="51"/>
      <c r="E35" s="41"/>
      <c r="F35" s="264"/>
      <c r="G35" s="51"/>
      <c r="H35" s="51"/>
      <c r="I35" s="264"/>
      <c r="J35" s="264"/>
      <c r="K35" s="264"/>
      <c r="L35" s="270"/>
      <c r="M35" s="342"/>
      <c r="N35" s="282"/>
      <c r="O35" s="49"/>
    </row>
    <row r="36" spans="1:15" x14ac:dyDescent="0.2">
      <c r="A36" s="49"/>
      <c r="B36" s="283" t="s">
        <v>229</v>
      </c>
      <c r="C36" s="49"/>
      <c r="D36" s="41"/>
      <c r="E36" s="49"/>
      <c r="F36" s="277">
        <f>F34</f>
        <v>111031564.85000001</v>
      </c>
      <c r="G36" s="350"/>
      <c r="H36" s="225"/>
      <c r="I36" s="277">
        <f>I34</f>
        <v>122144982.04000001</v>
      </c>
      <c r="J36" s="264"/>
      <c r="K36" s="277">
        <f>K34</f>
        <v>11113417.189999994</v>
      </c>
      <c r="L36" s="278">
        <f>ROUND(K36/F36,5)</f>
        <v>0.10009</v>
      </c>
      <c r="M36" s="342"/>
      <c r="N36" s="282"/>
      <c r="O36" s="49"/>
    </row>
    <row r="37" spans="1:15" x14ac:dyDescent="0.2">
      <c r="A37" s="49"/>
      <c r="B37" s="351"/>
      <c r="C37" s="352"/>
      <c r="D37" s="33"/>
      <c r="E37" s="353"/>
      <c r="F37" s="354"/>
      <c r="G37" s="33"/>
      <c r="H37" s="355"/>
      <c r="I37" s="286"/>
      <c r="J37" s="356"/>
      <c r="K37" s="356"/>
      <c r="L37" s="357"/>
      <c r="M37" s="342"/>
      <c r="N37" s="282"/>
      <c r="O37" s="49"/>
    </row>
    <row r="38" spans="1:15" x14ac:dyDescent="0.2">
      <c r="A38" s="49"/>
      <c r="B38" s="49"/>
      <c r="C38" s="49"/>
      <c r="D38" s="41"/>
      <c r="E38" s="49"/>
      <c r="F38" s="255"/>
      <c r="G38" s="350"/>
      <c r="H38" s="225"/>
      <c r="I38" s="255"/>
      <c r="J38" s="255"/>
      <c r="K38" s="264"/>
      <c r="L38" s="358"/>
      <c r="M38" s="342"/>
      <c r="N38" s="282"/>
      <c r="O38" s="49"/>
    </row>
    <row r="39" spans="1:15" x14ac:dyDescent="0.2">
      <c r="B39" s="288" t="s">
        <v>246</v>
      </c>
      <c r="C39" s="340"/>
      <c r="D39" s="169"/>
      <c r="E39" s="258"/>
      <c r="F39" s="260"/>
      <c r="G39" s="169"/>
      <c r="H39" s="169"/>
      <c r="I39" s="260"/>
      <c r="J39" s="260"/>
      <c r="K39" s="260"/>
      <c r="L39" s="290"/>
      <c r="M39" s="342"/>
      <c r="N39" s="282"/>
    </row>
    <row r="40" spans="1:15" x14ac:dyDescent="0.2">
      <c r="B40" s="291"/>
      <c r="C40" s="49"/>
      <c r="D40" s="41"/>
      <c r="E40" s="41"/>
      <c r="F40" s="264"/>
      <c r="G40" s="293"/>
      <c r="H40" s="41"/>
      <c r="I40" s="264"/>
      <c r="J40" s="264"/>
      <c r="K40" s="264"/>
      <c r="L40" s="270"/>
      <c r="M40" s="342"/>
      <c r="N40" s="282"/>
      <c r="O40" s="361" t="s">
        <v>247</v>
      </c>
    </row>
    <row r="41" spans="1:15" x14ac:dyDescent="0.2">
      <c r="B41" s="266" t="s">
        <v>225</v>
      </c>
      <c r="C41" s="267" t="s">
        <v>226</v>
      </c>
      <c r="D41" s="51">
        <v>14991.599999999999</v>
      </c>
      <c r="E41" s="268">
        <v>113.4</v>
      </c>
      <c r="F41" s="264">
        <f>ROUND(D41*E41,2)</f>
        <v>1700047.44</v>
      </c>
      <c r="G41" s="51"/>
      <c r="H41" s="269">
        <v>130.33000000000001</v>
      </c>
      <c r="I41" s="264">
        <f>ROUND(D41*H41,2)</f>
        <v>1953855.23</v>
      </c>
      <c r="J41" s="264"/>
      <c r="K41" s="264">
        <f>I41-F41</f>
        <v>253807.79000000004</v>
      </c>
      <c r="L41" s="265">
        <f t="shared" ref="L41:L43" si="0">IFERROR(ROUND(K41/F41,5), )</f>
        <v>0.14929000000000001</v>
      </c>
      <c r="M41" s="342"/>
      <c r="N41" s="282"/>
      <c r="O41" s="344">
        <v>22261666.953032859</v>
      </c>
    </row>
    <row r="42" spans="1:15" x14ac:dyDescent="0.2">
      <c r="B42" s="291" t="s">
        <v>248</v>
      </c>
      <c r="C42" s="267" t="s">
        <v>226</v>
      </c>
      <c r="D42" s="51">
        <f>D41</f>
        <v>14991.599999999999</v>
      </c>
      <c r="E42" s="268">
        <v>123.82</v>
      </c>
      <c r="F42" s="255">
        <f>D42*E42</f>
        <v>1856259.9119999998</v>
      </c>
      <c r="G42" s="51"/>
      <c r="H42" s="269">
        <f>ROUND(H46*900,2)</f>
        <v>126.28</v>
      </c>
      <c r="I42" s="255">
        <f>ROUND(D42*H42,2)</f>
        <v>1893139.25</v>
      </c>
      <c r="J42" s="255"/>
      <c r="K42" s="264">
        <f>I42-F42</f>
        <v>36879.338000000222</v>
      </c>
      <c r="L42" s="265">
        <f t="shared" si="0"/>
        <v>1.9869999999999999E-2</v>
      </c>
      <c r="M42" s="342"/>
      <c r="N42" s="253"/>
      <c r="O42" s="362" t="s">
        <v>228</v>
      </c>
    </row>
    <row r="43" spans="1:15" x14ac:dyDescent="0.2">
      <c r="B43" s="291" t="s">
        <v>249</v>
      </c>
      <c r="C43" s="49" t="s">
        <v>250</v>
      </c>
      <c r="D43" s="51">
        <v>4828804.7110000001</v>
      </c>
      <c r="E43" s="268">
        <v>1.25</v>
      </c>
      <c r="F43" s="255">
        <f>ROUND(D43*E43,2)</f>
        <v>6036005.8899999997</v>
      </c>
      <c r="G43" s="51"/>
      <c r="H43" s="269">
        <f>ROUND(E43*(1+$O$45),2)</f>
        <v>1.37</v>
      </c>
      <c r="I43" s="255">
        <f>ROUND(D43*H43,2)</f>
        <v>6615462.4500000002</v>
      </c>
      <c r="J43" s="255"/>
      <c r="K43" s="264">
        <f>I43-F43</f>
        <v>579456.56000000052</v>
      </c>
      <c r="L43" s="265">
        <f t="shared" si="0"/>
        <v>9.6000000000000002E-2</v>
      </c>
      <c r="M43" s="342"/>
      <c r="N43" s="253"/>
      <c r="O43" s="346">
        <f>I86-O41</f>
        <v>130.10030537843704</v>
      </c>
    </row>
    <row r="44" spans="1:15" x14ac:dyDescent="0.2">
      <c r="B44" s="291"/>
      <c r="C44" s="49"/>
      <c r="D44" s="51"/>
      <c r="E44" s="268"/>
      <c r="F44" s="345"/>
      <c r="G44" s="51"/>
      <c r="H44" s="268"/>
      <c r="I44" s="255"/>
      <c r="J44" s="255"/>
      <c r="K44" s="298"/>
      <c r="L44" s="363"/>
      <c r="M44" s="342"/>
      <c r="N44" s="253"/>
      <c r="O44" s="226"/>
    </row>
    <row r="45" spans="1:15" x14ac:dyDescent="0.2">
      <c r="B45" s="291" t="s">
        <v>251</v>
      </c>
      <c r="C45" s="49"/>
      <c r="D45" s="51"/>
      <c r="E45" s="268"/>
      <c r="F45" s="255"/>
      <c r="G45" s="51"/>
      <c r="H45" s="268"/>
      <c r="I45" s="255"/>
      <c r="J45" s="255"/>
      <c r="K45" s="298"/>
      <c r="L45" s="363"/>
      <c r="M45" s="342"/>
      <c r="N45" s="253"/>
      <c r="O45" s="349">
        <v>9.5490287038700439E-2</v>
      </c>
    </row>
    <row r="46" spans="1:15" x14ac:dyDescent="0.2">
      <c r="B46" s="291" t="s">
        <v>252</v>
      </c>
      <c r="C46" s="49" t="s">
        <v>8</v>
      </c>
      <c r="D46" s="51">
        <v>12213411.474000001</v>
      </c>
      <c r="E46" s="272">
        <v>0.13758000000000001</v>
      </c>
      <c r="F46" s="264" t="s">
        <v>253</v>
      </c>
      <c r="G46" s="51"/>
      <c r="H46" s="273">
        <f>H47</f>
        <v>0.14030999999999999</v>
      </c>
      <c r="I46" s="264" t="s">
        <v>253</v>
      </c>
      <c r="J46" s="264"/>
      <c r="K46" s="264"/>
      <c r="L46" s="270"/>
      <c r="M46" s="342"/>
      <c r="N46" s="282"/>
    </row>
    <row r="47" spans="1:15" x14ac:dyDescent="0.2">
      <c r="B47" s="291" t="s">
        <v>254</v>
      </c>
      <c r="C47" s="49" t="s">
        <v>8</v>
      </c>
      <c r="D47" s="51">
        <v>27469287.989699997</v>
      </c>
      <c r="E47" s="272">
        <v>0.13758000000000001</v>
      </c>
      <c r="F47" s="264">
        <f>ROUND(D47*E47,2)</f>
        <v>3779224.64</v>
      </c>
      <c r="G47" s="51"/>
      <c r="H47" s="273">
        <v>0.14030999999999999</v>
      </c>
      <c r="I47" s="264">
        <f>ROUND(D47*H47,2)</f>
        <v>3854215.8</v>
      </c>
      <c r="J47" s="264"/>
      <c r="K47" s="264">
        <f>I47-F47</f>
        <v>74991.159999999683</v>
      </c>
      <c r="L47" s="265">
        <f t="shared" ref="L47:L48" si="1">IFERROR(ROUND(K47/F47,5), )</f>
        <v>1.984E-2</v>
      </c>
      <c r="M47" s="342"/>
      <c r="N47" s="282"/>
    </row>
    <row r="48" spans="1:15" x14ac:dyDescent="0.2">
      <c r="B48" s="291" t="s">
        <v>255</v>
      </c>
      <c r="C48" s="49" t="s">
        <v>8</v>
      </c>
      <c r="D48" s="51">
        <v>22835291.693248168</v>
      </c>
      <c r="E48" s="272">
        <v>0.11074000000000001</v>
      </c>
      <c r="F48" s="264">
        <f>ROUND(D48*E48,2)</f>
        <v>2528780.2000000002</v>
      </c>
      <c r="G48" s="51"/>
      <c r="H48" s="273">
        <f>ROUND(E48*(1+$O$45),5)</f>
        <v>0.12131</v>
      </c>
      <c r="I48" s="264">
        <f>ROUND(D48*H48,2)</f>
        <v>2770149.24</v>
      </c>
      <c r="J48" s="264"/>
      <c r="K48" s="264">
        <f>I48-F48</f>
        <v>241369.04000000004</v>
      </c>
      <c r="L48" s="265">
        <f t="shared" si="1"/>
        <v>9.5449999999999993E-2</v>
      </c>
      <c r="M48" s="342"/>
      <c r="N48" s="282"/>
      <c r="O48" s="292"/>
    </row>
    <row r="49" spans="1:16" s="6" customFormat="1" x14ac:dyDescent="0.2">
      <c r="A49" s="41"/>
      <c r="B49" s="266" t="s">
        <v>256</v>
      </c>
      <c r="C49" s="276"/>
      <c r="D49" s="38">
        <f>SUM(D46:D48)</f>
        <v>62517991.156948164</v>
      </c>
      <c r="E49" s="234"/>
      <c r="F49" s="255"/>
      <c r="G49" s="51"/>
      <c r="H49" s="51"/>
      <c r="I49" s="41"/>
      <c r="J49" s="41"/>
      <c r="K49" s="41"/>
      <c r="L49" s="364"/>
      <c r="M49" s="365"/>
      <c r="N49" s="366"/>
      <c r="O49" s="41"/>
    </row>
    <row r="50" spans="1:16" s="6" customFormat="1" x14ac:dyDescent="0.2">
      <c r="A50" s="41"/>
      <c r="B50" s="266" t="s">
        <v>243</v>
      </c>
      <c r="C50" s="49" t="s">
        <v>8</v>
      </c>
      <c r="D50" s="51">
        <f>D49</f>
        <v>62517991.156948164</v>
      </c>
      <c r="E50" s="367">
        <v>1.005E-2</v>
      </c>
      <c r="F50" s="255">
        <f>D50*E50</f>
        <v>628305.81112732901</v>
      </c>
      <c r="G50" s="51"/>
      <c r="H50" s="273">
        <v>1.119E-2</v>
      </c>
      <c r="I50" s="255">
        <f>D50*H50</f>
        <v>699576.32104624994</v>
      </c>
      <c r="J50" s="255"/>
      <c r="K50" s="264">
        <f>I50-F50</f>
        <v>71270.509918920929</v>
      </c>
      <c r="L50" s="265">
        <f>IFERROR(ROUND(K50/F50,5), )</f>
        <v>0.11343</v>
      </c>
      <c r="M50" s="365"/>
      <c r="N50" s="366"/>
      <c r="O50" s="41"/>
      <c r="P50" s="23"/>
    </row>
    <row r="51" spans="1:16" x14ac:dyDescent="0.2">
      <c r="B51" s="283" t="s">
        <v>231</v>
      </c>
      <c r="C51" s="276"/>
      <c r="D51" s="38"/>
      <c r="E51" s="234"/>
      <c r="F51" s="368">
        <f>SUM(F41:F50)</f>
        <v>16528623.893127328</v>
      </c>
      <c r="G51" s="51"/>
      <c r="H51" s="51"/>
      <c r="I51" s="368">
        <f>SUM(I41:I43,I47:I50)</f>
        <v>17786398.291046247</v>
      </c>
      <c r="J51" s="255"/>
      <c r="K51" s="368">
        <f>SUM(K41:K50)</f>
        <v>1257774.3979189214</v>
      </c>
      <c r="L51" s="278">
        <f>ROUND(K51/F51,5)</f>
        <v>7.6100000000000001E-2</v>
      </c>
      <c r="M51" s="342"/>
      <c r="N51" s="282"/>
      <c r="O51" s="369"/>
    </row>
    <row r="52" spans="1:16" x14ac:dyDescent="0.2">
      <c r="B52" s="266"/>
      <c r="C52" s="276"/>
      <c r="D52" s="51"/>
      <c r="E52" s="49"/>
      <c r="F52" s="264"/>
      <c r="G52" s="51"/>
      <c r="H52" s="51"/>
      <c r="I52" s="255"/>
      <c r="J52" s="255"/>
      <c r="K52" s="264"/>
      <c r="L52" s="270"/>
      <c r="M52" s="342"/>
      <c r="N52" s="282"/>
      <c r="O52" s="370"/>
    </row>
    <row r="53" spans="1:16" x14ac:dyDescent="0.2">
      <c r="B53" s="266" t="s">
        <v>229</v>
      </c>
      <c r="C53" s="276"/>
      <c r="D53" s="41"/>
      <c r="E53" s="51"/>
      <c r="F53" s="368">
        <f>+F51</f>
        <v>16528623.893127328</v>
      </c>
      <c r="G53" s="51"/>
      <c r="H53" s="51"/>
      <c r="I53" s="368">
        <f>+I51</f>
        <v>17786398.291046247</v>
      </c>
      <c r="J53" s="255"/>
      <c r="K53" s="277">
        <f>K51</f>
        <v>1257774.3979189214</v>
      </c>
      <c r="L53" s="278">
        <f>ROUND(K53/F53,5)</f>
        <v>7.6100000000000001E-2</v>
      </c>
      <c r="M53" s="342"/>
      <c r="N53" s="282"/>
      <c r="O53" s="41"/>
    </row>
    <row r="54" spans="1:16" s="6" customFormat="1" x14ac:dyDescent="0.2">
      <c r="B54" s="285"/>
      <c r="C54" s="33"/>
      <c r="D54" s="33"/>
      <c r="E54" s="33"/>
      <c r="F54" s="286"/>
      <c r="G54" s="33"/>
      <c r="H54" s="33"/>
      <c r="I54" s="354"/>
      <c r="J54" s="354"/>
      <c r="K54" s="286"/>
      <c r="L54" s="287"/>
      <c r="M54" s="365"/>
      <c r="N54" s="366"/>
      <c r="O54" s="41"/>
    </row>
    <row r="55" spans="1:16" s="6" customFormat="1" x14ac:dyDescent="0.2">
      <c r="A55" s="41"/>
      <c r="B55" s="41"/>
      <c r="C55" s="41"/>
      <c r="D55" s="41"/>
      <c r="E55" s="41"/>
      <c r="F55" s="292"/>
      <c r="G55" s="41"/>
      <c r="H55" s="41"/>
      <c r="I55" s="297"/>
      <c r="J55" s="297"/>
      <c r="K55" s="292"/>
      <c r="L55" s="371"/>
      <c r="M55" s="365"/>
      <c r="N55" s="366"/>
      <c r="O55" s="41"/>
    </row>
    <row r="56" spans="1:16" s="6" customFormat="1" x14ac:dyDescent="0.2">
      <c r="A56" s="41"/>
      <c r="B56" s="288" t="s">
        <v>257</v>
      </c>
      <c r="C56" s="340"/>
      <c r="D56" s="169"/>
      <c r="E56" s="258"/>
      <c r="F56" s="260"/>
      <c r="G56" s="169"/>
      <c r="H56" s="169"/>
      <c r="I56" s="260"/>
      <c r="J56" s="260"/>
      <c r="K56" s="260"/>
      <c r="L56" s="290"/>
      <c r="M56" s="365"/>
      <c r="N56" s="366"/>
      <c r="O56" s="41"/>
    </row>
    <row r="57" spans="1:16" s="6" customFormat="1" x14ac:dyDescent="0.2">
      <c r="A57" s="41"/>
      <c r="B57" s="291"/>
      <c r="C57" s="49"/>
      <c r="D57" s="41"/>
      <c r="E57" s="41"/>
      <c r="F57" s="264"/>
      <c r="G57" s="293"/>
      <c r="H57" s="41"/>
      <c r="I57" s="264"/>
      <c r="J57" s="264"/>
      <c r="K57" s="264"/>
      <c r="L57" s="270"/>
      <c r="M57" s="365"/>
      <c r="N57" s="366"/>
      <c r="O57" s="41"/>
    </row>
    <row r="58" spans="1:16" s="6" customFormat="1" x14ac:dyDescent="0.2">
      <c r="A58" s="41"/>
      <c r="B58" s="266" t="s">
        <v>225</v>
      </c>
      <c r="C58" s="267" t="s">
        <v>226</v>
      </c>
      <c r="D58" s="51">
        <v>1040</v>
      </c>
      <c r="E58" s="268">
        <v>422.79</v>
      </c>
      <c r="F58" s="264">
        <f>ROUND(D58*E58,2)</f>
        <v>439701.6</v>
      </c>
      <c r="G58" s="51"/>
      <c r="H58" s="269">
        <f>E58</f>
        <v>422.79</v>
      </c>
      <c r="I58" s="264">
        <f>ROUND(D58*H58,2)</f>
        <v>439701.6</v>
      </c>
      <c r="J58" s="264"/>
      <c r="K58" s="264">
        <f>I58-F58</f>
        <v>0</v>
      </c>
      <c r="L58" s="265">
        <f t="shared" ref="L58:L60" si="2">IFERROR(ROUND(K58/F58,5), )</f>
        <v>0</v>
      </c>
      <c r="M58" s="365"/>
      <c r="N58" s="366"/>
      <c r="O58" s="267"/>
    </row>
    <row r="59" spans="1:16" s="6" customFormat="1" x14ac:dyDescent="0.2">
      <c r="A59" s="41"/>
      <c r="B59" s="291" t="s">
        <v>248</v>
      </c>
      <c r="C59" s="267" t="s">
        <v>226</v>
      </c>
      <c r="D59" s="51">
        <f>D58</f>
        <v>1040</v>
      </c>
      <c r="E59" s="268">
        <v>123.82</v>
      </c>
      <c r="F59" s="255">
        <f>D59*E59</f>
        <v>128772.79999999999</v>
      </c>
      <c r="G59" s="51"/>
      <c r="H59" s="269">
        <f>H42</f>
        <v>126.28</v>
      </c>
      <c r="I59" s="255">
        <f>ROUND(D59*H59,2)</f>
        <v>131331.20000000001</v>
      </c>
      <c r="J59" s="255"/>
      <c r="K59" s="264">
        <f>I59-F59</f>
        <v>2558.4000000000233</v>
      </c>
      <c r="L59" s="265">
        <f t="shared" si="2"/>
        <v>1.9869999999999999E-2</v>
      </c>
      <c r="M59" s="365"/>
      <c r="N59" s="366"/>
      <c r="O59" s="41"/>
    </row>
    <row r="60" spans="1:16" s="6" customFormat="1" x14ac:dyDescent="0.2">
      <c r="A60" s="41"/>
      <c r="B60" s="291" t="s">
        <v>249</v>
      </c>
      <c r="C60" s="49" t="s">
        <v>250</v>
      </c>
      <c r="D60" s="51">
        <v>1163206.9669999999</v>
      </c>
      <c r="E60" s="268">
        <v>1.25</v>
      </c>
      <c r="F60" s="255">
        <f>ROUND(D60*E60,2)</f>
        <v>1454008.71</v>
      </c>
      <c r="G60" s="51"/>
      <c r="H60" s="269">
        <f>H43</f>
        <v>1.37</v>
      </c>
      <c r="I60" s="255">
        <f>ROUND(D60*H60,2)</f>
        <v>1593593.54</v>
      </c>
      <c r="J60" s="41"/>
      <c r="K60" s="264">
        <f>I60-F60</f>
        <v>139584.83000000007</v>
      </c>
      <c r="L60" s="265">
        <f t="shared" si="2"/>
        <v>9.6000000000000002E-2</v>
      </c>
      <c r="M60" s="365"/>
      <c r="N60" s="366"/>
      <c r="O60" s="41"/>
    </row>
    <row r="61" spans="1:16" s="6" customFormat="1" x14ac:dyDescent="0.2">
      <c r="A61" s="41"/>
      <c r="B61" s="291"/>
      <c r="C61" s="49"/>
      <c r="D61" s="51"/>
      <c r="E61" s="268"/>
      <c r="F61" s="255"/>
      <c r="G61" s="51"/>
      <c r="H61" s="268"/>
      <c r="I61" s="255"/>
      <c r="J61" s="255"/>
      <c r="K61" s="298"/>
      <c r="L61" s="363"/>
      <c r="M61" s="365"/>
      <c r="N61" s="366"/>
      <c r="O61" s="41"/>
    </row>
    <row r="62" spans="1:16" s="6" customFormat="1" x14ac:dyDescent="0.2">
      <c r="A62" s="41"/>
      <c r="B62" s="291" t="s">
        <v>251</v>
      </c>
      <c r="C62" s="49"/>
      <c r="D62" s="51"/>
      <c r="E62" s="268"/>
      <c r="F62" s="264"/>
      <c r="G62" s="51"/>
      <c r="H62" s="268"/>
      <c r="I62" s="255"/>
      <c r="J62" s="255"/>
      <c r="K62" s="298"/>
      <c r="L62" s="363"/>
      <c r="M62" s="365"/>
      <c r="N62" s="366"/>
      <c r="O62" s="41"/>
    </row>
    <row r="63" spans="1:16" s="6" customFormat="1" x14ac:dyDescent="0.2">
      <c r="A63" s="41"/>
      <c r="B63" s="291" t="s">
        <v>252</v>
      </c>
      <c r="C63" s="49" t="s">
        <v>8</v>
      </c>
      <c r="D63" s="51">
        <v>1057148.28</v>
      </c>
      <c r="E63" s="272">
        <v>0.13758000000000001</v>
      </c>
      <c r="F63" s="264" t="s">
        <v>253</v>
      </c>
      <c r="G63" s="51"/>
      <c r="H63" s="273">
        <f>H46</f>
        <v>0.14030999999999999</v>
      </c>
      <c r="I63" s="264" t="s">
        <v>253</v>
      </c>
      <c r="J63" s="264"/>
      <c r="K63" s="264"/>
      <c r="L63" s="270"/>
      <c r="M63" s="365"/>
      <c r="N63" s="366"/>
      <c r="O63" s="41"/>
    </row>
    <row r="64" spans="1:16" s="6" customFormat="1" x14ac:dyDescent="0.2">
      <c r="A64" s="41"/>
      <c r="B64" s="291" t="s">
        <v>254</v>
      </c>
      <c r="C64" s="49" t="s">
        <v>8</v>
      </c>
      <c r="D64" s="51">
        <v>3901926.5700000003</v>
      </c>
      <c r="E64" s="272">
        <v>0.13758000000000001</v>
      </c>
      <c r="F64" s="264">
        <f>D64*E64</f>
        <v>536827.05750060012</v>
      </c>
      <c r="G64" s="51"/>
      <c r="H64" s="273">
        <f>H47</f>
        <v>0.14030999999999999</v>
      </c>
      <c r="I64" s="264">
        <f>H64*D64</f>
        <v>547479.31703669997</v>
      </c>
      <c r="J64" s="264"/>
      <c r="K64" s="264">
        <f>I64-F64</f>
        <v>10652.259536099853</v>
      </c>
      <c r="L64" s="265">
        <f t="shared" ref="L64:L65" si="3">IFERROR(ROUND(K64/F64,5), )</f>
        <v>1.984E-2</v>
      </c>
      <c r="M64" s="365"/>
      <c r="N64" s="366"/>
      <c r="O64" s="41"/>
    </row>
    <row r="65" spans="1:15" s="6" customFormat="1" x14ac:dyDescent="0.2">
      <c r="A65" s="41"/>
      <c r="B65" s="291" t="s">
        <v>255</v>
      </c>
      <c r="C65" s="49" t="s">
        <v>8</v>
      </c>
      <c r="D65" s="51">
        <v>14535430.758019032</v>
      </c>
      <c r="E65" s="272">
        <v>0.11074000000000001</v>
      </c>
      <c r="F65" s="264">
        <f>D65*E65</f>
        <v>1609653.6021430276</v>
      </c>
      <c r="G65" s="51"/>
      <c r="H65" s="273">
        <f>H48</f>
        <v>0.12131</v>
      </c>
      <c r="I65" s="264">
        <f>H65*D65</f>
        <v>1763293.1052552888</v>
      </c>
      <c r="J65" s="264"/>
      <c r="K65" s="264">
        <f>I65-F65</f>
        <v>153639.50311226118</v>
      </c>
      <c r="L65" s="265">
        <f t="shared" si="3"/>
        <v>9.5449999999999993E-2</v>
      </c>
      <c r="M65" s="365"/>
      <c r="N65" s="366"/>
      <c r="O65" s="41"/>
    </row>
    <row r="66" spans="1:15" s="6" customFormat="1" x14ac:dyDescent="0.2">
      <c r="A66" s="41"/>
      <c r="B66" s="266" t="s">
        <v>256</v>
      </c>
      <c r="C66" s="276"/>
      <c r="D66" s="38">
        <f>SUM(D63:D65)</f>
        <v>19494505.608019032</v>
      </c>
      <c r="E66" s="234"/>
      <c r="F66" s="255"/>
      <c r="G66" s="51"/>
      <c r="H66" s="51"/>
      <c r="I66" s="41"/>
      <c r="J66" s="41"/>
      <c r="K66" s="41"/>
      <c r="L66" s="364"/>
      <c r="M66" s="365"/>
      <c r="N66" s="366"/>
      <c r="O66" s="41"/>
    </row>
    <row r="67" spans="1:15" s="6" customFormat="1" x14ac:dyDescent="0.2">
      <c r="A67" s="41"/>
      <c r="B67" s="283" t="s">
        <v>231</v>
      </c>
      <c r="C67" s="276"/>
      <c r="D67" s="51"/>
      <c r="E67" s="234"/>
      <c r="F67" s="368">
        <f>SUM(F58:F66)</f>
        <v>4168963.769643628</v>
      </c>
      <c r="G67" s="51"/>
      <c r="H67" s="51"/>
      <c r="I67" s="368">
        <f>SUM(I58:I66)</f>
        <v>4475398.7622919884</v>
      </c>
      <c r="J67" s="255"/>
      <c r="K67" s="368">
        <f>SUM(K58:K66)</f>
        <v>306434.99264836113</v>
      </c>
      <c r="L67" s="278">
        <f>ROUND(K67/F67,5)</f>
        <v>7.3499999999999996E-2</v>
      </c>
      <c r="M67" s="365"/>
      <c r="N67" s="366"/>
      <c r="O67" s="41"/>
    </row>
    <row r="68" spans="1:15" s="6" customFormat="1" x14ac:dyDescent="0.2">
      <c r="A68" s="41"/>
      <c r="B68" s="266"/>
      <c r="C68" s="276"/>
      <c r="D68" s="51"/>
      <c r="E68" s="234"/>
      <c r="F68" s="255"/>
      <c r="G68" s="51"/>
      <c r="H68" s="51"/>
      <c r="I68" s="255"/>
      <c r="J68" s="255"/>
      <c r="K68" s="264"/>
      <c r="L68" s="270"/>
      <c r="M68" s="365"/>
      <c r="N68" s="366"/>
      <c r="O68" s="372"/>
    </row>
    <row r="69" spans="1:15" s="6" customFormat="1" x14ac:dyDescent="0.2">
      <c r="A69" s="41"/>
      <c r="B69" s="291" t="s">
        <v>229</v>
      </c>
      <c r="C69" s="49"/>
      <c r="D69" s="51"/>
      <c r="E69" s="272"/>
      <c r="F69" s="368">
        <f>F67</f>
        <v>4168963.769643628</v>
      </c>
      <c r="G69" s="41"/>
      <c r="H69" s="268"/>
      <c r="I69" s="368">
        <f>I67</f>
        <v>4475398.7622919884</v>
      </c>
      <c r="J69" s="264"/>
      <c r="K69" s="277">
        <f>K67</f>
        <v>306434.99264836113</v>
      </c>
      <c r="L69" s="278">
        <f>ROUND(K69/F69,5)</f>
        <v>7.3499999999999996E-2</v>
      </c>
      <c r="M69" s="365"/>
      <c r="N69" s="366"/>
      <c r="O69" s="292"/>
    </row>
    <row r="70" spans="1:15" s="6" customFormat="1" x14ac:dyDescent="0.2">
      <c r="A70" s="41"/>
      <c r="B70" s="285"/>
      <c r="C70" s="33"/>
      <c r="D70" s="33"/>
      <c r="E70" s="33"/>
      <c r="F70" s="286"/>
      <c r="G70" s="33"/>
      <c r="H70" s="33"/>
      <c r="I70" s="354"/>
      <c r="J70" s="354"/>
      <c r="K70" s="286"/>
      <c r="L70" s="287"/>
      <c r="M70" s="365"/>
      <c r="N70" s="366"/>
      <c r="O70" s="372"/>
    </row>
    <row r="71" spans="1:15" s="6" customFormat="1" x14ac:dyDescent="0.2">
      <c r="A71" s="41"/>
      <c r="B71" s="41"/>
      <c r="C71" s="41"/>
      <c r="D71" s="41"/>
      <c r="E71" s="41"/>
      <c r="F71" s="292"/>
      <c r="G71" s="41"/>
      <c r="H71" s="41"/>
      <c r="I71" s="297"/>
      <c r="J71" s="297"/>
      <c r="K71" s="292"/>
      <c r="L71" s="371"/>
      <c r="M71" s="365"/>
      <c r="N71" s="366"/>
      <c r="O71" s="372"/>
    </row>
    <row r="72" spans="1:15" s="6" customFormat="1" x14ac:dyDescent="0.2">
      <c r="A72" s="41"/>
      <c r="B72" s="288" t="s">
        <v>258</v>
      </c>
      <c r="C72" s="340"/>
      <c r="D72" s="169"/>
      <c r="E72" s="258"/>
      <c r="F72" s="260"/>
      <c r="G72" s="169"/>
      <c r="H72" s="169"/>
      <c r="I72" s="260"/>
      <c r="J72" s="260"/>
      <c r="K72" s="260"/>
      <c r="L72" s="290"/>
      <c r="M72" s="365"/>
      <c r="N72" s="366"/>
      <c r="O72" s="372"/>
    </row>
    <row r="73" spans="1:15" s="6" customFormat="1" x14ac:dyDescent="0.2">
      <c r="A73" s="41"/>
      <c r="B73" s="262"/>
      <c r="C73" s="49"/>
      <c r="D73" s="41"/>
      <c r="E73" s="41"/>
      <c r="F73" s="264"/>
      <c r="G73" s="293"/>
      <c r="H73" s="41"/>
      <c r="I73" s="264"/>
      <c r="J73" s="264"/>
      <c r="K73" s="264"/>
      <c r="L73" s="270"/>
      <c r="M73" s="365"/>
      <c r="N73" s="366"/>
      <c r="O73" s="372"/>
    </row>
    <row r="74" spans="1:15" s="6" customFormat="1" x14ac:dyDescent="0.2">
      <c r="A74" s="41"/>
      <c r="B74" s="266" t="s">
        <v>225</v>
      </c>
      <c r="C74" s="267" t="s">
        <v>226</v>
      </c>
      <c r="D74" s="51">
        <f>D58+D41</f>
        <v>16031.599999999999</v>
      </c>
      <c r="E74" s="268"/>
      <c r="F74" s="264">
        <f>F58+F41</f>
        <v>2139749.04</v>
      </c>
      <c r="G74" s="51"/>
      <c r="H74" s="359"/>
      <c r="I74" s="264">
        <f>I58+I41</f>
        <v>2393556.83</v>
      </c>
      <c r="J74" s="264"/>
      <c r="K74" s="264">
        <f>K58+K41</f>
        <v>253807.79000000004</v>
      </c>
      <c r="L74" s="265">
        <f t="shared" ref="L74:L76" si="4">IFERROR(ROUND(K74/F74,5), )</f>
        <v>0.11862</v>
      </c>
      <c r="M74" s="365"/>
      <c r="N74" s="366"/>
      <c r="O74" s="372"/>
    </row>
    <row r="75" spans="1:15" s="6" customFormat="1" x14ac:dyDescent="0.2">
      <c r="A75" s="41"/>
      <c r="B75" s="291" t="s">
        <v>248</v>
      </c>
      <c r="C75" s="267" t="s">
        <v>226</v>
      </c>
      <c r="D75" s="51">
        <f>D74</f>
        <v>16031.599999999999</v>
      </c>
      <c r="E75" s="268"/>
      <c r="F75" s="264">
        <f>F59+F42</f>
        <v>1985032.7119999998</v>
      </c>
      <c r="G75" s="51"/>
      <c r="H75" s="268"/>
      <c r="I75" s="264">
        <f>I59+I42</f>
        <v>2024470.45</v>
      </c>
      <c r="J75" s="255"/>
      <c r="K75" s="264">
        <f>K59+K42</f>
        <v>39437.738000000245</v>
      </c>
      <c r="L75" s="265">
        <f t="shared" si="4"/>
        <v>1.9869999999999999E-2</v>
      </c>
      <c r="M75" s="365"/>
      <c r="N75" s="366"/>
      <c r="O75" s="372"/>
    </row>
    <row r="76" spans="1:15" s="6" customFormat="1" x14ac:dyDescent="0.2">
      <c r="A76" s="41"/>
      <c r="B76" s="262" t="s">
        <v>249</v>
      </c>
      <c r="C76" s="49" t="s">
        <v>250</v>
      </c>
      <c r="D76" s="51">
        <f>D60+D43</f>
        <v>5992011.6780000003</v>
      </c>
      <c r="E76" s="268"/>
      <c r="F76" s="264">
        <f>F60+F43</f>
        <v>7490014.5999999996</v>
      </c>
      <c r="G76" s="51"/>
      <c r="H76" s="359"/>
      <c r="I76" s="264">
        <f>I60+I43</f>
        <v>8209055.9900000002</v>
      </c>
      <c r="J76" s="255"/>
      <c r="K76" s="264">
        <f>K60+K43</f>
        <v>719041.3900000006</v>
      </c>
      <c r="L76" s="265">
        <f t="shared" si="4"/>
        <v>9.6000000000000002E-2</v>
      </c>
      <c r="M76" s="365"/>
      <c r="N76" s="366"/>
      <c r="O76" s="372"/>
    </row>
    <row r="77" spans="1:15" s="6" customFormat="1" x14ac:dyDescent="0.2">
      <c r="A77" s="41"/>
      <c r="B77" s="262"/>
      <c r="C77" s="49"/>
      <c r="D77" s="51"/>
      <c r="E77" s="268"/>
      <c r="F77" s="255"/>
      <c r="G77" s="51"/>
      <c r="H77" s="268"/>
      <c r="I77" s="255"/>
      <c r="J77" s="255"/>
      <c r="K77" s="298"/>
      <c r="L77" s="363"/>
      <c r="M77" s="365"/>
      <c r="N77" s="366"/>
      <c r="O77" s="372"/>
    </row>
    <row r="78" spans="1:15" s="6" customFormat="1" x14ac:dyDescent="0.2">
      <c r="A78" s="41"/>
      <c r="B78" s="262" t="s">
        <v>251</v>
      </c>
      <c r="C78" s="49"/>
      <c r="D78" s="51"/>
      <c r="E78" s="268"/>
      <c r="F78" s="264"/>
      <c r="G78" s="51"/>
      <c r="H78" s="268"/>
      <c r="I78" s="255"/>
      <c r="J78" s="255"/>
      <c r="K78" s="298"/>
      <c r="L78" s="363"/>
      <c r="M78" s="365"/>
      <c r="N78" s="366"/>
      <c r="O78" s="372"/>
    </row>
    <row r="79" spans="1:15" s="6" customFormat="1" x14ac:dyDescent="0.2">
      <c r="A79" s="41"/>
      <c r="B79" s="291" t="s">
        <v>252</v>
      </c>
      <c r="C79" s="49" t="s">
        <v>8</v>
      </c>
      <c r="D79" s="51">
        <f>D63+D46</f>
        <v>13270559.754000001</v>
      </c>
      <c r="E79" s="272"/>
      <c r="F79" s="264" t="s">
        <v>253</v>
      </c>
      <c r="G79" s="51"/>
      <c r="H79" s="272"/>
      <c r="I79" s="264" t="s">
        <v>253</v>
      </c>
      <c r="J79" s="264"/>
      <c r="K79" s="264"/>
      <c r="L79" s="270"/>
      <c r="M79" s="365"/>
      <c r="N79" s="366"/>
      <c r="O79" s="372"/>
    </row>
    <row r="80" spans="1:15" s="6" customFormat="1" x14ac:dyDescent="0.2">
      <c r="A80" s="41"/>
      <c r="B80" s="291" t="s">
        <v>254</v>
      </c>
      <c r="C80" s="49" t="s">
        <v>8</v>
      </c>
      <c r="D80" s="51">
        <f>D64+D47</f>
        <v>31371214.559699997</v>
      </c>
      <c r="E80" s="272"/>
      <c r="F80" s="264">
        <f>F64+F47</f>
        <v>4316051.6975006005</v>
      </c>
      <c r="G80" s="51"/>
      <c r="H80" s="272"/>
      <c r="I80" s="264">
        <f>I64+I47</f>
        <v>4401695.1170367002</v>
      </c>
      <c r="J80" s="264"/>
      <c r="K80" s="264">
        <f>K64+K47</f>
        <v>85643.419536099536</v>
      </c>
      <c r="L80" s="265">
        <f t="shared" ref="L80:L81" si="5">IFERROR(ROUND(K80/F80,5), )</f>
        <v>1.984E-2</v>
      </c>
      <c r="M80" s="365"/>
      <c r="N80" s="366"/>
      <c r="O80" s="372"/>
    </row>
    <row r="81" spans="1:15" s="6" customFormat="1" x14ac:dyDescent="0.2">
      <c r="A81" s="41"/>
      <c r="B81" s="291" t="s">
        <v>255</v>
      </c>
      <c r="C81" s="49" t="s">
        <v>8</v>
      </c>
      <c r="D81" s="32">
        <f>D65+D48</f>
        <v>37370722.451267198</v>
      </c>
      <c r="E81" s="272"/>
      <c r="F81" s="264">
        <f>F65+F48</f>
        <v>4138433.802143028</v>
      </c>
      <c r="G81" s="51"/>
      <c r="H81" s="272"/>
      <c r="I81" s="264">
        <f>I65+I48</f>
        <v>4533442.3452552892</v>
      </c>
      <c r="J81" s="264"/>
      <c r="K81" s="264">
        <f>K65+K48</f>
        <v>395008.54311226122</v>
      </c>
      <c r="L81" s="265">
        <f t="shared" si="5"/>
        <v>9.5449999999999993E-2</v>
      </c>
      <c r="M81" s="365"/>
      <c r="N81" s="366"/>
      <c r="O81" s="372"/>
    </row>
    <row r="82" spans="1:15" s="6" customFormat="1" x14ac:dyDescent="0.2">
      <c r="A82" s="41"/>
      <c r="B82" s="283" t="s">
        <v>256</v>
      </c>
      <c r="C82" s="276"/>
      <c r="D82" s="38">
        <f>SUM(D79:D81)</f>
        <v>82012496.764967203</v>
      </c>
      <c r="E82" s="234"/>
      <c r="F82" s="255"/>
      <c r="G82" s="51"/>
      <c r="H82" s="51"/>
      <c r="I82" s="41"/>
      <c r="J82" s="41"/>
      <c r="K82" s="41"/>
      <c r="L82" s="364"/>
      <c r="M82" s="365"/>
      <c r="N82" s="366"/>
      <c r="O82" s="372"/>
    </row>
    <row r="83" spans="1:15" s="6" customFormat="1" x14ac:dyDescent="0.2">
      <c r="A83" s="41"/>
      <c r="B83" s="262" t="s">
        <v>243</v>
      </c>
      <c r="C83" s="49" t="s">
        <v>8</v>
      </c>
      <c r="D83" s="51">
        <f>D50</f>
        <v>62517991.156948164</v>
      </c>
      <c r="E83" s="272"/>
      <c r="F83" s="264">
        <f>F50</f>
        <v>628305.81112732901</v>
      </c>
      <c r="G83" s="51"/>
      <c r="H83" s="360"/>
      <c r="I83" s="264">
        <f>I50</f>
        <v>699576.32104624994</v>
      </c>
      <c r="J83" s="264"/>
      <c r="K83" s="264">
        <f>I83-F83</f>
        <v>71270.509918920929</v>
      </c>
      <c r="L83" s="270">
        <f>IFERROR(ROUND(K83/F83,5), )</f>
        <v>0.11343</v>
      </c>
      <c r="M83" s="365"/>
      <c r="N83" s="366"/>
      <c r="O83" s="372"/>
    </row>
    <row r="84" spans="1:15" s="6" customFormat="1" x14ac:dyDescent="0.2">
      <c r="A84" s="41"/>
      <c r="B84" s="283" t="s">
        <v>231</v>
      </c>
      <c r="C84" s="276"/>
      <c r="D84" s="51"/>
      <c r="E84" s="234"/>
      <c r="F84" s="368">
        <f>SUM(F74:F83)</f>
        <v>20697587.662770957</v>
      </c>
      <c r="G84" s="51"/>
      <c r="H84" s="51"/>
      <c r="I84" s="368">
        <f>SUM(I74:I83)</f>
        <v>22261797.053338237</v>
      </c>
      <c r="J84" s="255"/>
      <c r="K84" s="368">
        <f>SUM(K74:K82)</f>
        <v>1492938.8806483615</v>
      </c>
      <c r="L84" s="278">
        <f>ROUND(K84/F84,5)</f>
        <v>7.213E-2</v>
      </c>
      <c r="M84" s="365"/>
      <c r="N84" s="366"/>
      <c r="O84" s="372"/>
    </row>
    <row r="85" spans="1:15" s="6" customFormat="1" x14ac:dyDescent="0.2">
      <c r="A85" s="41"/>
      <c r="B85" s="283"/>
      <c r="C85" s="276"/>
      <c r="D85" s="51"/>
      <c r="E85" s="234"/>
      <c r="F85" s="255"/>
      <c r="G85" s="51"/>
      <c r="H85" s="51"/>
      <c r="I85" s="255"/>
      <c r="J85" s="255"/>
      <c r="K85" s="264"/>
      <c r="L85" s="270"/>
      <c r="M85" s="365"/>
      <c r="N85" s="366"/>
      <c r="O85" s="372"/>
    </row>
    <row r="86" spans="1:15" s="6" customFormat="1" x14ac:dyDescent="0.2">
      <c r="A86" s="41"/>
      <c r="B86" s="262" t="s">
        <v>229</v>
      </c>
      <c r="C86" s="49"/>
      <c r="D86" s="51"/>
      <c r="E86" s="272"/>
      <c r="F86" s="368">
        <f>F84</f>
        <v>20697587.662770957</v>
      </c>
      <c r="G86" s="41"/>
      <c r="H86" s="268"/>
      <c r="I86" s="368">
        <f>I84</f>
        <v>22261797.053338237</v>
      </c>
      <c r="J86" s="264"/>
      <c r="K86" s="277">
        <f>K84</f>
        <v>1492938.8806483615</v>
      </c>
      <c r="L86" s="278">
        <f>ROUND(K86/F86,5)</f>
        <v>7.213E-2</v>
      </c>
      <c r="M86" s="365"/>
      <c r="N86" s="366"/>
      <c r="O86" s="49"/>
    </row>
    <row r="87" spans="1:15" s="6" customFormat="1" x14ac:dyDescent="0.2">
      <c r="A87" s="41"/>
      <c r="B87" s="285"/>
      <c r="C87" s="33"/>
      <c r="D87" s="33"/>
      <c r="E87" s="33"/>
      <c r="F87" s="286"/>
      <c r="G87" s="33"/>
      <c r="H87" s="33"/>
      <c r="I87" s="354"/>
      <c r="J87" s="354"/>
      <c r="K87" s="286"/>
      <c r="L87" s="287"/>
      <c r="M87" s="365"/>
      <c r="N87" s="366"/>
      <c r="O87" s="49"/>
    </row>
    <row r="88" spans="1:15" s="41" customFormat="1" x14ac:dyDescent="0.2">
      <c r="F88" s="292"/>
      <c r="I88" s="297"/>
      <c r="J88" s="297"/>
      <c r="K88" s="292"/>
      <c r="L88" s="371"/>
      <c r="M88" s="365"/>
      <c r="N88" s="366"/>
      <c r="O88" s="296"/>
    </row>
    <row r="89" spans="1:15" x14ac:dyDescent="0.2">
      <c r="B89" s="49"/>
      <c r="F89" s="317"/>
      <c r="I89" s="317"/>
      <c r="J89" s="317"/>
      <c r="K89" s="317"/>
      <c r="M89" s="342"/>
      <c r="N89" s="282"/>
      <c r="O89" s="296"/>
    </row>
    <row r="90" spans="1:15" x14ac:dyDescent="0.2">
      <c r="B90" s="233" t="s">
        <v>259</v>
      </c>
      <c r="F90" s="317"/>
      <c r="I90" s="317"/>
      <c r="J90" s="317"/>
      <c r="K90" s="317"/>
      <c r="M90" s="342"/>
      <c r="N90" s="282"/>
      <c r="O90" s="373"/>
    </row>
    <row r="91" spans="1:15" x14ac:dyDescent="0.2">
      <c r="D91" s="315" t="s">
        <v>8</v>
      </c>
      <c r="F91" s="374" t="s">
        <v>168</v>
      </c>
      <c r="I91" s="374" t="s">
        <v>5</v>
      </c>
      <c r="J91" s="317"/>
      <c r="K91" s="374" t="s">
        <v>79</v>
      </c>
      <c r="M91" s="342"/>
      <c r="N91" s="282"/>
    </row>
    <row r="92" spans="1:15" x14ac:dyDescent="0.2">
      <c r="B92" s="233" t="s">
        <v>229</v>
      </c>
      <c r="C92" s="375"/>
      <c r="D92" s="234"/>
      <c r="E92" s="375"/>
      <c r="F92" s="375"/>
      <c r="G92" s="376"/>
      <c r="H92" s="376"/>
      <c r="I92" s="375"/>
      <c r="J92" s="375"/>
      <c r="K92" s="377"/>
      <c r="M92" s="378"/>
    </row>
    <row r="93" spans="1:15" x14ac:dyDescent="0.2">
      <c r="B93" s="3" t="s">
        <v>260</v>
      </c>
      <c r="C93" s="375"/>
      <c r="D93" s="234">
        <f>D32</f>
        <v>222203870.67539161</v>
      </c>
      <c r="E93" s="375"/>
      <c r="F93" s="375">
        <f>F15+F24</f>
        <v>111031564.85000001</v>
      </c>
      <c r="G93" s="375"/>
      <c r="H93" s="376"/>
      <c r="I93" s="375">
        <f>I15+I24</f>
        <v>122144982.04000001</v>
      </c>
      <c r="J93" s="375"/>
      <c r="K93" s="377">
        <f>I93-F93</f>
        <v>11113417.189999998</v>
      </c>
      <c r="L93" s="318">
        <f>K93/F93</f>
        <v>0.10009241250462297</v>
      </c>
      <c r="M93" s="378"/>
    </row>
    <row r="94" spans="1:15" x14ac:dyDescent="0.2">
      <c r="B94" s="3" t="s">
        <v>261</v>
      </c>
      <c r="C94" s="375"/>
      <c r="D94" s="379">
        <f>D66</f>
        <v>19494505.608019032</v>
      </c>
      <c r="E94" s="375"/>
      <c r="F94" s="375">
        <f>F51+F67</f>
        <v>20697587.662770957</v>
      </c>
      <c r="G94" s="375"/>
      <c r="H94" s="376"/>
      <c r="I94" s="375">
        <f>I51+I67</f>
        <v>22261797.053338237</v>
      </c>
      <c r="J94" s="375"/>
      <c r="K94" s="377">
        <f>I94-F94</f>
        <v>1564209.3905672804</v>
      </c>
      <c r="L94" s="318">
        <f>K94/F94</f>
        <v>7.5574478342751314E-2</v>
      </c>
      <c r="M94" s="378"/>
    </row>
    <row r="95" spans="1:15" x14ac:dyDescent="0.2">
      <c r="B95" s="3" t="s">
        <v>40</v>
      </c>
      <c r="C95" s="375"/>
      <c r="D95" s="380">
        <f>SUM(D93:D94)</f>
        <v>241698376.28341064</v>
      </c>
      <c r="E95" s="375"/>
      <c r="F95" s="381">
        <f>SUM(F93:F94)</f>
        <v>131729152.51277097</v>
      </c>
      <c r="G95" s="375"/>
      <c r="H95" s="376"/>
      <c r="I95" s="381">
        <f>SUM(I93:I94)</f>
        <v>144406779.09333825</v>
      </c>
      <c r="J95" s="375"/>
      <c r="K95" s="381">
        <f>SUM(K93:K94)</f>
        <v>12677626.580567278</v>
      </c>
      <c r="L95" s="318">
        <f>K95/F95</f>
        <v>9.624009825264912E-2</v>
      </c>
      <c r="M95" s="378"/>
    </row>
    <row r="96" spans="1:15" ht="13.5" thickBot="1" x14ac:dyDescent="0.25">
      <c r="C96" s="375"/>
      <c r="D96" s="379"/>
      <c r="E96" s="375"/>
      <c r="F96" s="375"/>
      <c r="G96" s="375"/>
      <c r="H96" s="375"/>
      <c r="I96" s="375"/>
      <c r="J96" s="375"/>
      <c r="K96" s="375"/>
      <c r="M96" s="378"/>
    </row>
    <row r="97" spans="2:13" ht="13.5" thickBot="1" x14ac:dyDescent="0.25">
      <c r="B97" s="319" t="s">
        <v>192</v>
      </c>
      <c r="C97" s="320" t="s">
        <v>238</v>
      </c>
      <c r="D97" s="321">
        <v>131691503.15920852</v>
      </c>
      <c r="E97" s="320" t="s">
        <v>239</v>
      </c>
      <c r="F97" s="382">
        <f>D97-F95</f>
        <v>-37649.353562444448</v>
      </c>
      <c r="G97" s="376"/>
      <c r="H97" s="376"/>
      <c r="I97" s="375"/>
      <c r="J97" s="375"/>
      <c r="K97" s="375"/>
      <c r="M97" s="378"/>
    </row>
    <row r="98" spans="2:13" x14ac:dyDescent="0.2">
      <c r="C98" s="375"/>
      <c r="D98" s="375"/>
      <c r="E98" s="375"/>
      <c r="F98" s="375"/>
      <c r="G98" s="376"/>
      <c r="H98" s="376"/>
      <c r="I98" s="375"/>
      <c r="J98" s="375"/>
      <c r="K98" s="375"/>
      <c r="M98" s="378"/>
    </row>
    <row r="99" spans="2:13" x14ac:dyDescent="0.2">
      <c r="D99" s="316"/>
      <c r="F99" s="3"/>
      <c r="G99" s="376"/>
      <c r="H99" s="376"/>
      <c r="I99" s="375"/>
      <c r="J99" s="375"/>
      <c r="K99" s="375"/>
      <c r="M99" s="378"/>
    </row>
    <row r="100" spans="2:13" x14ac:dyDescent="0.2">
      <c r="C100" s="375"/>
      <c r="D100" s="375"/>
      <c r="E100" s="375"/>
      <c r="F100" s="375"/>
      <c r="G100" s="376"/>
      <c r="H100" s="376"/>
      <c r="I100" s="375"/>
      <c r="J100" s="375"/>
      <c r="K100" s="375"/>
      <c r="M100" s="378"/>
    </row>
    <row r="101" spans="2:13" x14ac:dyDescent="0.2">
      <c r="C101" s="375"/>
      <c r="D101" s="375"/>
      <c r="E101" s="375"/>
      <c r="F101" s="375"/>
      <c r="G101" s="376"/>
      <c r="H101" s="376"/>
      <c r="I101" s="375"/>
      <c r="J101" s="375"/>
      <c r="K101" s="375"/>
      <c r="M101" s="378"/>
    </row>
    <row r="102" spans="2:13" x14ac:dyDescent="0.2">
      <c r="C102" s="375"/>
      <c r="D102" s="375"/>
      <c r="E102" s="375"/>
      <c r="F102" s="375"/>
      <c r="G102" s="376"/>
      <c r="H102" s="376"/>
      <c r="I102" s="375"/>
      <c r="J102" s="375"/>
      <c r="K102" s="375"/>
      <c r="M102" s="378"/>
    </row>
    <row r="103" spans="2:13" x14ac:dyDescent="0.2">
      <c r="C103" s="375"/>
      <c r="D103" s="375"/>
      <c r="E103" s="375"/>
      <c r="F103" s="375"/>
      <c r="G103" s="376"/>
      <c r="H103" s="376"/>
      <c r="I103" s="375"/>
      <c r="J103" s="375"/>
      <c r="K103" s="375"/>
      <c r="M103" s="378"/>
    </row>
    <row r="104" spans="2:13" x14ac:dyDescent="0.2">
      <c r="C104" s="375"/>
      <c r="D104" s="375"/>
      <c r="E104" s="375"/>
      <c r="F104" s="375"/>
      <c r="G104" s="376"/>
      <c r="H104" s="376"/>
      <c r="I104" s="375"/>
      <c r="J104" s="375"/>
      <c r="K104" s="375"/>
      <c r="M104" s="378"/>
    </row>
    <row r="105" spans="2:13" x14ac:dyDescent="0.2">
      <c r="C105" s="375"/>
      <c r="D105" s="375"/>
      <c r="E105" s="375"/>
      <c r="F105" s="375"/>
      <c r="G105" s="376"/>
      <c r="H105" s="376"/>
      <c r="I105" s="375"/>
      <c r="J105" s="375"/>
      <c r="K105" s="375"/>
      <c r="M105" s="378"/>
    </row>
    <row r="106" spans="2:13" x14ac:dyDescent="0.2">
      <c r="C106" s="375"/>
      <c r="D106" s="375"/>
      <c r="E106" s="375"/>
      <c r="F106" s="375"/>
      <c r="G106" s="376"/>
      <c r="H106" s="376"/>
      <c r="I106" s="375"/>
      <c r="J106" s="375"/>
      <c r="K106" s="375"/>
      <c r="M106" s="378"/>
    </row>
    <row r="107" spans="2:13" x14ac:dyDescent="0.2">
      <c r="C107" s="375"/>
      <c r="D107" s="375"/>
      <c r="E107" s="375"/>
      <c r="F107" s="375"/>
      <c r="G107" s="376"/>
      <c r="H107" s="376"/>
      <c r="I107" s="375"/>
      <c r="J107" s="375"/>
      <c r="K107" s="375"/>
      <c r="M107" s="378"/>
    </row>
    <row r="108" spans="2:13" x14ac:dyDescent="0.2">
      <c r="C108" s="375"/>
      <c r="D108" s="375"/>
      <c r="E108" s="375"/>
      <c r="F108" s="375"/>
      <c r="G108" s="376"/>
      <c r="H108" s="376"/>
      <c r="I108" s="375"/>
      <c r="J108" s="375"/>
      <c r="K108" s="375"/>
      <c r="M108" s="378"/>
    </row>
    <row r="109" spans="2:13" x14ac:dyDescent="0.2">
      <c r="C109" s="375"/>
      <c r="D109" s="375"/>
      <c r="E109" s="375"/>
      <c r="F109" s="375"/>
      <c r="G109" s="376"/>
      <c r="H109" s="376"/>
      <c r="I109" s="375"/>
      <c r="J109" s="375"/>
      <c r="K109" s="375"/>
      <c r="M109" s="378"/>
    </row>
    <row r="110" spans="2:13" x14ac:dyDescent="0.2">
      <c r="C110" s="375"/>
      <c r="D110" s="375"/>
      <c r="E110" s="375"/>
      <c r="F110" s="375"/>
      <c r="G110" s="376"/>
      <c r="H110" s="376"/>
      <c r="I110" s="375"/>
      <c r="J110" s="375"/>
      <c r="K110" s="375"/>
      <c r="M110" s="378"/>
    </row>
    <row r="111" spans="2:13" x14ac:dyDescent="0.2">
      <c r="C111" s="375"/>
      <c r="D111" s="375"/>
      <c r="E111" s="375"/>
      <c r="F111" s="375"/>
      <c r="G111" s="376"/>
      <c r="H111" s="376"/>
      <c r="I111" s="375"/>
      <c r="J111" s="375"/>
      <c r="K111" s="375"/>
      <c r="M111" s="378"/>
    </row>
    <row r="112" spans="2:13" x14ac:dyDescent="0.2">
      <c r="C112" s="375"/>
      <c r="D112" s="375"/>
      <c r="E112" s="375"/>
      <c r="F112" s="375"/>
      <c r="G112" s="376"/>
      <c r="H112" s="376"/>
      <c r="I112" s="375"/>
      <c r="J112" s="375"/>
      <c r="K112" s="375"/>
      <c r="M112" s="378"/>
    </row>
    <row r="113" spans="3:13" x14ac:dyDescent="0.2">
      <c r="C113" s="375"/>
      <c r="D113" s="375"/>
      <c r="E113" s="375"/>
      <c r="F113" s="375"/>
      <c r="G113" s="376"/>
      <c r="H113" s="376"/>
      <c r="I113" s="375"/>
      <c r="J113" s="375"/>
      <c r="K113" s="375"/>
      <c r="M113" s="378"/>
    </row>
    <row r="114" spans="3:13" x14ac:dyDescent="0.2">
      <c r="C114" s="375"/>
      <c r="D114" s="375"/>
      <c r="E114" s="375"/>
      <c r="F114" s="375"/>
      <c r="G114" s="376"/>
      <c r="H114" s="376"/>
      <c r="I114" s="375"/>
      <c r="J114" s="375"/>
      <c r="K114" s="375"/>
      <c r="M114" s="378"/>
    </row>
    <row r="115" spans="3:13" x14ac:dyDescent="0.2">
      <c r="C115" s="375"/>
      <c r="D115" s="375"/>
      <c r="E115" s="375"/>
      <c r="F115" s="375"/>
      <c r="G115" s="376"/>
      <c r="H115" s="376"/>
      <c r="I115" s="375"/>
      <c r="J115" s="375"/>
      <c r="K115" s="375"/>
      <c r="M115" s="378"/>
    </row>
    <row r="116" spans="3:13" x14ac:dyDescent="0.2">
      <c r="C116" s="375"/>
      <c r="D116" s="375"/>
      <c r="E116" s="375"/>
      <c r="F116" s="375"/>
      <c r="G116" s="376"/>
      <c r="H116" s="376"/>
      <c r="I116" s="375"/>
      <c r="J116" s="375"/>
      <c r="K116" s="375"/>
      <c r="M116" s="378"/>
    </row>
    <row r="117" spans="3:13" x14ac:dyDescent="0.2">
      <c r="M117" s="378"/>
    </row>
    <row r="118" spans="3:13" x14ac:dyDescent="0.2">
      <c r="M118" s="378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17" activePane="bottomLeft" state="frozen"/>
      <selection activeCell="B36" sqref="B36"/>
      <selection pane="bottomLeft" activeCell="H128" sqref="H128"/>
    </sheetView>
  </sheetViews>
  <sheetFormatPr defaultColWidth="9.140625" defaultRowHeight="12.75" x14ac:dyDescent="0.2"/>
  <cols>
    <col min="1" max="1" width="2.42578125" style="3" customWidth="1"/>
    <col min="2" max="2" width="31.7109375" style="3" customWidth="1"/>
    <col min="3" max="3" width="9.7109375" style="3" customWidth="1"/>
    <col min="4" max="4" width="15.140625" style="26" bestFit="1" customWidth="1"/>
    <col min="5" max="5" width="10.42578125" style="447" customWidth="1"/>
    <col min="6" max="6" width="13.5703125" style="235" customWidth="1"/>
    <col min="7" max="7" width="3" style="51" customWidth="1"/>
    <col min="8" max="8" width="10.42578125" style="444" customWidth="1"/>
    <col min="9" max="9" width="14" style="235" bestFit="1" customWidth="1"/>
    <col min="10" max="10" width="2.85546875" style="235" customWidth="1"/>
    <col min="11" max="11" width="13.140625" style="235" customWidth="1"/>
    <col min="12" max="12" width="10.42578125" style="456" customWidth="1"/>
    <col min="13" max="13" width="2.85546875" style="325" customWidth="1"/>
    <col min="14" max="14" width="2.140625" style="388" customWidth="1"/>
    <col min="15" max="15" width="14.5703125" style="3" bestFit="1" customWidth="1"/>
    <col min="16" max="16" width="2.85546875" style="3" customWidth="1"/>
    <col min="17" max="16384" width="9.140625" style="3"/>
  </cols>
  <sheetData>
    <row r="1" spans="1:16" x14ac:dyDescent="0.2">
      <c r="B1" s="228" t="s">
        <v>0</v>
      </c>
      <c r="C1" s="2"/>
      <c r="D1" s="328"/>
      <c r="E1" s="383"/>
      <c r="F1" s="327"/>
      <c r="G1" s="384"/>
      <c r="H1" s="385"/>
      <c r="I1" s="327"/>
      <c r="J1" s="327"/>
      <c r="K1" s="327"/>
      <c r="L1" s="330"/>
      <c r="M1" s="330"/>
      <c r="N1" s="331"/>
      <c r="O1" s="2"/>
      <c r="P1" s="2"/>
    </row>
    <row r="2" spans="1:16" x14ac:dyDescent="0.2">
      <c r="B2" s="230" t="s">
        <v>207</v>
      </c>
      <c r="C2" s="231"/>
      <c r="D2" s="385"/>
      <c r="E2" s="327"/>
      <c r="F2" s="327"/>
      <c r="G2" s="385"/>
      <c r="H2" s="385"/>
      <c r="I2" s="327"/>
      <c r="J2" s="327"/>
      <c r="K2" s="327"/>
      <c r="L2" s="327"/>
      <c r="M2" s="330"/>
      <c r="N2" s="331"/>
      <c r="O2" s="2"/>
      <c r="P2" s="2"/>
    </row>
    <row r="3" spans="1:16" x14ac:dyDescent="0.2">
      <c r="B3" s="230" t="s">
        <v>208</v>
      </c>
      <c r="C3" s="231"/>
      <c r="D3" s="385"/>
      <c r="E3" s="327"/>
      <c r="F3" s="327"/>
      <c r="G3" s="385"/>
      <c r="H3" s="385"/>
      <c r="I3" s="327"/>
      <c r="J3" s="327"/>
      <c r="K3" s="327"/>
      <c r="L3" s="327"/>
      <c r="M3" s="330"/>
      <c r="N3" s="331"/>
      <c r="O3" s="2"/>
      <c r="P3" s="2"/>
    </row>
    <row r="4" spans="1:16" x14ac:dyDescent="0.2">
      <c r="B4" s="230" t="s">
        <v>262</v>
      </c>
      <c r="C4" s="231"/>
      <c r="D4" s="385"/>
      <c r="E4" s="327"/>
      <c r="F4" s="327"/>
      <c r="G4" s="385"/>
      <c r="H4" s="385"/>
      <c r="I4" s="327"/>
      <c r="J4" s="327"/>
      <c r="K4" s="327"/>
      <c r="L4" s="327"/>
      <c r="M4" s="330"/>
      <c r="N4" s="331"/>
      <c r="O4" s="2"/>
      <c r="P4" s="2"/>
    </row>
    <row r="5" spans="1:16" x14ac:dyDescent="0.2">
      <c r="B5" s="230" t="s">
        <v>210</v>
      </c>
      <c r="C5" s="231"/>
      <c r="D5" s="328"/>
      <c r="E5" s="383"/>
      <c r="F5" s="327"/>
      <c r="G5" s="384"/>
      <c r="H5" s="385"/>
      <c r="I5" s="327"/>
      <c r="J5" s="327"/>
      <c r="K5" s="327"/>
      <c r="L5" s="330"/>
      <c r="M5" s="330"/>
      <c r="N5" s="331"/>
      <c r="O5" s="232"/>
      <c r="P5" s="2"/>
    </row>
    <row r="6" spans="1:16" s="49" customFormat="1" x14ac:dyDescent="0.2">
      <c r="B6" s="386"/>
      <c r="C6" s="232"/>
      <c r="D6" s="51"/>
      <c r="E6" s="387"/>
      <c r="F6" s="236"/>
      <c r="G6" s="51"/>
      <c r="H6" s="268"/>
      <c r="I6" s="236"/>
      <c r="J6" s="236"/>
      <c r="K6" s="236"/>
      <c r="L6" s="388"/>
      <c r="M6" s="337"/>
      <c r="N6" s="337"/>
    </row>
    <row r="7" spans="1:16" x14ac:dyDescent="0.2">
      <c r="B7" s="238"/>
      <c r="C7" s="239"/>
      <c r="D7" s="389" t="s">
        <v>211</v>
      </c>
      <c r="E7" s="241" t="s">
        <v>212</v>
      </c>
      <c r="F7" s="242"/>
      <c r="G7" s="10"/>
      <c r="H7" s="244" t="s">
        <v>213</v>
      </c>
      <c r="I7" s="242"/>
      <c r="J7" s="245"/>
      <c r="K7" s="499" t="s">
        <v>214</v>
      </c>
      <c r="L7" s="500"/>
      <c r="M7" s="337"/>
      <c r="N7" s="331"/>
      <c r="O7" s="248" t="s">
        <v>215</v>
      </c>
    </row>
    <row r="8" spans="1:16" x14ac:dyDescent="0.2">
      <c r="B8" s="249" t="s">
        <v>216</v>
      </c>
      <c r="C8" s="390" t="s">
        <v>217</v>
      </c>
      <c r="D8" s="315" t="s">
        <v>218</v>
      </c>
      <c r="E8" s="391" t="s">
        <v>21</v>
      </c>
      <c r="F8" s="251" t="s">
        <v>219</v>
      </c>
      <c r="G8" s="315"/>
      <c r="H8" s="353" t="s">
        <v>21</v>
      </c>
      <c r="I8" s="251" t="s">
        <v>219</v>
      </c>
      <c r="J8" s="251"/>
      <c r="K8" s="251" t="s">
        <v>220</v>
      </c>
      <c r="L8" s="252" t="s">
        <v>221</v>
      </c>
      <c r="M8" s="337"/>
      <c r="N8" s="253"/>
      <c r="O8" s="254" t="s">
        <v>222</v>
      </c>
    </row>
    <row r="9" spans="1:16" x14ac:dyDescent="0.2">
      <c r="A9" s="49"/>
      <c r="B9" s="283"/>
      <c r="C9" s="276"/>
      <c r="D9" s="51"/>
      <c r="E9" s="387"/>
      <c r="F9" s="236"/>
      <c r="G9" s="293"/>
      <c r="H9" s="268"/>
      <c r="I9" s="345"/>
      <c r="J9" s="345"/>
      <c r="K9" s="236"/>
      <c r="L9" s="392"/>
      <c r="M9" s="337"/>
      <c r="O9" s="49"/>
    </row>
    <row r="10" spans="1:16" x14ac:dyDescent="0.2">
      <c r="B10" s="256" t="s">
        <v>263</v>
      </c>
      <c r="C10" s="340"/>
      <c r="D10" s="341"/>
      <c r="E10" s="393"/>
      <c r="F10" s="260"/>
      <c r="G10" s="394"/>
      <c r="H10" s="395"/>
      <c r="I10" s="396"/>
      <c r="J10" s="396"/>
      <c r="K10" s="260"/>
      <c r="L10" s="261"/>
      <c r="M10" s="337"/>
      <c r="N10" s="337"/>
    </row>
    <row r="11" spans="1:16" x14ac:dyDescent="0.2">
      <c r="B11" s="262"/>
      <c r="C11" s="49"/>
      <c r="D11" s="51"/>
      <c r="E11" s="387"/>
      <c r="F11" s="264"/>
      <c r="G11" s="293"/>
      <c r="H11" s="268"/>
      <c r="I11" s="255"/>
      <c r="J11" s="345"/>
      <c r="K11" s="264"/>
      <c r="L11" s="265"/>
      <c r="M11" s="337"/>
      <c r="N11" s="337"/>
      <c r="O11" s="343" t="s">
        <v>264</v>
      </c>
    </row>
    <row r="12" spans="1:16" x14ac:dyDescent="0.2">
      <c r="B12" s="283" t="s">
        <v>225</v>
      </c>
      <c r="C12" s="276" t="s">
        <v>226</v>
      </c>
      <c r="D12" s="51">
        <v>368.56669691470051</v>
      </c>
      <c r="E12" s="268">
        <v>595.08000000000004</v>
      </c>
      <c r="F12" s="264">
        <f>ROUND(D12*E12,2)</f>
        <v>219326.67</v>
      </c>
      <c r="H12" s="269">
        <v>701.68</v>
      </c>
      <c r="I12" s="255">
        <f>ROUND(D12*H12,2)</f>
        <v>258615.88</v>
      </c>
      <c r="J12" s="345"/>
      <c r="K12" s="264">
        <f>I12-F12</f>
        <v>39289.209999999992</v>
      </c>
      <c r="L12" s="265">
        <f>IFERROR(K12/F12, )</f>
        <v>0.17913557890611292</v>
      </c>
      <c r="M12" s="337"/>
      <c r="N12" s="337"/>
      <c r="O12" s="344">
        <v>9611898.688954046</v>
      </c>
    </row>
    <row r="13" spans="1:16" x14ac:dyDescent="0.2">
      <c r="B13" s="262" t="s">
        <v>249</v>
      </c>
      <c r="C13" s="49" t="s">
        <v>250</v>
      </c>
      <c r="D13" s="51">
        <v>96766.635999999999</v>
      </c>
      <c r="E13" s="268">
        <v>1.3</v>
      </c>
      <c r="F13" s="264">
        <f>ROUND(D13*E13,2)</f>
        <v>125796.63</v>
      </c>
      <c r="H13" s="269">
        <f>ROUND(E13*(1+$O$16),2)</f>
        <v>1.44</v>
      </c>
      <c r="I13" s="255">
        <f>ROUND(D13*H13,2)</f>
        <v>139343.96</v>
      </c>
      <c r="J13" s="345"/>
      <c r="K13" s="264">
        <f>I13-F13</f>
        <v>13547.329999999987</v>
      </c>
      <c r="L13" s="265">
        <f t="shared" ref="L13:L15" si="0">IFERROR(K13/F13, )</f>
        <v>0.10769231258420824</v>
      </c>
      <c r="M13" s="337"/>
      <c r="N13" s="337"/>
      <c r="O13" s="274" t="s">
        <v>228</v>
      </c>
    </row>
    <row r="14" spans="1:16" x14ac:dyDescent="0.2">
      <c r="B14" s="262" t="s">
        <v>243</v>
      </c>
      <c r="C14" s="49" t="s">
        <v>8</v>
      </c>
      <c r="D14" s="51">
        <f>D21</f>
        <v>19992939.502740219</v>
      </c>
      <c r="E14" s="272">
        <v>7.0499999999999998E-3</v>
      </c>
      <c r="F14" s="264">
        <f>E14*D14</f>
        <v>140950.22349431855</v>
      </c>
      <c r="H14" s="273">
        <f>ROUND(E14*(1+$O$16),5)</f>
        <v>7.7999999999999996E-3</v>
      </c>
      <c r="I14" s="255">
        <f>ROUND(D14*H14,2)</f>
        <v>155944.93</v>
      </c>
      <c r="J14" s="236"/>
      <c r="K14" s="264">
        <f>I14-F14</f>
        <v>14994.706505681446</v>
      </c>
      <c r="L14" s="265">
        <f t="shared" si="0"/>
        <v>0.10638299205170013</v>
      </c>
      <c r="M14" s="337"/>
      <c r="N14" s="337"/>
      <c r="O14" s="279">
        <f>I54-O12</f>
        <v>91.681045953184366</v>
      </c>
    </row>
    <row r="15" spans="1:16" x14ac:dyDescent="0.2">
      <c r="B15" s="262" t="s">
        <v>265</v>
      </c>
      <c r="C15" s="49"/>
      <c r="D15" s="51"/>
      <c r="E15" s="272"/>
      <c r="F15" s="295">
        <v>9677.49</v>
      </c>
      <c r="H15" s="272"/>
      <c r="I15" s="292">
        <f>F15</f>
        <v>9677.49</v>
      </c>
      <c r="J15" s="236"/>
      <c r="K15" s="264">
        <f>I15-F15</f>
        <v>0</v>
      </c>
      <c r="L15" s="265">
        <f t="shared" si="0"/>
        <v>0</v>
      </c>
      <c r="M15" s="337"/>
      <c r="N15" s="337"/>
      <c r="O15" s="348"/>
    </row>
    <row r="16" spans="1:16" x14ac:dyDescent="0.2">
      <c r="B16" s="262"/>
      <c r="C16" s="49"/>
      <c r="D16" s="51"/>
      <c r="E16" s="272"/>
      <c r="F16" s="292"/>
      <c r="H16" s="272"/>
      <c r="I16" s="295"/>
      <c r="J16" s="345"/>
      <c r="K16" s="264"/>
      <c r="L16" s="265"/>
      <c r="M16" s="337"/>
      <c r="N16" s="337"/>
      <c r="O16" s="349">
        <v>0.10610240784340896</v>
      </c>
    </row>
    <row r="17" spans="2:16" x14ac:dyDescent="0.2">
      <c r="B17" s="262" t="s">
        <v>251</v>
      </c>
      <c r="C17" s="49"/>
      <c r="D17" s="51"/>
      <c r="E17" s="272"/>
      <c r="F17" s="292"/>
      <c r="H17" s="272"/>
      <c r="I17" s="295"/>
      <c r="J17" s="345"/>
      <c r="K17" s="264"/>
      <c r="L17" s="265"/>
      <c r="M17" s="337"/>
      <c r="N17" s="337"/>
      <c r="O17" s="397"/>
    </row>
    <row r="18" spans="2:16" x14ac:dyDescent="0.2">
      <c r="B18" s="262" t="s">
        <v>266</v>
      </c>
      <c r="C18" s="49" t="s">
        <v>8</v>
      </c>
      <c r="D18" s="51">
        <v>8259556.7221568692</v>
      </c>
      <c r="E18" s="272">
        <v>0.1084</v>
      </c>
      <c r="F18" s="292">
        <f>ROUND(D18*E18,2)</f>
        <v>895335.95</v>
      </c>
      <c r="H18" s="273">
        <f>ROUND((O12-SUM(I12:I15,I19:I20, I28:I30,I34:I35))/SUM(D18,D33),5)</f>
        <v>0.12488</v>
      </c>
      <c r="I18" s="295">
        <f>ROUND(D18*H18,2)</f>
        <v>1031453.44</v>
      </c>
      <c r="J18" s="345"/>
      <c r="K18" s="264">
        <f>I18-F18</f>
        <v>136117.49</v>
      </c>
      <c r="L18" s="265">
        <f t="shared" ref="L18:L20" si="1">IFERROR(K18/F18, )</f>
        <v>0.15202951473131399</v>
      </c>
      <c r="M18" s="337"/>
      <c r="N18" s="337"/>
      <c r="O18" s="398"/>
      <c r="P18" s="399"/>
    </row>
    <row r="19" spans="2:16" x14ac:dyDescent="0.2">
      <c r="B19" s="262" t="s">
        <v>267</v>
      </c>
      <c r="C19" s="49" t="s">
        <v>8</v>
      </c>
      <c r="D19" s="51">
        <v>4347559.727</v>
      </c>
      <c r="E19" s="272">
        <v>5.3650000000000003E-2</v>
      </c>
      <c r="F19" s="292">
        <f>ROUND(D19*E19,2)</f>
        <v>233246.58</v>
      </c>
      <c r="H19" s="273">
        <f>ROUND(E19*(1+$O$16),5)</f>
        <v>5.9339999999999997E-2</v>
      </c>
      <c r="I19" s="295">
        <f>ROUND(D19*H19,2)</f>
        <v>257984.19</v>
      </c>
      <c r="J19" s="345"/>
      <c r="K19" s="264">
        <f>I19-F19</f>
        <v>24737.610000000015</v>
      </c>
      <c r="L19" s="265">
        <f t="shared" si="1"/>
        <v>0.10605776084691153</v>
      </c>
      <c r="M19" s="337"/>
      <c r="N19" s="337"/>
      <c r="O19" s="360"/>
      <c r="P19" s="360"/>
    </row>
    <row r="20" spans="2:16" x14ac:dyDescent="0.2">
      <c r="B20" s="262" t="s">
        <v>268</v>
      </c>
      <c r="C20" s="49" t="s">
        <v>8</v>
      </c>
      <c r="D20" s="51">
        <v>7385823.0535833519</v>
      </c>
      <c r="E20" s="272">
        <v>5.1319999999999998E-2</v>
      </c>
      <c r="F20" s="292">
        <f>ROUND(D20*E20,2)</f>
        <v>379040.44</v>
      </c>
      <c r="H20" s="273">
        <f>ROUND(E20*(1+$O$16),5)</f>
        <v>5.6770000000000001E-2</v>
      </c>
      <c r="I20" s="295">
        <f>ROUND(D20*H20,2)</f>
        <v>419293.17</v>
      </c>
      <c r="J20" s="345"/>
      <c r="K20" s="264">
        <f>I20-F20</f>
        <v>40252.729999999981</v>
      </c>
      <c r="L20" s="265">
        <f t="shared" si="1"/>
        <v>0.10619639951874259</v>
      </c>
      <c r="M20" s="337"/>
      <c r="N20" s="337"/>
      <c r="O20" s="360"/>
      <c r="P20" s="360"/>
    </row>
    <row r="21" spans="2:16" x14ac:dyDescent="0.2">
      <c r="B21" s="283" t="s">
        <v>231</v>
      </c>
      <c r="C21" s="276"/>
      <c r="D21" s="38">
        <f>SUM(D18:D20)</f>
        <v>19992939.502740219</v>
      </c>
      <c r="E21" s="236"/>
      <c r="F21" s="400">
        <f>SUM(F12:F20)</f>
        <v>2003373.9834943186</v>
      </c>
      <c r="H21" s="268"/>
      <c r="I21" s="400">
        <f>SUM(I12:I20)</f>
        <v>2272313.06</v>
      </c>
      <c r="J21" s="345"/>
      <c r="K21" s="368">
        <f>SUM(K12:K20)</f>
        <v>268939.07650568138</v>
      </c>
      <c r="L21" s="401">
        <f>IFERROR(K21/F21, )</f>
        <v>0.13424307129944521</v>
      </c>
      <c r="M21" s="337"/>
      <c r="N21" s="337"/>
      <c r="O21" s="369"/>
      <c r="P21" s="8"/>
    </row>
    <row r="22" spans="2:16" ht="12.75" customHeight="1" x14ac:dyDescent="0.2">
      <c r="B22" s="283"/>
      <c r="C22" s="276"/>
      <c r="D22" s="51"/>
      <c r="E22" s="236"/>
      <c r="F22" s="295"/>
      <c r="H22" s="268"/>
      <c r="I22" s="295"/>
      <c r="J22" s="345"/>
      <c r="K22" s="264"/>
      <c r="L22" s="265"/>
      <c r="M22" s="337"/>
      <c r="N22" s="337"/>
      <c r="O22" s="402"/>
      <c r="P22" s="403"/>
    </row>
    <row r="23" spans="2:16" x14ac:dyDescent="0.2">
      <c r="B23" s="262" t="s">
        <v>229</v>
      </c>
      <c r="C23" s="49"/>
      <c r="D23" s="51"/>
      <c r="E23" s="272"/>
      <c r="F23" s="400">
        <f>F21</f>
        <v>2003373.9834943186</v>
      </c>
      <c r="H23" s="268"/>
      <c r="I23" s="400">
        <f>I21</f>
        <v>2272313.06</v>
      </c>
      <c r="J23" s="345"/>
      <c r="K23" s="368">
        <f>K21</f>
        <v>268939.07650568138</v>
      </c>
      <c r="L23" s="401">
        <f>IFERROR(K23/F23, )</f>
        <v>0.13424307129944521</v>
      </c>
      <c r="M23" s="337"/>
      <c r="N23" s="337"/>
    </row>
    <row r="24" spans="2:16" x14ac:dyDescent="0.2">
      <c r="B24" s="351"/>
      <c r="C24" s="311"/>
      <c r="D24" s="32"/>
      <c r="E24" s="404"/>
      <c r="F24" s="286"/>
      <c r="G24" s="32"/>
      <c r="H24" s="405"/>
      <c r="I24" s="286"/>
      <c r="J24" s="406"/>
      <c r="K24" s="356"/>
      <c r="L24" s="357"/>
      <c r="M24" s="337"/>
      <c r="N24" s="337"/>
    </row>
    <row r="25" spans="2:16" x14ac:dyDescent="0.2">
      <c r="B25" s="41"/>
      <c r="C25" s="41"/>
      <c r="D25" s="51"/>
      <c r="E25" s="272"/>
      <c r="F25" s="292"/>
      <c r="H25" s="268"/>
      <c r="I25" s="295"/>
      <c r="J25" s="407"/>
      <c r="K25" s="292"/>
      <c r="L25" s="371"/>
      <c r="M25" s="337"/>
      <c r="N25" s="337"/>
    </row>
    <row r="26" spans="2:16" x14ac:dyDescent="0.2">
      <c r="B26" s="256" t="s">
        <v>269</v>
      </c>
      <c r="C26" s="340"/>
      <c r="D26" s="341"/>
      <c r="E26" s="393"/>
      <c r="F26" s="408"/>
      <c r="G26" s="394"/>
      <c r="H26" s="395"/>
      <c r="I26" s="409"/>
      <c r="J26" s="396"/>
      <c r="K26" s="260"/>
      <c r="L26" s="261"/>
      <c r="M26" s="337"/>
      <c r="N26" s="337"/>
      <c r="O26" s="410"/>
      <c r="P26" s="267"/>
    </row>
    <row r="27" spans="2:16" x14ac:dyDescent="0.2">
      <c r="B27" s="262"/>
      <c r="C27" s="49"/>
      <c r="D27" s="51"/>
      <c r="E27" s="387"/>
      <c r="F27" s="292"/>
      <c r="G27" s="293"/>
      <c r="H27" s="268"/>
      <c r="I27" s="295"/>
      <c r="J27" s="345"/>
      <c r="K27" s="264"/>
      <c r="L27" s="265"/>
      <c r="M27" s="337"/>
      <c r="N27" s="337"/>
      <c r="O27" s="41"/>
      <c r="P27" s="41"/>
    </row>
    <row r="28" spans="2:16" x14ac:dyDescent="0.2">
      <c r="B28" s="283" t="s">
        <v>225</v>
      </c>
      <c r="C28" s="276" t="s">
        <v>226</v>
      </c>
      <c r="D28" s="51">
        <v>884.03333362675562</v>
      </c>
      <c r="E28" s="268">
        <v>903.09</v>
      </c>
      <c r="F28" s="292">
        <f>ROUND(D28*E28,2)</f>
        <v>798361.66</v>
      </c>
      <c r="H28" s="269">
        <f>E28</f>
        <v>903.09</v>
      </c>
      <c r="I28" s="295">
        <f>ROUND(D28*H28,2)</f>
        <v>798361.66</v>
      </c>
      <c r="J28" s="345"/>
      <c r="K28" s="264">
        <f>I28-F28</f>
        <v>0</v>
      </c>
      <c r="L28" s="265">
        <f t="shared" ref="L28:L30" si="2">IFERROR(K28/F28, )</f>
        <v>0</v>
      </c>
      <c r="M28" s="337"/>
      <c r="N28" s="337"/>
      <c r="O28" s="267"/>
      <c r="P28" s="267"/>
    </row>
    <row r="29" spans="2:16" x14ac:dyDescent="0.2">
      <c r="B29" s="262" t="s">
        <v>249</v>
      </c>
      <c r="C29" s="49" t="s">
        <v>250</v>
      </c>
      <c r="D29" s="51">
        <v>651309.33499999996</v>
      </c>
      <c r="E29" s="268">
        <v>1.3</v>
      </c>
      <c r="F29" s="292">
        <f>ROUND(D29*E29,2)</f>
        <v>846702.14</v>
      </c>
      <c r="H29" s="269">
        <f>$H$13</f>
        <v>1.44</v>
      </c>
      <c r="I29" s="295">
        <f>ROUND(D29*H29,2)</f>
        <v>937885.44</v>
      </c>
      <c r="J29" s="345"/>
      <c r="K29" s="264">
        <f>I29-F29</f>
        <v>91183.29999999993</v>
      </c>
      <c r="L29" s="265">
        <f t="shared" si="2"/>
        <v>0.10769229897068634</v>
      </c>
      <c r="M29" s="337"/>
      <c r="N29" s="337"/>
      <c r="O29" s="41"/>
      <c r="P29" s="41"/>
    </row>
    <row r="30" spans="2:16" x14ac:dyDescent="0.2">
      <c r="B30" s="262" t="s">
        <v>265</v>
      </c>
      <c r="C30" s="49"/>
      <c r="D30" s="51"/>
      <c r="E30" s="268"/>
      <c r="F30" s="295">
        <v>-10601.630000000003</v>
      </c>
      <c r="H30" s="269"/>
      <c r="I30" s="295">
        <f>F30</f>
        <v>-10601.630000000003</v>
      </c>
      <c r="J30" s="345"/>
      <c r="K30" s="264">
        <f>I30-F30</f>
        <v>0</v>
      </c>
      <c r="L30" s="265">
        <f t="shared" si="2"/>
        <v>0</v>
      </c>
      <c r="M30" s="337"/>
      <c r="N30" s="337"/>
      <c r="O30" s="41"/>
      <c r="P30" s="41"/>
    </row>
    <row r="31" spans="2:16" x14ac:dyDescent="0.2">
      <c r="B31" s="262"/>
      <c r="C31" s="49"/>
      <c r="D31" s="51"/>
      <c r="E31" s="272"/>
      <c r="F31" s="41"/>
      <c r="H31" s="273"/>
      <c r="I31" s="41"/>
      <c r="J31" s="236"/>
      <c r="K31" s="264"/>
      <c r="L31" s="265"/>
      <c r="M31" s="337"/>
      <c r="N31" s="337"/>
      <c r="O31" s="41"/>
      <c r="P31" s="41"/>
    </row>
    <row r="32" spans="2:16" x14ac:dyDescent="0.2">
      <c r="B32" s="262" t="s">
        <v>251</v>
      </c>
      <c r="C32" s="49"/>
      <c r="D32" s="51"/>
      <c r="E32" s="272"/>
      <c r="F32" s="292"/>
      <c r="H32" s="273"/>
      <c r="I32" s="295"/>
      <c r="J32" s="345"/>
      <c r="K32" s="264"/>
      <c r="L32" s="265"/>
      <c r="M32" s="337"/>
      <c r="N32" s="337"/>
      <c r="O32" s="41"/>
      <c r="P32" s="41"/>
    </row>
    <row r="33" spans="2:16" x14ac:dyDescent="0.2">
      <c r="B33" s="262" t="s">
        <v>266</v>
      </c>
      <c r="C33" s="49" t="s">
        <v>8</v>
      </c>
      <c r="D33" s="51">
        <v>24354615.889999997</v>
      </c>
      <c r="E33" s="272">
        <v>0.1084</v>
      </c>
      <c r="F33" s="292">
        <f>ROUND(D33*E33,2)</f>
        <v>2640040.36</v>
      </c>
      <c r="H33" s="273">
        <f>H18</f>
        <v>0.12488</v>
      </c>
      <c r="I33" s="295">
        <f>ROUND(D33*H33,2)</f>
        <v>3041404.43</v>
      </c>
      <c r="J33" s="345"/>
      <c r="K33" s="264">
        <f>I33-F33</f>
        <v>401364.0700000003</v>
      </c>
      <c r="L33" s="265">
        <f t="shared" ref="L33:L35" si="3">IFERROR(K33/F33, )</f>
        <v>0.1520295204880884</v>
      </c>
      <c r="M33" s="337"/>
      <c r="N33" s="337"/>
      <c r="O33" s="41"/>
      <c r="P33" s="41"/>
    </row>
    <row r="34" spans="2:16" x14ac:dyDescent="0.2">
      <c r="B34" s="262" t="s">
        <v>267</v>
      </c>
      <c r="C34" s="49" t="s">
        <v>8</v>
      </c>
      <c r="D34" s="51">
        <v>17329118.52</v>
      </c>
      <c r="E34" s="272">
        <v>5.3650000000000003E-2</v>
      </c>
      <c r="F34" s="292">
        <f>ROUND(D34*E34,2)</f>
        <v>929707.21</v>
      </c>
      <c r="H34" s="273">
        <f>H19</f>
        <v>5.9339999999999997E-2</v>
      </c>
      <c r="I34" s="295">
        <f>ROUND(D34*H34,2)</f>
        <v>1028309.89</v>
      </c>
      <c r="J34" s="345"/>
      <c r="K34" s="264">
        <f>I34-F34</f>
        <v>98602.680000000051</v>
      </c>
      <c r="L34" s="265">
        <f t="shared" si="3"/>
        <v>0.10605777705004574</v>
      </c>
      <c r="M34" s="337"/>
      <c r="N34" s="337"/>
      <c r="O34" s="41"/>
      <c r="P34" s="41"/>
    </row>
    <row r="35" spans="2:16" x14ac:dyDescent="0.2">
      <c r="B35" s="262" t="s">
        <v>270</v>
      </c>
      <c r="C35" s="49" t="s">
        <v>8</v>
      </c>
      <c r="D35" s="51">
        <v>27203056.60995879</v>
      </c>
      <c r="E35" s="272">
        <v>5.1319999999999998E-2</v>
      </c>
      <c r="F35" s="286">
        <f>ROUND(D35*E35,2)</f>
        <v>1396060.87</v>
      </c>
      <c r="H35" s="273">
        <f>H20</f>
        <v>5.6770000000000001E-2</v>
      </c>
      <c r="I35" s="295">
        <f>ROUND(D35*H35,2)</f>
        <v>1544317.52</v>
      </c>
      <c r="J35" s="345"/>
      <c r="K35" s="264">
        <f>I35-F35</f>
        <v>148256.64999999991</v>
      </c>
      <c r="L35" s="265">
        <f t="shared" si="3"/>
        <v>0.10619640818383506</v>
      </c>
      <c r="M35" s="337"/>
      <c r="N35" s="337"/>
      <c r="O35" s="41"/>
      <c r="P35" s="41"/>
    </row>
    <row r="36" spans="2:16" x14ac:dyDescent="0.2">
      <c r="B36" s="283" t="s">
        <v>231</v>
      </c>
      <c r="C36" s="276"/>
      <c r="D36" s="38">
        <f>SUM(D33:D35)</f>
        <v>68886791.019958794</v>
      </c>
      <c r="E36" s="236"/>
      <c r="F36" s="400">
        <f>SUM(F28:F35)</f>
        <v>6600270.6100000003</v>
      </c>
      <c r="H36" s="268"/>
      <c r="I36" s="400">
        <f>SUM(I28:I35)</f>
        <v>7339677.3100000005</v>
      </c>
      <c r="J36" s="345"/>
      <c r="K36" s="368">
        <f>SUM(K28:K35)</f>
        <v>739406.70000000019</v>
      </c>
      <c r="L36" s="401">
        <f>IFERROR(K36/F36, )</f>
        <v>0.11202672491635918</v>
      </c>
      <c r="M36" s="337"/>
      <c r="N36" s="337"/>
      <c r="O36" s="41"/>
      <c r="P36" s="41"/>
    </row>
    <row r="37" spans="2:16" x14ac:dyDescent="0.2">
      <c r="B37" s="283"/>
      <c r="C37" s="276"/>
      <c r="D37" s="51"/>
      <c r="E37" s="236"/>
      <c r="F37" s="295"/>
      <c r="H37" s="268"/>
      <c r="I37" s="295"/>
      <c r="J37" s="345"/>
      <c r="K37" s="264"/>
      <c r="L37" s="265"/>
      <c r="M37" s="337"/>
      <c r="N37" s="337"/>
      <c r="O37" s="267"/>
      <c r="P37" s="41"/>
    </row>
    <row r="38" spans="2:16" x14ac:dyDescent="0.2">
      <c r="B38" s="283" t="s">
        <v>229</v>
      </c>
      <c r="C38" s="49"/>
      <c r="D38" s="51"/>
      <c r="E38" s="268"/>
      <c r="F38" s="400">
        <f>F36</f>
        <v>6600270.6100000003</v>
      </c>
      <c r="G38" s="41"/>
      <c r="H38" s="268"/>
      <c r="I38" s="400">
        <f>I36</f>
        <v>7339677.3100000005</v>
      </c>
      <c r="J38" s="236"/>
      <c r="K38" s="368">
        <f>K36</f>
        <v>739406.70000000019</v>
      </c>
      <c r="L38" s="401">
        <f>IFERROR(K38/F38, )</f>
        <v>0.11202672491635918</v>
      </c>
      <c r="M38" s="337"/>
      <c r="N38" s="337"/>
      <c r="O38" s="411"/>
      <c r="P38" s="41"/>
    </row>
    <row r="39" spans="2:16" x14ac:dyDescent="0.2">
      <c r="B39" s="351"/>
      <c r="C39" s="311"/>
      <c r="D39" s="32"/>
      <c r="E39" s="404"/>
      <c r="F39" s="286"/>
      <c r="G39" s="32"/>
      <c r="H39" s="405"/>
      <c r="I39" s="412"/>
      <c r="J39" s="406"/>
      <c r="K39" s="356"/>
      <c r="L39" s="357"/>
      <c r="M39" s="337"/>
      <c r="N39" s="337"/>
      <c r="O39" s="41"/>
      <c r="P39" s="41"/>
    </row>
    <row r="40" spans="2:16" x14ac:dyDescent="0.2">
      <c r="B40" s="49"/>
      <c r="C40" s="49"/>
      <c r="D40" s="51"/>
      <c r="E40" s="387"/>
      <c r="F40" s="292"/>
      <c r="H40" s="268"/>
      <c r="I40" s="295"/>
      <c r="J40" s="345"/>
      <c r="K40" s="264"/>
      <c r="L40" s="358"/>
      <c r="M40" s="337"/>
      <c r="N40" s="337"/>
      <c r="O40" s="41"/>
      <c r="P40" s="41"/>
    </row>
    <row r="41" spans="2:16" x14ac:dyDescent="0.2">
      <c r="B41" s="288" t="s">
        <v>271</v>
      </c>
      <c r="C41" s="340"/>
      <c r="D41" s="341"/>
      <c r="E41" s="393"/>
      <c r="F41" s="408"/>
      <c r="G41" s="394"/>
      <c r="H41" s="395"/>
      <c r="I41" s="409"/>
      <c r="J41" s="396"/>
      <c r="K41" s="260"/>
      <c r="L41" s="261"/>
      <c r="M41" s="337"/>
      <c r="N41" s="337"/>
      <c r="O41" s="41"/>
      <c r="P41" s="41"/>
    </row>
    <row r="42" spans="2:16" x14ac:dyDescent="0.2">
      <c r="B42" s="262"/>
      <c r="C42" s="49"/>
      <c r="D42" s="51"/>
      <c r="E42" s="272"/>
      <c r="F42" s="292"/>
      <c r="G42" s="293"/>
      <c r="H42" s="268"/>
      <c r="I42" s="295"/>
      <c r="J42" s="407"/>
      <c r="K42" s="292"/>
      <c r="L42" s="294"/>
      <c r="M42" s="413"/>
      <c r="N42" s="337"/>
      <c r="O42" s="41"/>
      <c r="P42" s="41"/>
    </row>
    <row r="43" spans="2:16" x14ac:dyDescent="0.2">
      <c r="B43" s="283" t="s">
        <v>225</v>
      </c>
      <c r="C43" s="276" t="s">
        <v>226</v>
      </c>
      <c r="D43" s="51">
        <f>D28+D12</f>
        <v>1252.6000305414561</v>
      </c>
      <c r="E43" s="268"/>
      <c r="F43" s="292">
        <f>F12+F28</f>
        <v>1017688.3300000001</v>
      </c>
      <c r="H43" s="268"/>
      <c r="I43" s="292">
        <f>I12+I28</f>
        <v>1056977.54</v>
      </c>
      <c r="J43" s="407"/>
      <c r="K43" s="292">
        <f>I43-F43</f>
        <v>39289.209999999963</v>
      </c>
      <c r="L43" s="294">
        <f t="shared" ref="L43:L46" si="4">IFERROR(K43/F43, )</f>
        <v>3.860632852103154E-2</v>
      </c>
      <c r="M43" s="413"/>
      <c r="N43" s="337"/>
      <c r="O43" s="41"/>
      <c r="P43" s="41"/>
    </row>
    <row r="44" spans="2:16" x14ac:dyDescent="0.2">
      <c r="B44" s="262" t="s">
        <v>249</v>
      </c>
      <c r="C44" s="49" t="s">
        <v>250</v>
      </c>
      <c r="D44" s="51">
        <f>D29+D13</f>
        <v>748075.9709999999</v>
      </c>
      <c r="E44" s="268"/>
      <c r="F44" s="292">
        <f>F13+F29</f>
        <v>972498.77</v>
      </c>
      <c r="H44" s="268"/>
      <c r="I44" s="292">
        <f>I13+I29</f>
        <v>1077229.3999999999</v>
      </c>
      <c r="J44" s="407"/>
      <c r="K44" s="292">
        <f>I44-F44</f>
        <v>104730.62999999989</v>
      </c>
      <c r="L44" s="294">
        <f t="shared" si="4"/>
        <v>0.10769230073165016</v>
      </c>
      <c r="M44" s="413"/>
      <c r="N44" s="337"/>
      <c r="O44" s="41"/>
      <c r="P44" s="41"/>
    </row>
    <row r="45" spans="2:16" x14ac:dyDescent="0.2">
      <c r="B45" s="262" t="s">
        <v>243</v>
      </c>
      <c r="C45" s="49" t="s">
        <v>8</v>
      </c>
      <c r="D45" s="51">
        <f>D30+D14</f>
        <v>19992939.502740219</v>
      </c>
      <c r="E45" s="268"/>
      <c r="F45" s="292">
        <f>F14</f>
        <v>140950.22349431855</v>
      </c>
      <c r="H45" s="268"/>
      <c r="I45" s="292">
        <f>I14</f>
        <v>155944.93</v>
      </c>
      <c r="J45" s="407"/>
      <c r="K45" s="292">
        <f>I45-F45</f>
        <v>14994.706505681446</v>
      </c>
      <c r="L45" s="294">
        <f t="shared" si="4"/>
        <v>0.10638299205170013</v>
      </c>
      <c r="M45" s="413"/>
      <c r="N45" s="337"/>
      <c r="O45" s="41"/>
      <c r="P45" s="41"/>
    </row>
    <row r="46" spans="2:16" x14ac:dyDescent="0.2">
      <c r="B46" s="262" t="s">
        <v>265</v>
      </c>
      <c r="C46" s="49"/>
      <c r="D46" s="51"/>
      <c r="E46" s="268"/>
      <c r="F46" s="295">
        <f>F15+F30</f>
        <v>-924.14000000000306</v>
      </c>
      <c r="H46" s="268"/>
      <c r="I46" s="295">
        <f>I15+I30</f>
        <v>-924.14000000000306</v>
      </c>
      <c r="J46" s="407"/>
      <c r="K46" s="292">
        <f>I46-F46</f>
        <v>0</v>
      </c>
      <c r="L46" s="294">
        <f t="shared" si="4"/>
        <v>0</v>
      </c>
      <c r="M46" s="413"/>
      <c r="N46" s="337"/>
      <c r="O46" s="41"/>
      <c r="P46" s="41"/>
    </row>
    <row r="47" spans="2:16" x14ac:dyDescent="0.2">
      <c r="B47" s="262"/>
      <c r="C47" s="49"/>
      <c r="D47" s="51"/>
      <c r="E47" s="272"/>
      <c r="F47" s="41"/>
      <c r="H47" s="272"/>
      <c r="I47" s="41"/>
      <c r="J47" s="268"/>
      <c r="K47" s="292"/>
      <c r="L47" s="294"/>
      <c r="M47" s="413"/>
      <c r="N47" s="337"/>
      <c r="O47" s="41"/>
      <c r="P47" s="41"/>
    </row>
    <row r="48" spans="2:16" x14ac:dyDescent="0.2">
      <c r="B48" s="262" t="s">
        <v>251</v>
      </c>
      <c r="C48" s="49"/>
      <c r="D48" s="51"/>
      <c r="E48" s="272"/>
      <c r="F48" s="292"/>
      <c r="H48" s="272"/>
      <c r="I48" s="292"/>
      <c r="J48" s="407"/>
      <c r="K48" s="292"/>
      <c r="L48" s="294"/>
      <c r="M48" s="413"/>
      <c r="N48" s="337"/>
      <c r="O48" s="41"/>
      <c r="P48" s="41"/>
    </row>
    <row r="49" spans="1:16" x14ac:dyDescent="0.2">
      <c r="B49" s="262" t="s">
        <v>266</v>
      </c>
      <c r="C49" s="49" t="s">
        <v>8</v>
      </c>
      <c r="D49" s="51">
        <f>D33+D18</f>
        <v>32614172.612156868</v>
      </c>
      <c r="E49" s="272"/>
      <c r="F49" s="292">
        <f>F18+F33</f>
        <v>3535376.3099999996</v>
      </c>
      <c r="H49" s="360"/>
      <c r="I49" s="292">
        <f>I18+I33</f>
        <v>4072857.87</v>
      </c>
      <c r="J49" s="407"/>
      <c r="K49" s="292">
        <f>I49-F49</f>
        <v>537481.56000000052</v>
      </c>
      <c r="L49" s="294">
        <f t="shared" ref="L49:L51" si="5">IFERROR(K49/F49, )</f>
        <v>0.15202951903018228</v>
      </c>
      <c r="M49" s="413"/>
      <c r="N49" s="337"/>
      <c r="O49" s="41"/>
      <c r="P49" s="41"/>
    </row>
    <row r="50" spans="1:16" x14ac:dyDescent="0.2">
      <c r="B50" s="262" t="s">
        <v>267</v>
      </c>
      <c r="C50" s="49" t="s">
        <v>8</v>
      </c>
      <c r="D50" s="51">
        <f>D34+D19</f>
        <v>21676678.247000001</v>
      </c>
      <c r="E50" s="272"/>
      <c r="F50" s="292">
        <f>F19+F34</f>
        <v>1162953.79</v>
      </c>
      <c r="H50" s="360"/>
      <c r="I50" s="292">
        <f>I19+I34</f>
        <v>1286294.08</v>
      </c>
      <c r="J50" s="407"/>
      <c r="K50" s="292">
        <f>I50-F50</f>
        <v>123340.29000000004</v>
      </c>
      <c r="L50" s="294">
        <f t="shared" si="5"/>
        <v>0.10605777380028146</v>
      </c>
      <c r="M50" s="413"/>
      <c r="N50" s="337"/>
      <c r="O50" s="41"/>
      <c r="P50" s="41"/>
    </row>
    <row r="51" spans="1:16" x14ac:dyDescent="0.2">
      <c r="B51" s="262" t="s">
        <v>268</v>
      </c>
      <c r="C51" s="49" t="s">
        <v>8</v>
      </c>
      <c r="D51" s="51">
        <f>D35+D20</f>
        <v>34588879.663542144</v>
      </c>
      <c r="E51" s="272"/>
      <c r="F51" s="286">
        <f>F20+F35</f>
        <v>1775101.31</v>
      </c>
      <c r="H51" s="272"/>
      <c r="I51" s="286">
        <f>I20+I35</f>
        <v>1963610.69</v>
      </c>
      <c r="J51" s="407"/>
      <c r="K51" s="292">
        <f>I51-F51</f>
        <v>188509.37999999989</v>
      </c>
      <c r="L51" s="294">
        <f t="shared" si="5"/>
        <v>0.10619640633356295</v>
      </c>
      <c r="M51" s="413"/>
      <c r="N51" s="337"/>
      <c r="O51" s="41"/>
      <c r="P51" s="41"/>
    </row>
    <row r="52" spans="1:16" x14ac:dyDescent="0.2">
      <c r="B52" s="283" t="s">
        <v>231</v>
      </c>
      <c r="C52" s="276"/>
      <c r="D52" s="38">
        <f>SUM(D49:D51)</f>
        <v>88879730.522699013</v>
      </c>
      <c r="E52" s="268"/>
      <c r="F52" s="400">
        <f>SUM(F43:F51)</f>
        <v>8603644.5934943184</v>
      </c>
      <c r="H52" s="268"/>
      <c r="I52" s="400">
        <f>SUM(I43:I51)</f>
        <v>9611990.3699999992</v>
      </c>
      <c r="J52" s="407"/>
      <c r="K52" s="400">
        <f>SUM(K43:K51)</f>
        <v>1008345.7765056817</v>
      </c>
      <c r="L52" s="401">
        <f>IFERROR(K52/F52, )</f>
        <v>0.11719984078237571</v>
      </c>
      <c r="M52" s="413"/>
      <c r="N52" s="337"/>
      <c r="O52" s="41"/>
      <c r="P52" s="41"/>
    </row>
    <row r="53" spans="1:16" x14ac:dyDescent="0.2">
      <c r="B53" s="283"/>
      <c r="C53" s="276"/>
      <c r="D53" s="51"/>
      <c r="E53" s="268"/>
      <c r="F53" s="295"/>
      <c r="H53" s="268"/>
      <c r="I53" s="295"/>
      <c r="J53" s="407"/>
      <c r="K53" s="292"/>
      <c r="L53" s="294"/>
      <c r="M53" s="413"/>
      <c r="N53" s="337"/>
      <c r="O53" s="41"/>
      <c r="P53" s="41"/>
    </row>
    <row r="54" spans="1:16" x14ac:dyDescent="0.2">
      <c r="B54" s="262" t="s">
        <v>229</v>
      </c>
      <c r="C54" s="49"/>
      <c r="D54" s="51"/>
      <c r="E54" s="268"/>
      <c r="F54" s="400">
        <f>F52</f>
        <v>8603644.5934943184</v>
      </c>
      <c r="H54" s="268"/>
      <c r="I54" s="400">
        <f>I52</f>
        <v>9611990.3699999992</v>
      </c>
      <c r="J54" s="407"/>
      <c r="K54" s="400">
        <f>K52</f>
        <v>1008345.7765056817</v>
      </c>
      <c r="L54" s="401">
        <f>IFERROR(K54/F54, )</f>
        <v>0.11719984078237571</v>
      </c>
      <c r="M54" s="413"/>
      <c r="N54" s="337"/>
    </row>
    <row r="55" spans="1:16" x14ac:dyDescent="0.2">
      <c r="B55" s="351"/>
      <c r="C55" s="311"/>
      <c r="D55" s="32"/>
      <c r="E55" s="414"/>
      <c r="F55" s="286"/>
      <c r="G55" s="32"/>
      <c r="H55" s="405"/>
      <c r="I55" s="412"/>
      <c r="J55" s="415"/>
      <c r="K55" s="286"/>
      <c r="L55" s="287"/>
      <c r="M55" s="413"/>
      <c r="N55" s="337"/>
    </row>
    <row r="56" spans="1:16" x14ac:dyDescent="0.2">
      <c r="A56" s="49"/>
      <c r="B56" s="49"/>
      <c r="C56" s="49"/>
      <c r="D56" s="51"/>
      <c r="E56" s="387"/>
      <c r="F56" s="292"/>
      <c r="H56" s="268"/>
      <c r="I56" s="295"/>
      <c r="J56" s="345"/>
      <c r="K56" s="264"/>
      <c r="L56" s="358"/>
      <c r="M56" s="337"/>
      <c r="N56" s="337"/>
      <c r="O56" s="49"/>
    </row>
    <row r="57" spans="1:16" x14ac:dyDescent="0.2">
      <c r="B57" s="256" t="s">
        <v>272</v>
      </c>
      <c r="C57" s="340"/>
      <c r="D57" s="341"/>
      <c r="E57" s="393"/>
      <c r="F57" s="408"/>
      <c r="G57" s="341"/>
      <c r="H57" s="395"/>
      <c r="I57" s="416"/>
      <c r="J57" s="396"/>
      <c r="K57" s="260"/>
      <c r="L57" s="290"/>
      <c r="M57" s="337"/>
      <c r="N57" s="337"/>
      <c r="O57" s="49"/>
    </row>
    <row r="58" spans="1:16" x14ac:dyDescent="0.2">
      <c r="B58" s="262"/>
      <c r="C58" s="49"/>
      <c r="D58" s="51"/>
      <c r="E58" s="387"/>
      <c r="F58" s="292"/>
      <c r="G58" s="293"/>
      <c r="H58" s="268"/>
      <c r="I58" s="295"/>
      <c r="J58" s="345"/>
      <c r="K58" s="264"/>
      <c r="L58" s="265"/>
      <c r="M58" s="337"/>
      <c r="N58" s="337"/>
      <c r="O58" s="343" t="s">
        <v>273</v>
      </c>
    </row>
    <row r="59" spans="1:16" x14ac:dyDescent="0.2">
      <c r="B59" s="283" t="s">
        <v>225</v>
      </c>
      <c r="C59" s="276" t="s">
        <v>226</v>
      </c>
      <c r="D59" s="51">
        <v>1364.2999596828383</v>
      </c>
      <c r="E59" s="268">
        <v>148.82</v>
      </c>
      <c r="F59" s="292">
        <f>ROUND(D59*E59,2)</f>
        <v>203035.12</v>
      </c>
      <c r="H59" s="269">
        <f>E59</f>
        <v>148.82</v>
      </c>
      <c r="I59" s="295">
        <f>ROUND(D59*H59,2)</f>
        <v>203035.12</v>
      </c>
      <c r="J59" s="345"/>
      <c r="K59" s="264">
        <f>I59-F59</f>
        <v>0</v>
      </c>
      <c r="L59" s="265">
        <f t="shared" ref="L59:L62" si="6">IFERROR(K59/F59, )</f>
        <v>0</v>
      </c>
      <c r="M59" s="337"/>
      <c r="N59" s="337"/>
      <c r="O59" s="344">
        <v>1560028.5146650348</v>
      </c>
    </row>
    <row r="60" spans="1:16" x14ac:dyDescent="0.2">
      <c r="B60" s="262" t="s">
        <v>249</v>
      </c>
      <c r="C60" s="49" t="s">
        <v>250</v>
      </c>
      <c r="D60" s="51">
        <v>39087.972999999998</v>
      </c>
      <c r="E60" s="268">
        <v>1.35</v>
      </c>
      <c r="F60" s="292">
        <f>ROUND(D60*E60,2)</f>
        <v>52768.76</v>
      </c>
      <c r="H60" s="269">
        <f>E60</f>
        <v>1.35</v>
      </c>
      <c r="I60" s="295">
        <f>ROUND(D60*H60,2)</f>
        <v>52768.76</v>
      </c>
      <c r="J60" s="345"/>
      <c r="K60" s="264">
        <f>I60-F60</f>
        <v>0</v>
      </c>
      <c r="L60" s="265">
        <f t="shared" si="6"/>
        <v>0</v>
      </c>
      <c r="M60" s="337"/>
      <c r="N60" s="337"/>
      <c r="O60" s="274" t="s">
        <v>228</v>
      </c>
    </row>
    <row r="61" spans="1:16" x14ac:dyDescent="0.2">
      <c r="B61" s="262" t="s">
        <v>243</v>
      </c>
      <c r="C61" s="49" t="s">
        <v>8</v>
      </c>
      <c r="D61" s="51">
        <f>D67</f>
        <v>5773170.4876905456</v>
      </c>
      <c r="E61" s="272">
        <v>1.222E-2</v>
      </c>
      <c r="F61" s="292">
        <f>ROUND(D61*E61,2)</f>
        <v>70548.14</v>
      </c>
      <c r="H61" s="273">
        <f>E61</f>
        <v>1.222E-2</v>
      </c>
      <c r="I61" s="295">
        <f>ROUND(D67*H61,2)</f>
        <v>70548.14</v>
      </c>
      <c r="J61" s="345"/>
      <c r="K61" s="264">
        <f>I61-F61</f>
        <v>0</v>
      </c>
      <c r="L61" s="265">
        <f t="shared" si="6"/>
        <v>0</v>
      </c>
      <c r="M61" s="337"/>
      <c r="N61" s="337"/>
      <c r="O61" s="279">
        <f>I98-O59</f>
        <v>2.5053349651861936</v>
      </c>
    </row>
    <row r="62" spans="1:16" x14ac:dyDescent="0.2">
      <c r="B62" s="262" t="s">
        <v>265</v>
      </c>
      <c r="C62" s="49"/>
      <c r="D62" s="51"/>
      <c r="E62" s="272"/>
      <c r="F62" s="295">
        <v>7612.77</v>
      </c>
      <c r="H62" s="273"/>
      <c r="I62" s="295">
        <f>F62</f>
        <v>7612.77</v>
      </c>
      <c r="J62" s="417"/>
      <c r="K62" s="264">
        <f>I62-F62</f>
        <v>0</v>
      </c>
      <c r="L62" s="265">
        <f t="shared" si="6"/>
        <v>0</v>
      </c>
      <c r="M62" s="337"/>
      <c r="N62" s="337"/>
      <c r="O62" s="397"/>
    </row>
    <row r="63" spans="1:16" x14ac:dyDescent="0.2">
      <c r="B63" s="262"/>
      <c r="C63" s="49"/>
      <c r="D63" s="51"/>
      <c r="E63" s="272"/>
      <c r="F63" s="292"/>
      <c r="H63" s="273"/>
      <c r="I63" s="295"/>
      <c r="J63" s="345"/>
      <c r="K63" s="264"/>
      <c r="L63" s="265"/>
      <c r="M63" s="337"/>
      <c r="N63" s="337"/>
      <c r="O63" s="349">
        <v>4.2429683015157149E-2</v>
      </c>
      <c r="P63" s="403"/>
    </row>
    <row r="64" spans="1:16" x14ac:dyDescent="0.2">
      <c r="B64" s="262" t="s">
        <v>251</v>
      </c>
      <c r="C64" s="49"/>
      <c r="D64" s="51"/>
      <c r="E64" s="272"/>
      <c r="F64" s="292"/>
      <c r="H64" s="273"/>
      <c r="I64" s="295"/>
      <c r="J64" s="345"/>
      <c r="K64" s="264"/>
      <c r="L64" s="265"/>
      <c r="M64" s="337"/>
      <c r="N64" s="337"/>
      <c r="O64" s="418"/>
      <c r="P64" s="296"/>
    </row>
    <row r="65" spans="1:16" x14ac:dyDescent="0.2">
      <c r="B65" s="291" t="s">
        <v>274</v>
      </c>
      <c r="C65" s="41" t="s">
        <v>8</v>
      </c>
      <c r="D65" s="51">
        <v>1063981.5778999999</v>
      </c>
      <c r="E65" s="272">
        <v>0.18382000000000001</v>
      </c>
      <c r="F65" s="292">
        <f>ROUND(D65*E65,2)</f>
        <v>195581.09</v>
      </c>
      <c r="H65" s="273">
        <f>ROUND(E65*(1+$O$65),5)</f>
        <v>0.1951</v>
      </c>
      <c r="I65" s="295">
        <f>ROUND(D65*H65,2)</f>
        <v>207582.81</v>
      </c>
      <c r="J65" s="345"/>
      <c r="K65" s="264">
        <f>I65-F65</f>
        <v>12001.720000000001</v>
      </c>
      <c r="L65" s="265">
        <f t="shared" ref="L65:L66" si="7">IFERROR(K65/F65, )</f>
        <v>6.1364419228873313E-2</v>
      </c>
      <c r="M65" s="337"/>
      <c r="N65" s="337"/>
      <c r="O65" s="419">
        <f>(O59-SUM(I88:I91))/SUM(F94:F95)-1</f>
        <v>6.1383682309006371E-2</v>
      </c>
      <c r="P65" s="403"/>
    </row>
    <row r="66" spans="1:16" ht="12.75" customHeight="1" x14ac:dyDescent="0.2">
      <c r="B66" s="291" t="s">
        <v>275</v>
      </c>
      <c r="C66" s="41" t="s">
        <v>8</v>
      </c>
      <c r="D66" s="51">
        <v>4709188.9097905457</v>
      </c>
      <c r="E66" s="272">
        <v>0.13031000000000001</v>
      </c>
      <c r="F66" s="292">
        <f>ROUND(D66*E66,2)</f>
        <v>613654.41</v>
      </c>
      <c r="H66" s="273">
        <f>ROUND(E66*(1+$O$65),5)</f>
        <v>0.13830999999999999</v>
      </c>
      <c r="I66" s="295">
        <f>ROUND(D66*H66,2)</f>
        <v>651327.92000000004</v>
      </c>
      <c r="J66" s="345"/>
      <c r="K66" s="264">
        <f>I66-F66</f>
        <v>37673.510000000009</v>
      </c>
      <c r="L66" s="265">
        <f t="shared" si="7"/>
        <v>6.1392062675798269E-2</v>
      </c>
      <c r="M66" s="337"/>
      <c r="N66" s="337"/>
      <c r="O66" s="418"/>
      <c r="P66" s="403"/>
    </row>
    <row r="67" spans="1:16" ht="12.75" customHeight="1" x14ac:dyDescent="0.2">
      <c r="B67" s="283" t="s">
        <v>231</v>
      </c>
      <c r="C67" s="49" t="s">
        <v>8</v>
      </c>
      <c r="D67" s="38">
        <f>SUM(D65:D66)</f>
        <v>5773170.4876905456</v>
      </c>
      <c r="E67" s="387"/>
      <c r="F67" s="400">
        <f>SUM(F59:F66)</f>
        <v>1143200.29</v>
      </c>
      <c r="H67" s="268"/>
      <c r="I67" s="400">
        <f>SUM(I59:I66)</f>
        <v>1192875.52</v>
      </c>
      <c r="J67" s="345"/>
      <c r="K67" s="368">
        <f>SUM(K59:K66)</f>
        <v>49675.23000000001</v>
      </c>
      <c r="L67" s="420">
        <f>IFERROR(K67/F67, )</f>
        <v>4.3452779390040226E-2</v>
      </c>
      <c r="M67" s="337"/>
      <c r="N67" s="337"/>
      <c r="O67" s="373"/>
      <c r="P67" s="403"/>
    </row>
    <row r="68" spans="1:16" x14ac:dyDescent="0.2">
      <c r="B68" s="283"/>
      <c r="C68" s="276"/>
      <c r="D68" s="51"/>
      <c r="E68" s="387"/>
      <c r="F68" s="295"/>
      <c r="H68" s="268"/>
      <c r="I68" s="295"/>
      <c r="J68" s="345"/>
      <c r="K68" s="264"/>
      <c r="L68" s="270"/>
      <c r="M68" s="337"/>
      <c r="N68" s="365"/>
      <c r="O68" s="402"/>
      <c r="P68" s="403"/>
    </row>
    <row r="69" spans="1:16" s="49" customFormat="1" x14ac:dyDescent="0.2">
      <c r="B69" s="262" t="s">
        <v>229</v>
      </c>
      <c r="D69" s="51"/>
      <c r="E69" s="236"/>
      <c r="F69" s="400">
        <f>F67</f>
        <v>1143200.29</v>
      </c>
      <c r="G69" s="51"/>
      <c r="H69" s="268"/>
      <c r="I69" s="400">
        <f>I67</f>
        <v>1192875.52</v>
      </c>
      <c r="J69" s="345"/>
      <c r="K69" s="368">
        <f>K67</f>
        <v>49675.23000000001</v>
      </c>
      <c r="L69" s="420">
        <f>IFERROR(K69/F69, )</f>
        <v>4.3452779390040226E-2</v>
      </c>
      <c r="M69" s="337"/>
      <c r="N69" s="337"/>
    </row>
    <row r="70" spans="1:16" x14ac:dyDescent="0.2">
      <c r="A70" s="49"/>
      <c r="B70" s="351"/>
      <c r="C70" s="311"/>
      <c r="D70" s="32"/>
      <c r="E70" s="421"/>
      <c r="F70" s="286"/>
      <c r="G70" s="32"/>
      <c r="H70" s="405"/>
      <c r="I70" s="412"/>
      <c r="J70" s="406"/>
      <c r="K70" s="356"/>
      <c r="L70" s="313"/>
      <c r="M70" s="337"/>
      <c r="N70" s="337"/>
    </row>
    <row r="71" spans="1:16" s="49" customFormat="1" x14ac:dyDescent="0.2">
      <c r="D71" s="51"/>
      <c r="E71" s="422"/>
      <c r="F71" s="292"/>
      <c r="G71" s="51"/>
      <c r="H71" s="268"/>
      <c r="I71" s="295"/>
      <c r="J71" s="345"/>
      <c r="K71" s="264"/>
      <c r="L71" s="423"/>
      <c r="M71" s="337"/>
      <c r="N71" s="337"/>
    </row>
    <row r="72" spans="1:16" x14ac:dyDescent="0.2">
      <c r="A72" s="49"/>
      <c r="B72" s="256" t="s">
        <v>276</v>
      </c>
      <c r="C72" s="340"/>
      <c r="D72" s="341"/>
      <c r="E72" s="393"/>
      <c r="F72" s="408"/>
      <c r="G72" s="341"/>
      <c r="H72" s="395"/>
      <c r="I72" s="416"/>
      <c r="J72" s="396"/>
      <c r="K72" s="260"/>
      <c r="L72" s="290"/>
      <c r="M72" s="337"/>
      <c r="N72" s="337"/>
    </row>
    <row r="73" spans="1:16" x14ac:dyDescent="0.2">
      <c r="A73" s="49"/>
      <c r="B73" s="262"/>
      <c r="C73" s="49"/>
      <c r="D73" s="51"/>
      <c r="E73" s="387"/>
      <c r="F73" s="292"/>
      <c r="G73" s="293"/>
      <c r="H73" s="268"/>
      <c r="I73" s="295"/>
      <c r="J73" s="345"/>
      <c r="K73" s="264"/>
      <c r="L73" s="265"/>
      <c r="M73" s="337"/>
      <c r="N73" s="337"/>
    </row>
    <row r="74" spans="1:16" x14ac:dyDescent="0.2">
      <c r="A74" s="49"/>
      <c r="B74" s="283" t="s">
        <v>225</v>
      </c>
      <c r="C74" s="276" t="s">
        <v>226</v>
      </c>
      <c r="D74" s="51">
        <v>135.03332221112262</v>
      </c>
      <c r="E74" s="268">
        <v>457.76</v>
      </c>
      <c r="F74" s="292">
        <f>ROUND(D74*E74,2)</f>
        <v>61812.85</v>
      </c>
      <c r="H74" s="269">
        <f>E74</f>
        <v>457.76</v>
      </c>
      <c r="I74" s="295">
        <f>ROUND(D74*H74,2)</f>
        <v>61812.85</v>
      </c>
      <c r="J74" s="345"/>
      <c r="K74" s="264">
        <f>I74-F74</f>
        <v>0</v>
      </c>
      <c r="L74" s="265">
        <f t="shared" ref="L74:L76" si="8">IFERROR(K74/F74, )</f>
        <v>0</v>
      </c>
      <c r="M74" s="337"/>
      <c r="N74" s="337"/>
    </row>
    <row r="75" spans="1:16" x14ac:dyDescent="0.2">
      <c r="A75" s="49"/>
      <c r="B75" s="262" t="s">
        <v>249</v>
      </c>
      <c r="C75" s="49" t="s">
        <v>250</v>
      </c>
      <c r="D75" s="51">
        <v>43385</v>
      </c>
      <c r="E75" s="268">
        <v>1.35</v>
      </c>
      <c r="F75" s="292">
        <f>ROUND(D75*E75,2)</f>
        <v>58569.75</v>
      </c>
      <c r="H75" s="269">
        <f>H60</f>
        <v>1.35</v>
      </c>
      <c r="I75" s="295">
        <f>ROUND(D75*H75,2)</f>
        <v>58569.75</v>
      </c>
      <c r="J75" s="345"/>
      <c r="K75" s="264">
        <f>I75-F75</f>
        <v>0</v>
      </c>
      <c r="L75" s="265">
        <f t="shared" si="8"/>
        <v>0</v>
      </c>
      <c r="M75" s="337"/>
      <c r="N75" s="337"/>
    </row>
    <row r="76" spans="1:16" x14ac:dyDescent="0.2">
      <c r="A76" s="49"/>
      <c r="B76" s="262" t="s">
        <v>265</v>
      </c>
      <c r="C76" s="49"/>
      <c r="D76" s="51"/>
      <c r="E76" s="272"/>
      <c r="F76" s="295">
        <v>0</v>
      </c>
      <c r="H76" s="273"/>
      <c r="I76" s="295">
        <f>F76</f>
        <v>0</v>
      </c>
      <c r="J76" s="417"/>
      <c r="K76" s="264">
        <f>I76-F76</f>
        <v>0</v>
      </c>
      <c r="L76" s="265">
        <f t="shared" si="8"/>
        <v>0</v>
      </c>
      <c r="M76" s="337"/>
      <c r="N76" s="337"/>
    </row>
    <row r="77" spans="1:16" x14ac:dyDescent="0.2">
      <c r="A77" s="49"/>
      <c r="B77" s="262"/>
      <c r="C77" s="49"/>
      <c r="D77" s="51"/>
      <c r="E77" s="272"/>
      <c r="F77" s="292"/>
      <c r="H77" s="273"/>
      <c r="I77" s="295"/>
      <c r="J77" s="345"/>
      <c r="K77" s="264"/>
      <c r="L77" s="265"/>
      <c r="M77" s="337"/>
      <c r="N77" s="337"/>
    </row>
    <row r="78" spans="1:16" x14ac:dyDescent="0.2">
      <c r="A78" s="49"/>
      <c r="B78" s="262" t="s">
        <v>251</v>
      </c>
      <c r="C78" s="49"/>
      <c r="D78" s="51"/>
      <c r="E78" s="272"/>
      <c r="F78" s="292"/>
      <c r="H78" s="273"/>
      <c r="I78" s="295"/>
      <c r="J78" s="345"/>
      <c r="K78" s="264"/>
      <c r="L78" s="265"/>
      <c r="M78" s="337"/>
      <c r="N78" s="337"/>
    </row>
    <row r="79" spans="1:16" x14ac:dyDescent="0.2">
      <c r="A79" s="49"/>
      <c r="B79" s="291" t="s">
        <v>274</v>
      </c>
      <c r="C79" s="41" t="s">
        <v>8</v>
      </c>
      <c r="D79" s="51">
        <v>160051.62</v>
      </c>
      <c r="E79" s="272">
        <v>0.18382000000000001</v>
      </c>
      <c r="F79" s="292">
        <f>ROUND(D79*E79,2)</f>
        <v>29420.69</v>
      </c>
      <c r="H79" s="273">
        <f>H65</f>
        <v>0.1951</v>
      </c>
      <c r="I79" s="295">
        <f>ROUND(D79*H79,2)</f>
        <v>31226.07</v>
      </c>
      <c r="J79" s="345"/>
      <c r="K79" s="264">
        <f>I79-F79</f>
        <v>1805.380000000001</v>
      </c>
      <c r="L79" s="265">
        <f t="shared" ref="L79:L80" si="9">IFERROR(K79/F79, )</f>
        <v>6.1364298390010605E-2</v>
      </c>
      <c r="M79" s="337"/>
      <c r="N79" s="337"/>
    </row>
    <row r="80" spans="1:16" x14ac:dyDescent="0.2">
      <c r="A80" s="49"/>
      <c r="B80" s="291" t="s">
        <v>275</v>
      </c>
      <c r="C80" s="41" t="s">
        <v>8</v>
      </c>
      <c r="D80" s="51">
        <v>1558432.7200000002</v>
      </c>
      <c r="E80" s="272">
        <v>0.13031000000000001</v>
      </c>
      <c r="F80" s="292">
        <f>ROUND(D80*E80,2)</f>
        <v>203079.37</v>
      </c>
      <c r="H80" s="273">
        <f>H66</f>
        <v>0.13830999999999999</v>
      </c>
      <c r="I80" s="295">
        <f>ROUND(D80*H80,2)</f>
        <v>215546.83</v>
      </c>
      <c r="J80" s="345"/>
      <c r="K80" s="264">
        <f>I80-F80</f>
        <v>12467.459999999992</v>
      </c>
      <c r="L80" s="265">
        <f t="shared" si="9"/>
        <v>6.1392055726783044E-2</v>
      </c>
      <c r="M80" s="337"/>
      <c r="N80" s="337"/>
    </row>
    <row r="81" spans="1:14" x14ac:dyDescent="0.2">
      <c r="A81" s="49"/>
      <c r="B81" s="283" t="s">
        <v>231</v>
      </c>
      <c r="C81" s="49" t="s">
        <v>8</v>
      </c>
      <c r="D81" s="38">
        <f>SUM(D79:D80)</f>
        <v>1718484.3400000003</v>
      </c>
      <c r="E81" s="387"/>
      <c r="F81" s="400">
        <f>SUM(F74:F80)</f>
        <v>352882.66000000003</v>
      </c>
      <c r="H81" s="268"/>
      <c r="I81" s="400">
        <f>SUM(I74:I80)</f>
        <v>367155.5</v>
      </c>
      <c r="J81" s="345"/>
      <c r="K81" s="368">
        <f>SUM(K74:K80)</f>
        <v>14272.839999999993</v>
      </c>
      <c r="L81" s="420">
        <f>IFERROR(K81/F81, )</f>
        <v>4.044641921481773E-2</v>
      </c>
      <c r="M81" s="337"/>
      <c r="N81" s="337"/>
    </row>
    <row r="82" spans="1:14" x14ac:dyDescent="0.2">
      <c r="A82" s="49"/>
      <c r="B82" s="283"/>
      <c r="C82" s="276"/>
      <c r="D82" s="51"/>
      <c r="E82" s="387"/>
      <c r="F82" s="295"/>
      <c r="H82" s="268"/>
      <c r="I82" s="295"/>
      <c r="J82" s="345"/>
      <c r="K82" s="264"/>
      <c r="L82" s="270"/>
      <c r="M82" s="337"/>
      <c r="N82" s="337"/>
    </row>
    <row r="83" spans="1:14" x14ac:dyDescent="0.2">
      <c r="A83" s="49"/>
      <c r="B83" s="283" t="s">
        <v>229</v>
      </c>
      <c r="C83" s="49"/>
      <c r="D83" s="51"/>
      <c r="E83" s="268"/>
      <c r="F83" s="400">
        <f>+F81</f>
        <v>352882.66000000003</v>
      </c>
      <c r="G83" s="400"/>
      <c r="H83" s="268"/>
      <c r="I83" s="400">
        <f>+I81</f>
        <v>367155.5</v>
      </c>
      <c r="J83" s="236"/>
      <c r="K83" s="368">
        <f>+K81</f>
        <v>14272.839999999993</v>
      </c>
      <c r="L83" s="420">
        <f>IFERROR(K83/F83, )</f>
        <v>4.044641921481773E-2</v>
      </c>
      <c r="M83" s="337"/>
      <c r="N83" s="337"/>
    </row>
    <row r="84" spans="1:14" x14ac:dyDescent="0.2">
      <c r="A84" s="49"/>
      <c r="B84" s="351"/>
      <c r="C84" s="311"/>
      <c r="D84" s="32"/>
      <c r="E84" s="404"/>
      <c r="F84" s="286"/>
      <c r="G84" s="32"/>
      <c r="H84" s="405"/>
      <c r="I84" s="412"/>
      <c r="J84" s="406"/>
      <c r="K84" s="356"/>
      <c r="L84" s="357"/>
      <c r="M84" s="337"/>
      <c r="N84" s="337"/>
    </row>
    <row r="85" spans="1:14" s="49" customFormat="1" x14ac:dyDescent="0.2">
      <c r="D85" s="51"/>
      <c r="E85" s="422"/>
      <c r="F85" s="292"/>
      <c r="G85" s="51"/>
      <c r="H85" s="268"/>
      <c r="I85" s="295"/>
      <c r="J85" s="345"/>
      <c r="K85" s="264"/>
      <c r="L85" s="423"/>
      <c r="M85" s="337"/>
      <c r="N85" s="337"/>
    </row>
    <row r="86" spans="1:14" x14ac:dyDescent="0.2">
      <c r="A86" s="49"/>
      <c r="B86" s="256" t="s">
        <v>277</v>
      </c>
      <c r="C86" s="340"/>
      <c r="D86" s="341"/>
      <c r="E86" s="393"/>
      <c r="F86" s="408"/>
      <c r="G86" s="341"/>
      <c r="H86" s="395"/>
      <c r="I86" s="416"/>
      <c r="J86" s="396"/>
      <c r="K86" s="260"/>
      <c r="L86" s="290"/>
      <c r="M86" s="337"/>
      <c r="N86" s="337"/>
    </row>
    <row r="87" spans="1:14" x14ac:dyDescent="0.2">
      <c r="A87" s="49"/>
      <c r="B87" s="262"/>
      <c r="C87" s="49"/>
      <c r="D87" s="51"/>
      <c r="E87" s="387"/>
      <c r="F87" s="292"/>
      <c r="G87" s="293"/>
      <c r="H87" s="268"/>
      <c r="I87" s="295"/>
      <c r="J87" s="345"/>
      <c r="K87" s="264"/>
      <c r="L87" s="265"/>
      <c r="M87" s="337"/>
      <c r="N87" s="337"/>
    </row>
    <row r="88" spans="1:14" x14ac:dyDescent="0.2">
      <c r="A88" s="49"/>
      <c r="B88" s="283" t="s">
        <v>225</v>
      </c>
      <c r="C88" s="276" t="s">
        <v>226</v>
      </c>
      <c r="D88" s="51">
        <f>D59+D74</f>
        <v>1499.3332818939609</v>
      </c>
      <c r="E88" s="268"/>
      <c r="F88" s="292">
        <f>F59+F74</f>
        <v>264847.96999999997</v>
      </c>
      <c r="H88" s="359"/>
      <c r="I88" s="292">
        <f>I59+I74</f>
        <v>264847.96999999997</v>
      </c>
      <c r="J88" s="345"/>
      <c r="K88" s="264">
        <f>I88-F88</f>
        <v>0</v>
      </c>
      <c r="L88" s="265">
        <f t="shared" ref="L88:L91" si="10">IFERROR(K88/F88, )</f>
        <v>0</v>
      </c>
      <c r="M88" s="337"/>
      <c r="N88" s="337"/>
    </row>
    <row r="89" spans="1:14" x14ac:dyDescent="0.2">
      <c r="A89" s="49"/>
      <c r="B89" s="262" t="s">
        <v>249</v>
      </c>
      <c r="C89" s="49" t="s">
        <v>250</v>
      </c>
      <c r="D89" s="51">
        <f>D60+D75</f>
        <v>82472.972999999998</v>
      </c>
      <c r="E89" s="268"/>
      <c r="F89" s="292">
        <f>F60+F75</f>
        <v>111338.51000000001</v>
      </c>
      <c r="H89" s="359"/>
      <c r="I89" s="292">
        <f>I60+I75</f>
        <v>111338.51000000001</v>
      </c>
      <c r="J89" s="345"/>
      <c r="K89" s="264">
        <f>I89-F89</f>
        <v>0</v>
      </c>
      <c r="L89" s="265">
        <f t="shared" si="10"/>
        <v>0</v>
      </c>
      <c r="M89" s="337"/>
      <c r="N89" s="337"/>
    </row>
    <row r="90" spans="1:14" x14ac:dyDescent="0.2">
      <c r="A90" s="49"/>
      <c r="B90" s="262" t="s">
        <v>243</v>
      </c>
      <c r="C90" s="49" t="s">
        <v>8</v>
      </c>
      <c r="D90" s="51">
        <f>D61</f>
        <v>5773170.4876905456</v>
      </c>
      <c r="E90" s="272"/>
      <c r="F90" s="292">
        <f>F61</f>
        <v>70548.14</v>
      </c>
      <c r="H90" s="360"/>
      <c r="I90" s="292">
        <f>I61</f>
        <v>70548.14</v>
      </c>
      <c r="J90" s="345"/>
      <c r="K90" s="264">
        <f>I90-F90</f>
        <v>0</v>
      </c>
      <c r="L90" s="265">
        <f t="shared" si="10"/>
        <v>0</v>
      </c>
      <c r="M90" s="337"/>
      <c r="N90" s="337"/>
    </row>
    <row r="91" spans="1:14" x14ac:dyDescent="0.2">
      <c r="A91" s="49"/>
      <c r="B91" s="262" t="s">
        <v>265</v>
      </c>
      <c r="C91" s="49"/>
      <c r="D91" s="51"/>
      <c r="E91" s="272"/>
      <c r="F91" s="295">
        <f>F62+F76</f>
        <v>7612.77</v>
      </c>
      <c r="H91" s="272"/>
      <c r="I91" s="295">
        <f>I62+I76</f>
        <v>7612.77</v>
      </c>
      <c r="J91" s="417"/>
      <c r="K91" s="264">
        <f>I91-F91</f>
        <v>0</v>
      </c>
      <c r="L91" s="265">
        <f t="shared" si="10"/>
        <v>0</v>
      </c>
      <c r="M91" s="337"/>
      <c r="N91" s="337"/>
    </row>
    <row r="92" spans="1:14" x14ac:dyDescent="0.2">
      <c r="A92" s="49"/>
      <c r="B92" s="262"/>
      <c r="C92" s="49"/>
      <c r="D92" s="51"/>
      <c r="E92" s="272"/>
      <c r="F92" s="292"/>
      <c r="H92" s="272"/>
      <c r="I92" s="292"/>
      <c r="J92" s="345"/>
      <c r="K92" s="264"/>
      <c r="L92" s="265"/>
      <c r="M92" s="337"/>
      <c r="N92" s="337"/>
    </row>
    <row r="93" spans="1:14" x14ac:dyDescent="0.2">
      <c r="A93" s="49"/>
      <c r="B93" s="262" t="s">
        <v>251</v>
      </c>
      <c r="C93" s="49"/>
      <c r="D93" s="51"/>
      <c r="E93" s="272"/>
      <c r="F93" s="292"/>
      <c r="H93" s="272"/>
      <c r="I93" s="292"/>
      <c r="J93" s="345"/>
      <c r="K93" s="264"/>
      <c r="L93" s="265"/>
      <c r="M93" s="337"/>
      <c r="N93" s="337"/>
    </row>
    <row r="94" spans="1:14" x14ac:dyDescent="0.2">
      <c r="A94" s="49"/>
      <c r="B94" s="291" t="s">
        <v>274</v>
      </c>
      <c r="C94" s="41" t="s">
        <v>8</v>
      </c>
      <c r="D94" s="51">
        <f>D65+D79</f>
        <v>1224033.1979</v>
      </c>
      <c r="E94" s="272"/>
      <c r="F94" s="292">
        <f>F65+F79</f>
        <v>225001.78</v>
      </c>
      <c r="H94" s="272"/>
      <c r="I94" s="292">
        <f>I65+I79</f>
        <v>238808.88</v>
      </c>
      <c r="J94" s="345"/>
      <c r="K94" s="264">
        <f>I94-F94</f>
        <v>13807.100000000006</v>
      </c>
      <c r="L94" s="265">
        <f t="shared" ref="L94:L95" si="11">IFERROR(K94/F94, )</f>
        <v>6.1364403428275129E-2</v>
      </c>
      <c r="M94" s="337"/>
      <c r="N94" s="337"/>
    </row>
    <row r="95" spans="1:14" x14ac:dyDescent="0.2">
      <c r="A95" s="49"/>
      <c r="B95" s="291" t="s">
        <v>275</v>
      </c>
      <c r="C95" s="41" t="s">
        <v>8</v>
      </c>
      <c r="D95" s="51">
        <f>D66+D80</f>
        <v>6267621.6297905464</v>
      </c>
      <c r="E95" s="272"/>
      <c r="F95" s="292">
        <f>F66+F80</f>
        <v>816733.78</v>
      </c>
      <c r="H95" s="272"/>
      <c r="I95" s="292">
        <f>I66+I80</f>
        <v>866874.75</v>
      </c>
      <c r="J95" s="345"/>
      <c r="K95" s="264">
        <f>I95-F95</f>
        <v>50140.969999999972</v>
      </c>
      <c r="L95" s="265">
        <f t="shared" si="11"/>
        <v>6.1392060947938226E-2</v>
      </c>
      <c r="M95" s="337"/>
      <c r="N95" s="337"/>
    </row>
    <row r="96" spans="1:14" x14ac:dyDescent="0.2">
      <c r="A96" s="49"/>
      <c r="B96" s="283" t="s">
        <v>231</v>
      </c>
      <c r="C96" s="49" t="s">
        <v>8</v>
      </c>
      <c r="D96" s="38">
        <f>SUM(D94:D95)</f>
        <v>7491654.8276905464</v>
      </c>
      <c r="E96" s="387"/>
      <c r="F96" s="400">
        <f>SUM(F88:F95)</f>
        <v>1496082.9500000002</v>
      </c>
      <c r="H96" s="268"/>
      <c r="I96" s="400">
        <f>SUM(I88:I95)</f>
        <v>1560031.02</v>
      </c>
      <c r="J96" s="345"/>
      <c r="K96" s="368">
        <f>SUM(K88:K95)</f>
        <v>63948.069999999978</v>
      </c>
      <c r="L96" s="420">
        <f>IFERROR(K96/F96, )</f>
        <v>4.2743666051404415E-2</v>
      </c>
      <c r="M96" s="337"/>
      <c r="N96" s="337"/>
    </row>
    <row r="97" spans="1:16" x14ac:dyDescent="0.2">
      <c r="A97" s="49"/>
      <c r="B97" s="283"/>
      <c r="C97" s="276"/>
      <c r="D97" s="51"/>
      <c r="E97" s="387"/>
      <c r="F97" s="295"/>
      <c r="H97" s="268"/>
      <c r="I97" s="295"/>
      <c r="J97" s="345"/>
      <c r="K97" s="264"/>
      <c r="L97" s="270"/>
      <c r="M97" s="337"/>
      <c r="N97" s="337"/>
    </row>
    <row r="98" spans="1:16" x14ac:dyDescent="0.2">
      <c r="A98" s="49"/>
      <c r="B98" s="283" t="s">
        <v>229</v>
      </c>
      <c r="C98" s="276"/>
      <c r="D98" s="41"/>
      <c r="E98" s="236"/>
      <c r="F98" s="400">
        <f>F96</f>
        <v>1496082.9500000002</v>
      </c>
      <c r="G98" s="41"/>
      <c r="H98" s="268"/>
      <c r="I98" s="400">
        <f>I96</f>
        <v>1560031.02</v>
      </c>
      <c r="J98" s="345"/>
      <c r="K98" s="368">
        <f>K96</f>
        <v>63948.069999999978</v>
      </c>
      <c r="L98" s="420">
        <f>IFERROR(K98/F98, )</f>
        <v>4.2743666051404415E-2</v>
      </c>
      <c r="M98" s="337"/>
      <c r="N98" s="337"/>
    </row>
    <row r="99" spans="1:16" x14ac:dyDescent="0.2">
      <c r="A99" s="49"/>
      <c r="B99" s="351"/>
      <c r="C99" s="311"/>
      <c r="D99" s="32"/>
      <c r="E99" s="404"/>
      <c r="F99" s="286"/>
      <c r="G99" s="32"/>
      <c r="H99" s="405"/>
      <c r="I99" s="412"/>
      <c r="J99" s="406"/>
      <c r="K99" s="356"/>
      <c r="L99" s="313"/>
      <c r="M99" s="337"/>
      <c r="N99" s="337"/>
    </row>
    <row r="100" spans="1:16" s="49" customFormat="1" x14ac:dyDescent="0.2">
      <c r="B100" s="41"/>
      <c r="C100" s="41"/>
      <c r="D100" s="51"/>
      <c r="E100" s="422"/>
      <c r="F100" s="292"/>
      <c r="G100" s="51"/>
      <c r="H100" s="268"/>
      <c r="I100" s="295"/>
      <c r="J100" s="407"/>
      <c r="K100" s="292"/>
      <c r="L100" s="424"/>
      <c r="M100" s="337"/>
      <c r="N100" s="337"/>
    </row>
    <row r="101" spans="1:16" s="49" customFormat="1" x14ac:dyDescent="0.2">
      <c r="B101" s="41"/>
      <c r="C101" s="41"/>
      <c r="D101" s="51"/>
      <c r="E101" s="272"/>
      <c r="F101" s="292"/>
      <c r="G101" s="51"/>
      <c r="H101" s="268"/>
      <c r="I101" s="295"/>
      <c r="J101" s="407"/>
      <c r="K101" s="292"/>
      <c r="L101" s="424"/>
      <c r="M101" s="337"/>
      <c r="N101" s="337"/>
    </row>
    <row r="102" spans="1:16" x14ac:dyDescent="0.2">
      <c r="B102" s="256" t="s">
        <v>278</v>
      </c>
      <c r="C102" s="340"/>
      <c r="D102" s="341"/>
      <c r="E102" s="393"/>
      <c r="F102" s="408"/>
      <c r="G102" s="341"/>
      <c r="H102" s="395"/>
      <c r="I102" s="416"/>
      <c r="J102" s="396"/>
      <c r="K102" s="260"/>
      <c r="L102" s="261"/>
      <c r="M102" s="337"/>
      <c r="N102" s="337"/>
      <c r="O102" s="49"/>
    </row>
    <row r="103" spans="1:16" x14ac:dyDescent="0.2">
      <c r="B103" s="262"/>
      <c r="C103" s="49"/>
      <c r="D103" s="51"/>
      <c r="E103" s="387"/>
      <c r="F103" s="292"/>
      <c r="H103" s="268"/>
      <c r="I103" s="295"/>
      <c r="J103" s="345"/>
      <c r="K103" s="264"/>
      <c r="L103" s="265"/>
      <c r="M103" s="337"/>
      <c r="N103" s="337"/>
      <c r="O103" s="248" t="s">
        <v>279</v>
      </c>
    </row>
    <row r="104" spans="1:16" x14ac:dyDescent="0.2">
      <c r="B104" s="283" t="s">
        <v>225</v>
      </c>
      <c r="C104" s="276" t="s">
        <v>226</v>
      </c>
      <c r="D104" s="51">
        <v>61</v>
      </c>
      <c r="E104" s="268">
        <v>606.5</v>
      </c>
      <c r="F104" s="292">
        <f>ROUND(D104*E104,2)</f>
        <v>36996.5</v>
      </c>
      <c r="H104" s="269">
        <v>715.15</v>
      </c>
      <c r="I104" s="295">
        <f>ROUND(D104*H104,2)</f>
        <v>43624.15</v>
      </c>
      <c r="J104" s="345"/>
      <c r="K104" s="264">
        <f>I104-F104</f>
        <v>6627.6500000000015</v>
      </c>
      <c r="L104" s="265">
        <f t="shared" ref="L104:L107" si="12">IFERROR(K104/F104, )</f>
        <v>0.17914262159934052</v>
      </c>
      <c r="M104" s="337"/>
      <c r="N104" s="337"/>
      <c r="O104" s="425">
        <v>6299755.2809057441</v>
      </c>
    </row>
    <row r="105" spans="1:16" x14ac:dyDescent="0.2">
      <c r="B105" s="262" t="s">
        <v>249</v>
      </c>
      <c r="C105" s="49" t="s">
        <v>250</v>
      </c>
      <c r="D105" s="51">
        <v>0</v>
      </c>
      <c r="E105" s="268">
        <v>1.45</v>
      </c>
      <c r="F105" s="292">
        <f>ROUND(D105*E105,2)</f>
        <v>0</v>
      </c>
      <c r="H105" s="269">
        <f>E105</f>
        <v>1.45</v>
      </c>
      <c r="I105" s="295">
        <f>ROUND(D105*H105,2)</f>
        <v>0</v>
      </c>
      <c r="J105" s="345"/>
      <c r="K105" s="264">
        <f>I105-F105</f>
        <v>0</v>
      </c>
      <c r="L105" s="265">
        <f>IFERROR(K105/F105, )</f>
        <v>0</v>
      </c>
      <c r="M105" s="337"/>
      <c r="N105" s="337"/>
      <c r="O105" s="274" t="s">
        <v>228</v>
      </c>
    </row>
    <row r="106" spans="1:16" x14ac:dyDescent="0.2">
      <c r="B106" s="262" t="s">
        <v>243</v>
      </c>
      <c r="C106" s="49"/>
      <c r="D106" s="51">
        <f>D116</f>
        <v>21819455.762355208</v>
      </c>
      <c r="E106" s="272">
        <v>8.43E-3</v>
      </c>
      <c r="F106" s="292">
        <f>ROUND(D106*E106,2)</f>
        <v>183938.01</v>
      </c>
      <c r="H106" s="273">
        <f>ROUND(E106*(1+$O$108),5)</f>
        <v>9.3200000000000002E-3</v>
      </c>
      <c r="I106" s="292">
        <f>ROUND(D106*H106,2)</f>
        <v>203357.33</v>
      </c>
      <c r="J106" s="345"/>
      <c r="K106" s="264">
        <f>I106-F106</f>
        <v>19419.319999999978</v>
      </c>
      <c r="L106" s="265">
        <f t="shared" si="12"/>
        <v>0.10557535117401769</v>
      </c>
      <c r="M106" s="337"/>
      <c r="N106" s="337"/>
      <c r="O106" s="279">
        <f>I155-O104</f>
        <v>151.2490942561999</v>
      </c>
    </row>
    <row r="107" spans="1:16" x14ac:dyDescent="0.2">
      <c r="B107" s="291" t="s">
        <v>265</v>
      </c>
      <c r="C107" s="41"/>
      <c r="D107" s="51"/>
      <c r="E107" s="268"/>
      <c r="F107" s="295">
        <v>51086.770000000004</v>
      </c>
      <c r="H107" s="272" t="s">
        <v>280</v>
      </c>
      <c r="I107" s="295">
        <f>F107</f>
        <v>51086.770000000004</v>
      </c>
      <c r="J107" s="345"/>
      <c r="K107" s="264">
        <f>I107-F107</f>
        <v>0</v>
      </c>
      <c r="L107" s="265">
        <f t="shared" si="12"/>
        <v>0</v>
      </c>
      <c r="M107" s="337"/>
      <c r="N107" s="337"/>
      <c r="O107" s="426"/>
    </row>
    <row r="108" spans="1:16" x14ac:dyDescent="0.2">
      <c r="B108" s="262"/>
      <c r="C108" s="49"/>
      <c r="D108" s="51"/>
      <c r="E108" s="236"/>
      <c r="F108" s="292"/>
      <c r="H108" s="272"/>
      <c r="I108" s="295"/>
      <c r="J108" s="345"/>
      <c r="K108" s="298"/>
      <c r="L108" s="363"/>
      <c r="M108" s="337"/>
      <c r="N108" s="337"/>
      <c r="O108" s="427">
        <v>0.10610240784340896</v>
      </c>
    </row>
    <row r="109" spans="1:16" x14ac:dyDescent="0.2">
      <c r="B109" s="262" t="s">
        <v>251</v>
      </c>
      <c r="C109" s="49"/>
      <c r="D109" s="51"/>
      <c r="E109" s="236"/>
      <c r="F109" s="292"/>
      <c r="H109" s="272"/>
      <c r="I109" s="295"/>
      <c r="J109" s="345"/>
      <c r="K109" s="298"/>
      <c r="L109" s="363"/>
      <c r="M109" s="337"/>
      <c r="N109" s="337"/>
      <c r="O109" s="428">
        <f>(O104-SUM(I141:I144,I152))/SUM(F147:F151)-1</f>
        <v>0.18370474105037182</v>
      </c>
      <c r="P109" s="403"/>
    </row>
    <row r="110" spans="1:16" x14ac:dyDescent="0.2">
      <c r="B110" s="262" t="s">
        <v>266</v>
      </c>
      <c r="C110" s="49" t="s">
        <v>8</v>
      </c>
      <c r="D110" s="51">
        <v>1512193</v>
      </c>
      <c r="E110" s="272">
        <v>0.17533000000000001</v>
      </c>
      <c r="F110" s="292">
        <f t="shared" ref="F110:F115" si="13">ROUND(D110*E110,2)</f>
        <v>265132.79999999999</v>
      </c>
      <c r="H110" s="273">
        <f>ROUND(E110*(1+$O$109),5)</f>
        <v>0.20754</v>
      </c>
      <c r="I110" s="295">
        <f t="shared" ref="I110:I115" si="14">ROUND(D110*H110,2)</f>
        <v>313840.53999999998</v>
      </c>
      <c r="J110" s="345"/>
      <c r="K110" s="264">
        <f t="shared" ref="K110:K116" si="15">I110-F110</f>
        <v>48707.739999999991</v>
      </c>
      <c r="L110" s="265">
        <f t="shared" ref="L110:L115" si="16">IFERROR(K110/F110, )</f>
        <v>0.18371072911386291</v>
      </c>
      <c r="M110" s="337"/>
      <c r="N110" s="337"/>
      <c r="O110" s="428">
        <f>O108*0.33</f>
        <v>3.5013794588324959E-2</v>
      </c>
      <c r="P110" s="296"/>
    </row>
    <row r="111" spans="1:16" x14ac:dyDescent="0.2">
      <c r="B111" s="262" t="s">
        <v>267</v>
      </c>
      <c r="C111" s="49" t="s">
        <v>8</v>
      </c>
      <c r="D111" s="51">
        <v>1398016.115</v>
      </c>
      <c r="E111" s="272">
        <v>0.10595</v>
      </c>
      <c r="F111" s="292">
        <f t="shared" si="13"/>
        <v>148119.81</v>
      </c>
      <c r="H111" s="273">
        <f t="shared" ref="H111:H114" si="17">ROUND(E111*(1+$O$109),5)</f>
        <v>0.12540999999999999</v>
      </c>
      <c r="I111" s="295">
        <f t="shared" si="14"/>
        <v>175325.2</v>
      </c>
      <c r="J111" s="345"/>
      <c r="K111" s="264">
        <f t="shared" si="15"/>
        <v>27205.390000000014</v>
      </c>
      <c r="L111" s="265">
        <f t="shared" si="16"/>
        <v>0.18367151564669179</v>
      </c>
      <c r="M111" s="337"/>
      <c r="N111" s="337"/>
      <c r="O111" s="297"/>
      <c r="P111" s="49"/>
    </row>
    <row r="112" spans="1:16" x14ac:dyDescent="0.2">
      <c r="B112" s="262" t="s">
        <v>270</v>
      </c>
      <c r="C112" s="49" t="s">
        <v>8</v>
      </c>
      <c r="D112" s="51">
        <v>2316890.0959999999</v>
      </c>
      <c r="E112" s="272">
        <v>6.7419999999999994E-2</v>
      </c>
      <c r="F112" s="292">
        <f t="shared" si="13"/>
        <v>156204.73000000001</v>
      </c>
      <c r="H112" s="273">
        <f t="shared" si="17"/>
        <v>7.9810000000000006E-2</v>
      </c>
      <c r="I112" s="295">
        <f t="shared" si="14"/>
        <v>184911</v>
      </c>
      <c r="J112" s="345"/>
      <c r="K112" s="264">
        <f t="shared" si="15"/>
        <v>28706.26999999999</v>
      </c>
      <c r="L112" s="265">
        <f t="shared" si="16"/>
        <v>0.18377337229160723</v>
      </c>
      <c r="M112" s="337"/>
      <c r="N112" s="337"/>
      <c r="O112" s="276"/>
      <c r="P112" s="276"/>
    </row>
    <row r="113" spans="1:16" x14ac:dyDescent="0.2">
      <c r="B113" s="262" t="s">
        <v>43</v>
      </c>
      <c r="C113" s="49" t="s">
        <v>8</v>
      </c>
      <c r="D113" s="51">
        <v>3045256.8779999996</v>
      </c>
      <c r="E113" s="272">
        <v>4.3229999999999998E-2</v>
      </c>
      <c r="F113" s="292">
        <f t="shared" si="13"/>
        <v>131646.45000000001</v>
      </c>
      <c r="H113" s="273">
        <f t="shared" si="17"/>
        <v>5.117E-2</v>
      </c>
      <c r="I113" s="295">
        <f t="shared" si="14"/>
        <v>155825.79</v>
      </c>
      <c r="J113" s="345"/>
      <c r="K113" s="264">
        <f t="shared" si="15"/>
        <v>24179.339999999997</v>
      </c>
      <c r="L113" s="265">
        <f t="shared" si="16"/>
        <v>0.18366875825364068</v>
      </c>
      <c r="M113" s="337"/>
      <c r="N113" s="337"/>
      <c r="O113" s="49"/>
      <c r="P113" s="49"/>
    </row>
    <row r="114" spans="1:16" x14ac:dyDescent="0.2">
      <c r="B114" s="262" t="s">
        <v>44</v>
      </c>
      <c r="C114" s="49" t="s">
        <v>8</v>
      </c>
      <c r="D114" s="51">
        <v>3792042.2029999997</v>
      </c>
      <c r="E114" s="272">
        <v>3.1109999999999999E-2</v>
      </c>
      <c r="F114" s="292">
        <f t="shared" si="13"/>
        <v>117970.43</v>
      </c>
      <c r="H114" s="273">
        <f t="shared" si="17"/>
        <v>3.6830000000000002E-2</v>
      </c>
      <c r="I114" s="295">
        <f t="shared" si="14"/>
        <v>139660.91</v>
      </c>
      <c r="J114" s="345"/>
      <c r="K114" s="264">
        <f t="shared" si="15"/>
        <v>21690.48000000001</v>
      </c>
      <c r="L114" s="265">
        <f t="shared" si="16"/>
        <v>0.18386370211586084</v>
      </c>
      <c r="M114" s="337"/>
      <c r="N114" s="337"/>
      <c r="P114" s="49"/>
    </row>
    <row r="115" spans="1:16" x14ac:dyDescent="0.2">
      <c r="B115" s="262" t="s">
        <v>281</v>
      </c>
      <c r="C115" s="49" t="s">
        <v>8</v>
      </c>
      <c r="D115" s="51">
        <v>9755057.4703552071</v>
      </c>
      <c r="E115" s="272">
        <v>2.3990000000000001E-2</v>
      </c>
      <c r="F115" s="292">
        <f t="shared" si="13"/>
        <v>234023.83</v>
      </c>
      <c r="H115" s="273">
        <f>ROUND(E115*(1+$O$110),5)</f>
        <v>2.4830000000000001E-2</v>
      </c>
      <c r="I115" s="295">
        <f t="shared" si="14"/>
        <v>242218.08</v>
      </c>
      <c r="J115" s="345"/>
      <c r="K115" s="264">
        <f t="shared" si="15"/>
        <v>8194.25</v>
      </c>
      <c r="L115" s="265">
        <f t="shared" si="16"/>
        <v>3.501459659044124E-2</v>
      </c>
      <c r="M115" s="337"/>
      <c r="N115" s="337"/>
      <c r="O115" s="49"/>
      <c r="P115" s="276"/>
    </row>
    <row r="116" spans="1:16" x14ac:dyDescent="0.2">
      <c r="B116" s="283" t="s">
        <v>231</v>
      </c>
      <c r="C116" s="49" t="s">
        <v>8</v>
      </c>
      <c r="D116" s="38">
        <f>SUM(D110:D115)</f>
        <v>21819455.762355208</v>
      </c>
      <c r="E116" s="387"/>
      <c r="F116" s="400">
        <f>SUM(F104:F115)</f>
        <v>1325119.33</v>
      </c>
      <c r="H116" s="268"/>
      <c r="I116" s="400">
        <f>SUM(I104:I115)</f>
        <v>1509849.77</v>
      </c>
      <c r="J116" s="345"/>
      <c r="K116" s="368">
        <f t="shared" si="15"/>
        <v>184730.43999999994</v>
      </c>
      <c r="L116" s="420">
        <f>IFERROR(K116/F116, )</f>
        <v>0.13940664498494632</v>
      </c>
      <c r="M116" s="337"/>
      <c r="N116" s="337"/>
      <c r="O116" s="49"/>
      <c r="P116" s="358"/>
    </row>
    <row r="117" spans="1:16" x14ac:dyDescent="0.2">
      <c r="B117" s="283"/>
      <c r="C117" s="276"/>
      <c r="D117" s="51"/>
      <c r="E117" s="387"/>
      <c r="F117" s="292"/>
      <c r="H117" s="268"/>
      <c r="I117" s="295"/>
      <c r="J117" s="345"/>
      <c r="K117" s="264"/>
      <c r="L117" s="270"/>
      <c r="M117" s="337"/>
      <c r="N117" s="365"/>
      <c r="O117" s="429"/>
      <c r="P117" s="49"/>
    </row>
    <row r="118" spans="1:16" x14ac:dyDescent="0.2">
      <c r="B118" s="262" t="s">
        <v>229</v>
      </c>
      <c r="C118" s="49"/>
      <c r="D118" s="51"/>
      <c r="E118" s="236"/>
      <c r="F118" s="400">
        <f>F116</f>
        <v>1325119.33</v>
      </c>
      <c r="H118" s="268"/>
      <c r="I118" s="400">
        <f>I116</f>
        <v>1509849.77</v>
      </c>
      <c r="J118" s="345"/>
      <c r="K118" s="368">
        <f>K116</f>
        <v>184730.43999999994</v>
      </c>
      <c r="L118" s="420">
        <f>IFERROR(K118/F118, )</f>
        <v>0.13940664498494632</v>
      </c>
      <c r="M118" s="337"/>
      <c r="N118" s="337"/>
      <c r="O118" s="49"/>
      <c r="P118" s="49"/>
    </row>
    <row r="119" spans="1:16" x14ac:dyDescent="0.2">
      <c r="A119" s="49"/>
      <c r="B119" s="351"/>
      <c r="C119" s="311"/>
      <c r="D119" s="32"/>
      <c r="E119" s="414"/>
      <c r="F119" s="286"/>
      <c r="G119" s="32"/>
      <c r="H119" s="405"/>
      <c r="I119" s="412"/>
      <c r="J119" s="406"/>
      <c r="K119" s="356"/>
      <c r="L119" s="313"/>
      <c r="M119" s="337"/>
      <c r="N119" s="337"/>
      <c r="O119" s="276"/>
      <c r="P119" s="49"/>
    </row>
    <row r="120" spans="1:16" x14ac:dyDescent="0.2">
      <c r="A120" s="49"/>
      <c r="B120" s="49"/>
      <c r="C120" s="49"/>
      <c r="D120" s="51"/>
      <c r="E120" s="272"/>
      <c r="F120" s="292"/>
      <c r="H120" s="268"/>
      <c r="I120" s="295"/>
      <c r="J120" s="345"/>
      <c r="K120" s="264"/>
      <c r="L120" s="423"/>
      <c r="M120" s="337"/>
      <c r="N120" s="337"/>
      <c r="O120" s="49"/>
      <c r="P120" s="49"/>
    </row>
    <row r="121" spans="1:16" x14ac:dyDescent="0.2">
      <c r="A121" s="49"/>
      <c r="B121" s="256" t="s">
        <v>282</v>
      </c>
      <c r="C121" s="340"/>
      <c r="D121" s="341"/>
      <c r="E121" s="393"/>
      <c r="F121" s="408"/>
      <c r="G121" s="341"/>
      <c r="H121" s="395"/>
      <c r="I121" s="416"/>
      <c r="J121" s="396"/>
      <c r="K121" s="260"/>
      <c r="L121" s="261"/>
      <c r="M121" s="337"/>
      <c r="N121" s="337"/>
      <c r="O121" s="49"/>
      <c r="P121" s="49"/>
    </row>
    <row r="122" spans="1:16" x14ac:dyDescent="0.2">
      <c r="A122" s="49"/>
      <c r="B122" s="262"/>
      <c r="C122" s="49"/>
      <c r="D122" s="51"/>
      <c r="E122" s="387"/>
      <c r="F122" s="292"/>
      <c r="H122" s="268"/>
      <c r="I122" s="295"/>
      <c r="J122" s="345"/>
      <c r="K122" s="264"/>
      <c r="L122" s="265"/>
      <c r="M122" s="337"/>
      <c r="N122" s="337"/>
      <c r="O122" s="49"/>
      <c r="P122" s="49"/>
    </row>
    <row r="123" spans="1:16" x14ac:dyDescent="0.2">
      <c r="A123" s="49"/>
      <c r="B123" s="283" t="s">
        <v>225</v>
      </c>
      <c r="C123" s="276" t="s">
        <v>226</v>
      </c>
      <c r="D123" s="51">
        <v>120.00000000000001</v>
      </c>
      <c r="E123" s="268">
        <v>918.31</v>
      </c>
      <c r="F123" s="292">
        <f>ROUND(D123*E123,2)</f>
        <v>110197.2</v>
      </c>
      <c r="H123" s="269">
        <v>1082.81</v>
      </c>
      <c r="I123" s="295">
        <f>ROUND(D123*H123,2)</f>
        <v>129937.2</v>
      </c>
      <c r="J123" s="345"/>
      <c r="K123" s="264">
        <f>I123-F123</f>
        <v>19740</v>
      </c>
      <c r="L123" s="265">
        <f t="shared" ref="L123:L124" si="18">IFERROR(K123/F123, )</f>
        <v>0.179133408108373</v>
      </c>
      <c r="M123" s="337"/>
      <c r="N123" s="337"/>
      <c r="O123" s="49"/>
      <c r="P123" s="49"/>
    </row>
    <row r="124" spans="1:16" x14ac:dyDescent="0.2">
      <c r="A124" s="49"/>
      <c r="B124" s="262" t="s">
        <v>249</v>
      </c>
      <c r="C124" s="49" t="s">
        <v>250</v>
      </c>
      <c r="D124" s="51">
        <v>296082</v>
      </c>
      <c r="E124" s="268">
        <v>1.45</v>
      </c>
      <c r="F124" s="292">
        <f>ROUND(D124*E124,2)</f>
        <v>429318.9</v>
      </c>
      <c r="H124" s="269">
        <f>H105</f>
        <v>1.45</v>
      </c>
      <c r="I124" s="295">
        <f>ROUND(D124*H124,2)</f>
        <v>429318.9</v>
      </c>
      <c r="J124" s="345"/>
      <c r="K124" s="264">
        <f>I124-F124</f>
        <v>0</v>
      </c>
      <c r="L124" s="265">
        <f t="shared" si="18"/>
        <v>0</v>
      </c>
      <c r="M124" s="337"/>
      <c r="N124" s="337"/>
    </row>
    <row r="125" spans="1:16" x14ac:dyDescent="0.2">
      <c r="A125" s="49"/>
      <c r="B125" s="262" t="s">
        <v>265</v>
      </c>
      <c r="C125" s="49"/>
      <c r="D125" s="51"/>
      <c r="E125" s="268"/>
      <c r="F125" s="295">
        <v>19447.379999999997</v>
      </c>
      <c r="H125" s="269"/>
      <c r="I125" s="295">
        <f>F125</f>
        <v>19447.379999999997</v>
      </c>
      <c r="J125" s="345"/>
      <c r="K125" s="298"/>
      <c r="L125" s="265">
        <f>IFERROR(K125/F125, )</f>
        <v>0</v>
      </c>
      <c r="M125" s="337"/>
      <c r="N125" s="337"/>
    </row>
    <row r="126" spans="1:16" x14ac:dyDescent="0.2">
      <c r="A126" s="49"/>
      <c r="B126" s="291"/>
      <c r="C126" s="49"/>
      <c r="D126" s="51"/>
      <c r="E126" s="272"/>
      <c r="F126" s="292"/>
      <c r="H126" s="273"/>
      <c r="I126" s="295"/>
      <c r="J126" s="345"/>
      <c r="K126" s="298"/>
      <c r="L126" s="363"/>
      <c r="M126" s="337"/>
      <c r="N126" s="337"/>
    </row>
    <row r="127" spans="1:16" x14ac:dyDescent="0.2">
      <c r="A127" s="49"/>
      <c r="B127" s="262" t="s">
        <v>251</v>
      </c>
      <c r="C127" s="49"/>
      <c r="D127" s="51"/>
      <c r="E127" s="236"/>
      <c r="F127" s="292"/>
      <c r="H127" s="273"/>
      <c r="I127" s="295"/>
      <c r="J127" s="345"/>
      <c r="K127" s="298"/>
      <c r="L127" s="363"/>
      <c r="M127" s="337"/>
      <c r="N127" s="337"/>
    </row>
    <row r="128" spans="1:16" x14ac:dyDescent="0.2">
      <c r="A128" s="49"/>
      <c r="B128" s="262" t="s">
        <v>266</v>
      </c>
      <c r="C128" s="49" t="s">
        <v>8</v>
      </c>
      <c r="D128" s="51">
        <v>2998789.67</v>
      </c>
      <c r="E128" s="272">
        <v>0.17533000000000001</v>
      </c>
      <c r="F128" s="292">
        <f t="shared" ref="F128:F133" si="19">ROUND(D128*E128,2)</f>
        <v>525777.79</v>
      </c>
      <c r="H128" s="273">
        <f t="shared" ref="H128:H133" si="20">H110</f>
        <v>0.20754</v>
      </c>
      <c r="I128" s="295">
        <f t="shared" ref="I128:I133" si="21">ROUND(D128*H128,2)</f>
        <v>622368.81000000006</v>
      </c>
      <c r="J128" s="345"/>
      <c r="K128" s="264">
        <f t="shared" ref="K128:K133" si="22">I128-F128</f>
        <v>96591.020000000019</v>
      </c>
      <c r="L128" s="265">
        <f t="shared" ref="L128:L133" si="23">IFERROR(K128/F128, )</f>
        <v>0.18371072692134829</v>
      </c>
      <c r="M128" s="337"/>
      <c r="N128" s="337"/>
    </row>
    <row r="129" spans="1:15" x14ac:dyDescent="0.2">
      <c r="A129" s="49"/>
      <c r="B129" s="262" t="s">
        <v>267</v>
      </c>
      <c r="C129" s="49" t="s">
        <v>8</v>
      </c>
      <c r="D129" s="51">
        <v>3000000</v>
      </c>
      <c r="E129" s="272">
        <v>0.10595</v>
      </c>
      <c r="F129" s="292">
        <f t="shared" si="19"/>
        <v>317850</v>
      </c>
      <c r="H129" s="273">
        <f t="shared" si="20"/>
        <v>0.12540999999999999</v>
      </c>
      <c r="I129" s="295">
        <f t="shared" si="21"/>
        <v>376230</v>
      </c>
      <c r="J129" s="345"/>
      <c r="K129" s="264">
        <f t="shared" si="22"/>
        <v>58380</v>
      </c>
      <c r="L129" s="265">
        <f t="shared" si="23"/>
        <v>0.18367154318074563</v>
      </c>
      <c r="M129" s="337"/>
      <c r="N129" s="337"/>
    </row>
    <row r="130" spans="1:15" x14ac:dyDescent="0.2">
      <c r="A130" s="49"/>
      <c r="B130" s="262" t="s">
        <v>270</v>
      </c>
      <c r="C130" s="49" t="s">
        <v>8</v>
      </c>
      <c r="D130" s="51">
        <v>6000000</v>
      </c>
      <c r="E130" s="272">
        <v>6.7419999999999994E-2</v>
      </c>
      <c r="F130" s="292">
        <f t="shared" si="19"/>
        <v>404520</v>
      </c>
      <c r="H130" s="273">
        <f t="shared" si="20"/>
        <v>7.9810000000000006E-2</v>
      </c>
      <c r="I130" s="295">
        <f t="shared" si="21"/>
        <v>478860</v>
      </c>
      <c r="J130" s="345"/>
      <c r="K130" s="264">
        <f t="shared" si="22"/>
        <v>74340</v>
      </c>
      <c r="L130" s="265">
        <f t="shared" si="23"/>
        <v>0.18377336102046871</v>
      </c>
      <c r="M130" s="337"/>
      <c r="N130" s="337"/>
    </row>
    <row r="131" spans="1:15" x14ac:dyDescent="0.2">
      <c r="A131" s="49"/>
      <c r="B131" s="262" t="s">
        <v>43</v>
      </c>
      <c r="C131" s="49" t="s">
        <v>8</v>
      </c>
      <c r="D131" s="51">
        <v>11463691.02</v>
      </c>
      <c r="E131" s="272">
        <v>4.3229999999999998E-2</v>
      </c>
      <c r="F131" s="292">
        <f t="shared" si="19"/>
        <v>495575.36</v>
      </c>
      <c r="H131" s="273">
        <f t="shared" si="20"/>
        <v>5.117E-2</v>
      </c>
      <c r="I131" s="295">
        <f t="shared" si="21"/>
        <v>586597.06999999995</v>
      </c>
      <c r="J131" s="345"/>
      <c r="K131" s="264">
        <f t="shared" si="22"/>
        <v>91021.709999999963</v>
      </c>
      <c r="L131" s="265">
        <f t="shared" si="23"/>
        <v>0.18366875625131962</v>
      </c>
      <c r="M131" s="337"/>
      <c r="N131" s="337"/>
    </row>
    <row r="132" spans="1:15" x14ac:dyDescent="0.2">
      <c r="A132" s="49"/>
      <c r="B132" s="262" t="s">
        <v>44</v>
      </c>
      <c r="C132" s="49" t="s">
        <v>8</v>
      </c>
      <c r="D132" s="51">
        <v>25744602.149999999</v>
      </c>
      <c r="E132" s="272">
        <v>3.1109999999999999E-2</v>
      </c>
      <c r="F132" s="292">
        <f t="shared" si="19"/>
        <v>800914.57</v>
      </c>
      <c r="H132" s="273">
        <f t="shared" si="20"/>
        <v>3.6830000000000002E-2</v>
      </c>
      <c r="I132" s="295">
        <f t="shared" si="21"/>
        <v>948173.7</v>
      </c>
      <c r="J132" s="345"/>
      <c r="K132" s="264">
        <f t="shared" si="22"/>
        <v>147259.13</v>
      </c>
      <c r="L132" s="265">
        <f t="shared" si="23"/>
        <v>0.18386371720020028</v>
      </c>
      <c r="M132" s="337"/>
      <c r="N132" s="337"/>
    </row>
    <row r="133" spans="1:15" x14ac:dyDescent="0.2">
      <c r="A133" s="49"/>
      <c r="B133" s="262" t="s">
        <v>281</v>
      </c>
      <c r="C133" s="49" t="s">
        <v>8</v>
      </c>
      <c r="D133" s="51">
        <v>48293342.805479579</v>
      </c>
      <c r="E133" s="272">
        <v>2.3990000000000001E-2</v>
      </c>
      <c r="F133" s="292">
        <f t="shared" si="19"/>
        <v>1158557.29</v>
      </c>
      <c r="H133" s="273">
        <f t="shared" si="20"/>
        <v>2.4830000000000001E-2</v>
      </c>
      <c r="I133" s="295">
        <f t="shared" si="21"/>
        <v>1199123.7</v>
      </c>
      <c r="J133" s="345"/>
      <c r="K133" s="264">
        <f t="shared" si="22"/>
        <v>40566.409999999916</v>
      </c>
      <c r="L133" s="265">
        <f t="shared" si="23"/>
        <v>3.501459129397038E-2</v>
      </c>
      <c r="M133" s="337"/>
      <c r="N133" s="337"/>
    </row>
    <row r="134" spans="1:15" x14ac:dyDescent="0.2">
      <c r="A134" s="49"/>
      <c r="B134" s="283" t="s">
        <v>231</v>
      </c>
      <c r="C134" s="49"/>
      <c r="D134" s="38">
        <f>SUM(D128:D133)</f>
        <v>97500425.645479575</v>
      </c>
      <c r="E134" s="272"/>
      <c r="F134" s="400">
        <f>SUM(F123:F133)</f>
        <v>4262158.49</v>
      </c>
      <c r="H134" s="272"/>
      <c r="I134" s="400">
        <f>SUM(I123:I133)</f>
        <v>4790056.76</v>
      </c>
      <c r="J134" s="345"/>
      <c r="K134" s="400">
        <f>SUM(K123:K133)</f>
        <v>527898.2699999999</v>
      </c>
      <c r="L134" s="420">
        <f>IFERROR(K134/F134, )</f>
        <v>0.12385702484752037</v>
      </c>
      <c r="M134" s="337"/>
      <c r="N134" s="337"/>
    </row>
    <row r="135" spans="1:15" x14ac:dyDescent="0.2">
      <c r="A135" s="49"/>
      <c r="B135" s="262"/>
      <c r="C135" s="276"/>
      <c r="D135" s="51"/>
      <c r="E135" s="272"/>
      <c r="F135" s="292"/>
      <c r="H135" s="268"/>
      <c r="I135" s="295"/>
      <c r="J135" s="345"/>
      <c r="K135" s="264"/>
      <c r="L135" s="270"/>
      <c r="M135" s="337"/>
      <c r="N135" s="337"/>
    </row>
    <row r="136" spans="1:15" x14ac:dyDescent="0.2">
      <c r="A136" s="49"/>
      <c r="B136" s="262" t="s">
        <v>229</v>
      </c>
      <c r="C136" s="49"/>
      <c r="D136" s="51"/>
      <c r="E136" s="236"/>
      <c r="F136" s="400">
        <f>F134</f>
        <v>4262158.49</v>
      </c>
      <c r="H136" s="268"/>
      <c r="I136" s="400">
        <f>I134</f>
        <v>4790056.76</v>
      </c>
      <c r="J136" s="345"/>
      <c r="K136" s="368">
        <f>K134</f>
        <v>527898.2699999999</v>
      </c>
      <c r="L136" s="420">
        <f>IFERROR(K136/F136, )</f>
        <v>0.12385702484752037</v>
      </c>
      <c r="M136" s="337"/>
      <c r="N136" s="337"/>
      <c r="O136" s="317"/>
    </row>
    <row r="137" spans="1:15" s="49" customFormat="1" x14ac:dyDescent="0.2">
      <c r="B137" s="351"/>
      <c r="C137" s="311"/>
      <c r="D137" s="32"/>
      <c r="E137" s="414"/>
      <c r="F137" s="286"/>
      <c r="G137" s="32"/>
      <c r="H137" s="405"/>
      <c r="I137" s="412"/>
      <c r="J137" s="406"/>
      <c r="K137" s="356"/>
      <c r="L137" s="313"/>
      <c r="M137" s="337"/>
      <c r="N137" s="337"/>
    </row>
    <row r="138" spans="1:15" s="49" customFormat="1" x14ac:dyDescent="0.2">
      <c r="D138" s="51"/>
      <c r="E138" s="272"/>
      <c r="F138" s="292"/>
      <c r="G138" s="51"/>
      <c r="H138" s="268"/>
      <c r="I138" s="295"/>
      <c r="J138" s="345"/>
      <c r="K138" s="264"/>
      <c r="L138" s="423"/>
      <c r="M138" s="337"/>
      <c r="N138" s="337"/>
    </row>
    <row r="139" spans="1:15" x14ac:dyDescent="0.2">
      <c r="A139" s="49"/>
      <c r="B139" s="288" t="s">
        <v>283</v>
      </c>
      <c r="C139" s="430"/>
      <c r="D139" s="341"/>
      <c r="E139" s="171"/>
      <c r="F139" s="408"/>
      <c r="G139" s="341"/>
      <c r="H139" s="395"/>
      <c r="I139" s="416"/>
      <c r="J139" s="409"/>
      <c r="K139" s="408"/>
      <c r="L139" s="431"/>
      <c r="M139" s="337"/>
      <c r="N139" s="337"/>
    </row>
    <row r="140" spans="1:15" x14ac:dyDescent="0.2">
      <c r="A140" s="49"/>
      <c r="B140" s="291"/>
      <c r="C140" s="41"/>
      <c r="D140" s="51"/>
      <c r="E140" s="272"/>
      <c r="F140" s="292"/>
      <c r="H140" s="268"/>
      <c r="I140" s="295"/>
      <c r="J140" s="407"/>
      <c r="K140" s="292"/>
      <c r="L140" s="294"/>
      <c r="M140" s="337"/>
      <c r="N140" s="337"/>
    </row>
    <row r="141" spans="1:15" x14ac:dyDescent="0.2">
      <c r="A141" s="49"/>
      <c r="B141" s="266" t="s">
        <v>225</v>
      </c>
      <c r="C141" s="267" t="s">
        <v>226</v>
      </c>
      <c r="D141" s="51">
        <f>D123+D104</f>
        <v>181</v>
      </c>
      <c r="E141" s="268"/>
      <c r="F141" s="292">
        <f>F123+F104</f>
        <v>147193.70000000001</v>
      </c>
      <c r="H141" s="359"/>
      <c r="I141" s="292">
        <f>I123+I104</f>
        <v>173561.35</v>
      </c>
      <c r="J141" s="407"/>
      <c r="K141" s="295">
        <f>I141-F141</f>
        <v>26367.649999999994</v>
      </c>
      <c r="L141" s="294">
        <f t="shared" ref="L141:L144" si="24">IFERROR(K141/F141, )</f>
        <v>0.17913572387948665</v>
      </c>
      <c r="M141" s="337"/>
      <c r="N141" s="337"/>
    </row>
    <row r="142" spans="1:15" x14ac:dyDescent="0.2">
      <c r="A142" s="49"/>
      <c r="B142" s="291" t="s">
        <v>249</v>
      </c>
      <c r="C142" s="41" t="s">
        <v>250</v>
      </c>
      <c r="D142" s="51">
        <f>D124+D105</f>
        <v>296082</v>
      </c>
      <c r="E142" s="268"/>
      <c r="F142" s="292">
        <f>F124+F105</f>
        <v>429318.9</v>
      </c>
      <c r="H142" s="359"/>
      <c r="I142" s="292">
        <f>I124+I105</f>
        <v>429318.9</v>
      </c>
      <c r="J142" s="407"/>
      <c r="K142" s="295">
        <f>I142-F142</f>
        <v>0</v>
      </c>
      <c r="L142" s="294">
        <f t="shared" si="24"/>
        <v>0</v>
      </c>
      <c r="M142" s="337"/>
      <c r="N142" s="337"/>
    </row>
    <row r="143" spans="1:15" x14ac:dyDescent="0.2">
      <c r="A143" s="49"/>
      <c r="B143" s="291" t="s">
        <v>243</v>
      </c>
      <c r="C143" s="41"/>
      <c r="D143" s="51"/>
      <c r="E143" s="268"/>
      <c r="F143" s="292">
        <f>F106</f>
        <v>183938.01</v>
      </c>
      <c r="H143" s="359"/>
      <c r="I143" s="292">
        <f>I106</f>
        <v>203357.33</v>
      </c>
      <c r="J143" s="407"/>
      <c r="K143" s="295">
        <f>I143-F143</f>
        <v>19419.319999999978</v>
      </c>
      <c r="L143" s="294">
        <f t="shared" si="24"/>
        <v>0.10557535117401769</v>
      </c>
      <c r="M143" s="337"/>
      <c r="N143" s="337"/>
    </row>
    <row r="144" spans="1:15" x14ac:dyDescent="0.2">
      <c r="A144" s="49"/>
      <c r="B144" s="291" t="s">
        <v>265</v>
      </c>
      <c r="C144" s="41"/>
      <c r="D144" s="51"/>
      <c r="E144" s="268"/>
      <c r="F144" s="295">
        <f>F125+F107</f>
        <v>70534.149999999994</v>
      </c>
      <c r="H144" s="268"/>
      <c r="I144" s="295">
        <f>I125+I107</f>
        <v>70534.149999999994</v>
      </c>
      <c r="J144" s="407"/>
      <c r="K144" s="295">
        <f>I144-F144</f>
        <v>0</v>
      </c>
      <c r="L144" s="294">
        <f t="shared" si="24"/>
        <v>0</v>
      </c>
      <c r="M144" s="337"/>
      <c r="N144" s="337"/>
    </row>
    <row r="145" spans="1:16" x14ac:dyDescent="0.2">
      <c r="A145" s="49"/>
      <c r="B145" s="291"/>
      <c r="C145" s="41"/>
      <c r="D145" s="51"/>
      <c r="E145" s="268"/>
      <c r="F145" s="295"/>
      <c r="H145" s="272"/>
      <c r="I145" s="432"/>
      <c r="J145" s="407"/>
      <c r="K145" s="295"/>
      <c r="L145" s="433"/>
      <c r="M145" s="337"/>
      <c r="N145" s="337"/>
    </row>
    <row r="146" spans="1:16" ht="12" customHeight="1" x14ac:dyDescent="0.2">
      <c r="A146" s="49"/>
      <c r="B146" s="291" t="s">
        <v>251</v>
      </c>
      <c r="C146" s="41"/>
      <c r="D146" s="51"/>
      <c r="E146" s="268"/>
      <c r="F146" s="292"/>
      <c r="H146" s="272"/>
      <c r="I146" s="292"/>
      <c r="J146" s="407"/>
      <c r="K146" s="295"/>
      <c r="L146" s="433"/>
      <c r="M146" s="337"/>
      <c r="N146" s="337"/>
    </row>
    <row r="147" spans="1:16" x14ac:dyDescent="0.2">
      <c r="A147" s="49"/>
      <c r="B147" s="291" t="s">
        <v>266</v>
      </c>
      <c r="C147" s="41" t="s">
        <v>8</v>
      </c>
      <c r="D147" s="51">
        <f t="shared" ref="D147:D152" si="25">D128+D110</f>
        <v>4510982.67</v>
      </c>
      <c r="E147" s="272"/>
      <c r="F147" s="292">
        <f t="shared" ref="F147:F152" si="26">F128+F110</f>
        <v>790910.59000000008</v>
      </c>
      <c r="H147" s="360"/>
      <c r="I147" s="292">
        <f t="shared" ref="I147:I152" si="27">I128+I110</f>
        <v>936209.35000000009</v>
      </c>
      <c r="J147" s="407"/>
      <c r="K147" s="295">
        <f t="shared" ref="K147:K152" si="28">I147-F147</f>
        <v>145298.76</v>
      </c>
      <c r="L147" s="294">
        <f t="shared" ref="L147:L152" si="29">IFERROR(K147/F147, )</f>
        <v>0.18371072765633342</v>
      </c>
      <c r="M147" s="337"/>
      <c r="N147" s="337"/>
    </row>
    <row r="148" spans="1:16" x14ac:dyDescent="0.2">
      <c r="A148" s="49"/>
      <c r="B148" s="291" t="s">
        <v>267</v>
      </c>
      <c r="C148" s="41" t="s">
        <v>8</v>
      </c>
      <c r="D148" s="51">
        <f t="shared" si="25"/>
        <v>4398016.1150000002</v>
      </c>
      <c r="E148" s="272"/>
      <c r="F148" s="292">
        <f t="shared" si="26"/>
        <v>465969.81</v>
      </c>
      <c r="H148" s="360"/>
      <c r="I148" s="292">
        <f t="shared" si="27"/>
        <v>551555.19999999995</v>
      </c>
      <c r="J148" s="407"/>
      <c r="K148" s="295">
        <f t="shared" si="28"/>
        <v>85585.389999999956</v>
      </c>
      <c r="L148" s="294">
        <f t="shared" si="29"/>
        <v>0.18367153442837844</v>
      </c>
      <c r="M148" s="337"/>
      <c r="N148" s="337"/>
    </row>
    <row r="149" spans="1:16" x14ac:dyDescent="0.2">
      <c r="A149" s="49"/>
      <c r="B149" s="291" t="s">
        <v>270</v>
      </c>
      <c r="C149" s="41" t="s">
        <v>8</v>
      </c>
      <c r="D149" s="51">
        <f t="shared" si="25"/>
        <v>8316890.0959999999</v>
      </c>
      <c r="E149" s="272"/>
      <c r="F149" s="292">
        <f t="shared" si="26"/>
        <v>560724.73</v>
      </c>
      <c r="H149" s="360"/>
      <c r="I149" s="292">
        <f t="shared" si="27"/>
        <v>663771</v>
      </c>
      <c r="J149" s="407"/>
      <c r="K149" s="295">
        <f t="shared" si="28"/>
        <v>103046.27000000002</v>
      </c>
      <c r="L149" s="294">
        <f t="shared" si="29"/>
        <v>0.18377336416034304</v>
      </c>
      <c r="M149" s="337"/>
      <c r="N149" s="337"/>
    </row>
    <row r="150" spans="1:16" x14ac:dyDescent="0.2">
      <c r="A150" s="49"/>
      <c r="B150" s="291" t="s">
        <v>43</v>
      </c>
      <c r="C150" s="41" t="s">
        <v>8</v>
      </c>
      <c r="D150" s="51">
        <f t="shared" si="25"/>
        <v>14508947.897999998</v>
      </c>
      <c r="E150" s="272"/>
      <c r="F150" s="292">
        <f t="shared" si="26"/>
        <v>627221.81000000006</v>
      </c>
      <c r="H150" s="360"/>
      <c r="I150" s="292">
        <f t="shared" si="27"/>
        <v>742422.86</v>
      </c>
      <c r="J150" s="407"/>
      <c r="K150" s="295">
        <f t="shared" si="28"/>
        <v>115201.04999999993</v>
      </c>
      <c r="L150" s="294">
        <f t="shared" si="29"/>
        <v>0.18366875667158308</v>
      </c>
      <c r="M150" s="337"/>
      <c r="N150" s="337"/>
    </row>
    <row r="151" spans="1:16" x14ac:dyDescent="0.2">
      <c r="A151" s="49"/>
      <c r="B151" s="291" t="s">
        <v>44</v>
      </c>
      <c r="C151" s="41" t="s">
        <v>8</v>
      </c>
      <c r="D151" s="51">
        <f t="shared" si="25"/>
        <v>29536644.353</v>
      </c>
      <c r="E151" s="272"/>
      <c r="F151" s="292">
        <f t="shared" si="26"/>
        <v>918885</v>
      </c>
      <c r="H151" s="360"/>
      <c r="I151" s="292">
        <f t="shared" si="27"/>
        <v>1087834.6099999999</v>
      </c>
      <c r="J151" s="407"/>
      <c r="K151" s="295">
        <f t="shared" si="28"/>
        <v>168949.60999999987</v>
      </c>
      <c r="L151" s="294">
        <f t="shared" si="29"/>
        <v>0.18386371526360737</v>
      </c>
      <c r="M151" s="337"/>
      <c r="N151" s="337"/>
    </row>
    <row r="152" spans="1:16" x14ac:dyDescent="0.2">
      <c r="A152" s="49"/>
      <c r="B152" s="291" t="s">
        <v>281</v>
      </c>
      <c r="C152" s="41" t="s">
        <v>8</v>
      </c>
      <c r="D152" s="51">
        <f t="shared" si="25"/>
        <v>58048400.275834784</v>
      </c>
      <c r="E152" s="272"/>
      <c r="F152" s="292">
        <f t="shared" si="26"/>
        <v>1392581.12</v>
      </c>
      <c r="H152" s="360"/>
      <c r="I152" s="292">
        <f t="shared" si="27"/>
        <v>1441341.78</v>
      </c>
      <c r="J152" s="407"/>
      <c r="K152" s="295">
        <f t="shared" si="28"/>
        <v>48760.659999999916</v>
      </c>
      <c r="L152" s="294">
        <f t="shared" si="29"/>
        <v>3.5014592184044485E-2</v>
      </c>
      <c r="M152" s="337"/>
      <c r="N152" s="337"/>
    </row>
    <row r="153" spans="1:16" x14ac:dyDescent="0.2">
      <c r="A153" s="49"/>
      <c r="B153" s="283" t="s">
        <v>231</v>
      </c>
      <c r="C153" s="41" t="s">
        <v>8</v>
      </c>
      <c r="D153" s="38">
        <f>SUM(D147:D152)</f>
        <v>119319881.40783478</v>
      </c>
      <c r="E153" s="272"/>
      <c r="F153" s="347">
        <f>SUM(F141:F152)</f>
        <v>5587277.8200000003</v>
      </c>
      <c r="H153" s="268"/>
      <c r="I153" s="347">
        <f>SUM(I141:I152)</f>
        <v>6299906.5300000003</v>
      </c>
      <c r="J153" s="407"/>
      <c r="K153" s="347">
        <f>SUM(K141:K152)</f>
        <v>712628.70999999973</v>
      </c>
      <c r="L153" s="401">
        <f>IFERROR(K153/F153, )</f>
        <v>0.12754488553425819</v>
      </c>
      <c r="M153" s="337"/>
      <c r="N153" s="337"/>
      <c r="P153" s="358"/>
    </row>
    <row r="154" spans="1:16" x14ac:dyDescent="0.2">
      <c r="A154" s="49"/>
      <c r="B154" s="266"/>
      <c r="C154" s="267"/>
      <c r="D154" s="51"/>
      <c r="E154" s="272"/>
      <c r="F154" s="292"/>
      <c r="H154" s="268"/>
      <c r="I154" s="295"/>
      <c r="J154" s="407"/>
      <c r="K154" s="292"/>
      <c r="L154" s="364"/>
      <c r="M154" s="337"/>
      <c r="N154" s="337"/>
    </row>
    <row r="155" spans="1:16" x14ac:dyDescent="0.2">
      <c r="A155" s="49"/>
      <c r="B155" s="266" t="s">
        <v>229</v>
      </c>
      <c r="C155" s="267"/>
      <c r="D155" s="292"/>
      <c r="E155" s="268"/>
      <c r="F155" s="347">
        <f>F153</f>
        <v>5587277.8200000003</v>
      </c>
      <c r="G155" s="41"/>
      <c r="H155" s="268"/>
      <c r="I155" s="347">
        <f>I153</f>
        <v>6299906.5300000003</v>
      </c>
      <c r="J155" s="268"/>
      <c r="K155" s="347">
        <f>K153</f>
        <v>712628.70999999973</v>
      </c>
      <c r="L155" s="401">
        <f>IFERROR(K155/F155, )</f>
        <v>0.12754488553425819</v>
      </c>
      <c r="M155" s="337"/>
      <c r="N155" s="337"/>
    </row>
    <row r="156" spans="1:16" x14ac:dyDescent="0.2">
      <c r="A156" s="49"/>
      <c r="B156" s="351"/>
      <c r="C156" s="311"/>
      <c r="D156" s="32"/>
      <c r="E156" s="312"/>
      <c r="F156" s="412"/>
      <c r="G156" s="32"/>
      <c r="H156" s="405"/>
      <c r="I156" s="412"/>
      <c r="J156" s="406"/>
      <c r="K156" s="356"/>
      <c r="L156" s="357"/>
      <c r="M156" s="337"/>
      <c r="N156" s="337"/>
    </row>
    <row r="157" spans="1:16" x14ac:dyDescent="0.2">
      <c r="A157" s="49"/>
      <c r="B157" s="49"/>
      <c r="C157" s="49"/>
      <c r="D157" s="51"/>
      <c r="E157" s="272"/>
      <c r="F157" s="292"/>
      <c r="H157" s="268"/>
      <c r="I157" s="295"/>
      <c r="J157" s="345"/>
      <c r="K157" s="264"/>
      <c r="L157" s="423"/>
      <c r="M157" s="337"/>
      <c r="N157" s="337"/>
    </row>
    <row r="158" spans="1:16" x14ac:dyDescent="0.2">
      <c r="B158" s="233" t="s">
        <v>284</v>
      </c>
      <c r="C158" s="49"/>
      <c r="D158" s="51"/>
      <c r="E158" s="387"/>
      <c r="F158" s="268"/>
      <c r="H158" s="272"/>
      <c r="I158" s="268"/>
      <c r="J158" s="236"/>
      <c r="K158" s="236"/>
      <c r="L158" s="358"/>
      <c r="M158" s="337"/>
      <c r="N158" s="337"/>
      <c r="O158" s="348"/>
    </row>
    <row r="159" spans="1:16" x14ac:dyDescent="0.2">
      <c r="C159" s="49"/>
      <c r="D159" s="315" t="s">
        <v>8</v>
      </c>
      <c r="E159" s="387"/>
      <c r="F159" s="354" t="s">
        <v>168</v>
      </c>
      <c r="G159" s="26"/>
      <c r="H159" s="6"/>
      <c r="I159" s="354" t="s">
        <v>5</v>
      </c>
      <c r="J159" s="317"/>
      <c r="K159" s="374" t="s">
        <v>79</v>
      </c>
      <c r="L159" s="358"/>
      <c r="M159" s="337"/>
      <c r="N159" s="337"/>
      <c r="O159" s="348"/>
    </row>
    <row r="160" spans="1:16" x14ac:dyDescent="0.2">
      <c r="B160" s="233" t="s">
        <v>229</v>
      </c>
      <c r="C160" s="49"/>
      <c r="D160" s="234"/>
      <c r="E160" s="387"/>
      <c r="F160" s="434"/>
      <c r="G160" s="434"/>
      <c r="H160" s="434"/>
      <c r="I160" s="434"/>
      <c r="J160" s="435"/>
      <c r="K160" s="435"/>
      <c r="L160" s="358"/>
      <c r="M160" s="337"/>
      <c r="N160" s="337"/>
      <c r="O160" s="348"/>
    </row>
    <row r="161" spans="2:15" x14ac:dyDescent="0.2">
      <c r="B161" s="3" t="s">
        <v>285</v>
      </c>
      <c r="C161" s="49"/>
      <c r="D161" s="234">
        <f>D52</f>
        <v>88879730.522699013</v>
      </c>
      <c r="E161" s="387"/>
      <c r="F161" s="434">
        <f>F21+F36</f>
        <v>8603644.5934943184</v>
      </c>
      <c r="G161" s="434"/>
      <c r="H161" s="434"/>
      <c r="I161" s="434">
        <f>I21+I36</f>
        <v>9611990.370000001</v>
      </c>
      <c r="J161" s="435"/>
      <c r="K161" s="435">
        <f>I161-F161</f>
        <v>1008345.7765056826</v>
      </c>
      <c r="L161" s="423">
        <f t="shared" ref="L161:L163" si="30">IFERROR(K161/F161, )</f>
        <v>0.11719984078237582</v>
      </c>
      <c r="M161" s="337"/>
      <c r="N161" s="337"/>
      <c r="O161" s="348"/>
    </row>
    <row r="162" spans="2:15" x14ac:dyDescent="0.2">
      <c r="B162" s="3" t="s">
        <v>286</v>
      </c>
      <c r="C162" s="49"/>
      <c r="D162" s="234">
        <f>D96</f>
        <v>7491654.8276905464</v>
      </c>
      <c r="E162" s="387"/>
      <c r="F162" s="434">
        <f>F67+F81</f>
        <v>1496082.9500000002</v>
      </c>
      <c r="G162" s="434"/>
      <c r="H162" s="434"/>
      <c r="I162" s="434">
        <f>I67+I81</f>
        <v>1560031.02</v>
      </c>
      <c r="J162" s="435"/>
      <c r="K162" s="435">
        <f>I162-F162</f>
        <v>63948.069999999832</v>
      </c>
      <c r="L162" s="423">
        <f t="shared" si="30"/>
        <v>4.2743666051404318E-2</v>
      </c>
      <c r="M162" s="337"/>
      <c r="N162" s="337"/>
      <c r="O162" s="348"/>
    </row>
    <row r="163" spans="2:15" x14ac:dyDescent="0.2">
      <c r="B163" s="3" t="s">
        <v>287</v>
      </c>
      <c r="C163" s="49"/>
      <c r="D163" s="234">
        <f>D153</f>
        <v>119319881.40783478</v>
      </c>
      <c r="E163" s="387"/>
      <c r="F163" s="434">
        <f>F116+F134</f>
        <v>5587277.8200000003</v>
      </c>
      <c r="G163" s="434"/>
      <c r="H163" s="434"/>
      <c r="I163" s="434">
        <f>I116+I134</f>
        <v>6299906.5299999993</v>
      </c>
      <c r="J163" s="435"/>
      <c r="K163" s="435">
        <f>I163-F163</f>
        <v>712628.70999999903</v>
      </c>
      <c r="L163" s="423">
        <f t="shared" si="30"/>
        <v>0.12754488553425808</v>
      </c>
      <c r="M163" s="337"/>
      <c r="N163" s="337"/>
      <c r="O163" s="348"/>
    </row>
    <row r="164" spans="2:15" x14ac:dyDescent="0.2">
      <c r="B164" s="3" t="s">
        <v>40</v>
      </c>
      <c r="C164" s="49"/>
      <c r="D164" s="38">
        <f>SUM(D161:D163)</f>
        <v>215691266.75822434</v>
      </c>
      <c r="E164" s="387"/>
      <c r="F164" s="436">
        <f>SUM(F161:F163)</f>
        <v>15687005.363494318</v>
      </c>
      <c r="G164" s="434"/>
      <c r="H164" s="434"/>
      <c r="I164" s="436">
        <f>SUM(I161:I163)</f>
        <v>17471927.920000002</v>
      </c>
      <c r="J164" s="435"/>
      <c r="K164" s="437">
        <f>SUM(K161:K163)</f>
        <v>1784922.5565056815</v>
      </c>
      <c r="L164" s="423">
        <f>IFERROR(K164/F164, )</f>
        <v>0.11378351158465376</v>
      </c>
      <c r="M164" s="337"/>
      <c r="N164" s="337"/>
      <c r="O164" s="348"/>
    </row>
    <row r="165" spans="2:15" x14ac:dyDescent="0.2">
      <c r="C165" s="49"/>
      <c r="D165" s="234"/>
      <c r="E165" s="387"/>
      <c r="F165" s="434"/>
      <c r="G165" s="434"/>
      <c r="H165" s="434"/>
      <c r="I165" s="434"/>
      <c r="J165" s="435"/>
      <c r="K165" s="435"/>
      <c r="L165" s="358"/>
      <c r="M165" s="337"/>
      <c r="N165" s="337"/>
      <c r="O165" s="348"/>
    </row>
    <row r="166" spans="2:15" x14ac:dyDescent="0.2">
      <c r="B166" s="233" t="s">
        <v>288</v>
      </c>
      <c r="E166" s="379"/>
      <c r="F166" s="438"/>
      <c r="G166" s="439"/>
      <c r="H166" s="438"/>
      <c r="I166" s="438"/>
      <c r="J166" s="440"/>
      <c r="K166" s="440"/>
      <c r="L166" s="314"/>
      <c r="O166" s="317"/>
    </row>
    <row r="167" spans="2:15" x14ac:dyDescent="0.2">
      <c r="B167" s="235" t="s">
        <v>40</v>
      </c>
      <c r="D167" s="379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51"/>
      <c r="F167" s="438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434"/>
      <c r="H167" s="438"/>
      <c r="I167" s="441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440"/>
      <c r="K167" s="440">
        <f>I167-F167</f>
        <v>46559075.37602067</v>
      </c>
      <c r="L167" s="314">
        <f t="shared" ref="L167:L168" si="31">IFERROR(K167/F167, )</f>
        <v>8.971986344574176E-2</v>
      </c>
      <c r="O167" s="317"/>
    </row>
    <row r="168" spans="2:15" x14ac:dyDescent="0.2">
      <c r="B168" s="235" t="s">
        <v>289</v>
      </c>
      <c r="D168" s="26">
        <v>32154478.538398605</v>
      </c>
      <c r="E168" s="51"/>
      <c r="F168" s="438">
        <v>1679324.4523564125</v>
      </c>
      <c r="G168" s="434"/>
      <c r="H168" s="438"/>
      <c r="I168" s="442">
        <v>1699064.4523564125</v>
      </c>
      <c r="J168" s="440"/>
      <c r="K168" s="443">
        <f>I168-F168</f>
        <v>19740</v>
      </c>
      <c r="L168" s="314">
        <f t="shared" si="31"/>
        <v>1.1754726713054773E-2</v>
      </c>
      <c r="O168" s="317"/>
    </row>
    <row r="169" spans="2:15" x14ac:dyDescent="0.2">
      <c r="B169" s="235" t="s">
        <v>290</v>
      </c>
      <c r="D169" s="38">
        <f>SUM(D167:D168)</f>
        <v>1172906987.0608532</v>
      </c>
      <c r="E169" s="51"/>
      <c r="F169" s="436">
        <f>SUM(F167:F168)</f>
        <v>520617646.3344149</v>
      </c>
      <c r="G169" s="434"/>
      <c r="H169" s="438"/>
      <c r="I169" s="436">
        <f>SUM(I167:I168)</f>
        <v>567196461.71043563</v>
      </c>
      <c r="J169" s="440"/>
      <c r="K169" s="437">
        <f>SUM(K167:K168)</f>
        <v>46578815.37602067</v>
      </c>
      <c r="L169" s="314">
        <f>IFERROR(K169/F169, )</f>
        <v>8.9468376079786416E-2</v>
      </c>
      <c r="O169" s="317"/>
    </row>
    <row r="170" spans="2:15" x14ac:dyDescent="0.2">
      <c r="B170" s="444"/>
      <c r="C170" s="6"/>
      <c r="E170" s="51"/>
      <c r="F170" s="445"/>
      <c r="G170" s="434"/>
      <c r="H170" s="438"/>
      <c r="I170" s="446"/>
      <c r="J170" s="440"/>
      <c r="K170" s="446"/>
      <c r="L170" s="314"/>
    </row>
    <row r="171" spans="2:15" x14ac:dyDescent="0.2">
      <c r="B171" s="3" t="s">
        <v>291</v>
      </c>
      <c r="E171" s="51"/>
      <c r="F171" s="435"/>
      <c r="G171" s="434"/>
      <c r="H171" s="438"/>
      <c r="I171" s="435"/>
      <c r="J171" s="440"/>
      <c r="K171" s="435"/>
      <c r="L171" s="314"/>
    </row>
    <row r="172" spans="2:15" ht="13.5" thickBot="1" x14ac:dyDescent="0.25">
      <c r="F172" s="435"/>
      <c r="G172" s="434"/>
      <c r="H172" s="438"/>
      <c r="I172" s="435"/>
      <c r="J172" s="440"/>
      <c r="K172" s="435"/>
      <c r="L172" s="314"/>
    </row>
    <row r="173" spans="2:15" x14ac:dyDescent="0.2">
      <c r="B173" s="448" t="s">
        <v>192</v>
      </c>
      <c r="C173" s="449" t="s">
        <v>238</v>
      </c>
      <c r="D173" s="450">
        <v>15675792.294814982</v>
      </c>
      <c r="E173" s="449" t="s">
        <v>239</v>
      </c>
      <c r="F173" s="451">
        <f>D173-F164</f>
        <v>-11213.068679336458</v>
      </c>
      <c r="G173" s="434"/>
      <c r="H173" s="438" t="s">
        <v>192</v>
      </c>
      <c r="I173" s="440">
        <v>567193801.86914253</v>
      </c>
      <c r="J173" s="440"/>
      <c r="K173" s="440">
        <v>44570424.507699192</v>
      </c>
      <c r="L173" s="314"/>
    </row>
    <row r="174" spans="2:15" ht="13.5" thickBot="1" x14ac:dyDescent="0.25">
      <c r="B174" s="452" t="s">
        <v>192</v>
      </c>
      <c r="C174" s="453" t="s">
        <v>238</v>
      </c>
      <c r="D174" s="454">
        <v>522623377.36144328</v>
      </c>
      <c r="E174" s="453" t="s">
        <v>239</v>
      </c>
      <c r="F174" s="455">
        <f>D174-F169</f>
        <v>2005731.0270283818</v>
      </c>
      <c r="H174" s="444" t="s">
        <v>239</v>
      </c>
      <c r="I174" s="317">
        <f>I173-I169</f>
        <v>-2659.8412930965424</v>
      </c>
      <c r="K174" s="317">
        <f>K173-K169</f>
        <v>-2008390.8683214784</v>
      </c>
      <c r="L174" s="314"/>
    </row>
    <row r="175" spans="2:15" x14ac:dyDescent="0.2">
      <c r="L175" s="314"/>
    </row>
    <row r="176" spans="2:15" x14ac:dyDescent="0.2">
      <c r="B176" s="324"/>
      <c r="D176" s="447"/>
      <c r="L176" s="314"/>
    </row>
    <row r="177" spans="12:12" x14ac:dyDescent="0.2">
      <c r="L177" s="314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E26" sqref="E2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90" zoomScaleNormal="90" workbookViewId="0">
      <pane ySplit="8" topLeftCell="A9" activePane="bottomLeft" state="frozen"/>
      <selection activeCell="E9" sqref="E9"/>
      <selection pane="bottomLeft" activeCell="L25" sqref="L25"/>
    </sheetView>
  </sheetViews>
  <sheetFormatPr defaultColWidth="9.140625" defaultRowHeight="15" x14ac:dyDescent="0.25"/>
  <cols>
    <col min="1" max="1" width="3.5703125" style="461" customWidth="1"/>
    <col min="2" max="2" width="19.85546875" style="461" customWidth="1"/>
    <col min="3" max="3" width="8.7109375" style="461" bestFit="1" customWidth="1"/>
    <col min="4" max="4" width="18.5703125" style="461" bestFit="1" customWidth="1"/>
    <col min="5" max="5" width="13.7109375" style="461" customWidth="1"/>
    <col min="6" max="6" width="13.7109375" style="113" customWidth="1"/>
    <col min="7" max="9" width="14.42578125" style="461" customWidth="1"/>
    <col min="10" max="10" width="8.28515625" style="461" customWidth="1"/>
    <col min="11" max="11" width="11.85546875" style="461" bestFit="1" customWidth="1"/>
    <col min="12" max="12" width="11.28515625" style="461" bestFit="1" customWidth="1"/>
    <col min="13" max="13" width="10.5703125" style="461" customWidth="1"/>
    <col min="14" max="16384" width="9.140625" style="461"/>
  </cols>
  <sheetData>
    <row r="1" spans="1:10" ht="15" customHeight="1" x14ac:dyDescent="0.25">
      <c r="A1" s="492" t="s">
        <v>0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0" ht="15" customHeight="1" x14ac:dyDescent="0.25">
      <c r="A2" s="492" t="s">
        <v>166</v>
      </c>
      <c r="B2" s="492"/>
      <c r="C2" s="492"/>
      <c r="D2" s="492"/>
      <c r="E2" s="492"/>
      <c r="F2" s="492"/>
      <c r="G2" s="492"/>
      <c r="H2" s="492"/>
      <c r="I2" s="492"/>
      <c r="J2" s="492"/>
    </row>
    <row r="3" spans="1:10" ht="15" customHeight="1" x14ac:dyDescent="0.25">
      <c r="A3" s="492" t="s">
        <v>312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10" ht="15" customHeight="1" x14ac:dyDescent="0.25">
      <c r="A4" s="493" t="s">
        <v>51</v>
      </c>
      <c r="B4" s="493"/>
      <c r="C4" s="493"/>
      <c r="D4" s="493"/>
      <c r="E4" s="493"/>
      <c r="F4" s="493"/>
      <c r="G4" s="493"/>
      <c r="H4" s="493"/>
      <c r="I4" s="493"/>
      <c r="J4" s="493"/>
    </row>
    <row r="6" spans="1:10" x14ac:dyDescent="0.25">
      <c r="D6" s="55" t="s">
        <v>4</v>
      </c>
      <c r="E6" s="480"/>
      <c r="F6" s="131"/>
      <c r="G6" s="480" t="s">
        <v>4</v>
      </c>
      <c r="H6" s="480" t="s">
        <v>4</v>
      </c>
      <c r="I6" s="480" t="s">
        <v>167</v>
      </c>
    </row>
    <row r="7" spans="1:10" x14ac:dyDescent="0.25">
      <c r="C7" s="480" t="s">
        <v>7</v>
      </c>
      <c r="D7" s="55" t="s">
        <v>165</v>
      </c>
      <c r="E7" s="480" t="s">
        <v>168</v>
      </c>
      <c r="F7" s="131" t="s">
        <v>5</v>
      </c>
      <c r="G7" s="480" t="s">
        <v>11</v>
      </c>
      <c r="H7" s="480" t="s">
        <v>11</v>
      </c>
      <c r="I7" s="480" t="s">
        <v>11</v>
      </c>
      <c r="J7" s="55" t="s">
        <v>72</v>
      </c>
    </row>
    <row r="8" spans="1:10" x14ac:dyDescent="0.25">
      <c r="A8" s="494" t="s">
        <v>15</v>
      </c>
      <c r="B8" s="494"/>
      <c r="C8" s="483" t="s">
        <v>16</v>
      </c>
      <c r="D8" s="132" t="s">
        <v>52</v>
      </c>
      <c r="E8" s="483" t="s">
        <v>169</v>
      </c>
      <c r="F8" s="133" t="s">
        <v>7</v>
      </c>
      <c r="G8" s="483" t="s">
        <v>18</v>
      </c>
      <c r="H8" s="483" t="s">
        <v>80</v>
      </c>
      <c r="I8" s="483" t="s">
        <v>79</v>
      </c>
      <c r="J8" s="134" t="s">
        <v>79</v>
      </c>
    </row>
    <row r="9" spans="1:10" x14ac:dyDescent="0.25">
      <c r="A9" s="461" t="s">
        <v>30</v>
      </c>
      <c r="C9" s="480" t="s">
        <v>31</v>
      </c>
      <c r="D9" s="60">
        <f>'Forecast Therms'!N9</f>
        <v>561414251</v>
      </c>
      <c r="E9" s="135">
        <v>1.5959999999999998E-2</v>
      </c>
      <c r="F9" s="136">
        <f>Rates!I10</f>
        <v>0</v>
      </c>
      <c r="G9" s="137">
        <f>D9*(E9)</f>
        <v>8960171.4459599983</v>
      </c>
      <c r="H9" s="137">
        <f>D9*(F9)</f>
        <v>0</v>
      </c>
      <c r="I9" s="463">
        <f>H9-G9</f>
        <v>-8960171.4459599983</v>
      </c>
      <c r="J9" s="125">
        <f>IF(G9=0,1,I9/G9)</f>
        <v>-1</v>
      </c>
    </row>
    <row r="10" spans="1:10" x14ac:dyDescent="0.25">
      <c r="C10" s="480"/>
      <c r="D10" s="60"/>
      <c r="E10" s="135"/>
      <c r="F10" s="136"/>
      <c r="G10" s="137"/>
      <c r="H10" s="137"/>
      <c r="I10" s="463"/>
    </row>
    <row r="11" spans="1:10" x14ac:dyDescent="0.25">
      <c r="A11" s="461" t="s">
        <v>32</v>
      </c>
      <c r="C11" s="480">
        <v>31</v>
      </c>
      <c r="D11" s="138">
        <f>'Forecast Therms'!N11</f>
        <v>229680981</v>
      </c>
      <c r="E11" s="135">
        <v>1.37E-2</v>
      </c>
      <c r="F11" s="136">
        <f>Rates!I12</f>
        <v>0</v>
      </c>
      <c r="G11" s="137">
        <f>D11*(E11)</f>
        <v>3146629.4397</v>
      </c>
      <c r="H11" s="137">
        <f>D11*(F11)</f>
        <v>0</v>
      </c>
      <c r="I11" s="463">
        <f t="shared" ref="I11:I47" si="0">H11-G11</f>
        <v>-3146629.4397</v>
      </c>
      <c r="J11" s="125">
        <f t="shared" ref="J11" si="1">IF(G11=0,1,I11/G11)</f>
        <v>-1</v>
      </c>
    </row>
    <row r="12" spans="1:10" x14ac:dyDescent="0.25">
      <c r="A12" s="461" t="s">
        <v>32</v>
      </c>
      <c r="C12" s="480" t="s">
        <v>112</v>
      </c>
      <c r="D12" s="138">
        <f>'Forecast Therms'!N16</f>
        <v>0</v>
      </c>
      <c r="E12" s="135">
        <v>1.37E-2</v>
      </c>
      <c r="F12" s="136">
        <f>Rates!I12</f>
        <v>0</v>
      </c>
      <c r="G12" s="137">
        <f>D12*(E12)</f>
        <v>0</v>
      </c>
      <c r="H12" s="137">
        <f>D12*(F12)</f>
        <v>0</v>
      </c>
      <c r="I12" s="463">
        <f t="shared" si="0"/>
        <v>0</v>
      </c>
      <c r="J12" s="125">
        <f>IF(G12=0,0,I12/G12)</f>
        <v>0</v>
      </c>
    </row>
    <row r="13" spans="1:10" x14ac:dyDescent="0.25">
      <c r="C13" s="480"/>
      <c r="D13" s="60"/>
      <c r="E13" s="135"/>
      <c r="F13" s="136"/>
      <c r="G13" s="137"/>
      <c r="H13" s="137"/>
      <c r="I13" s="463"/>
    </row>
    <row r="14" spans="1:10" x14ac:dyDescent="0.25">
      <c r="A14" s="461" t="s">
        <v>34</v>
      </c>
      <c r="C14" s="480">
        <v>41</v>
      </c>
      <c r="D14" s="138">
        <f>'Forecast Therms'!N12</f>
        <v>62798375</v>
      </c>
      <c r="E14" s="135">
        <v>6.7200000000000003E-3</v>
      </c>
      <c r="F14" s="136">
        <f>Rates!I14</f>
        <v>0</v>
      </c>
      <c r="G14" s="137">
        <f>D14*(E14)</f>
        <v>422005.08</v>
      </c>
      <c r="H14" s="137">
        <f>D14*(F14)</f>
        <v>0</v>
      </c>
      <c r="I14" s="463">
        <f t="shared" si="0"/>
        <v>-422005.08</v>
      </c>
      <c r="J14" s="125">
        <f t="shared" ref="J14:J15" si="2">IF(G14=0,1,I14/G14)</f>
        <v>-1</v>
      </c>
    </row>
    <row r="15" spans="1:10" x14ac:dyDescent="0.25">
      <c r="A15" s="461" t="s">
        <v>34</v>
      </c>
      <c r="C15" s="480" t="s">
        <v>114</v>
      </c>
      <c r="D15" s="139">
        <f>'Forecast Therms'!N17</f>
        <v>21115855</v>
      </c>
      <c r="E15" s="135">
        <v>6.7200000000000003E-3</v>
      </c>
      <c r="F15" s="136">
        <f>Rates!I14</f>
        <v>0</v>
      </c>
      <c r="G15" s="137">
        <f>D15*(E15)</f>
        <v>141898.54560000001</v>
      </c>
      <c r="H15" s="137">
        <f>D15*(F15)</f>
        <v>0</v>
      </c>
      <c r="I15" s="463">
        <f t="shared" si="0"/>
        <v>-141898.54560000001</v>
      </c>
      <c r="J15" s="125">
        <f t="shared" si="2"/>
        <v>-1</v>
      </c>
    </row>
    <row r="16" spans="1:10" x14ac:dyDescent="0.25">
      <c r="C16" s="480"/>
      <c r="D16" s="140"/>
      <c r="E16" s="135"/>
      <c r="F16" s="136"/>
      <c r="G16" s="137"/>
      <c r="H16" s="137"/>
      <c r="I16" s="463"/>
    </row>
    <row r="17" spans="1:10" x14ac:dyDescent="0.25">
      <c r="A17" s="461" t="s">
        <v>36</v>
      </c>
      <c r="C17" s="480">
        <v>85</v>
      </c>
      <c r="D17" s="141"/>
      <c r="E17" s="135"/>
      <c r="F17" s="136"/>
      <c r="G17" s="137"/>
      <c r="H17" s="137"/>
      <c r="I17" s="463"/>
    </row>
    <row r="18" spans="1:10" x14ac:dyDescent="0.25">
      <c r="B18" s="461" t="s">
        <v>37</v>
      </c>
      <c r="C18" s="480"/>
      <c r="D18" s="141">
        <v>7185771.2316388311</v>
      </c>
      <c r="E18" s="142">
        <v>4.8300000000000001E-3</v>
      </c>
      <c r="F18" s="143">
        <f>Rates!I17</f>
        <v>0</v>
      </c>
      <c r="G18" s="137">
        <f t="shared" ref="G18:G47" si="3">D18*(E18)</f>
        <v>34707.275048815558</v>
      </c>
      <c r="H18" s="137">
        <f t="shared" ref="H18:H47" si="4">D18*(F18)</f>
        <v>0</v>
      </c>
      <c r="I18" s="463">
        <f t="shared" si="0"/>
        <v>-34707.275048815558</v>
      </c>
      <c r="J18" s="125">
        <f t="shared" ref="J18:J21" si="5">IF(G18=0,1,I18/G18)</f>
        <v>-1</v>
      </c>
    </row>
    <row r="19" spans="1:10" x14ac:dyDescent="0.25">
      <c r="B19" s="461" t="s">
        <v>38</v>
      </c>
      <c r="C19" s="480"/>
      <c r="D19" s="141">
        <v>3782354.2673062636</v>
      </c>
      <c r="E19" s="142">
        <v>2.9499999999999999E-3</v>
      </c>
      <c r="F19" s="143">
        <f>Rates!I18</f>
        <v>0</v>
      </c>
      <c r="G19" s="137">
        <f t="shared" si="3"/>
        <v>11157.945088553477</v>
      </c>
      <c r="H19" s="137">
        <f t="shared" si="4"/>
        <v>0</v>
      </c>
      <c r="I19" s="463">
        <f t="shared" si="0"/>
        <v>-11157.945088553477</v>
      </c>
      <c r="J19" s="125">
        <f t="shared" si="5"/>
        <v>-1</v>
      </c>
    </row>
    <row r="20" spans="1:10" x14ac:dyDescent="0.25">
      <c r="B20" s="461" t="s">
        <v>39</v>
      </c>
      <c r="C20" s="480"/>
      <c r="D20" s="141">
        <v>6425627.5010549072</v>
      </c>
      <c r="E20" s="142">
        <v>1.6100000000000001E-3</v>
      </c>
      <c r="F20" s="143">
        <f>Rates!I19</f>
        <v>0</v>
      </c>
      <c r="G20" s="137">
        <f t="shared" si="3"/>
        <v>10345.260276698402</v>
      </c>
      <c r="H20" s="137">
        <f t="shared" si="4"/>
        <v>0</v>
      </c>
      <c r="I20" s="463">
        <f t="shared" si="0"/>
        <v>-10345.260276698402</v>
      </c>
      <c r="J20" s="125">
        <f t="shared" si="5"/>
        <v>-1</v>
      </c>
    </row>
    <row r="21" spans="1:10" x14ac:dyDescent="0.25">
      <c r="B21" s="461" t="s">
        <v>40</v>
      </c>
      <c r="C21" s="480"/>
      <c r="D21" s="144">
        <f>SUM(D18:D20)</f>
        <v>17393753</v>
      </c>
      <c r="E21" s="135"/>
      <c r="F21" s="136"/>
      <c r="G21" s="145">
        <f>SUM(G18:G20)</f>
        <v>56210.480414067439</v>
      </c>
      <c r="H21" s="145">
        <f t="shared" ref="H21:I21" si="6">SUM(H18:H20)</f>
        <v>0</v>
      </c>
      <c r="I21" s="145">
        <f t="shared" si="6"/>
        <v>-56210.480414067439</v>
      </c>
      <c r="J21" s="146">
        <f t="shared" si="5"/>
        <v>-1</v>
      </c>
    </row>
    <row r="22" spans="1:10" x14ac:dyDescent="0.25">
      <c r="C22" s="480"/>
      <c r="D22" s="140"/>
      <c r="E22" s="135"/>
      <c r="F22" s="136"/>
      <c r="G22" s="137"/>
      <c r="H22" s="137"/>
      <c r="I22" s="463"/>
    </row>
    <row r="23" spans="1:10" x14ac:dyDescent="0.25">
      <c r="A23" s="461" t="s">
        <v>36</v>
      </c>
      <c r="C23" s="480">
        <v>86</v>
      </c>
      <c r="D23" s="138">
        <f>'Forecast Therms'!N14</f>
        <v>5008156</v>
      </c>
      <c r="E23" s="135">
        <v>4.9800000000000001E-3</v>
      </c>
      <c r="F23" s="136">
        <f>Rates!I22</f>
        <v>0</v>
      </c>
      <c r="G23" s="137">
        <f t="shared" si="3"/>
        <v>24940.616880000001</v>
      </c>
      <c r="H23" s="137">
        <f t="shared" si="4"/>
        <v>0</v>
      </c>
      <c r="I23" s="463">
        <f t="shared" si="0"/>
        <v>-24940.616880000001</v>
      </c>
      <c r="J23" s="125">
        <f t="shared" ref="J23:J24" si="7">IF(G23=0,1,I23/G23)</f>
        <v>-1</v>
      </c>
    </row>
    <row r="24" spans="1:10" x14ac:dyDescent="0.25">
      <c r="A24" s="461" t="s">
        <v>36</v>
      </c>
      <c r="C24" s="480" t="s">
        <v>117</v>
      </c>
      <c r="D24" s="139">
        <f>'Forecast Therms'!N19</f>
        <v>1371245</v>
      </c>
      <c r="E24" s="135">
        <v>4.9800000000000001E-3</v>
      </c>
      <c r="F24" s="136">
        <f>Rates!I22</f>
        <v>0</v>
      </c>
      <c r="G24" s="137">
        <f t="shared" si="3"/>
        <v>6828.8001000000004</v>
      </c>
      <c r="H24" s="137">
        <f t="shared" si="4"/>
        <v>0</v>
      </c>
      <c r="I24" s="463">
        <f t="shared" si="0"/>
        <v>-6828.8001000000004</v>
      </c>
      <c r="J24" s="125">
        <f t="shared" si="7"/>
        <v>-1</v>
      </c>
    </row>
    <row r="25" spans="1:10" x14ac:dyDescent="0.25">
      <c r="C25" s="480"/>
      <c r="D25" s="140"/>
      <c r="E25" s="135"/>
      <c r="F25" s="136"/>
      <c r="G25" s="137"/>
      <c r="H25" s="137"/>
      <c r="I25" s="463"/>
    </row>
    <row r="26" spans="1:10" x14ac:dyDescent="0.25">
      <c r="A26" s="461" t="s">
        <v>36</v>
      </c>
      <c r="C26" s="480">
        <v>87</v>
      </c>
      <c r="D26" s="140"/>
      <c r="E26" s="135"/>
      <c r="F26" s="136"/>
      <c r="G26" s="137"/>
      <c r="H26" s="137"/>
      <c r="I26" s="463"/>
    </row>
    <row r="27" spans="1:10" x14ac:dyDescent="0.25">
      <c r="B27" s="461" t="s">
        <v>37</v>
      </c>
      <c r="C27" s="480"/>
      <c r="D27" s="141">
        <v>1264929.5716807935</v>
      </c>
      <c r="E27" s="142">
        <v>4.8300000000000001E-3</v>
      </c>
      <c r="F27" s="143">
        <f>Rates!I25</f>
        <v>0</v>
      </c>
      <c r="G27" s="137">
        <f t="shared" si="3"/>
        <v>6109.609831218233</v>
      </c>
      <c r="H27" s="137">
        <f t="shared" si="4"/>
        <v>0</v>
      </c>
      <c r="I27" s="463">
        <f t="shared" si="0"/>
        <v>-6109.609831218233</v>
      </c>
      <c r="J27" s="125">
        <f t="shared" ref="J27:J33" si="8">IF(G27=0,1,I27/G27)</f>
        <v>-1</v>
      </c>
    </row>
    <row r="28" spans="1:10" x14ac:dyDescent="0.25">
      <c r="B28" s="461" t="s">
        <v>38</v>
      </c>
      <c r="C28" s="480"/>
      <c r="D28" s="141">
        <v>1169422.1078591142</v>
      </c>
      <c r="E28" s="142">
        <v>2.9499999999999999E-3</v>
      </c>
      <c r="F28" s="143">
        <f>Rates!I26</f>
        <v>0</v>
      </c>
      <c r="G28" s="137">
        <f t="shared" si="3"/>
        <v>3449.7952181843866</v>
      </c>
      <c r="H28" s="137">
        <f t="shared" si="4"/>
        <v>0</v>
      </c>
      <c r="I28" s="463">
        <f t="shared" si="0"/>
        <v>-3449.7952181843866</v>
      </c>
      <c r="J28" s="125">
        <f t="shared" si="8"/>
        <v>-1</v>
      </c>
    </row>
    <row r="29" spans="1:10" x14ac:dyDescent="0.25">
      <c r="B29" s="461" t="s">
        <v>42</v>
      </c>
      <c r="C29" s="480"/>
      <c r="D29" s="141">
        <v>1938048.1173796947</v>
      </c>
      <c r="E29" s="142">
        <v>1.9E-3</v>
      </c>
      <c r="F29" s="143">
        <f>Rates!I27</f>
        <v>0</v>
      </c>
      <c r="G29" s="137">
        <f t="shared" si="3"/>
        <v>3682.2914230214201</v>
      </c>
      <c r="H29" s="137">
        <f t="shared" si="4"/>
        <v>0</v>
      </c>
      <c r="I29" s="463">
        <f t="shared" si="0"/>
        <v>-3682.2914230214201</v>
      </c>
      <c r="J29" s="125">
        <f t="shared" si="8"/>
        <v>-1</v>
      </c>
    </row>
    <row r="30" spans="1:10" x14ac:dyDescent="0.25">
      <c r="B30" s="461" t="s">
        <v>43</v>
      </c>
      <c r="C30" s="480"/>
      <c r="D30" s="141">
        <v>2547317.3585293214</v>
      </c>
      <c r="E30" s="142">
        <v>1.25E-3</v>
      </c>
      <c r="F30" s="143">
        <f>Rates!I28</f>
        <v>0</v>
      </c>
      <c r="G30" s="137">
        <f t="shared" si="3"/>
        <v>3184.1466981616518</v>
      </c>
      <c r="H30" s="137">
        <f t="shared" si="4"/>
        <v>0</v>
      </c>
      <c r="I30" s="463">
        <f t="shared" si="0"/>
        <v>-3184.1466981616518</v>
      </c>
      <c r="J30" s="125">
        <f t="shared" si="8"/>
        <v>-1</v>
      </c>
    </row>
    <row r="31" spans="1:10" x14ac:dyDescent="0.25">
      <c r="B31" s="461" t="s">
        <v>44</v>
      </c>
      <c r="C31" s="480"/>
      <c r="D31" s="141">
        <v>3171993.4688470871</v>
      </c>
      <c r="E31" s="142">
        <v>9.2000000000000003E-4</v>
      </c>
      <c r="F31" s="143">
        <f>Rates!I29</f>
        <v>0</v>
      </c>
      <c r="G31" s="137">
        <f t="shared" si="3"/>
        <v>2918.2339913393203</v>
      </c>
      <c r="H31" s="137">
        <f t="shared" si="4"/>
        <v>0</v>
      </c>
      <c r="I31" s="463">
        <f t="shared" si="0"/>
        <v>-2918.2339913393203</v>
      </c>
      <c r="J31" s="125">
        <f t="shared" si="8"/>
        <v>-1</v>
      </c>
    </row>
    <row r="32" spans="1:10" x14ac:dyDescent="0.25">
      <c r="B32" s="461" t="s">
        <v>45</v>
      </c>
      <c r="C32" s="480"/>
      <c r="D32" s="141">
        <v>8159977.3757039877</v>
      </c>
      <c r="E32" s="142">
        <v>5.9999999999999995E-4</v>
      </c>
      <c r="F32" s="143">
        <f>Rates!I30</f>
        <v>0</v>
      </c>
      <c r="G32" s="137">
        <f t="shared" si="3"/>
        <v>4895.9864254223921</v>
      </c>
      <c r="H32" s="137">
        <f t="shared" si="4"/>
        <v>0</v>
      </c>
      <c r="I32" s="463">
        <f t="shared" si="0"/>
        <v>-4895.9864254223921</v>
      </c>
      <c r="J32" s="125">
        <f t="shared" si="8"/>
        <v>-1</v>
      </c>
    </row>
    <row r="33" spans="1:10" x14ac:dyDescent="0.25">
      <c r="B33" s="461" t="s">
        <v>40</v>
      </c>
      <c r="C33" s="480"/>
      <c r="D33" s="144">
        <f>SUM(D27:D32)</f>
        <v>18251688</v>
      </c>
      <c r="E33" s="135"/>
      <c r="F33" s="136"/>
      <c r="G33" s="145">
        <f>SUM(G27:G32)</f>
        <v>24240.063587347402</v>
      </c>
      <c r="H33" s="145">
        <f t="shared" ref="H33:I33" si="9">SUM(H27:H32)</f>
        <v>0</v>
      </c>
      <c r="I33" s="145">
        <f t="shared" si="9"/>
        <v>-24240.063587347402</v>
      </c>
      <c r="J33" s="146">
        <f t="shared" si="8"/>
        <v>-1</v>
      </c>
    </row>
    <row r="34" spans="1:10" x14ac:dyDescent="0.25">
      <c r="C34" s="480"/>
      <c r="D34" s="147"/>
      <c r="E34" s="135"/>
      <c r="F34" s="136"/>
      <c r="G34" s="137"/>
      <c r="H34" s="137"/>
      <c r="I34" s="463"/>
      <c r="J34" s="148"/>
    </row>
    <row r="35" spans="1:10" x14ac:dyDescent="0.25">
      <c r="A35" s="461" t="s">
        <v>46</v>
      </c>
      <c r="C35" s="480" t="s">
        <v>47</v>
      </c>
      <c r="D35" s="147"/>
      <c r="E35" s="135"/>
      <c r="F35" s="136"/>
      <c r="G35" s="137"/>
      <c r="H35" s="137"/>
      <c r="I35" s="463"/>
      <c r="J35" s="148"/>
    </row>
    <row r="36" spans="1:10" x14ac:dyDescent="0.25">
      <c r="B36" s="461" t="s">
        <v>37</v>
      </c>
      <c r="C36" s="480"/>
      <c r="D36" s="149">
        <v>19743393.876396805</v>
      </c>
      <c r="E36" s="142">
        <v>4.8300000000000001E-3</v>
      </c>
      <c r="F36" s="143">
        <f>Rates!I34</f>
        <v>0</v>
      </c>
      <c r="G36" s="137">
        <f t="shared" si="3"/>
        <v>95360.592422996575</v>
      </c>
      <c r="H36" s="137">
        <f t="shared" si="4"/>
        <v>0</v>
      </c>
      <c r="I36" s="463">
        <f t="shared" si="0"/>
        <v>-95360.592422996575</v>
      </c>
      <c r="J36" s="125">
        <f t="shared" ref="J36:J39" si="10">IF(G36=0,1,I36/G36)</f>
        <v>-1</v>
      </c>
    </row>
    <row r="37" spans="1:10" x14ac:dyDescent="0.25">
      <c r="B37" s="461" t="s">
        <v>38</v>
      </c>
      <c r="C37" s="480"/>
      <c r="D37" s="149">
        <v>14048080.824448695</v>
      </c>
      <c r="E37" s="142">
        <v>2.9499999999999999E-3</v>
      </c>
      <c r="F37" s="143">
        <f>Rates!I35</f>
        <v>0</v>
      </c>
      <c r="G37" s="137">
        <f t="shared" si="3"/>
        <v>41441.838432123652</v>
      </c>
      <c r="H37" s="137">
        <f t="shared" si="4"/>
        <v>0</v>
      </c>
      <c r="I37" s="463">
        <f t="shared" si="0"/>
        <v>-41441.838432123652</v>
      </c>
      <c r="J37" s="125">
        <f t="shared" si="10"/>
        <v>-1</v>
      </c>
    </row>
    <row r="38" spans="1:10" x14ac:dyDescent="0.25">
      <c r="B38" s="461" t="s">
        <v>39</v>
      </c>
      <c r="C38" s="480"/>
      <c r="D38" s="149">
        <v>22052520.299154505</v>
      </c>
      <c r="E38" s="142">
        <v>1.6100000000000001E-3</v>
      </c>
      <c r="F38" s="143">
        <f>Rates!I36</f>
        <v>0</v>
      </c>
      <c r="G38" s="137">
        <f t="shared" si="3"/>
        <v>35504.557681638755</v>
      </c>
      <c r="H38" s="137">
        <f t="shared" si="4"/>
        <v>0</v>
      </c>
      <c r="I38" s="463">
        <f t="shared" si="0"/>
        <v>-35504.557681638755</v>
      </c>
      <c r="J38" s="125">
        <f t="shared" si="10"/>
        <v>-1</v>
      </c>
    </row>
    <row r="39" spans="1:10" x14ac:dyDescent="0.25">
      <c r="B39" s="461" t="s">
        <v>40</v>
      </c>
      <c r="C39" s="480"/>
      <c r="D39" s="144">
        <f>SUM(D36:D38)</f>
        <v>55843995.000000007</v>
      </c>
      <c r="E39" s="135"/>
      <c r="F39" s="136"/>
      <c r="G39" s="145">
        <f>SUM(G36:G38)</f>
        <v>172306.98853675899</v>
      </c>
      <c r="H39" s="145">
        <f t="shared" ref="H39:I39" si="11">SUM(H36:H38)</f>
        <v>0</v>
      </c>
      <c r="I39" s="145">
        <f t="shared" si="11"/>
        <v>-172306.98853675899</v>
      </c>
      <c r="J39" s="146">
        <f t="shared" si="10"/>
        <v>-1</v>
      </c>
    </row>
    <row r="40" spans="1:10" x14ac:dyDescent="0.25">
      <c r="C40" s="480"/>
      <c r="D40" s="147"/>
      <c r="E40" s="135"/>
      <c r="F40" s="136"/>
      <c r="G40" s="137"/>
      <c r="H40" s="137"/>
      <c r="I40" s="463"/>
      <c r="J40" s="148"/>
    </row>
    <row r="41" spans="1:10" x14ac:dyDescent="0.25">
      <c r="A41" s="461" t="s">
        <v>46</v>
      </c>
      <c r="C41" s="480" t="s">
        <v>119</v>
      </c>
      <c r="D41" s="147"/>
      <c r="E41" s="135"/>
      <c r="F41" s="136"/>
      <c r="G41" s="137"/>
      <c r="H41" s="137"/>
      <c r="I41" s="463"/>
    </row>
    <row r="42" spans="1:10" x14ac:dyDescent="0.25">
      <c r="B42" s="461" t="s">
        <v>37</v>
      </c>
      <c r="C42" s="480"/>
      <c r="D42" s="149">
        <v>2277197.3945274553</v>
      </c>
      <c r="E42" s="142">
        <v>4.8300000000000001E-3</v>
      </c>
      <c r="F42" s="143">
        <f>Rates!I40</f>
        <v>0</v>
      </c>
      <c r="G42" s="137">
        <f t="shared" si="3"/>
        <v>10998.86341556761</v>
      </c>
      <c r="H42" s="137">
        <f t="shared" si="4"/>
        <v>0</v>
      </c>
      <c r="I42" s="463">
        <f t="shared" si="0"/>
        <v>-10998.86341556761</v>
      </c>
      <c r="J42" s="125">
        <f t="shared" ref="J42:J48" si="12">IF(G42=0,1,I42/G42)</f>
        <v>-1</v>
      </c>
    </row>
    <row r="43" spans="1:10" x14ac:dyDescent="0.25">
      <c r="B43" s="461" t="s">
        <v>38</v>
      </c>
      <c r="C43" s="480"/>
      <c r="D43" s="149">
        <v>2278116.4854360614</v>
      </c>
      <c r="E43" s="142">
        <v>2.9499999999999999E-3</v>
      </c>
      <c r="F43" s="143">
        <f>Rates!I41</f>
        <v>0</v>
      </c>
      <c r="G43" s="137">
        <f t="shared" si="3"/>
        <v>6720.4436320363811</v>
      </c>
      <c r="H43" s="137">
        <f t="shared" si="4"/>
        <v>0</v>
      </c>
      <c r="I43" s="463">
        <f t="shared" si="0"/>
        <v>-6720.4436320363811</v>
      </c>
      <c r="J43" s="125">
        <f t="shared" si="12"/>
        <v>-1</v>
      </c>
    </row>
    <row r="44" spans="1:10" x14ac:dyDescent="0.25">
      <c r="B44" s="461" t="s">
        <v>42</v>
      </c>
      <c r="C44" s="480"/>
      <c r="D44" s="149">
        <v>4556232.9708721228</v>
      </c>
      <c r="E44" s="142">
        <v>1.9E-3</v>
      </c>
      <c r="F44" s="143">
        <f>Rates!I42</f>
        <v>0</v>
      </c>
      <c r="G44" s="137">
        <f t="shared" si="3"/>
        <v>8656.8426446570338</v>
      </c>
      <c r="H44" s="137">
        <f t="shared" si="4"/>
        <v>0</v>
      </c>
      <c r="I44" s="463">
        <f t="shared" si="0"/>
        <v>-8656.8426446570338</v>
      </c>
      <c r="J44" s="125">
        <f t="shared" si="12"/>
        <v>-1</v>
      </c>
    </row>
    <row r="45" spans="1:10" x14ac:dyDescent="0.25">
      <c r="B45" s="461" t="s">
        <v>43</v>
      </c>
      <c r="C45" s="480"/>
      <c r="D45" s="149">
        <v>8705207.8322024476</v>
      </c>
      <c r="E45" s="142">
        <v>1.25E-3</v>
      </c>
      <c r="F45" s="143">
        <f>Rates!I43</f>
        <v>0</v>
      </c>
      <c r="G45" s="137">
        <f t="shared" si="3"/>
        <v>10881.50979025306</v>
      </c>
      <c r="H45" s="137">
        <f t="shared" si="4"/>
        <v>0</v>
      </c>
      <c r="I45" s="463">
        <f t="shared" si="0"/>
        <v>-10881.50979025306</v>
      </c>
      <c r="J45" s="125">
        <f t="shared" si="12"/>
        <v>-1</v>
      </c>
    </row>
    <row r="46" spans="1:10" x14ac:dyDescent="0.25">
      <c r="B46" s="461" t="s">
        <v>44</v>
      </c>
      <c r="C46" s="480"/>
      <c r="D46" s="149">
        <v>19549734.189635888</v>
      </c>
      <c r="E46" s="142">
        <v>9.2000000000000003E-4</v>
      </c>
      <c r="F46" s="143">
        <f>Rates!I44</f>
        <v>0</v>
      </c>
      <c r="G46" s="137">
        <f t="shared" si="3"/>
        <v>17985.755454465016</v>
      </c>
      <c r="H46" s="137">
        <f t="shared" si="4"/>
        <v>0</v>
      </c>
      <c r="I46" s="463">
        <f t="shared" si="0"/>
        <v>-17985.755454465016</v>
      </c>
      <c r="J46" s="125">
        <f t="shared" si="12"/>
        <v>-1</v>
      </c>
    </row>
    <row r="47" spans="1:10" x14ac:dyDescent="0.25">
      <c r="B47" s="461" t="s">
        <v>45</v>
      </c>
      <c r="C47" s="480"/>
      <c r="D47" s="149">
        <v>36672620.127326019</v>
      </c>
      <c r="E47" s="142">
        <v>5.9999999999999995E-4</v>
      </c>
      <c r="F47" s="143">
        <f>Rates!I45</f>
        <v>0</v>
      </c>
      <c r="G47" s="137">
        <f t="shared" si="3"/>
        <v>22003.572076395609</v>
      </c>
      <c r="H47" s="137">
        <f t="shared" si="4"/>
        <v>0</v>
      </c>
      <c r="I47" s="463">
        <f t="shared" si="0"/>
        <v>-22003.572076395609</v>
      </c>
      <c r="J47" s="125">
        <f t="shared" si="12"/>
        <v>-1</v>
      </c>
    </row>
    <row r="48" spans="1:10" x14ac:dyDescent="0.25">
      <c r="B48" s="461" t="s">
        <v>40</v>
      </c>
      <c r="C48" s="480"/>
      <c r="D48" s="144">
        <f>SUM(D42:D47)</f>
        <v>74039109</v>
      </c>
      <c r="E48" s="135"/>
      <c r="F48" s="150"/>
      <c r="G48" s="145">
        <f>SUM(G42:G47)</f>
        <v>77246.987013374703</v>
      </c>
      <c r="H48" s="145">
        <f t="shared" ref="H48:I48" si="13">SUM(H42:H47)</f>
        <v>0</v>
      </c>
      <c r="I48" s="145">
        <f t="shared" si="13"/>
        <v>-77246.987013374703</v>
      </c>
      <c r="J48" s="146">
        <f t="shared" si="12"/>
        <v>-1</v>
      </c>
    </row>
    <row r="49" spans="1:12" x14ac:dyDescent="0.25">
      <c r="D49" s="151"/>
      <c r="E49" s="152"/>
      <c r="F49" s="475"/>
      <c r="G49" s="130"/>
      <c r="H49" s="130"/>
      <c r="I49" s="463"/>
      <c r="J49" s="96"/>
    </row>
    <row r="50" spans="1:12" x14ac:dyDescent="0.25">
      <c r="A50" s="461" t="s">
        <v>46</v>
      </c>
      <c r="C50" s="480" t="s">
        <v>121</v>
      </c>
      <c r="D50" s="147"/>
      <c r="E50" s="135"/>
      <c r="F50" s="136"/>
      <c r="G50" s="137"/>
      <c r="H50" s="137"/>
      <c r="I50" s="463"/>
    </row>
    <row r="51" spans="1:12" x14ac:dyDescent="0.25">
      <c r="B51" s="461" t="s">
        <v>37</v>
      </c>
      <c r="C51" s="480"/>
      <c r="D51" s="149">
        <v>300000</v>
      </c>
      <c r="E51" s="142">
        <v>4.8300000000000001E-3</v>
      </c>
      <c r="F51" s="143">
        <f>Rates!I40</f>
        <v>0</v>
      </c>
      <c r="G51" s="137">
        <f t="shared" ref="G51:G56" si="14">D51*(E51)</f>
        <v>1449</v>
      </c>
      <c r="H51" s="137">
        <f t="shared" ref="H51:H56" si="15">D51*(F51)</f>
        <v>0</v>
      </c>
      <c r="I51" s="463">
        <f t="shared" ref="I51:I56" si="16">H51-G51</f>
        <v>-1449</v>
      </c>
      <c r="J51" s="125">
        <f t="shared" ref="J51:J57" si="17">IF(G51=0,1,I51/G51)</f>
        <v>-1</v>
      </c>
    </row>
    <row r="52" spans="1:12" x14ac:dyDescent="0.25">
      <c r="B52" s="461" t="s">
        <v>38</v>
      </c>
      <c r="C52" s="480"/>
      <c r="D52" s="149">
        <v>300000</v>
      </c>
      <c r="E52" s="142">
        <v>2.9499999999999999E-3</v>
      </c>
      <c r="F52" s="143">
        <f>Rates!I41</f>
        <v>0</v>
      </c>
      <c r="G52" s="137">
        <f t="shared" si="14"/>
        <v>885</v>
      </c>
      <c r="H52" s="137">
        <f t="shared" si="15"/>
        <v>0</v>
      </c>
      <c r="I52" s="463">
        <f t="shared" si="16"/>
        <v>-885</v>
      </c>
      <c r="J52" s="125">
        <f t="shared" si="17"/>
        <v>-1</v>
      </c>
    </row>
    <row r="53" spans="1:12" x14ac:dyDescent="0.25">
      <c r="B53" s="461" t="s">
        <v>42</v>
      </c>
      <c r="C53" s="480"/>
      <c r="D53" s="149">
        <v>600000</v>
      </c>
      <c r="E53" s="142">
        <v>1.9E-3</v>
      </c>
      <c r="F53" s="143">
        <f>Rates!I42</f>
        <v>0</v>
      </c>
      <c r="G53" s="137">
        <f t="shared" si="14"/>
        <v>1140</v>
      </c>
      <c r="H53" s="137">
        <f t="shared" si="15"/>
        <v>0</v>
      </c>
      <c r="I53" s="463">
        <f t="shared" si="16"/>
        <v>-1140</v>
      </c>
      <c r="J53" s="125">
        <f t="shared" si="17"/>
        <v>-1</v>
      </c>
    </row>
    <row r="54" spans="1:12" x14ac:dyDescent="0.25">
      <c r="B54" s="461" t="s">
        <v>43</v>
      </c>
      <c r="C54" s="480"/>
      <c r="D54" s="149">
        <v>1200000</v>
      </c>
      <c r="E54" s="142">
        <v>1.25E-3</v>
      </c>
      <c r="F54" s="143">
        <f>Rates!I43</f>
        <v>0</v>
      </c>
      <c r="G54" s="137">
        <f t="shared" si="14"/>
        <v>1500</v>
      </c>
      <c r="H54" s="137">
        <f t="shared" si="15"/>
        <v>0</v>
      </c>
      <c r="I54" s="463">
        <f t="shared" si="16"/>
        <v>-1500</v>
      </c>
      <c r="J54" s="125">
        <f t="shared" si="17"/>
        <v>-1</v>
      </c>
    </row>
    <row r="55" spans="1:12" x14ac:dyDescent="0.25">
      <c r="B55" s="461" t="s">
        <v>44</v>
      </c>
      <c r="C55" s="480"/>
      <c r="D55" s="149">
        <v>3600000</v>
      </c>
      <c r="E55" s="142">
        <v>9.2000000000000003E-4</v>
      </c>
      <c r="F55" s="143">
        <f>Rates!I44</f>
        <v>0</v>
      </c>
      <c r="G55" s="137">
        <f t="shared" si="14"/>
        <v>3312</v>
      </c>
      <c r="H55" s="137">
        <f t="shared" si="15"/>
        <v>0</v>
      </c>
      <c r="I55" s="463">
        <f t="shared" si="16"/>
        <v>-3312</v>
      </c>
      <c r="J55" s="125">
        <f t="shared" si="17"/>
        <v>-1</v>
      </c>
    </row>
    <row r="56" spans="1:12" x14ac:dyDescent="0.25">
      <c r="B56" s="461" t="s">
        <v>45</v>
      </c>
      <c r="C56" s="480"/>
      <c r="D56" s="149">
        <v>27595800</v>
      </c>
      <c r="E56" s="142">
        <v>5.9999999999999995E-4</v>
      </c>
      <c r="F56" s="143">
        <f>Rates!I45</f>
        <v>0</v>
      </c>
      <c r="G56" s="137">
        <f t="shared" si="14"/>
        <v>16557.48</v>
      </c>
      <c r="H56" s="137">
        <f t="shared" si="15"/>
        <v>0</v>
      </c>
      <c r="I56" s="463">
        <f t="shared" si="16"/>
        <v>-16557.48</v>
      </c>
      <c r="J56" s="125">
        <f t="shared" si="17"/>
        <v>-1</v>
      </c>
    </row>
    <row r="57" spans="1:12" x14ac:dyDescent="0.25">
      <c r="B57" s="461" t="s">
        <v>40</v>
      </c>
      <c r="C57" s="480"/>
      <c r="D57" s="144">
        <f>SUM(D51:D56)</f>
        <v>33595800</v>
      </c>
      <c r="E57" s="135"/>
      <c r="F57" s="153"/>
      <c r="G57" s="145">
        <f>SUM(G51:G56)</f>
        <v>24843.48</v>
      </c>
      <c r="H57" s="145">
        <f t="shared" ref="H57:I57" si="18">SUM(H51:H56)</f>
        <v>0</v>
      </c>
      <c r="I57" s="145">
        <f t="shared" si="18"/>
        <v>-24843.48</v>
      </c>
      <c r="J57" s="146">
        <f t="shared" si="17"/>
        <v>-1</v>
      </c>
    </row>
    <row r="58" spans="1:12" x14ac:dyDescent="0.25">
      <c r="D58" s="151"/>
      <c r="E58" s="152"/>
      <c r="F58" s="152"/>
      <c r="G58" s="130"/>
      <c r="H58" s="130"/>
      <c r="I58" s="463"/>
      <c r="J58" s="96"/>
    </row>
    <row r="59" spans="1:12" x14ac:dyDescent="0.25">
      <c r="B59" s="461" t="s">
        <v>40</v>
      </c>
      <c r="D59" s="154">
        <f>D9+D11+D14+D21+D23+D33+D39+D48+D12+D15+D24+D57</f>
        <v>1080513208</v>
      </c>
      <c r="E59" s="135"/>
      <c r="F59" s="153"/>
      <c r="G59" s="71">
        <f>G9+G11+G14+G21+G23+G33+G39+G48+G12+G15+G24+G57</f>
        <v>13057321.927791549</v>
      </c>
      <c r="H59" s="71">
        <f t="shared" ref="H59:I59" si="19">H9+H11+H14+H21+H23+H33+H39+H48+H12+H15+H24+H57</f>
        <v>0</v>
      </c>
      <c r="I59" s="71">
        <f t="shared" si="19"/>
        <v>-13057321.927791549</v>
      </c>
      <c r="J59" s="146">
        <f>IF(G59=0,1,I59/G59)</f>
        <v>-1</v>
      </c>
    </row>
    <row r="60" spans="1:12" x14ac:dyDescent="0.25">
      <c r="D60" s="96"/>
      <c r="E60" s="96"/>
      <c r="F60" s="155"/>
      <c r="G60" s="96"/>
      <c r="H60" s="96"/>
      <c r="J60" s="148"/>
    </row>
    <row r="61" spans="1:12" x14ac:dyDescent="0.25">
      <c r="D61" s="96"/>
      <c r="E61" s="96"/>
      <c r="F61" s="155"/>
      <c r="G61" s="156"/>
      <c r="H61" s="156"/>
    </row>
    <row r="62" spans="1:12" x14ac:dyDescent="0.25">
      <c r="L62" s="148"/>
    </row>
    <row r="63" spans="1:12" x14ac:dyDescent="0.25">
      <c r="B63" s="157"/>
      <c r="D63" s="158"/>
      <c r="E63" s="158"/>
      <c r="F63" s="159"/>
      <c r="G63" s="463"/>
      <c r="H63" s="463"/>
    </row>
    <row r="64" spans="1:12" x14ac:dyDescent="0.25">
      <c r="C64" s="155"/>
      <c r="D64" s="160"/>
      <c r="E64" s="96"/>
      <c r="F64" s="155"/>
    </row>
    <row r="65" spans="3:6" x14ac:dyDescent="0.25">
      <c r="C65" s="155"/>
      <c r="D65" s="96"/>
      <c r="E65" s="155"/>
      <c r="F65" s="155"/>
    </row>
    <row r="66" spans="3:6" x14ac:dyDescent="0.25">
      <c r="C66" s="155"/>
      <c r="D66" s="96"/>
      <c r="E66" s="161"/>
      <c r="F66" s="162"/>
    </row>
    <row r="67" spans="3:6" x14ac:dyDescent="0.25">
      <c r="C67" s="158"/>
      <c r="D67" s="158"/>
      <c r="E67" s="161"/>
      <c r="F67" s="162"/>
    </row>
    <row r="68" spans="3:6" x14ac:dyDescent="0.25">
      <c r="E68" s="161"/>
      <c r="F68" s="162"/>
    </row>
    <row r="69" spans="3:6" x14ac:dyDescent="0.25">
      <c r="E69" s="96"/>
      <c r="F69" s="155"/>
    </row>
    <row r="70" spans="3:6" x14ac:dyDescent="0.25">
      <c r="E70" s="96"/>
      <c r="F70" s="155"/>
    </row>
    <row r="71" spans="3:6" x14ac:dyDescent="0.25">
      <c r="E71" s="96"/>
      <c r="F71" s="155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zoomScale="85" zoomScaleNormal="85" workbookViewId="0">
      <selection activeCell="J18" sqref="J18"/>
    </sheetView>
  </sheetViews>
  <sheetFormatPr defaultColWidth="9.140625" defaultRowHeight="15" x14ac:dyDescent="0.25"/>
  <cols>
    <col min="1" max="1" width="2.140625" style="461" customWidth="1"/>
    <col min="2" max="2" width="2.42578125" style="461" customWidth="1"/>
    <col min="3" max="3" width="37.7109375" style="461" customWidth="1"/>
    <col min="4" max="5" width="11.85546875" style="461" customWidth="1"/>
    <col min="6" max="6" width="2.7109375" style="96" customWidth="1"/>
    <col min="7" max="8" width="11.85546875" style="461" customWidth="1"/>
    <col min="9" max="16384" width="9.140625" style="461"/>
  </cols>
  <sheetData>
    <row r="1" spans="2:8" x14ac:dyDescent="0.25">
      <c r="B1" s="95" t="s">
        <v>0</v>
      </c>
      <c r="C1" s="95"/>
      <c r="D1" s="95"/>
      <c r="E1" s="95"/>
      <c r="F1" s="95"/>
      <c r="G1" s="95"/>
      <c r="H1" s="95"/>
    </row>
    <row r="2" spans="2:8" x14ac:dyDescent="0.25">
      <c r="B2" s="95" t="s">
        <v>49</v>
      </c>
      <c r="C2" s="95"/>
      <c r="D2" s="95"/>
      <c r="E2" s="95"/>
      <c r="F2" s="95"/>
      <c r="G2" s="95"/>
      <c r="H2" s="95"/>
    </row>
    <row r="3" spans="2:8" x14ac:dyDescent="0.25">
      <c r="B3" s="458" t="s">
        <v>135</v>
      </c>
      <c r="C3" s="458"/>
      <c r="D3" s="458"/>
      <c r="E3" s="458"/>
      <c r="F3" s="458"/>
      <c r="G3" s="458"/>
      <c r="H3" s="458"/>
    </row>
    <row r="4" spans="2:8" x14ac:dyDescent="0.25">
      <c r="B4" s="458" t="s">
        <v>51</v>
      </c>
      <c r="C4" s="458"/>
      <c r="D4" s="458"/>
      <c r="E4" s="458"/>
      <c r="F4" s="458"/>
      <c r="G4" s="458"/>
      <c r="H4" s="458"/>
    </row>
    <row r="6" spans="2:8" x14ac:dyDescent="0.25">
      <c r="G6" s="97" t="s">
        <v>136</v>
      </c>
      <c r="H6" s="97"/>
    </row>
    <row r="7" spans="2:8" x14ac:dyDescent="0.25">
      <c r="D7" s="98" t="s">
        <v>18</v>
      </c>
      <c r="E7" s="98"/>
      <c r="F7" s="99"/>
      <c r="G7" s="98" t="s">
        <v>137</v>
      </c>
      <c r="H7" s="98"/>
    </row>
    <row r="8" spans="2:8" ht="17.25" x14ac:dyDescent="0.25">
      <c r="D8" s="483" t="s">
        <v>138</v>
      </c>
      <c r="E8" s="483" t="s">
        <v>139</v>
      </c>
      <c r="F8" s="100"/>
      <c r="G8" s="483" t="s">
        <v>21</v>
      </c>
      <c r="H8" s="483" t="s">
        <v>139</v>
      </c>
    </row>
    <row r="9" spans="2:8" x14ac:dyDescent="0.25">
      <c r="B9" s="461" t="s">
        <v>140</v>
      </c>
      <c r="D9" s="101">
        <v>64</v>
      </c>
      <c r="E9" s="102"/>
      <c r="F9" s="103"/>
      <c r="G9" s="101">
        <v>64</v>
      </c>
      <c r="H9" s="102"/>
    </row>
    <row r="10" spans="2:8" x14ac:dyDescent="0.25">
      <c r="D10" s="101"/>
      <c r="E10" s="102"/>
      <c r="F10" s="103"/>
      <c r="G10" s="101"/>
      <c r="H10" s="102"/>
    </row>
    <row r="11" spans="2:8" x14ac:dyDescent="0.25">
      <c r="B11" s="461" t="s">
        <v>141</v>
      </c>
      <c r="D11" s="101"/>
      <c r="E11" s="102"/>
      <c r="F11" s="103"/>
      <c r="G11" s="101"/>
      <c r="H11" s="102"/>
    </row>
    <row r="12" spans="2:8" x14ac:dyDescent="0.25">
      <c r="C12" s="461" t="s">
        <v>142</v>
      </c>
      <c r="D12" s="104">
        <f>'Exh JDT-5 (JDT-RES_RD)'!H12</f>
        <v>12.5</v>
      </c>
      <c r="E12" s="102">
        <f>D12</f>
        <v>12.5</v>
      </c>
      <c r="F12" s="105"/>
      <c r="G12" s="106">
        <f>$D$12</f>
        <v>12.5</v>
      </c>
      <c r="H12" s="102">
        <f>G12</f>
        <v>12.5</v>
      </c>
    </row>
    <row r="13" spans="2:8" x14ac:dyDescent="0.25">
      <c r="C13" s="461" t="s">
        <v>143</v>
      </c>
      <c r="D13" s="107">
        <f>SUM(D12:D12)</f>
        <v>12.5</v>
      </c>
      <c r="E13" s="108">
        <f>SUM(E12:E12)</f>
        <v>12.5</v>
      </c>
      <c r="F13" s="105"/>
      <c r="G13" s="108">
        <f>SUM(G12:G12)</f>
        <v>12.5</v>
      </c>
      <c r="H13" s="108">
        <f>SUM(H12:H12)</f>
        <v>12.5</v>
      </c>
    </row>
    <row r="14" spans="2:8" x14ac:dyDescent="0.25">
      <c r="D14" s="109"/>
      <c r="E14" s="110"/>
      <c r="F14" s="105"/>
      <c r="G14" s="110"/>
      <c r="H14" s="110"/>
    </row>
    <row r="15" spans="2:8" x14ac:dyDescent="0.25">
      <c r="C15" s="461" t="s">
        <v>144</v>
      </c>
      <c r="D15" s="488">
        <v>-9.9700000000000006</v>
      </c>
      <c r="E15" s="102">
        <f>D15</f>
        <v>-9.9700000000000006</v>
      </c>
      <c r="F15" s="105"/>
      <c r="G15" s="111">
        <f>$D$15</f>
        <v>-9.9700000000000006</v>
      </c>
      <c r="H15" s="102">
        <f>G15</f>
        <v>-9.9700000000000006</v>
      </c>
    </row>
    <row r="16" spans="2:8" x14ac:dyDescent="0.25">
      <c r="D16" s="112"/>
      <c r="E16" s="102"/>
      <c r="F16" s="105"/>
      <c r="G16" s="106"/>
      <c r="H16" s="102"/>
    </row>
    <row r="17" spans="2:8" x14ac:dyDescent="0.25">
      <c r="B17" s="461" t="s">
        <v>145</v>
      </c>
      <c r="D17" s="113"/>
      <c r="E17" s="102"/>
      <c r="H17" s="102"/>
    </row>
    <row r="18" spans="2:8" x14ac:dyDescent="0.25">
      <c r="C18" s="461" t="s">
        <v>146</v>
      </c>
      <c r="D18" s="114">
        <f>'Exh JDT-5 (JDT-RES_RD)'!H13</f>
        <v>0.45612999999999998</v>
      </c>
      <c r="E18" s="102"/>
      <c r="F18" s="115"/>
      <c r="G18" s="116">
        <f>$D$18</f>
        <v>0.45612999999999998</v>
      </c>
      <c r="H18" s="102"/>
    </row>
    <row r="19" spans="2:8" x14ac:dyDescent="0.25">
      <c r="C19" s="461" t="s">
        <v>147</v>
      </c>
      <c r="D19" s="489">
        <v>3.6560000000000002E-2</v>
      </c>
      <c r="E19" s="102"/>
      <c r="F19" s="115"/>
      <c r="G19" s="117">
        <f>$D$19</f>
        <v>3.6560000000000002E-2</v>
      </c>
      <c r="H19" s="102"/>
    </row>
    <row r="20" spans="2:8" x14ac:dyDescent="0.25">
      <c r="C20" s="461" t="s">
        <v>148</v>
      </c>
      <c r="D20" s="114">
        <v>1.3089999999999999E-2</v>
      </c>
      <c r="E20" s="102"/>
      <c r="F20" s="115"/>
      <c r="G20" s="118">
        <f>D20</f>
        <v>1.3089999999999999E-2</v>
      </c>
      <c r="H20" s="102"/>
    </row>
    <row r="21" spans="2:8" x14ac:dyDescent="0.25">
      <c r="C21" s="461" t="s">
        <v>149</v>
      </c>
      <c r="D21" s="114">
        <f>'Sch. 129D'!E9</f>
        <v>1.5959999999999998E-2</v>
      </c>
      <c r="E21" s="102"/>
      <c r="F21" s="115"/>
      <c r="G21" s="119">
        <f>'Sch. 129D'!F9</f>
        <v>0</v>
      </c>
      <c r="H21" s="102"/>
    </row>
    <row r="22" spans="2:8" x14ac:dyDescent="0.25">
      <c r="C22" s="461" t="s">
        <v>150</v>
      </c>
      <c r="D22" s="489">
        <v>1.6749999999999998E-2</v>
      </c>
      <c r="E22" s="102"/>
      <c r="F22" s="115"/>
      <c r="G22" s="118">
        <f>$D$22</f>
        <v>1.6749999999999998E-2</v>
      </c>
      <c r="H22" s="102"/>
    </row>
    <row r="23" spans="2:8" x14ac:dyDescent="0.25">
      <c r="C23" s="461" t="s">
        <v>151</v>
      </c>
      <c r="D23" s="489">
        <v>-2.1999999999999997E-3</v>
      </c>
      <c r="E23" s="102"/>
      <c r="F23" s="115"/>
      <c r="G23" s="118">
        <f>$D$23</f>
        <v>-2.1999999999999997E-3</v>
      </c>
      <c r="H23" s="102"/>
    </row>
    <row r="24" spans="2:8" x14ac:dyDescent="0.25">
      <c r="C24" s="461" t="s">
        <v>152</v>
      </c>
      <c r="D24" s="489">
        <v>4.6739999999999997E-2</v>
      </c>
      <c r="E24" s="102"/>
      <c r="F24" s="115"/>
      <c r="G24" s="118">
        <f>$D$24</f>
        <v>4.6739999999999997E-2</v>
      </c>
      <c r="H24" s="102"/>
    </row>
    <row r="25" spans="2:8" x14ac:dyDescent="0.25">
      <c r="C25" s="461" t="s">
        <v>153</v>
      </c>
      <c r="D25" s="489">
        <v>-3.5899999999999994E-3</v>
      </c>
      <c r="E25" s="102"/>
      <c r="F25" s="115"/>
      <c r="G25" s="118">
        <f>$D$25</f>
        <v>-3.5899999999999994E-3</v>
      </c>
      <c r="H25" s="102"/>
    </row>
    <row r="26" spans="2:8" x14ac:dyDescent="0.25">
      <c r="C26" s="461" t="s">
        <v>154</v>
      </c>
      <c r="D26" s="489">
        <v>9.0000000000000006E-5</v>
      </c>
      <c r="E26" s="102"/>
      <c r="F26" s="115"/>
      <c r="G26" s="118">
        <f>$D$26</f>
        <v>9.0000000000000006E-5</v>
      </c>
      <c r="H26" s="102"/>
    </row>
    <row r="27" spans="2:8" x14ac:dyDescent="0.25">
      <c r="C27" s="461" t="s">
        <v>155</v>
      </c>
      <c r="D27" s="489">
        <v>7.2679999999999995E-2</v>
      </c>
      <c r="E27" s="102"/>
      <c r="F27" s="115"/>
      <c r="G27" s="118">
        <f>$D$27</f>
        <v>7.2679999999999995E-2</v>
      </c>
      <c r="H27" s="102"/>
    </row>
    <row r="28" spans="2:8" x14ac:dyDescent="0.25">
      <c r="C28" s="461" t="s">
        <v>156</v>
      </c>
      <c r="D28" s="489">
        <v>4.292E-2</v>
      </c>
      <c r="E28" s="102"/>
      <c r="F28" s="115"/>
      <c r="G28" s="118">
        <f>$D$28</f>
        <v>4.292E-2</v>
      </c>
      <c r="H28" s="102"/>
    </row>
    <row r="29" spans="2:8" x14ac:dyDescent="0.25">
      <c r="C29" s="461" t="s">
        <v>143</v>
      </c>
      <c r="D29" s="120">
        <f>SUM(D18:D28)</f>
        <v>0.69513000000000003</v>
      </c>
      <c r="E29" s="102">
        <f>ROUND(D29*D$9,2)</f>
        <v>44.49</v>
      </c>
      <c r="F29" s="115"/>
      <c r="G29" s="121">
        <f>SUM(G18:G28)</f>
        <v>0.67917000000000005</v>
      </c>
      <c r="H29" s="102">
        <f>ROUND(G29*G$9,2)</f>
        <v>43.47</v>
      </c>
    </row>
    <row r="30" spans="2:8" x14ac:dyDescent="0.25">
      <c r="D30" s="113"/>
    </row>
    <row r="31" spans="2:8" x14ac:dyDescent="0.25">
      <c r="C31" s="461" t="s">
        <v>157</v>
      </c>
      <c r="D31" s="489">
        <v>0.23183000000000001</v>
      </c>
      <c r="E31" s="102">
        <f>ROUND(D31*D$9,2)</f>
        <v>14.84</v>
      </c>
      <c r="F31" s="115"/>
      <c r="G31" s="117">
        <f>$D$31</f>
        <v>0.23183000000000001</v>
      </c>
      <c r="H31" s="102">
        <f>ROUND(G31*G$9,2)</f>
        <v>14.84</v>
      </c>
    </row>
    <row r="32" spans="2:8" x14ac:dyDescent="0.25">
      <c r="D32" s="122"/>
      <c r="E32" s="102"/>
      <c r="F32" s="115"/>
      <c r="G32" s="116"/>
      <c r="H32" s="102"/>
    </row>
    <row r="33" spans="2:8" x14ac:dyDescent="0.25">
      <c r="C33" s="461" t="s">
        <v>158</v>
      </c>
      <c r="D33" s="489">
        <v>0.55332000000000003</v>
      </c>
      <c r="E33" s="102"/>
      <c r="F33" s="115"/>
      <c r="G33" s="118">
        <f>$D$33</f>
        <v>0.55332000000000003</v>
      </c>
      <c r="H33" s="102"/>
    </row>
    <row r="34" spans="2:8" x14ac:dyDescent="0.25">
      <c r="C34" s="461" t="s">
        <v>159</v>
      </c>
      <c r="D34" s="489">
        <v>-5.883E-2</v>
      </c>
      <c r="E34" s="102"/>
      <c r="F34" s="115"/>
      <c r="G34" s="118">
        <f>$D$34</f>
        <v>-5.883E-2</v>
      </c>
      <c r="H34" s="102"/>
    </row>
    <row r="35" spans="2:8" x14ac:dyDescent="0.25">
      <c r="C35" s="461" t="s">
        <v>143</v>
      </c>
      <c r="D35" s="120">
        <f>SUM(D33:D34)</f>
        <v>0.49449000000000004</v>
      </c>
      <c r="E35" s="102">
        <f>ROUND(D35*D$9,2)</f>
        <v>31.65</v>
      </c>
      <c r="F35" s="115"/>
      <c r="G35" s="121">
        <f>SUM(G33:G34)</f>
        <v>0.49449000000000004</v>
      </c>
      <c r="H35" s="102">
        <f>ROUND(G35*G$9,2)</f>
        <v>31.65</v>
      </c>
    </row>
    <row r="36" spans="2:8" x14ac:dyDescent="0.25">
      <c r="C36" s="461" t="s">
        <v>160</v>
      </c>
      <c r="D36" s="120">
        <f>D29+D31+D35</f>
        <v>1.4214500000000001</v>
      </c>
      <c r="E36" s="123">
        <f>SUM(E29,E31,E35)</f>
        <v>90.97999999999999</v>
      </c>
      <c r="F36" s="124"/>
      <c r="G36" s="121">
        <f>G29+G31+G35</f>
        <v>1.4054900000000001</v>
      </c>
      <c r="H36" s="123">
        <f>SUM(H29,H31,H35)</f>
        <v>89.960000000000008</v>
      </c>
    </row>
    <row r="37" spans="2:8" x14ac:dyDescent="0.25">
      <c r="E37" s="102"/>
      <c r="H37" s="102"/>
    </row>
    <row r="38" spans="2:8" x14ac:dyDescent="0.25">
      <c r="B38" s="461" t="s">
        <v>161</v>
      </c>
      <c r="D38" s="106"/>
      <c r="E38" s="102">
        <f>E13+E15+E36</f>
        <v>93.509999999999991</v>
      </c>
      <c r="F38" s="110"/>
      <c r="G38" s="106"/>
      <c r="H38" s="102">
        <f>H13+H15+H36</f>
        <v>92.490000000000009</v>
      </c>
    </row>
    <row r="39" spans="2:8" x14ac:dyDescent="0.25">
      <c r="B39" s="461" t="s">
        <v>162</v>
      </c>
      <c r="D39" s="106"/>
      <c r="E39" s="102"/>
      <c r="F39" s="110"/>
      <c r="G39" s="106"/>
      <c r="H39" s="102">
        <f>H38-$E38</f>
        <v>-1.0199999999999818</v>
      </c>
    </row>
    <row r="40" spans="2:8" x14ac:dyDescent="0.25">
      <c r="B40" s="461" t="s">
        <v>163</v>
      </c>
      <c r="D40" s="125"/>
      <c r="E40" s="125"/>
      <c r="F40" s="126"/>
      <c r="G40" s="125"/>
      <c r="H40" s="127">
        <f>H39/$E38</f>
        <v>-1.0907924286172408E-2</v>
      </c>
    </row>
    <row r="41" spans="2:8" x14ac:dyDescent="0.25">
      <c r="E41" s="102"/>
    </row>
    <row r="42" spans="2:8" x14ac:dyDescent="0.25">
      <c r="B42" s="461" t="s">
        <v>164</v>
      </c>
      <c r="D42" s="116">
        <f>D29+D31</f>
        <v>0.92696000000000001</v>
      </c>
      <c r="E42" s="102"/>
      <c r="F42" s="124"/>
      <c r="G42" s="116">
        <f>G29+G31</f>
        <v>0.91100000000000003</v>
      </c>
    </row>
    <row r="44" spans="2:8" ht="17.25" x14ac:dyDescent="0.25">
      <c r="B44" s="128" t="s">
        <v>309</v>
      </c>
      <c r="D44" s="128"/>
      <c r="E44" s="128"/>
      <c r="F44" s="129"/>
      <c r="G44" s="129"/>
      <c r="H44" s="129"/>
    </row>
    <row r="49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zoomScale="85" zoomScaleNormal="85" workbookViewId="0">
      <pane xSplit="3" ySplit="9" topLeftCell="F10" activePane="bottomRight" state="frozenSplit"/>
      <selection activeCell="L39" sqref="L39"/>
      <selection pane="topRight" activeCell="L39" sqref="L39"/>
      <selection pane="bottomLeft" activeCell="L39" sqref="L39"/>
      <selection pane="bottomRight" activeCell="P14" sqref="P14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5" width="12.5703125" bestFit="1" customWidth="1"/>
    <col min="16" max="16" width="12.28515625" bestFit="1" customWidth="1"/>
    <col min="17" max="17" width="12.5703125" bestFit="1" customWidth="1"/>
    <col min="18" max="18" width="12.28515625" bestFit="1" customWidth="1"/>
    <col min="19" max="19" width="11.5703125" bestFit="1" customWidth="1"/>
    <col min="20" max="21" width="12.5703125" bestFit="1" customWidth="1"/>
    <col min="22" max="22" width="16.5703125" bestFit="1" customWidth="1"/>
    <col min="23" max="23" width="14.140625" bestFit="1" customWidth="1"/>
    <col min="24" max="24" width="16.5703125" bestFit="1" customWidth="1"/>
    <col min="25" max="25" width="7.85546875" bestFit="1" customWidth="1"/>
  </cols>
  <sheetData>
    <row r="1" spans="1:25" x14ac:dyDescent="0.25">
      <c r="A1" s="458" t="s">
        <v>0</v>
      </c>
      <c r="B1" s="52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2" spans="1:25" x14ac:dyDescent="0.25">
      <c r="A2" s="458" t="s">
        <v>49</v>
      </c>
      <c r="B2" s="52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</row>
    <row r="3" spans="1:25" x14ac:dyDescent="0.25">
      <c r="A3" s="52" t="s">
        <v>50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x14ac:dyDescent="0.25">
      <c r="A4" s="52" t="s">
        <v>51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x14ac:dyDescent="0.25">
      <c r="F5" s="481"/>
      <c r="P5" s="481"/>
      <c r="Q5" s="481"/>
      <c r="R5" s="481"/>
      <c r="S5" s="481"/>
      <c r="T5" s="481"/>
    </row>
    <row r="6" spans="1:25" x14ac:dyDescent="0.25">
      <c r="F6" s="481"/>
      <c r="G6" s="53" t="s">
        <v>4</v>
      </c>
      <c r="P6" s="481"/>
      <c r="Q6" s="481"/>
      <c r="R6" s="481"/>
      <c r="S6" s="481"/>
      <c r="T6" s="481"/>
      <c r="V6" s="54" t="s">
        <v>52</v>
      </c>
      <c r="X6" s="55" t="str">
        <f>V6</f>
        <v>12ME Dec. 2025</v>
      </c>
    </row>
    <row r="7" spans="1:25" x14ac:dyDescent="0.25">
      <c r="B7" s="53"/>
      <c r="C7" s="53"/>
      <c r="D7" s="53" t="s">
        <v>53</v>
      </c>
      <c r="E7" s="53" t="str">
        <f>D7</f>
        <v>UG-220067</v>
      </c>
      <c r="F7" s="53" t="s">
        <v>54</v>
      </c>
      <c r="G7" s="53" t="s">
        <v>8</v>
      </c>
      <c r="H7" s="48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5" t="s">
        <v>55</v>
      </c>
      <c r="W7" s="54" t="s">
        <v>12</v>
      </c>
      <c r="X7" s="55" t="s">
        <v>55</v>
      </c>
      <c r="Y7" s="53"/>
    </row>
    <row r="8" spans="1:25" x14ac:dyDescent="0.25">
      <c r="A8" t="s">
        <v>6</v>
      </c>
      <c r="B8" s="53"/>
      <c r="C8" s="53" t="s">
        <v>7</v>
      </c>
      <c r="D8" s="53" t="s">
        <v>56</v>
      </c>
      <c r="E8" s="53" t="s">
        <v>57</v>
      </c>
      <c r="F8" s="53" t="s">
        <v>7</v>
      </c>
      <c r="G8" s="54" t="s">
        <v>58</v>
      </c>
      <c r="H8" s="481" t="s">
        <v>57</v>
      </c>
      <c r="I8" s="53" t="s">
        <v>59</v>
      </c>
      <c r="J8" s="53" t="s">
        <v>60</v>
      </c>
      <c r="K8" s="53" t="s">
        <v>61</v>
      </c>
      <c r="L8" s="53" t="s">
        <v>62</v>
      </c>
      <c r="M8" s="53" t="s">
        <v>63</v>
      </c>
      <c r="N8" s="53" t="s">
        <v>12</v>
      </c>
      <c r="O8" s="53" t="s">
        <v>64</v>
      </c>
      <c r="P8" s="53" t="s">
        <v>65</v>
      </c>
      <c r="Q8" s="53" t="s">
        <v>66</v>
      </c>
      <c r="R8" s="53" t="s">
        <v>67</v>
      </c>
      <c r="S8" s="53" t="s">
        <v>68</v>
      </c>
      <c r="T8" s="53" t="s">
        <v>69</v>
      </c>
      <c r="U8" s="53" t="s">
        <v>70</v>
      </c>
      <c r="V8" s="53" t="s">
        <v>71</v>
      </c>
      <c r="W8" s="53" t="s">
        <v>11</v>
      </c>
      <c r="X8" s="53" t="s">
        <v>71</v>
      </c>
      <c r="Y8" s="53" t="s">
        <v>72</v>
      </c>
    </row>
    <row r="9" spans="1:25" ht="17.25" x14ac:dyDescent="0.25">
      <c r="A9" t="s">
        <v>14</v>
      </c>
      <c r="B9" s="482" t="s">
        <v>73</v>
      </c>
      <c r="C9" s="482" t="s">
        <v>16</v>
      </c>
      <c r="D9" s="482" t="s">
        <v>74</v>
      </c>
      <c r="E9" s="482" t="s">
        <v>75</v>
      </c>
      <c r="F9" s="482" t="s">
        <v>76</v>
      </c>
      <c r="G9" s="56" t="s">
        <v>77</v>
      </c>
      <c r="H9" s="482" t="s">
        <v>11</v>
      </c>
      <c r="I9" s="482" t="s">
        <v>11</v>
      </c>
      <c r="J9" s="482" t="s">
        <v>11</v>
      </c>
      <c r="K9" s="482" t="s">
        <v>11</v>
      </c>
      <c r="L9" s="482" t="s">
        <v>11</v>
      </c>
      <c r="M9" s="482" t="s">
        <v>11</v>
      </c>
      <c r="N9" s="482" t="s">
        <v>11</v>
      </c>
      <c r="O9" s="482" t="s">
        <v>11</v>
      </c>
      <c r="P9" s="482" t="s">
        <v>11</v>
      </c>
      <c r="Q9" s="482" t="s">
        <v>11</v>
      </c>
      <c r="R9" s="482" t="s">
        <v>11</v>
      </c>
      <c r="S9" s="482" t="s">
        <v>11</v>
      </c>
      <c r="T9" s="482" t="s">
        <v>11</v>
      </c>
      <c r="U9" s="482" t="s">
        <v>11</v>
      </c>
      <c r="V9" s="53" t="s">
        <v>78</v>
      </c>
      <c r="W9" s="482" t="s">
        <v>79</v>
      </c>
      <c r="X9" s="53" t="s">
        <v>80</v>
      </c>
      <c r="Y9" s="482" t="s">
        <v>79</v>
      </c>
    </row>
    <row r="10" spans="1:25" x14ac:dyDescent="0.25">
      <c r="B10" s="53" t="s">
        <v>81</v>
      </c>
      <c r="C10" s="53" t="s">
        <v>82</v>
      </c>
      <c r="D10" s="57" t="s">
        <v>83</v>
      </c>
      <c r="E10" s="58" t="s">
        <v>84</v>
      </c>
      <c r="F10" s="53" t="s">
        <v>85</v>
      </c>
      <c r="G10" s="53" t="s">
        <v>86</v>
      </c>
      <c r="H10" s="53" t="s">
        <v>87</v>
      </c>
      <c r="I10" s="53" t="s">
        <v>88</v>
      </c>
      <c r="J10" s="53" t="s">
        <v>89</v>
      </c>
      <c r="K10" s="53" t="s">
        <v>90</v>
      </c>
      <c r="L10" s="53" t="s">
        <v>91</v>
      </c>
      <c r="M10" s="58" t="s">
        <v>92</v>
      </c>
      <c r="N10" s="58" t="s">
        <v>93</v>
      </c>
      <c r="O10" s="58" t="s">
        <v>94</v>
      </c>
      <c r="P10" s="58" t="s">
        <v>95</v>
      </c>
      <c r="Q10" s="58" t="s">
        <v>96</v>
      </c>
      <c r="R10" s="58" t="s">
        <v>97</v>
      </c>
      <c r="S10" s="58" t="s">
        <v>98</v>
      </c>
      <c r="T10" s="58" t="s">
        <v>99</v>
      </c>
      <c r="U10" s="58" t="s">
        <v>100</v>
      </c>
      <c r="V10" s="59" t="s">
        <v>101</v>
      </c>
      <c r="W10" s="53" t="s">
        <v>102</v>
      </c>
      <c r="X10" s="53" t="s">
        <v>103</v>
      </c>
      <c r="Y10" s="53" t="s">
        <v>104</v>
      </c>
    </row>
    <row r="11" spans="1:25" x14ac:dyDescent="0.25">
      <c r="A11" s="481">
        <v>1</v>
      </c>
      <c r="B11" t="s">
        <v>30</v>
      </c>
      <c r="C11" s="481" t="s">
        <v>105</v>
      </c>
      <c r="D11" s="60">
        <v>620836684.05687141</v>
      </c>
      <c r="E11" s="61">
        <v>403613457.09474093</v>
      </c>
      <c r="F11" s="62">
        <f t="shared" ref="F11:F16" si="0">(E11)/D11</f>
        <v>0.6501121268436002</v>
      </c>
      <c r="G11" s="490">
        <v>561414251</v>
      </c>
      <c r="H11" s="63">
        <f>F11*G11</f>
        <v>364982212.75791681</v>
      </c>
      <c r="I11" s="67">
        <v>310641733.36000001</v>
      </c>
      <c r="J11" s="67">
        <v>-33028000.390000001</v>
      </c>
      <c r="K11" s="67">
        <v>33107091.691916399</v>
      </c>
      <c r="L11" s="67">
        <v>20525305.016559999</v>
      </c>
      <c r="M11" s="67">
        <v>7348912.5455899993</v>
      </c>
      <c r="N11" s="61">
        <f>'Sch. 129D'!G9</f>
        <v>8960171.4459599983</v>
      </c>
      <c r="O11" s="67">
        <v>9403688.7042499986</v>
      </c>
      <c r="P11" s="67">
        <v>-1235111.3521999998</v>
      </c>
      <c r="Q11" s="67">
        <v>26240502.091739997</v>
      </c>
      <c r="R11" s="67">
        <v>-2015477.1610899996</v>
      </c>
      <c r="S11" s="67">
        <v>50527.282590000003</v>
      </c>
      <c r="T11" s="67">
        <v>40803587.762679994</v>
      </c>
      <c r="U11" s="67">
        <v>24095899.649999999</v>
      </c>
      <c r="V11" s="64">
        <f t="shared" ref="V11:V24" si="1">SUM(H11:U11)</f>
        <v>809881043.40591323</v>
      </c>
      <c r="W11" s="61">
        <f>'Sch. 129D'!I9</f>
        <v>-8960171.4459599983</v>
      </c>
      <c r="X11" s="65">
        <f>V11+W11</f>
        <v>800920871.95995319</v>
      </c>
      <c r="Y11" s="66">
        <f>W11/V11</f>
        <v>-1.1063564851794105E-2</v>
      </c>
    </row>
    <row r="12" spans="1:25" x14ac:dyDescent="0.25">
      <c r="A12" s="481">
        <f>A11+1</f>
        <v>2</v>
      </c>
      <c r="B12" t="s">
        <v>106</v>
      </c>
      <c r="C12" s="481">
        <v>16</v>
      </c>
      <c r="D12" s="60">
        <v>8190.2669999999998</v>
      </c>
      <c r="E12" s="61">
        <v>5233.1499999999996</v>
      </c>
      <c r="F12" s="62">
        <f t="shared" si="0"/>
        <v>0.63894742381414427</v>
      </c>
      <c r="G12" s="490">
        <v>6156</v>
      </c>
      <c r="H12" s="63">
        <f t="shared" ref="H12:H24" si="2">F12*G12</f>
        <v>3933.3603409998723</v>
      </c>
      <c r="I12" s="67">
        <v>3406.24</v>
      </c>
      <c r="J12" s="67">
        <v>-362.16</v>
      </c>
      <c r="K12" s="67">
        <v>458.38548000000003</v>
      </c>
      <c r="L12" s="67">
        <v>225.06336000000002</v>
      </c>
      <c r="M12" s="67"/>
      <c r="N12" s="61"/>
      <c r="O12" s="67">
        <v>103.11299999999999</v>
      </c>
      <c r="P12" s="67">
        <v>-13.543199999999999</v>
      </c>
      <c r="Q12" s="67">
        <v>287.73143999999996</v>
      </c>
      <c r="R12" s="67">
        <v>-22.100039999999996</v>
      </c>
      <c r="S12" s="67">
        <v>0.55404000000000009</v>
      </c>
      <c r="T12" s="67">
        <v>447.41807999999997</v>
      </c>
      <c r="U12" s="67"/>
      <c r="V12" s="64">
        <f t="shared" si="1"/>
        <v>8464.0625009998712</v>
      </c>
      <c r="W12" s="61"/>
      <c r="X12" s="65">
        <f t="shared" ref="X12:X24" si="3">V12+W12</f>
        <v>8464.0625009998712</v>
      </c>
      <c r="Y12" s="66">
        <f t="shared" ref="Y12:Y25" si="4">W12/V12</f>
        <v>0</v>
      </c>
    </row>
    <row r="13" spans="1:25" x14ac:dyDescent="0.25">
      <c r="A13" s="481">
        <f t="shared" ref="A13:A36" si="5">A12+1</f>
        <v>3</v>
      </c>
      <c r="B13" t="s">
        <v>107</v>
      </c>
      <c r="C13" s="481">
        <v>31</v>
      </c>
      <c r="D13" s="60">
        <v>222166912.14539161</v>
      </c>
      <c r="E13" s="61">
        <v>122121000.06</v>
      </c>
      <c r="F13" s="62">
        <f t="shared" si="0"/>
        <v>0.54968131339054194</v>
      </c>
      <c r="G13" s="490">
        <v>229680981</v>
      </c>
      <c r="H13" s="63">
        <f t="shared" si="2"/>
        <v>126251343.29690811</v>
      </c>
      <c r="I13" s="67">
        <v>125612528.51000001</v>
      </c>
      <c r="J13" s="67">
        <v>-13509835.300000001</v>
      </c>
      <c r="K13" s="67">
        <v>17038162.932131805</v>
      </c>
      <c r="L13" s="67">
        <v>8397136.66536</v>
      </c>
      <c r="M13" s="67">
        <v>2542568.4596699998</v>
      </c>
      <c r="N13" s="61">
        <f>'Sch. 129D'!G11</f>
        <v>3146629.4397</v>
      </c>
      <c r="O13" s="67">
        <v>4108992.7500899998</v>
      </c>
      <c r="P13" s="67">
        <v>-463955.58162000001</v>
      </c>
      <c r="Q13" s="67">
        <v>9113741.32608</v>
      </c>
      <c r="R13" s="67">
        <v>-757947.23730000004</v>
      </c>
      <c r="S13" s="67">
        <v>13780.85886</v>
      </c>
      <c r="T13" s="67">
        <v>15310534.193459999</v>
      </c>
      <c r="U13" s="67">
        <v>1022080.37</v>
      </c>
      <c r="V13" s="64">
        <f t="shared" si="1"/>
        <v>297825760.68334001</v>
      </c>
      <c r="W13" s="61">
        <f>'Sch. 129D'!I11</f>
        <v>-3146629.4397</v>
      </c>
      <c r="X13" s="65">
        <f t="shared" si="3"/>
        <v>294679131.24364001</v>
      </c>
      <c r="Y13" s="66">
        <f t="shared" si="4"/>
        <v>-1.056533670049321E-2</v>
      </c>
    </row>
    <row r="14" spans="1:25" x14ac:dyDescent="0.25">
      <c r="A14" s="481">
        <f t="shared" si="5"/>
        <v>4</v>
      </c>
      <c r="B14" t="s">
        <v>108</v>
      </c>
      <c r="C14" s="481">
        <v>41</v>
      </c>
      <c r="D14" s="60">
        <v>62517991.156948164</v>
      </c>
      <c r="E14" s="61">
        <v>17786398.291046247</v>
      </c>
      <c r="F14" s="62">
        <f t="shared" si="0"/>
        <v>0.28450047677306872</v>
      </c>
      <c r="G14" s="490">
        <v>62798375</v>
      </c>
      <c r="H14" s="63">
        <f t="shared" si="2"/>
        <v>17866167.628073961</v>
      </c>
      <c r="I14" s="67">
        <v>33308110.090000004</v>
      </c>
      <c r="J14" s="67">
        <v>-3691288.48</v>
      </c>
      <c r="K14" s="67">
        <v>4293577.3493186645</v>
      </c>
      <c r="L14" s="67">
        <v>2295908.5900000003</v>
      </c>
      <c r="M14" s="67">
        <v>343507.11125000002</v>
      </c>
      <c r="N14" s="61">
        <f>'Sch. 129D'!G14</f>
        <v>422005.08</v>
      </c>
      <c r="O14" s="67">
        <v>461568.05625000002</v>
      </c>
      <c r="P14" s="67">
        <v>-96709.497500000012</v>
      </c>
      <c r="Q14" s="67">
        <v>1741623.2724332651</v>
      </c>
      <c r="R14" s="67">
        <v>-79125.952499999985</v>
      </c>
      <c r="S14" s="67">
        <v>4395.8862499999996</v>
      </c>
      <c r="T14" s="67">
        <v>2001384.2112500002</v>
      </c>
      <c r="U14" s="67">
        <v>-709092.54999999993</v>
      </c>
      <c r="V14" s="64">
        <f t="shared" si="1"/>
        <v>58162030.794825889</v>
      </c>
      <c r="W14" s="61">
        <f>'Sch. 129D'!I14</f>
        <v>-422005.08</v>
      </c>
      <c r="X14" s="65">
        <f t="shared" si="3"/>
        <v>57740025.714825891</v>
      </c>
      <c r="Y14" s="66">
        <f t="shared" si="4"/>
        <v>-7.2556799381486127E-3</v>
      </c>
    </row>
    <row r="15" spans="1:25" x14ac:dyDescent="0.25">
      <c r="A15" s="481">
        <f t="shared" si="5"/>
        <v>5</v>
      </c>
      <c r="B15" t="s">
        <v>36</v>
      </c>
      <c r="C15" s="481">
        <v>85</v>
      </c>
      <c r="D15" s="60">
        <v>19992939.502740219</v>
      </c>
      <c r="E15" s="61">
        <v>2272313.06</v>
      </c>
      <c r="F15" s="62">
        <f t="shared" si="0"/>
        <v>0.11365577631486147</v>
      </c>
      <c r="G15" s="490">
        <v>17393753</v>
      </c>
      <c r="H15" s="63">
        <f t="shared" si="2"/>
        <v>1976900.5002439506</v>
      </c>
      <c r="I15" s="67">
        <v>8634381.2799999993</v>
      </c>
      <c r="J15" s="67">
        <v>-1020839.36</v>
      </c>
      <c r="K15" s="67">
        <v>1596769.8470442712</v>
      </c>
      <c r="L15" s="67">
        <v>572776.28628999996</v>
      </c>
      <c r="M15" s="67">
        <v>44665.084343310315</v>
      </c>
      <c r="N15" s="61">
        <f>'Sch. 129D'!G21</f>
        <v>56210.480414067439</v>
      </c>
      <c r="O15" s="67">
        <v>67139.886580000006</v>
      </c>
      <c r="P15" s="67">
        <v>-22437.941369999997</v>
      </c>
      <c r="Q15" s="67">
        <v>852194.97353110975</v>
      </c>
      <c r="R15" s="67">
        <v>-9914.4392100000023</v>
      </c>
      <c r="S15" s="67">
        <v>1391.5002400000001</v>
      </c>
      <c r="T15" s="67">
        <v>337264.87067000003</v>
      </c>
      <c r="U15" s="67"/>
      <c r="V15" s="64">
        <f t="shared" si="1"/>
        <v>13086502.96877671</v>
      </c>
      <c r="W15" s="61">
        <f>'Sch. 129D'!I21</f>
        <v>-56210.480414067439</v>
      </c>
      <c r="X15" s="65">
        <f t="shared" si="3"/>
        <v>13030292.488362642</v>
      </c>
      <c r="Y15" s="66">
        <f t="shared" si="4"/>
        <v>-4.2953018501719594E-3</v>
      </c>
    </row>
    <row r="16" spans="1:25" x14ac:dyDescent="0.25">
      <c r="A16" s="481">
        <f t="shared" si="5"/>
        <v>6</v>
      </c>
      <c r="B16" t="s">
        <v>109</v>
      </c>
      <c r="C16" s="481">
        <v>86</v>
      </c>
      <c r="D16" s="60">
        <v>5773170.4876905456</v>
      </c>
      <c r="E16" s="61">
        <v>1192875.52</v>
      </c>
      <c r="F16" s="62">
        <f t="shared" si="0"/>
        <v>0.20662398980654192</v>
      </c>
      <c r="G16" s="490">
        <v>5008156</v>
      </c>
      <c r="H16" s="63">
        <f t="shared" si="2"/>
        <v>1034805.1742935717</v>
      </c>
      <c r="I16" s="67">
        <v>2523032.5500000003</v>
      </c>
      <c r="J16" s="67">
        <v>-294028.84000000003</v>
      </c>
      <c r="K16" s="67">
        <v>422338.23631676822</v>
      </c>
      <c r="L16" s="67">
        <v>164918.57708000002</v>
      </c>
      <c r="M16" s="67">
        <v>20984.173640000001</v>
      </c>
      <c r="N16" s="61">
        <f>'Sch. 129D'!G23</f>
        <v>24940.616880000001</v>
      </c>
      <c r="O16" s="67">
        <v>25591.677159999999</v>
      </c>
      <c r="P16" s="67">
        <v>-1752.8546000000003</v>
      </c>
      <c r="Q16" s="67">
        <v>208322.4932353904</v>
      </c>
      <c r="R16" s="67">
        <v>-4357.0957199999993</v>
      </c>
      <c r="S16" s="67">
        <v>300.48936000000003</v>
      </c>
      <c r="T16" s="67">
        <v>80380.903799999985</v>
      </c>
      <c r="U16" s="67">
        <v>-41367.880000000005</v>
      </c>
      <c r="V16" s="64">
        <f t="shared" si="1"/>
        <v>4164108.2214457309</v>
      </c>
      <c r="W16" s="61">
        <f>'Sch. 129D'!I23</f>
        <v>-24940.616880000001</v>
      </c>
      <c r="X16" s="65">
        <f t="shared" si="3"/>
        <v>4139167.6045657308</v>
      </c>
      <c r="Y16" s="66">
        <f t="shared" si="4"/>
        <v>-5.9894257194259238E-3</v>
      </c>
    </row>
    <row r="17" spans="1:25" x14ac:dyDescent="0.25">
      <c r="A17" s="481">
        <f t="shared" si="5"/>
        <v>7</v>
      </c>
      <c r="B17" t="s">
        <v>110</v>
      </c>
      <c r="C17" s="481">
        <v>87</v>
      </c>
      <c r="D17" s="60">
        <v>21819455.762355208</v>
      </c>
      <c r="E17" s="61">
        <v>1509849.77</v>
      </c>
      <c r="F17" s="62">
        <f>(E17)/D17</f>
        <v>6.9197407416775353E-2</v>
      </c>
      <c r="G17" s="490">
        <v>18251688</v>
      </c>
      <c r="H17" s="63">
        <f t="shared" si="2"/>
        <v>1262969.4905798696</v>
      </c>
      <c r="I17" s="67">
        <v>8954460.6500000004</v>
      </c>
      <c r="J17" s="67">
        <v>-1071009.05</v>
      </c>
      <c r="K17" s="67">
        <v>-207319.2508557121</v>
      </c>
      <c r="L17" s="67">
        <v>601028.08584000007</v>
      </c>
      <c r="M17" s="67">
        <v>18781.845997168857</v>
      </c>
      <c r="N17" s="61">
        <f>'Sch. 129D'!G33</f>
        <v>24240.063587347402</v>
      </c>
      <c r="O17" s="67">
        <v>38693.578560000002</v>
      </c>
      <c r="P17" s="67">
        <v>-9839.8867071706336</v>
      </c>
      <c r="Q17" s="67">
        <v>343451.93966006738</v>
      </c>
      <c r="R17" s="67">
        <v>-5363.7681534311187</v>
      </c>
      <c r="S17" s="67">
        <v>1642.65192</v>
      </c>
      <c r="T17" s="67">
        <v>162525.73920033651</v>
      </c>
      <c r="U17" s="67"/>
      <c r="V17" s="64">
        <f t="shared" si="1"/>
        <v>10114262.089628477</v>
      </c>
      <c r="W17" s="61">
        <f>'Sch. 129D'!I33</f>
        <v>-24240.063587347402</v>
      </c>
      <c r="X17" s="65">
        <f t="shared" si="3"/>
        <v>10090022.02604113</v>
      </c>
      <c r="Y17" s="66">
        <f>W17/V17</f>
        <v>-2.3966220543369175E-3</v>
      </c>
    </row>
    <row r="18" spans="1:25" x14ac:dyDescent="0.25">
      <c r="A18" s="481">
        <f t="shared" si="5"/>
        <v>8</v>
      </c>
      <c r="B18" t="s">
        <v>111</v>
      </c>
      <c r="C18" s="481" t="s">
        <v>112</v>
      </c>
      <c r="D18" s="60">
        <v>36958.529999999992</v>
      </c>
      <c r="E18" s="61">
        <v>23981.98</v>
      </c>
      <c r="F18" s="62">
        <f>(E18)/D18</f>
        <v>0.64888890331947735</v>
      </c>
      <c r="G18" s="490">
        <v>0</v>
      </c>
      <c r="H18" s="63">
        <f t="shared" si="2"/>
        <v>0</v>
      </c>
      <c r="I18" s="67"/>
      <c r="J18" s="67"/>
      <c r="K18" s="67">
        <v>0</v>
      </c>
      <c r="L18" s="67"/>
      <c r="M18" s="67">
        <v>0</v>
      </c>
      <c r="N18" s="61">
        <f>'Sch. 129D'!G12</f>
        <v>0</v>
      </c>
      <c r="O18" s="67">
        <v>0</v>
      </c>
      <c r="P18" s="67"/>
      <c r="Q18" s="67"/>
      <c r="R18" s="67">
        <v>0</v>
      </c>
      <c r="S18" s="67">
        <v>0</v>
      </c>
      <c r="T18" s="67">
        <v>0</v>
      </c>
      <c r="U18" s="67">
        <v>0</v>
      </c>
      <c r="V18" s="64">
        <f t="shared" si="1"/>
        <v>0</v>
      </c>
      <c r="W18" s="61">
        <f>'Sch. 129D'!I12</f>
        <v>0</v>
      </c>
      <c r="X18" s="65">
        <f t="shared" si="3"/>
        <v>0</v>
      </c>
      <c r="Y18" s="66">
        <f>W13/(V13-I13-J13-L13-P13-Q13)</f>
        <v>-1.8654857440066838E-2</v>
      </c>
    </row>
    <row r="19" spans="1:25" x14ac:dyDescent="0.25">
      <c r="A19" s="481">
        <f t="shared" si="5"/>
        <v>9</v>
      </c>
      <c r="B19" t="s">
        <v>113</v>
      </c>
      <c r="C19" s="481" t="s">
        <v>114</v>
      </c>
      <c r="D19" s="60">
        <v>19494505.608019032</v>
      </c>
      <c r="E19" s="61">
        <v>4475398.7622919884</v>
      </c>
      <c r="F19" s="62">
        <f t="shared" ref="F19:F25" si="6">(E19)/D19</f>
        <v>0.22957231397810063</v>
      </c>
      <c r="G19" s="490">
        <v>21115855</v>
      </c>
      <c r="H19" s="63">
        <f>F19*G19</f>
        <v>4847615.6939760456</v>
      </c>
      <c r="I19" s="67"/>
      <c r="J19" s="67"/>
      <c r="K19" s="67">
        <v>1521000.7446500007</v>
      </c>
      <c r="L19" s="67"/>
      <c r="M19" s="67">
        <v>115503.72685000001</v>
      </c>
      <c r="N19" s="61">
        <f>'Sch. 129D'!G15</f>
        <v>141898.54560000001</v>
      </c>
      <c r="O19" s="67">
        <v>155201.53425000003</v>
      </c>
      <c r="P19" s="67"/>
      <c r="Q19" s="67"/>
      <c r="R19" s="67">
        <v>-44343.2955</v>
      </c>
      <c r="S19" s="67">
        <v>1478.1098499999998</v>
      </c>
      <c r="T19" s="67">
        <v>672962.29885000002</v>
      </c>
      <c r="U19" s="67">
        <v>-209266.58000000002</v>
      </c>
      <c r="V19" s="64">
        <f t="shared" si="1"/>
        <v>7202050.7785260454</v>
      </c>
      <c r="W19" s="61">
        <f>'Sch. 129D'!I15</f>
        <v>-141898.54560000001</v>
      </c>
      <c r="X19" s="65">
        <f t="shared" si="3"/>
        <v>7060152.2329260455</v>
      </c>
      <c r="Y19" s="66">
        <f t="shared" si="4"/>
        <v>-1.9702519457803745E-2</v>
      </c>
    </row>
    <row r="20" spans="1:25" x14ac:dyDescent="0.25">
      <c r="A20" s="481">
        <f t="shared" si="5"/>
        <v>10</v>
      </c>
      <c r="B20" t="s">
        <v>115</v>
      </c>
      <c r="C20" s="481" t="s">
        <v>47</v>
      </c>
      <c r="D20" s="60">
        <v>68886791.019958794</v>
      </c>
      <c r="E20" s="61">
        <v>7339677.3100000005</v>
      </c>
      <c r="F20" s="62">
        <f t="shared" si="6"/>
        <v>0.1065469475544804</v>
      </c>
      <c r="G20" s="490">
        <v>55843995</v>
      </c>
      <c r="H20" s="63">
        <f t="shared" si="2"/>
        <v>5950007.2064976655</v>
      </c>
      <c r="I20" s="67"/>
      <c r="J20" s="67"/>
      <c r="K20" s="67">
        <v>3649486.4019099995</v>
      </c>
      <c r="L20" s="67"/>
      <c r="M20" s="67">
        <v>136830.83991976644</v>
      </c>
      <c r="N20" s="61">
        <f>'Sch. 129D'!G39</f>
        <v>172306.98853675899</v>
      </c>
      <c r="O20" s="67">
        <v>215557.82070000004</v>
      </c>
      <c r="P20" s="67"/>
      <c r="Q20" s="67"/>
      <c r="R20" s="67">
        <v>-71480.313600000009</v>
      </c>
      <c r="S20" s="67">
        <v>4467.5196000000005</v>
      </c>
      <c r="T20" s="67">
        <v>1082815.06305</v>
      </c>
      <c r="U20" s="67"/>
      <c r="V20" s="64">
        <f t="shared" si="1"/>
        <v>11139991.526614191</v>
      </c>
      <c r="W20" s="61">
        <f>'Sch. 129D'!I39</f>
        <v>-172306.98853675899</v>
      </c>
      <c r="X20" s="65">
        <f t="shared" si="3"/>
        <v>10967684.538077433</v>
      </c>
      <c r="Y20" s="66">
        <f t="shared" si="4"/>
        <v>-1.5467425457650123E-2</v>
      </c>
    </row>
    <row r="21" spans="1:25" x14ac:dyDescent="0.25">
      <c r="A21" s="481">
        <f t="shared" si="5"/>
        <v>11</v>
      </c>
      <c r="B21" t="s">
        <v>116</v>
      </c>
      <c r="C21" s="481" t="s">
        <v>117</v>
      </c>
      <c r="D21" s="60">
        <v>1718484.3400000003</v>
      </c>
      <c r="E21" s="61">
        <v>367155.5</v>
      </c>
      <c r="F21" s="62">
        <f t="shared" si="6"/>
        <v>0.21365076856039314</v>
      </c>
      <c r="G21" s="490">
        <v>1371245</v>
      </c>
      <c r="H21" s="63">
        <f t="shared" si="2"/>
        <v>292967.54813459626</v>
      </c>
      <c r="I21" s="67"/>
      <c r="J21" s="67"/>
      <c r="K21" s="67">
        <v>183381.72834999999</v>
      </c>
      <c r="L21" s="67"/>
      <c r="M21" s="67">
        <v>5745.5165500000003</v>
      </c>
      <c r="N21" s="61">
        <f>'Sch. 129D'!G24</f>
        <v>6828.8001000000004</v>
      </c>
      <c r="O21" s="67">
        <v>7007.0619500000003</v>
      </c>
      <c r="P21" s="67"/>
      <c r="Q21" s="67"/>
      <c r="R21" s="67">
        <v>-1453.5197000000001</v>
      </c>
      <c r="S21" s="67">
        <v>82.274699999999996</v>
      </c>
      <c r="T21" s="67">
        <v>22008.482249999997</v>
      </c>
      <c r="U21" s="67">
        <v>-10271.129999999999</v>
      </c>
      <c r="V21" s="64">
        <f t="shared" si="1"/>
        <v>506296.76233459625</v>
      </c>
      <c r="W21" s="61">
        <f>'Sch. 129D'!I24</f>
        <v>-6828.8001000000004</v>
      </c>
      <c r="X21" s="65">
        <f t="shared" si="3"/>
        <v>499467.96223459626</v>
      </c>
      <c r="Y21" s="66">
        <f t="shared" si="4"/>
        <v>-1.3487741988535673E-2</v>
      </c>
    </row>
    <row r="22" spans="1:25" x14ac:dyDescent="0.25">
      <c r="A22" s="481">
        <f t="shared" si="5"/>
        <v>12</v>
      </c>
      <c r="B22" t="s">
        <v>118</v>
      </c>
      <c r="C22" s="481" t="s">
        <v>119</v>
      </c>
      <c r="D22" s="60">
        <v>97500425.645479575</v>
      </c>
      <c r="E22" s="61">
        <v>4790056.76</v>
      </c>
      <c r="F22" s="62">
        <f>(E22)/D22</f>
        <v>4.9128572806616068E-2</v>
      </c>
      <c r="G22" s="490">
        <v>74039109</v>
      </c>
      <c r="H22" s="63">
        <f t="shared" si="2"/>
        <v>3637435.7570434832</v>
      </c>
      <c r="I22" s="67"/>
      <c r="J22" s="67"/>
      <c r="K22" s="67">
        <v>696716.98142790096</v>
      </c>
      <c r="L22" s="67"/>
      <c r="M22" s="67">
        <v>59228.836960147804</v>
      </c>
      <c r="N22" s="61">
        <f>'Sch. 129D'!G48</f>
        <v>77246.987013374703</v>
      </c>
      <c r="O22" s="67">
        <v>156962.91107999999</v>
      </c>
      <c r="P22" s="67"/>
      <c r="Q22" s="67"/>
      <c r="R22" s="67">
        <v>-31230.436366332655</v>
      </c>
      <c r="S22" s="67">
        <v>6663.5198100000007</v>
      </c>
      <c r="T22" s="67">
        <v>959914.99845580431</v>
      </c>
      <c r="U22" s="67"/>
      <c r="V22" s="64">
        <f>SUM(H22:U22)</f>
        <v>5562939.5554243792</v>
      </c>
      <c r="W22" s="61">
        <f>'Sch. 129D'!I48</f>
        <v>-77246.987013374703</v>
      </c>
      <c r="X22" s="65">
        <f t="shared" si="3"/>
        <v>5485692.5684110047</v>
      </c>
      <c r="Y22" s="66">
        <f t="shared" si="4"/>
        <v>-1.388600150042108E-2</v>
      </c>
    </row>
    <row r="23" spans="1:25" x14ac:dyDescent="0.25">
      <c r="A23" s="481">
        <f t="shared" si="5"/>
        <v>13</v>
      </c>
      <c r="B23" t="s">
        <v>120</v>
      </c>
      <c r="C23" s="481" t="s">
        <v>121</v>
      </c>
      <c r="D23" s="60">
        <v>44508541</v>
      </c>
      <c r="E23" s="61">
        <v>195933.21000000002</v>
      </c>
      <c r="F23" s="62">
        <f>(E23)/D23</f>
        <v>4.4021485673951888E-3</v>
      </c>
      <c r="G23" s="490">
        <v>33595800</v>
      </c>
      <c r="H23" s="63">
        <f t="shared" si="2"/>
        <v>147893.70284049527</v>
      </c>
      <c r="I23" s="67"/>
      <c r="J23" s="67"/>
      <c r="K23" s="67">
        <v>-75390.083230799995</v>
      </c>
      <c r="L23" s="67"/>
      <c r="M23" s="67">
        <v>19021.067999999999</v>
      </c>
      <c r="N23" s="61">
        <f>'Sch. 129D'!G57</f>
        <v>24843.48</v>
      </c>
      <c r="O23" s="67">
        <v>71223.09599999999</v>
      </c>
      <c r="P23" s="67">
        <v>3741778.0260000001</v>
      </c>
      <c r="Q23" s="67"/>
      <c r="R23" s="67">
        <v>-6212.7060000000001</v>
      </c>
      <c r="S23" s="67">
        <v>3023.6220000000003</v>
      </c>
      <c r="T23" s="67">
        <v>159796.25399999999</v>
      </c>
      <c r="U23" s="67"/>
      <c r="V23" s="64">
        <f>SUM(H23:U23)</f>
        <v>4085976.4596096957</v>
      </c>
      <c r="W23" s="61">
        <f>'Sch. 129D'!I57</f>
        <v>-24843.48</v>
      </c>
      <c r="X23" s="65">
        <f t="shared" si="3"/>
        <v>4061132.9796096957</v>
      </c>
      <c r="Y23" s="66">
        <f t="shared" si="4"/>
        <v>-6.0801818722110599E-3</v>
      </c>
    </row>
    <row r="24" spans="1:25" x14ac:dyDescent="0.25">
      <c r="A24" s="481">
        <f t="shared" si="5"/>
        <v>14</v>
      </c>
      <c r="B24" t="s">
        <v>122</v>
      </c>
      <c r="D24" s="60">
        <v>32154478.538398605</v>
      </c>
      <c r="E24" s="61">
        <v>1699064.4523564125</v>
      </c>
      <c r="F24" s="68">
        <f t="shared" si="6"/>
        <v>5.2840678175744761E-2</v>
      </c>
      <c r="G24" s="490">
        <v>34046817</v>
      </c>
      <c r="H24" s="63">
        <f t="shared" si="2"/>
        <v>1799056.9000054756</v>
      </c>
      <c r="I24" s="67"/>
      <c r="J24" s="67"/>
      <c r="K24" s="67">
        <v>1551828.9448525999</v>
      </c>
      <c r="L24" s="67"/>
      <c r="M24" s="67"/>
      <c r="N24" s="61"/>
      <c r="O24" s="67">
        <v>24854.176410000004</v>
      </c>
      <c r="P24" s="67"/>
      <c r="Q24" s="67"/>
      <c r="R24" s="67">
        <v>0</v>
      </c>
      <c r="S24" s="67">
        <v>3404.6817000000001</v>
      </c>
      <c r="T24" s="67">
        <v>0</v>
      </c>
      <c r="U24" s="67"/>
      <c r="V24" s="64">
        <f t="shared" si="1"/>
        <v>3379144.7029680754</v>
      </c>
      <c r="W24" s="61"/>
      <c r="X24" s="65">
        <f t="shared" si="3"/>
        <v>3379144.7029680754</v>
      </c>
      <c r="Y24" s="66">
        <f t="shared" si="4"/>
        <v>0</v>
      </c>
    </row>
    <row r="25" spans="1:25" x14ac:dyDescent="0.25">
      <c r="A25" s="481">
        <f t="shared" si="5"/>
        <v>15</v>
      </c>
      <c r="B25" t="s">
        <v>40</v>
      </c>
      <c r="D25" s="69">
        <f>SUM(D11:D24)</f>
        <v>1217415528.060853</v>
      </c>
      <c r="E25" s="70">
        <f>SUM(E11:E24)</f>
        <v>567392394.92043555</v>
      </c>
      <c r="F25" s="62">
        <f t="shared" si="6"/>
        <v>0.46606305065305048</v>
      </c>
      <c r="G25" s="69">
        <f>SUM(G11:G24)</f>
        <v>1114566181</v>
      </c>
      <c r="H25" s="70">
        <f>SUM(H11:H24)</f>
        <v>530053309.016855</v>
      </c>
      <c r="I25" s="70">
        <f t="shared" ref="I25:L25" si="7">SUM(I11:I24)</f>
        <v>489677652.68000001</v>
      </c>
      <c r="J25" s="70">
        <f t="shared" si="7"/>
        <v>-52615363.579999998</v>
      </c>
      <c r="K25" s="70">
        <f t="shared" si="7"/>
        <v>63778103.909311898</v>
      </c>
      <c r="L25" s="70">
        <f t="shared" si="7"/>
        <v>32557298.28449</v>
      </c>
      <c r="M25" s="70">
        <f>SUM(M11:M24)</f>
        <v>10655749.208770392</v>
      </c>
      <c r="N25" s="70">
        <f>SUM(N11:N24)</f>
        <v>13057321.927791549</v>
      </c>
      <c r="O25" s="70">
        <f>SUM(O11:O24)</f>
        <v>14736584.366280001</v>
      </c>
      <c r="P25" s="70">
        <f>SUM(P11:P24)</f>
        <v>1911957.3688028296</v>
      </c>
      <c r="Q25" s="70">
        <f>SUM(Q11:Q24)</f>
        <v>38500123.828119829</v>
      </c>
      <c r="R25" s="70">
        <f t="shared" ref="R25:V25" si="8">SUM(R11:R24)</f>
        <v>-3026928.0251797633</v>
      </c>
      <c r="S25" s="70">
        <f t="shared" si="8"/>
        <v>91158.950920000003</v>
      </c>
      <c r="T25" s="70">
        <f t="shared" si="8"/>
        <v>61593622.195746146</v>
      </c>
      <c r="U25" s="70">
        <f t="shared" si="8"/>
        <v>24147981.880000003</v>
      </c>
      <c r="V25" s="71">
        <f t="shared" si="8"/>
        <v>1225118572.0119081</v>
      </c>
      <c r="W25" s="70">
        <f>SUM(W11:W24)</f>
        <v>-13057321.927791549</v>
      </c>
      <c r="X25" s="70">
        <f>SUM(X11:X24)</f>
        <v>1212061250.0841162</v>
      </c>
      <c r="Y25" s="72">
        <f t="shared" si="4"/>
        <v>-1.0658006682854068E-2</v>
      </c>
    </row>
    <row r="26" spans="1:25" x14ac:dyDescent="0.25">
      <c r="A26" s="481"/>
      <c r="D26" s="73"/>
      <c r="E26" s="63"/>
      <c r="G26" s="73"/>
      <c r="M26" s="63"/>
      <c r="N26" s="63"/>
      <c r="U26" s="63"/>
      <c r="V26" s="63"/>
      <c r="Y26" s="74"/>
    </row>
    <row r="27" spans="1:25" s="79" customFormat="1" x14ac:dyDescent="0.25">
      <c r="A27" s="481"/>
      <c r="B27" s="75" t="s">
        <v>123</v>
      </c>
      <c r="C27" s="76"/>
      <c r="D27" s="77"/>
      <c r="E27" s="78"/>
      <c r="W27" s="80"/>
      <c r="X27" s="80"/>
      <c r="Y27" s="81"/>
    </row>
    <row r="28" spans="1:25" s="79" customFormat="1" x14ac:dyDescent="0.25">
      <c r="A28" s="481">
        <f>A25+1</f>
        <v>16</v>
      </c>
      <c r="B28" s="82" t="s">
        <v>30</v>
      </c>
      <c r="C28" s="83" t="s">
        <v>124</v>
      </c>
      <c r="D28" s="84">
        <f>D11+D12</f>
        <v>620844874.32387137</v>
      </c>
      <c r="E28" s="85">
        <f>E11+E12</f>
        <v>403618690.2447409</v>
      </c>
      <c r="F28" s="62">
        <f t="shared" ref="F28:F36" si="9">(E28)/D28</f>
        <v>0.65011197955737365</v>
      </c>
      <c r="G28" s="84">
        <f>G11+G12</f>
        <v>561420407</v>
      </c>
      <c r="H28" s="85">
        <f>H11+H12</f>
        <v>364986146.11825782</v>
      </c>
      <c r="I28" s="85">
        <f t="shared" ref="I28:U28" si="10">I11+I12</f>
        <v>310645139.60000002</v>
      </c>
      <c r="J28" s="85">
        <f t="shared" si="10"/>
        <v>-33028362.550000001</v>
      </c>
      <c r="K28" s="85">
        <f t="shared" si="10"/>
        <v>33107550.0773964</v>
      </c>
      <c r="L28" s="85">
        <f t="shared" si="10"/>
        <v>20525530.079919998</v>
      </c>
      <c r="M28" s="85">
        <f t="shared" si="10"/>
        <v>7348912.5455899993</v>
      </c>
      <c r="N28" s="85">
        <f t="shared" si="10"/>
        <v>8960171.4459599983</v>
      </c>
      <c r="O28" s="85">
        <f t="shared" si="10"/>
        <v>9403791.8172499985</v>
      </c>
      <c r="P28" s="85">
        <f t="shared" si="10"/>
        <v>-1235124.8953999998</v>
      </c>
      <c r="Q28" s="85">
        <f t="shared" si="10"/>
        <v>26240789.823179998</v>
      </c>
      <c r="R28" s="85">
        <f t="shared" si="10"/>
        <v>-2015499.2611299995</v>
      </c>
      <c r="S28" s="85">
        <f t="shared" si="10"/>
        <v>50527.836630000005</v>
      </c>
      <c r="T28" s="85">
        <f t="shared" si="10"/>
        <v>40804035.180759996</v>
      </c>
      <c r="U28" s="85">
        <f t="shared" si="10"/>
        <v>24095899.649999999</v>
      </c>
      <c r="V28" s="85">
        <f>V11+V12</f>
        <v>809889507.46841419</v>
      </c>
      <c r="W28" s="63">
        <f>SUM(W11:W12)</f>
        <v>-8960171.4459599983</v>
      </c>
      <c r="X28" s="63">
        <f>SUM(X11:X12)</f>
        <v>800929336.02245414</v>
      </c>
      <c r="Y28" s="66">
        <f>W28/V28</f>
        <v>-1.1063449227744744E-2</v>
      </c>
    </row>
    <row r="29" spans="1:25" s="79" customFormat="1" x14ac:dyDescent="0.25">
      <c r="A29" s="481">
        <f t="shared" si="5"/>
        <v>17</v>
      </c>
      <c r="B29" s="86" t="s">
        <v>32</v>
      </c>
      <c r="C29" s="83" t="s">
        <v>125</v>
      </c>
      <c r="D29" s="84">
        <f t="shared" ref="D29:E33" si="11">D13+D18</f>
        <v>222203870.67539161</v>
      </c>
      <c r="E29" s="85">
        <f t="shared" si="11"/>
        <v>122144982.04000001</v>
      </c>
      <c r="F29" s="62">
        <f t="shared" si="9"/>
        <v>0.54969781430331843</v>
      </c>
      <c r="G29" s="84">
        <f t="shared" ref="G29:V33" si="12">G13+G18</f>
        <v>229680981</v>
      </c>
      <c r="H29" s="85">
        <f t="shared" si="12"/>
        <v>126251343.29690811</v>
      </c>
      <c r="I29" s="85">
        <f t="shared" si="12"/>
        <v>125612528.51000001</v>
      </c>
      <c r="J29" s="85">
        <f t="shared" si="12"/>
        <v>-13509835.300000001</v>
      </c>
      <c r="K29" s="85">
        <f t="shared" si="12"/>
        <v>17038162.932131805</v>
      </c>
      <c r="L29" s="85">
        <f t="shared" si="12"/>
        <v>8397136.66536</v>
      </c>
      <c r="M29" s="85">
        <f t="shared" si="12"/>
        <v>2542568.4596699998</v>
      </c>
      <c r="N29" s="85">
        <f t="shared" si="12"/>
        <v>3146629.4397</v>
      </c>
      <c r="O29" s="85">
        <f t="shared" si="12"/>
        <v>4108992.7500899998</v>
      </c>
      <c r="P29" s="85">
        <f t="shared" si="12"/>
        <v>-463955.58162000001</v>
      </c>
      <c r="Q29" s="85">
        <f t="shared" si="12"/>
        <v>9113741.32608</v>
      </c>
      <c r="R29" s="85">
        <f t="shared" si="12"/>
        <v>-757947.23730000004</v>
      </c>
      <c r="S29" s="85">
        <f t="shared" si="12"/>
        <v>13780.85886</v>
      </c>
      <c r="T29" s="85">
        <f t="shared" si="12"/>
        <v>15310534.193459999</v>
      </c>
      <c r="U29" s="85">
        <f t="shared" si="12"/>
        <v>1022080.37</v>
      </c>
      <c r="V29" s="85">
        <f t="shared" si="12"/>
        <v>297825760.68334001</v>
      </c>
      <c r="W29" s="63">
        <f t="shared" ref="W29:X33" si="13">SUM(W13,W18)</f>
        <v>-3146629.4397</v>
      </c>
      <c r="X29" s="63">
        <f t="shared" si="13"/>
        <v>294679131.24364001</v>
      </c>
      <c r="Y29" s="66">
        <f t="shared" ref="Y29:Y36" si="14">W29/V29</f>
        <v>-1.056533670049321E-2</v>
      </c>
    </row>
    <row r="30" spans="1:25" s="79" customFormat="1" x14ac:dyDescent="0.25">
      <c r="A30" s="481">
        <f t="shared" si="5"/>
        <v>18</v>
      </c>
      <c r="B30" s="82" t="s">
        <v>34</v>
      </c>
      <c r="C30" s="83" t="s">
        <v>126</v>
      </c>
      <c r="D30" s="84">
        <f t="shared" si="11"/>
        <v>82012496.764967203</v>
      </c>
      <c r="E30" s="85">
        <f t="shared" si="11"/>
        <v>22261797.053338237</v>
      </c>
      <c r="F30" s="62">
        <f t="shared" si="9"/>
        <v>0.27144396197492282</v>
      </c>
      <c r="G30" s="84">
        <f t="shared" si="12"/>
        <v>83914230</v>
      </c>
      <c r="H30" s="85">
        <f t="shared" si="12"/>
        <v>22713783.322050005</v>
      </c>
      <c r="I30" s="85">
        <f t="shared" si="12"/>
        <v>33308110.090000004</v>
      </c>
      <c r="J30" s="85">
        <f t="shared" si="12"/>
        <v>-3691288.48</v>
      </c>
      <c r="K30" s="85">
        <f t="shared" si="12"/>
        <v>5814578.0939686652</v>
      </c>
      <c r="L30" s="85">
        <f t="shared" si="12"/>
        <v>2295908.5900000003</v>
      </c>
      <c r="M30" s="85">
        <f t="shared" si="12"/>
        <v>459010.83810000005</v>
      </c>
      <c r="N30" s="85">
        <f t="shared" si="12"/>
        <v>563903.62560000003</v>
      </c>
      <c r="O30" s="85">
        <f t="shared" si="12"/>
        <v>616769.59050000005</v>
      </c>
      <c r="P30" s="85">
        <f t="shared" si="12"/>
        <v>-96709.497500000012</v>
      </c>
      <c r="Q30" s="85">
        <f t="shared" si="12"/>
        <v>1741623.2724332651</v>
      </c>
      <c r="R30" s="85">
        <f t="shared" si="12"/>
        <v>-123469.24799999999</v>
      </c>
      <c r="S30" s="85">
        <f t="shared" si="12"/>
        <v>5873.9960999999994</v>
      </c>
      <c r="T30" s="85">
        <f t="shared" si="12"/>
        <v>2674346.5101000001</v>
      </c>
      <c r="U30" s="85">
        <f t="shared" si="12"/>
        <v>-918359.12999999989</v>
      </c>
      <c r="V30" s="85">
        <f t="shared" si="12"/>
        <v>65364081.573351935</v>
      </c>
      <c r="W30" s="63">
        <f t="shared" si="13"/>
        <v>-563903.62560000003</v>
      </c>
      <c r="X30" s="63">
        <f t="shared" si="13"/>
        <v>64800177.947751939</v>
      </c>
      <c r="Y30" s="66">
        <f t="shared" si="14"/>
        <v>-8.627117707868108E-3</v>
      </c>
    </row>
    <row r="31" spans="1:25" s="79" customFormat="1" x14ac:dyDescent="0.25">
      <c r="A31" s="481">
        <f t="shared" si="5"/>
        <v>19</v>
      </c>
      <c r="B31" s="82" t="s">
        <v>36</v>
      </c>
      <c r="C31" s="83" t="s">
        <v>127</v>
      </c>
      <c r="D31" s="84">
        <f t="shared" si="11"/>
        <v>88879730.522699013</v>
      </c>
      <c r="E31" s="85">
        <f t="shared" si="11"/>
        <v>9611990.370000001</v>
      </c>
      <c r="F31" s="62">
        <f t="shared" si="9"/>
        <v>0.10814603412355298</v>
      </c>
      <c r="G31" s="84">
        <f t="shared" si="12"/>
        <v>73237748</v>
      </c>
      <c r="H31" s="85">
        <f t="shared" si="12"/>
        <v>7926907.7067416161</v>
      </c>
      <c r="I31" s="85">
        <f t="shared" si="12"/>
        <v>8634381.2799999993</v>
      </c>
      <c r="J31" s="85">
        <f t="shared" si="12"/>
        <v>-1020839.36</v>
      </c>
      <c r="K31" s="85">
        <f t="shared" si="12"/>
        <v>5246256.248954271</v>
      </c>
      <c r="L31" s="85">
        <f t="shared" si="12"/>
        <v>572776.28628999996</v>
      </c>
      <c r="M31" s="85">
        <f t="shared" si="12"/>
        <v>181495.92426307674</v>
      </c>
      <c r="N31" s="85">
        <f t="shared" si="12"/>
        <v>228517.46895082644</v>
      </c>
      <c r="O31" s="85">
        <f t="shared" si="12"/>
        <v>282697.70728000003</v>
      </c>
      <c r="P31" s="85">
        <f t="shared" si="12"/>
        <v>-22437.941369999997</v>
      </c>
      <c r="Q31" s="85">
        <f t="shared" si="12"/>
        <v>852194.97353110975</v>
      </c>
      <c r="R31" s="85">
        <f t="shared" si="12"/>
        <v>-81394.752810000005</v>
      </c>
      <c r="S31" s="85">
        <f t="shared" si="12"/>
        <v>5859.0198400000008</v>
      </c>
      <c r="T31" s="85">
        <f t="shared" si="12"/>
        <v>1420079.9337200001</v>
      </c>
      <c r="U31" s="85">
        <f t="shared" si="12"/>
        <v>0</v>
      </c>
      <c r="V31" s="85">
        <f t="shared" si="12"/>
        <v>24226494.495390899</v>
      </c>
      <c r="W31" s="63">
        <f t="shared" si="13"/>
        <v>-228517.46895082644</v>
      </c>
      <c r="X31" s="63">
        <f t="shared" si="13"/>
        <v>23997977.026440077</v>
      </c>
      <c r="Y31" s="66">
        <f t="shared" si="14"/>
        <v>-9.4325437381913412E-3</v>
      </c>
    </row>
    <row r="32" spans="1:25" s="79" customFormat="1" x14ac:dyDescent="0.25">
      <c r="A32" s="481">
        <f t="shared" si="5"/>
        <v>20</v>
      </c>
      <c r="B32" s="82" t="s">
        <v>128</v>
      </c>
      <c r="C32" s="83" t="s">
        <v>129</v>
      </c>
      <c r="D32" s="84">
        <f t="shared" si="11"/>
        <v>7491654.8276905455</v>
      </c>
      <c r="E32" s="85">
        <f t="shared" si="11"/>
        <v>1560031.02</v>
      </c>
      <c r="F32" s="62">
        <f t="shared" si="9"/>
        <v>0.20823583785972574</v>
      </c>
      <c r="G32" s="84">
        <f t="shared" si="12"/>
        <v>6379401</v>
      </c>
      <c r="H32" s="85">
        <f t="shared" si="12"/>
        <v>1327772.7224281679</v>
      </c>
      <c r="I32" s="85">
        <f t="shared" si="12"/>
        <v>2523032.5500000003</v>
      </c>
      <c r="J32" s="85">
        <f t="shared" si="12"/>
        <v>-294028.84000000003</v>
      </c>
      <c r="K32" s="85">
        <f t="shared" si="12"/>
        <v>605719.96466676821</v>
      </c>
      <c r="L32" s="85">
        <f t="shared" si="12"/>
        <v>164918.57708000002</v>
      </c>
      <c r="M32" s="85">
        <f t="shared" si="12"/>
        <v>26729.690190000001</v>
      </c>
      <c r="N32" s="85">
        <f t="shared" si="12"/>
        <v>31769.416980000002</v>
      </c>
      <c r="O32" s="85">
        <f t="shared" si="12"/>
        <v>32598.739109999999</v>
      </c>
      <c r="P32" s="85">
        <f t="shared" si="12"/>
        <v>-1752.8546000000003</v>
      </c>
      <c r="Q32" s="85">
        <f t="shared" si="12"/>
        <v>208322.4932353904</v>
      </c>
      <c r="R32" s="85">
        <f t="shared" si="12"/>
        <v>-5810.6154199999992</v>
      </c>
      <c r="S32" s="85">
        <f t="shared" si="12"/>
        <v>382.76406000000003</v>
      </c>
      <c r="T32" s="85">
        <f t="shared" si="12"/>
        <v>102389.38604999999</v>
      </c>
      <c r="U32" s="85">
        <f t="shared" si="12"/>
        <v>-51639.01</v>
      </c>
      <c r="V32" s="85">
        <f t="shared" si="12"/>
        <v>4670404.9837803273</v>
      </c>
      <c r="W32" s="63">
        <f t="shared" si="13"/>
        <v>-31769.416980000002</v>
      </c>
      <c r="X32" s="63">
        <f t="shared" si="13"/>
        <v>4638635.566800327</v>
      </c>
      <c r="Y32" s="66">
        <f t="shared" si="14"/>
        <v>-6.8022831189866418E-3</v>
      </c>
    </row>
    <row r="33" spans="1:25" s="79" customFormat="1" x14ac:dyDescent="0.25">
      <c r="A33" s="481">
        <f t="shared" si="5"/>
        <v>21</v>
      </c>
      <c r="B33" s="87" t="s">
        <v>130</v>
      </c>
      <c r="C33" s="83" t="s">
        <v>131</v>
      </c>
      <c r="D33" s="84">
        <f t="shared" si="11"/>
        <v>119319881.40783478</v>
      </c>
      <c r="E33" s="85">
        <f t="shared" si="11"/>
        <v>6299906.5299999993</v>
      </c>
      <c r="F33" s="62">
        <f t="shared" si="9"/>
        <v>5.2798464561550719E-2</v>
      </c>
      <c r="G33" s="84">
        <f t="shared" si="12"/>
        <v>92290797</v>
      </c>
      <c r="H33" s="85">
        <f t="shared" si="12"/>
        <v>4900405.2476233523</v>
      </c>
      <c r="I33" s="85">
        <f t="shared" si="12"/>
        <v>8954460.6500000004</v>
      </c>
      <c r="J33" s="85">
        <f t="shared" si="12"/>
        <v>-1071009.05</v>
      </c>
      <c r="K33" s="85">
        <f t="shared" si="12"/>
        <v>489397.73057218886</v>
      </c>
      <c r="L33" s="85">
        <f t="shared" si="12"/>
        <v>601028.08584000007</v>
      </c>
      <c r="M33" s="85">
        <f t="shared" si="12"/>
        <v>78010.682957316661</v>
      </c>
      <c r="N33" s="85">
        <f t="shared" si="12"/>
        <v>101487.05060072211</v>
      </c>
      <c r="O33" s="85">
        <f t="shared" si="12"/>
        <v>195656.48963999999</v>
      </c>
      <c r="P33" s="85">
        <f t="shared" si="12"/>
        <v>-9839.8867071706336</v>
      </c>
      <c r="Q33" s="85">
        <f t="shared" si="12"/>
        <v>343451.93966006738</v>
      </c>
      <c r="R33" s="85">
        <f t="shared" si="12"/>
        <v>-36594.204519763771</v>
      </c>
      <c r="S33" s="85">
        <f t="shared" si="12"/>
        <v>8306.17173</v>
      </c>
      <c r="T33" s="85">
        <f t="shared" si="12"/>
        <v>1122440.7376561407</v>
      </c>
      <c r="U33" s="85">
        <f t="shared" si="12"/>
        <v>0</v>
      </c>
      <c r="V33" s="85">
        <f t="shared" si="12"/>
        <v>15677201.645052856</v>
      </c>
      <c r="W33" s="63">
        <f t="shared" si="13"/>
        <v>-101487.05060072211</v>
      </c>
      <c r="X33" s="63">
        <f t="shared" si="13"/>
        <v>15575714.594452135</v>
      </c>
      <c r="Y33" s="66">
        <f t="shared" si="14"/>
        <v>-6.4735437419565032E-3</v>
      </c>
    </row>
    <row r="34" spans="1:25" s="79" customFormat="1" x14ac:dyDescent="0.25">
      <c r="A34" s="481">
        <f t="shared" si="5"/>
        <v>22</v>
      </c>
      <c r="B34" s="87" t="s">
        <v>132</v>
      </c>
      <c r="C34" s="83" t="s">
        <v>121</v>
      </c>
      <c r="D34" s="84">
        <f>D23</f>
        <v>44508541</v>
      </c>
      <c r="E34" s="85">
        <f>E23</f>
        <v>195933.21000000002</v>
      </c>
      <c r="F34" s="62">
        <f t="shared" si="9"/>
        <v>4.4021485673951888E-3</v>
      </c>
      <c r="G34" s="84">
        <f>G23</f>
        <v>33595800</v>
      </c>
      <c r="H34" s="85">
        <f>H23</f>
        <v>147893.70284049527</v>
      </c>
      <c r="I34" s="85">
        <f t="shared" ref="I34:X35" si="15">I23</f>
        <v>0</v>
      </c>
      <c r="J34" s="85">
        <f t="shared" si="15"/>
        <v>0</v>
      </c>
      <c r="K34" s="85">
        <f t="shared" si="15"/>
        <v>-75390.083230799995</v>
      </c>
      <c r="L34" s="85">
        <f t="shared" si="15"/>
        <v>0</v>
      </c>
      <c r="M34" s="85">
        <f t="shared" si="15"/>
        <v>19021.067999999999</v>
      </c>
      <c r="N34" s="85">
        <f t="shared" si="15"/>
        <v>24843.48</v>
      </c>
      <c r="O34" s="85">
        <f t="shared" si="15"/>
        <v>71223.09599999999</v>
      </c>
      <c r="P34" s="85">
        <f t="shared" si="15"/>
        <v>3741778.0260000001</v>
      </c>
      <c r="Q34" s="85">
        <f t="shared" si="15"/>
        <v>0</v>
      </c>
      <c r="R34" s="85">
        <f t="shared" si="15"/>
        <v>-6212.7060000000001</v>
      </c>
      <c r="S34" s="85">
        <f t="shared" si="15"/>
        <v>3023.6220000000003</v>
      </c>
      <c r="T34" s="85">
        <f t="shared" si="15"/>
        <v>159796.25399999999</v>
      </c>
      <c r="U34" s="85">
        <f t="shared" si="15"/>
        <v>0</v>
      </c>
      <c r="V34" s="85">
        <f t="shared" si="15"/>
        <v>4085976.4596096957</v>
      </c>
      <c r="W34" s="63">
        <f t="shared" si="15"/>
        <v>-24843.48</v>
      </c>
      <c r="X34" s="63">
        <f t="shared" si="15"/>
        <v>4061132.9796096957</v>
      </c>
      <c r="Y34" s="66">
        <f t="shared" si="14"/>
        <v>-6.0801818722110599E-3</v>
      </c>
    </row>
    <row r="35" spans="1:25" s="79" customFormat="1" x14ac:dyDescent="0.25">
      <c r="A35" s="481">
        <f t="shared" si="5"/>
        <v>23</v>
      </c>
      <c r="B35" s="87" t="s">
        <v>122</v>
      </c>
      <c r="C35" s="82"/>
      <c r="D35" s="84">
        <f>D24</f>
        <v>32154478.538398605</v>
      </c>
      <c r="E35" s="85">
        <f>E24</f>
        <v>1699064.4523564125</v>
      </c>
      <c r="F35" s="62">
        <f t="shared" si="9"/>
        <v>5.2840678175744761E-2</v>
      </c>
      <c r="G35" s="84">
        <f>G24</f>
        <v>34046817</v>
      </c>
      <c r="H35" s="85">
        <f>H24</f>
        <v>1799056.9000054756</v>
      </c>
      <c r="I35" s="85">
        <f t="shared" si="15"/>
        <v>0</v>
      </c>
      <c r="J35" s="85">
        <f t="shared" si="15"/>
        <v>0</v>
      </c>
      <c r="K35" s="85">
        <f t="shared" si="15"/>
        <v>1551828.9448525999</v>
      </c>
      <c r="L35" s="85">
        <f t="shared" si="15"/>
        <v>0</v>
      </c>
      <c r="M35" s="85">
        <f t="shared" si="15"/>
        <v>0</v>
      </c>
      <c r="N35" s="85">
        <f t="shared" si="15"/>
        <v>0</v>
      </c>
      <c r="O35" s="85">
        <f t="shared" si="15"/>
        <v>24854.176410000004</v>
      </c>
      <c r="P35" s="85">
        <f t="shared" si="15"/>
        <v>0</v>
      </c>
      <c r="Q35" s="85">
        <f t="shared" si="15"/>
        <v>0</v>
      </c>
      <c r="R35" s="85">
        <f t="shared" si="15"/>
        <v>0</v>
      </c>
      <c r="S35" s="85">
        <f t="shared" si="15"/>
        <v>3404.6817000000001</v>
      </c>
      <c r="T35" s="85">
        <f t="shared" si="15"/>
        <v>0</v>
      </c>
      <c r="U35" s="85">
        <f t="shared" si="15"/>
        <v>0</v>
      </c>
      <c r="V35" s="85">
        <f>V24</f>
        <v>3379144.7029680754</v>
      </c>
      <c r="W35" s="63">
        <f>W24</f>
        <v>0</v>
      </c>
      <c r="X35" s="63">
        <f>X24</f>
        <v>3379144.7029680754</v>
      </c>
      <c r="Y35" s="66">
        <f t="shared" si="14"/>
        <v>0</v>
      </c>
    </row>
    <row r="36" spans="1:25" s="79" customFormat="1" x14ac:dyDescent="0.25">
      <c r="A36" s="481">
        <f t="shared" si="5"/>
        <v>24</v>
      </c>
      <c r="B36" s="87" t="s">
        <v>40</v>
      </c>
      <c r="C36" s="87"/>
      <c r="D36" s="88">
        <f>SUM(D28:D35)</f>
        <v>1217415528.0608532</v>
      </c>
      <c r="E36" s="89">
        <f>SUM(E28:E35)</f>
        <v>567392394.92043567</v>
      </c>
      <c r="F36" s="90">
        <f t="shared" si="9"/>
        <v>0.46606305065305048</v>
      </c>
      <c r="G36" s="88">
        <f>SUM(G28:G35)</f>
        <v>1114566181</v>
      </c>
      <c r="H36" s="89">
        <f>SUM(H28:H35)</f>
        <v>530053309.01685494</v>
      </c>
      <c r="I36" s="89">
        <f t="shared" ref="I36:U36" si="16">SUM(I28:I35)</f>
        <v>489677652.68000001</v>
      </c>
      <c r="J36" s="89">
        <f t="shared" si="16"/>
        <v>-52615363.579999998</v>
      </c>
      <c r="K36" s="89">
        <f t="shared" si="16"/>
        <v>63778103.909311898</v>
      </c>
      <c r="L36" s="89">
        <f t="shared" si="16"/>
        <v>32557298.28449</v>
      </c>
      <c r="M36" s="89">
        <f t="shared" si="16"/>
        <v>10655749.208770391</v>
      </c>
      <c r="N36" s="89">
        <f t="shared" si="16"/>
        <v>13057321.927791549</v>
      </c>
      <c r="O36" s="89">
        <f t="shared" si="16"/>
        <v>14736584.366280001</v>
      </c>
      <c r="P36" s="89">
        <f t="shared" si="16"/>
        <v>1911957.3688028296</v>
      </c>
      <c r="Q36" s="89">
        <f t="shared" si="16"/>
        <v>38500123.828119829</v>
      </c>
      <c r="R36" s="89">
        <f t="shared" si="16"/>
        <v>-3026928.0251797633</v>
      </c>
      <c r="S36" s="89">
        <f t="shared" si="16"/>
        <v>91158.950920000003</v>
      </c>
      <c r="T36" s="89">
        <f t="shared" si="16"/>
        <v>61593622.195746139</v>
      </c>
      <c r="U36" s="89">
        <f t="shared" si="16"/>
        <v>24147981.879999999</v>
      </c>
      <c r="V36" s="89">
        <f>SUM(V28:V35)</f>
        <v>1225118572.0119081</v>
      </c>
      <c r="W36" s="70">
        <f>SUM(W28:W35)</f>
        <v>-13057321.927791549</v>
      </c>
      <c r="X36" s="70">
        <f>SUM(X28:X35)</f>
        <v>1212061250.0841167</v>
      </c>
      <c r="Y36" s="72">
        <f t="shared" si="14"/>
        <v>-1.0658006682854068E-2</v>
      </c>
    </row>
    <row r="37" spans="1:25" s="79" customFormat="1" x14ac:dyDescent="0.25">
      <c r="B37" s="91"/>
      <c r="C37" s="91"/>
      <c r="D37" s="91"/>
      <c r="E37" s="91"/>
      <c r="F37" s="91"/>
      <c r="I37" s="92"/>
      <c r="M37" s="91"/>
      <c r="N37" s="91"/>
      <c r="P37" s="91"/>
      <c r="Q37" s="91"/>
      <c r="R37" s="91"/>
      <c r="S37" s="91"/>
      <c r="T37" s="91"/>
      <c r="U37" s="91"/>
      <c r="V37" s="91"/>
      <c r="W37" s="93"/>
      <c r="X37" s="93"/>
    </row>
    <row r="38" spans="1:25" ht="17.25" x14ac:dyDescent="0.25">
      <c r="B38" t="s">
        <v>133</v>
      </c>
    </row>
    <row r="39" spans="1:25" ht="17.25" x14ac:dyDescent="0.25">
      <c r="B39" t="s">
        <v>308</v>
      </c>
    </row>
    <row r="41" spans="1:25" x14ac:dyDescent="0.25">
      <c r="B41" s="94" t="s">
        <v>134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485">
        <v>1.6391277313232422E-7</v>
      </c>
    </row>
  </sheetData>
  <printOptions horizontalCentered="1"/>
  <pageMargins left="0.45" right="0.45" top="0.75" bottom="0.75" header="0.3" footer="0.3"/>
  <pageSetup paperSize="5" scale="4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="90" zoomScaleNormal="90" workbookViewId="0">
      <pane ySplit="8" topLeftCell="A9" activePane="bottomLeft" state="frozen"/>
      <selection activeCell="E26" sqref="E26"/>
      <selection pane="bottomLeft" activeCell="K51" sqref="K51"/>
    </sheetView>
  </sheetViews>
  <sheetFormatPr defaultColWidth="8.85546875" defaultRowHeight="12.75" x14ac:dyDescent="0.2"/>
  <cols>
    <col min="1" max="1" width="4.5703125" style="6" customWidth="1"/>
    <col min="2" max="2" width="3.140625" style="6" customWidth="1"/>
    <col min="3" max="3" width="25.7109375" style="6" customWidth="1"/>
    <col min="4" max="4" width="12.140625" style="6" customWidth="1"/>
    <col min="5" max="5" width="9.7109375" style="6" bestFit="1" customWidth="1"/>
    <col min="6" max="6" width="15.85546875" style="6" bestFit="1" customWidth="1"/>
    <col min="7" max="7" width="13.28515625" style="6" customWidth="1"/>
    <col min="8" max="8" width="13.28515625" style="6" bestFit="1" customWidth="1"/>
    <col min="9" max="10" width="12.5703125" style="6" bestFit="1" customWidth="1"/>
    <col min="11" max="11" width="11.42578125" style="6" customWidth="1"/>
    <col min="12" max="12" width="11.28515625" style="6" bestFit="1" customWidth="1"/>
    <col min="13" max="13" width="10.140625" style="6" bestFit="1" customWidth="1"/>
    <col min="14" max="16384" width="8.85546875" style="6"/>
  </cols>
  <sheetData>
    <row r="1" spans="1:13" x14ac:dyDescent="0.2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3" x14ac:dyDescent="0.2">
      <c r="A2" s="1" t="str">
        <f>Rates!$A$2</f>
        <v>2024 Gas Schedule 129D Bill Discount Rate Filing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496" t="s">
        <v>313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</row>
    <row r="4" spans="1:13" x14ac:dyDescent="0.2">
      <c r="A4" s="5" t="str">
        <f>Rates!A4</f>
        <v>Proposed Effective January 1, 2025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63"/>
    </row>
    <row r="6" spans="1:13" x14ac:dyDescent="0.2">
      <c r="D6" s="8"/>
      <c r="E6" s="8"/>
      <c r="F6" s="9" t="s">
        <v>4</v>
      </c>
      <c r="G6" s="8"/>
      <c r="I6" s="8" t="s">
        <v>310</v>
      </c>
      <c r="J6" s="8" t="s">
        <v>170</v>
      </c>
      <c r="K6" s="8" t="s">
        <v>310</v>
      </c>
      <c r="L6" s="8"/>
    </row>
    <row r="7" spans="1:13" ht="14.25" x14ac:dyDescent="0.2">
      <c r="A7" s="8" t="s">
        <v>6</v>
      </c>
      <c r="D7" s="8" t="s">
        <v>171</v>
      </c>
      <c r="E7" s="8"/>
      <c r="F7" s="8" t="s">
        <v>8</v>
      </c>
      <c r="G7" s="8"/>
      <c r="H7" s="8" t="s">
        <v>172</v>
      </c>
      <c r="I7" s="8" t="s">
        <v>11</v>
      </c>
      <c r="J7" s="8" t="s">
        <v>11</v>
      </c>
      <c r="K7" s="8" t="s">
        <v>173</v>
      </c>
      <c r="L7" s="8" t="s">
        <v>13</v>
      </c>
    </row>
    <row r="8" spans="1:13" ht="14.25" x14ac:dyDescent="0.2">
      <c r="A8" s="11" t="s">
        <v>14</v>
      </c>
      <c r="B8" s="491" t="s">
        <v>174</v>
      </c>
      <c r="C8" s="491"/>
      <c r="D8" s="11" t="s">
        <v>175</v>
      </c>
      <c r="E8" s="11" t="s">
        <v>176</v>
      </c>
      <c r="F8" s="164" t="s">
        <v>17</v>
      </c>
      <c r="G8" s="11" t="s">
        <v>177</v>
      </c>
      <c r="H8" s="11" t="s">
        <v>178</v>
      </c>
      <c r="I8" s="11" t="s">
        <v>20</v>
      </c>
      <c r="J8" s="11" t="s">
        <v>20</v>
      </c>
      <c r="K8" s="11" t="s">
        <v>179</v>
      </c>
      <c r="L8" s="11" t="s">
        <v>11</v>
      </c>
    </row>
    <row r="9" spans="1:13" x14ac:dyDescent="0.2">
      <c r="A9" s="10"/>
      <c r="B9" s="10"/>
      <c r="C9" s="10" t="s">
        <v>22</v>
      </c>
      <c r="D9" s="10" t="s">
        <v>23</v>
      </c>
      <c r="E9" s="10" t="s">
        <v>24</v>
      </c>
      <c r="F9" s="10" t="s">
        <v>25</v>
      </c>
      <c r="G9" s="10" t="s">
        <v>26</v>
      </c>
      <c r="H9" s="10" t="s">
        <v>27</v>
      </c>
      <c r="I9" s="10" t="s">
        <v>28</v>
      </c>
      <c r="J9" s="10" t="s">
        <v>29</v>
      </c>
      <c r="K9" s="10" t="s">
        <v>180</v>
      </c>
      <c r="L9" s="10" t="s">
        <v>181</v>
      </c>
      <c r="M9" s="8"/>
    </row>
    <row r="10" spans="1:13" x14ac:dyDescent="0.2">
      <c r="A10" s="8">
        <v>1</v>
      </c>
      <c r="B10" s="6" t="s">
        <v>182</v>
      </c>
      <c r="D10" s="26"/>
      <c r="E10" s="26"/>
      <c r="F10" s="26"/>
    </row>
    <row r="11" spans="1:13" x14ac:dyDescent="0.2">
      <c r="A11" s="8">
        <v>2</v>
      </c>
      <c r="C11" s="6" t="s">
        <v>37</v>
      </c>
      <c r="D11" s="165">
        <v>8972356</v>
      </c>
      <c r="E11" s="166">
        <f>+D11/$D$18</f>
        <v>0.38904148482379985</v>
      </c>
      <c r="F11" s="167">
        <f t="shared" ref="F11:F16" si="0">+E11*$F$18</f>
        <v>6766891.4937784234</v>
      </c>
      <c r="G11" s="25">
        <f>G$40</f>
        <v>0.20754</v>
      </c>
      <c r="H11" s="23">
        <f t="shared" ref="H11:H16" si="1">ROUND(F11*G11,0)</f>
        <v>1404401</v>
      </c>
      <c r="J11" s="23">
        <f>ROUND(H11*$I$49,0)</f>
        <v>0</v>
      </c>
      <c r="K11" s="25">
        <f>K30</f>
        <v>0</v>
      </c>
      <c r="L11" s="23">
        <f>F11*K11</f>
        <v>0</v>
      </c>
    </row>
    <row r="12" spans="1:13" x14ac:dyDescent="0.2">
      <c r="A12" s="8">
        <v>3</v>
      </c>
      <c r="C12" s="6" t="s">
        <v>38</v>
      </c>
      <c r="D12" s="165">
        <v>5286131</v>
      </c>
      <c r="E12" s="166">
        <f t="shared" ref="E12:E16" si="2">+D12/$D$18</f>
        <v>0.2292067159632451</v>
      </c>
      <c r="F12" s="167">
        <f t="shared" si="0"/>
        <v>3986765.0034058425</v>
      </c>
      <c r="G12" s="25">
        <f>G$41</f>
        <v>0.12540999999999999</v>
      </c>
      <c r="H12" s="23">
        <f t="shared" si="1"/>
        <v>499980</v>
      </c>
      <c r="J12" s="23">
        <f t="shared" ref="J12:J16" si="3">ROUND(H12*$I$49,0)</f>
        <v>0</v>
      </c>
      <c r="K12" s="25">
        <f>K31</f>
        <v>0</v>
      </c>
      <c r="L12" s="23">
        <f>F12*K12</f>
        <v>0</v>
      </c>
    </row>
    <row r="13" spans="1:13" x14ac:dyDescent="0.2">
      <c r="A13" s="8">
        <v>4</v>
      </c>
      <c r="C13" s="6" t="s">
        <v>42</v>
      </c>
      <c r="D13" s="165">
        <v>5234423</v>
      </c>
      <c r="E13" s="166">
        <f t="shared" si="2"/>
        <v>0.22696465634175114</v>
      </c>
      <c r="F13" s="167">
        <f t="shared" si="0"/>
        <v>3947767.1721383031</v>
      </c>
      <c r="G13" s="25">
        <f>G$42</f>
        <v>7.9810000000000006E-2</v>
      </c>
      <c r="H13" s="23">
        <f t="shared" si="1"/>
        <v>315071</v>
      </c>
      <c r="J13" s="23">
        <f t="shared" si="3"/>
        <v>0</v>
      </c>
      <c r="K13" s="25"/>
    </row>
    <row r="14" spans="1:13" x14ac:dyDescent="0.2">
      <c r="A14" s="8">
        <v>5</v>
      </c>
      <c r="C14" s="6" t="s">
        <v>43</v>
      </c>
      <c r="D14" s="165">
        <v>3077524</v>
      </c>
      <c r="E14" s="166">
        <f t="shared" si="2"/>
        <v>0.13344148477176784</v>
      </c>
      <c r="F14" s="167">
        <f t="shared" si="0"/>
        <v>2321048.2260733913</v>
      </c>
      <c r="G14" s="25">
        <f>G$43</f>
        <v>5.117E-2</v>
      </c>
      <c r="H14" s="23">
        <f t="shared" si="1"/>
        <v>118768</v>
      </c>
      <c r="J14" s="23">
        <f t="shared" si="3"/>
        <v>0</v>
      </c>
      <c r="K14" s="25"/>
    </row>
    <row r="15" spans="1:13" x14ac:dyDescent="0.2">
      <c r="A15" s="8">
        <v>6</v>
      </c>
      <c r="C15" s="6" t="s">
        <v>44</v>
      </c>
      <c r="D15" s="165">
        <v>492289</v>
      </c>
      <c r="E15" s="166">
        <f t="shared" si="2"/>
        <v>2.1345658099436046E-2</v>
      </c>
      <c r="F15" s="167">
        <f t="shared" si="0"/>
        <v>371281.10460404004</v>
      </c>
      <c r="G15" s="25">
        <f>G$44</f>
        <v>3.6830000000000002E-2</v>
      </c>
      <c r="H15" s="23">
        <f t="shared" si="1"/>
        <v>13674</v>
      </c>
      <c r="J15" s="23">
        <f t="shared" si="3"/>
        <v>0</v>
      </c>
      <c r="K15" s="25"/>
    </row>
    <row r="16" spans="1:13" x14ac:dyDescent="0.2">
      <c r="A16" s="8">
        <v>7</v>
      </c>
      <c r="C16" s="6" t="s">
        <v>45</v>
      </c>
      <c r="D16" s="165">
        <v>0</v>
      </c>
      <c r="E16" s="166">
        <f t="shared" si="2"/>
        <v>0</v>
      </c>
      <c r="F16" s="167">
        <f t="shared" si="0"/>
        <v>0</v>
      </c>
      <c r="G16" s="25">
        <f>G$45</f>
        <v>2.4830000000000001E-2</v>
      </c>
      <c r="H16" s="23">
        <f t="shared" si="1"/>
        <v>0</v>
      </c>
      <c r="J16" s="23">
        <f t="shared" si="3"/>
        <v>0</v>
      </c>
      <c r="K16" s="25"/>
    </row>
    <row r="17" spans="1:13" x14ac:dyDescent="0.2">
      <c r="A17" s="8">
        <v>8</v>
      </c>
      <c r="C17" s="6" t="s">
        <v>183</v>
      </c>
      <c r="D17" s="168">
        <f>SUM(D13:D16)</f>
        <v>8804236</v>
      </c>
      <c r="E17" s="169"/>
      <c r="F17" s="168">
        <f>SUM(F13:F16)</f>
        <v>6640096.5028157346</v>
      </c>
      <c r="G17" s="25"/>
      <c r="H17" s="170">
        <f>SUM(H13:H16)</f>
        <v>447513</v>
      </c>
      <c r="J17" s="170">
        <f>SUM(J13:J16)</f>
        <v>0</v>
      </c>
      <c r="K17" s="25">
        <f>K36</f>
        <v>0</v>
      </c>
      <c r="L17" s="171">
        <f>F17*K17</f>
        <v>0</v>
      </c>
    </row>
    <row r="18" spans="1:13" x14ac:dyDescent="0.2">
      <c r="A18" s="8">
        <v>9</v>
      </c>
      <c r="C18" s="6" t="s">
        <v>40</v>
      </c>
      <c r="D18" s="172">
        <f>SUM(D11:D16)</f>
        <v>23062723</v>
      </c>
      <c r="E18" s="173">
        <f>SUM(E11:E16)</f>
        <v>0.99999999999999989</v>
      </c>
      <c r="F18" s="174">
        <f>'Margin Revenue'!G20</f>
        <v>17393753</v>
      </c>
      <c r="G18" s="25"/>
      <c r="H18" s="170">
        <f>SUM(H11:H16)</f>
        <v>2351894</v>
      </c>
      <c r="I18" s="175">
        <f>Rates!H20</f>
        <v>0</v>
      </c>
      <c r="J18" s="170">
        <f>SUM(J11:J16)</f>
        <v>0</v>
      </c>
      <c r="L18" s="170">
        <f>SUM(L11:L17)</f>
        <v>0</v>
      </c>
      <c r="M18" s="23">
        <f>L18-I18</f>
        <v>0</v>
      </c>
    </row>
    <row r="19" spans="1:13" x14ac:dyDescent="0.2">
      <c r="A19" s="8"/>
      <c r="C19" s="176"/>
      <c r="D19" s="177"/>
      <c r="E19" s="178"/>
      <c r="F19" s="26"/>
      <c r="G19" s="25"/>
    </row>
    <row r="20" spans="1:13" x14ac:dyDescent="0.2">
      <c r="A20" s="8">
        <v>10</v>
      </c>
      <c r="B20" s="6" t="s">
        <v>184</v>
      </c>
      <c r="D20" s="178"/>
      <c r="E20" s="178"/>
      <c r="F20" s="26"/>
      <c r="G20" s="25"/>
    </row>
    <row r="21" spans="1:13" x14ac:dyDescent="0.2">
      <c r="A21" s="8">
        <v>11</v>
      </c>
      <c r="C21" s="6" t="s">
        <v>37</v>
      </c>
      <c r="D21" s="165">
        <v>1200000</v>
      </c>
      <c r="E21" s="166">
        <f t="shared" ref="E21:E26" si="4">+D21/$D$27</f>
        <v>6.1089553569251345E-2</v>
      </c>
      <c r="F21" s="167">
        <f t="shared" ref="F21:F26" si="5">+E21*$F$27</f>
        <v>1114987.4718052619</v>
      </c>
      <c r="G21" s="25">
        <f>G$40</f>
        <v>0.20754</v>
      </c>
      <c r="H21" s="23">
        <f t="shared" ref="H21:H26" si="6">ROUND(F21*G21,0)</f>
        <v>231404</v>
      </c>
      <c r="J21" s="23">
        <f t="shared" ref="J21:J26" si="7">ROUND(H21*$I$49,0)</f>
        <v>0</v>
      </c>
      <c r="K21" s="25">
        <f t="shared" ref="K21:K26" si="8">K40</f>
        <v>0</v>
      </c>
      <c r="L21" s="23">
        <f t="shared" ref="L21:L26" si="9">F21*K21</f>
        <v>0</v>
      </c>
    </row>
    <row r="22" spans="1:13" x14ac:dyDescent="0.2">
      <c r="A22" s="8">
        <v>12</v>
      </c>
      <c r="C22" s="6" t="s">
        <v>38</v>
      </c>
      <c r="D22" s="165">
        <v>1200000</v>
      </c>
      <c r="E22" s="166">
        <f t="shared" si="4"/>
        <v>6.1089553569251345E-2</v>
      </c>
      <c r="F22" s="167">
        <f t="shared" si="5"/>
        <v>1114987.4718052619</v>
      </c>
      <c r="G22" s="25">
        <f>G$41</f>
        <v>0.12540999999999999</v>
      </c>
      <c r="H22" s="23">
        <f t="shared" si="6"/>
        <v>139831</v>
      </c>
      <c r="J22" s="23">
        <f t="shared" si="7"/>
        <v>0</v>
      </c>
      <c r="K22" s="25">
        <f t="shared" si="8"/>
        <v>0</v>
      </c>
      <c r="L22" s="23">
        <f t="shared" si="9"/>
        <v>0</v>
      </c>
    </row>
    <row r="23" spans="1:13" x14ac:dyDescent="0.2">
      <c r="A23" s="8">
        <v>13</v>
      </c>
      <c r="C23" s="6" t="s">
        <v>42</v>
      </c>
      <c r="D23" s="165">
        <v>2246779</v>
      </c>
      <c r="E23" s="166">
        <f t="shared" si="4"/>
        <v>0.11437893839897414</v>
      </c>
      <c r="F23" s="167">
        <f t="shared" si="5"/>
        <v>2087608.6974292956</v>
      </c>
      <c r="G23" s="25">
        <f>G$42</f>
        <v>7.9810000000000006E-2</v>
      </c>
      <c r="H23" s="23">
        <f t="shared" si="6"/>
        <v>166612</v>
      </c>
      <c r="J23" s="23">
        <f t="shared" si="7"/>
        <v>0</v>
      </c>
      <c r="K23" s="25">
        <f t="shared" si="8"/>
        <v>0</v>
      </c>
      <c r="L23" s="23">
        <f t="shared" si="9"/>
        <v>0</v>
      </c>
    </row>
    <row r="24" spans="1:13" x14ac:dyDescent="0.2">
      <c r="A24" s="8">
        <v>14</v>
      </c>
      <c r="C24" s="6" t="s">
        <v>43</v>
      </c>
      <c r="D24" s="165">
        <v>3103782</v>
      </c>
      <c r="E24" s="166">
        <f t="shared" si="4"/>
        <v>0.15800721396356507</v>
      </c>
      <c r="F24" s="167">
        <f t="shared" si="5"/>
        <v>2883898.3710122332</v>
      </c>
      <c r="G24" s="25">
        <f>G$43</f>
        <v>5.117E-2</v>
      </c>
      <c r="H24" s="23">
        <f t="shared" si="6"/>
        <v>147569</v>
      </c>
      <c r="J24" s="23">
        <f t="shared" si="7"/>
        <v>0</v>
      </c>
      <c r="K24" s="25">
        <f t="shared" si="8"/>
        <v>0</v>
      </c>
      <c r="L24" s="23">
        <f t="shared" si="9"/>
        <v>0</v>
      </c>
    </row>
    <row r="25" spans="1:13" x14ac:dyDescent="0.2">
      <c r="A25" s="8">
        <v>15</v>
      </c>
      <c r="C25" s="6" t="s">
        <v>44</v>
      </c>
      <c r="D25" s="165">
        <v>3788912</v>
      </c>
      <c r="E25" s="166">
        <f t="shared" si="4"/>
        <v>0.19288578549431604</v>
      </c>
      <c r="F25" s="167">
        <f t="shared" si="5"/>
        <v>3520491.1764771822</v>
      </c>
      <c r="G25" s="25">
        <f>G$44</f>
        <v>3.6830000000000002E-2</v>
      </c>
      <c r="H25" s="23">
        <f t="shared" si="6"/>
        <v>129660</v>
      </c>
      <c r="J25" s="23">
        <f t="shared" si="7"/>
        <v>0</v>
      </c>
      <c r="K25" s="25">
        <f t="shared" si="8"/>
        <v>0</v>
      </c>
      <c r="L25" s="23">
        <f t="shared" si="9"/>
        <v>0</v>
      </c>
    </row>
    <row r="26" spans="1:13" x14ac:dyDescent="0.2">
      <c r="A26" s="8">
        <v>16</v>
      </c>
      <c r="C26" s="6" t="s">
        <v>45</v>
      </c>
      <c r="D26" s="179">
        <v>8103820</v>
      </c>
      <c r="E26" s="180">
        <f t="shared" si="4"/>
        <v>0.41254895500464206</v>
      </c>
      <c r="F26" s="167">
        <f t="shared" si="5"/>
        <v>7529714.8114707656</v>
      </c>
      <c r="G26" s="25">
        <f>G$45</f>
        <v>2.4830000000000001E-2</v>
      </c>
      <c r="H26" s="23">
        <f t="shared" si="6"/>
        <v>186963</v>
      </c>
      <c r="J26" s="23">
        <f t="shared" si="7"/>
        <v>0</v>
      </c>
      <c r="K26" s="25">
        <f t="shared" si="8"/>
        <v>0</v>
      </c>
      <c r="L26" s="23">
        <f t="shared" si="9"/>
        <v>0</v>
      </c>
    </row>
    <row r="27" spans="1:13" x14ac:dyDescent="0.2">
      <c r="A27" s="8">
        <v>17</v>
      </c>
      <c r="C27" s="6" t="s">
        <v>40</v>
      </c>
      <c r="D27" s="178">
        <f>SUM(D21:D26)</f>
        <v>19643293</v>
      </c>
      <c r="E27" s="166">
        <f>SUM(E21:E26)</f>
        <v>1</v>
      </c>
      <c r="F27" s="174">
        <f>'Margin Revenue'!G21</f>
        <v>18251688</v>
      </c>
      <c r="G27" s="25"/>
      <c r="H27" s="170">
        <f>SUM(H21:H26)</f>
        <v>1002039</v>
      </c>
      <c r="I27" s="175">
        <f>Rates!H31</f>
        <v>0</v>
      </c>
      <c r="J27" s="170">
        <f>SUM(J21:J26)</f>
        <v>0</v>
      </c>
      <c r="L27" s="170">
        <f>SUM(L21:L26)</f>
        <v>0</v>
      </c>
      <c r="M27" s="23">
        <f>L27-I27</f>
        <v>0</v>
      </c>
    </row>
    <row r="28" spans="1:13" x14ac:dyDescent="0.2">
      <c r="A28" s="8"/>
      <c r="C28" s="176"/>
      <c r="D28" s="177"/>
      <c r="E28" s="178"/>
      <c r="F28" s="181"/>
      <c r="G28" s="25"/>
      <c r="H28" s="45"/>
      <c r="I28" s="12"/>
      <c r="J28" s="45"/>
      <c r="L28" s="45"/>
    </row>
    <row r="29" spans="1:13" x14ac:dyDescent="0.2">
      <c r="A29" s="8">
        <f>A27+1</f>
        <v>18</v>
      </c>
      <c r="B29" s="6" t="s">
        <v>185</v>
      </c>
      <c r="D29" s="178"/>
      <c r="E29" s="178"/>
      <c r="F29" s="181"/>
      <c r="G29" s="25"/>
      <c r="H29" s="45"/>
      <c r="I29" s="12"/>
      <c r="J29" s="45"/>
      <c r="L29" s="45"/>
    </row>
    <row r="30" spans="1:13" x14ac:dyDescent="0.2">
      <c r="A30" s="8">
        <f t="shared" ref="A30:A37" si="10">A29+1</f>
        <v>19</v>
      </c>
      <c r="C30" s="6" t="s">
        <v>37</v>
      </c>
      <c r="D30" s="165">
        <v>22205824</v>
      </c>
      <c r="E30" s="166">
        <f t="shared" ref="E30:E35" si="11">+D30/$D$37</f>
        <v>0.38564670161260856</v>
      </c>
      <c r="F30" s="167">
        <f t="shared" ref="F30:F35" si="12">+E30*$F$37</f>
        <v>21536052.476621006</v>
      </c>
      <c r="G30" s="25">
        <f>G$40</f>
        <v>0.20754</v>
      </c>
      <c r="H30" s="23">
        <f t="shared" ref="H30:H35" si="13">ROUND(F30*G30,0)</f>
        <v>4469592</v>
      </c>
      <c r="I30" s="12"/>
      <c r="J30" s="23">
        <f t="shared" ref="J30:J35" si="14">ROUND(H30*$I$49,0)</f>
        <v>0</v>
      </c>
      <c r="K30" s="25">
        <f>K40</f>
        <v>0</v>
      </c>
      <c r="L30" s="23">
        <f>F30*K30</f>
        <v>0</v>
      </c>
    </row>
    <row r="31" spans="1:13" x14ac:dyDescent="0.2">
      <c r="A31" s="8">
        <f t="shared" si="10"/>
        <v>20</v>
      </c>
      <c r="C31" s="6" t="s">
        <v>38</v>
      </c>
      <c r="D31" s="165">
        <v>14638516</v>
      </c>
      <c r="E31" s="166">
        <f t="shared" si="11"/>
        <v>0.25422589190580797</v>
      </c>
      <c r="F31" s="167">
        <f t="shared" si="12"/>
        <v>14196989.43645848</v>
      </c>
      <c r="G31" s="25">
        <f>G$41</f>
        <v>0.12540999999999999</v>
      </c>
      <c r="H31" s="23">
        <f t="shared" si="13"/>
        <v>1780444</v>
      </c>
      <c r="I31" s="12"/>
      <c r="J31" s="23">
        <f t="shared" si="14"/>
        <v>0</v>
      </c>
      <c r="K31" s="25">
        <f>K41</f>
        <v>0</v>
      </c>
      <c r="L31" s="23">
        <f>F31*K31</f>
        <v>0</v>
      </c>
    </row>
    <row r="32" spans="1:13" x14ac:dyDescent="0.2">
      <c r="A32" s="8">
        <f t="shared" si="10"/>
        <v>21</v>
      </c>
      <c r="C32" s="6" t="s">
        <v>42</v>
      </c>
      <c r="D32" s="165">
        <v>14197584</v>
      </c>
      <c r="E32" s="166">
        <f t="shared" si="11"/>
        <v>0.24656826247330185</v>
      </c>
      <c r="F32" s="167">
        <f t="shared" si="12"/>
        <v>13769356.816717757</v>
      </c>
      <c r="G32" s="25">
        <f>G$42</f>
        <v>7.9810000000000006E-2</v>
      </c>
      <c r="H32" s="23">
        <f t="shared" si="13"/>
        <v>1098932</v>
      </c>
      <c r="I32" s="12"/>
      <c r="J32" s="23">
        <f t="shared" si="14"/>
        <v>0</v>
      </c>
      <c r="L32" s="45"/>
    </row>
    <row r="33" spans="1:13" x14ac:dyDescent="0.2">
      <c r="A33" s="8">
        <f t="shared" si="10"/>
        <v>22</v>
      </c>
      <c r="C33" s="6" t="s">
        <v>43</v>
      </c>
      <c r="D33" s="165">
        <v>4687936</v>
      </c>
      <c r="E33" s="166">
        <f t="shared" si="11"/>
        <v>8.1414995262999723E-2</v>
      </c>
      <c r="F33" s="167">
        <f t="shared" si="12"/>
        <v>4546538.5883919802</v>
      </c>
      <c r="G33" s="25">
        <f>G$43</f>
        <v>5.117E-2</v>
      </c>
      <c r="H33" s="23">
        <f t="shared" si="13"/>
        <v>232646</v>
      </c>
      <c r="I33" s="12"/>
      <c r="J33" s="23">
        <f t="shared" si="14"/>
        <v>0</v>
      </c>
      <c r="L33" s="45"/>
    </row>
    <row r="34" spans="1:13" x14ac:dyDescent="0.2">
      <c r="A34" s="8">
        <f t="shared" si="10"/>
        <v>23</v>
      </c>
      <c r="C34" s="6" t="s">
        <v>44</v>
      </c>
      <c r="D34" s="165">
        <v>1615654</v>
      </c>
      <c r="E34" s="166">
        <f t="shared" si="11"/>
        <v>2.8058928866914259E-2</v>
      </c>
      <c r="F34" s="167">
        <f t="shared" si="12"/>
        <v>1566922.6833493155</v>
      </c>
      <c r="G34" s="25">
        <f>G$44</f>
        <v>3.6830000000000002E-2</v>
      </c>
      <c r="H34" s="23">
        <f t="shared" si="13"/>
        <v>57710</v>
      </c>
      <c r="I34" s="12"/>
      <c r="J34" s="23">
        <f t="shared" si="14"/>
        <v>0</v>
      </c>
      <c r="L34" s="45"/>
    </row>
    <row r="35" spans="1:13" x14ac:dyDescent="0.2">
      <c r="A35" s="8">
        <f t="shared" si="10"/>
        <v>24</v>
      </c>
      <c r="C35" s="6" t="s">
        <v>45</v>
      </c>
      <c r="D35" s="165">
        <v>235230</v>
      </c>
      <c r="E35" s="166">
        <f t="shared" si="11"/>
        <v>4.0852198783676713E-3</v>
      </c>
      <c r="F35" s="167">
        <f t="shared" si="12"/>
        <v>228134.99846146486</v>
      </c>
      <c r="G35" s="25">
        <f>G$45</f>
        <v>2.4830000000000001E-2</v>
      </c>
      <c r="H35" s="23">
        <f t="shared" si="13"/>
        <v>5665</v>
      </c>
      <c r="I35" s="12"/>
      <c r="J35" s="23">
        <f t="shared" si="14"/>
        <v>0</v>
      </c>
      <c r="L35" s="45"/>
    </row>
    <row r="36" spans="1:13" x14ac:dyDescent="0.2">
      <c r="A36" s="8">
        <f t="shared" si="10"/>
        <v>25</v>
      </c>
      <c r="C36" s="6" t="s">
        <v>183</v>
      </c>
      <c r="D36" s="182">
        <f>SUM(D32:D35)</f>
        <v>20736404</v>
      </c>
      <c r="E36" s="183"/>
      <c r="F36" s="182">
        <f>SUM(F32:F35)</f>
        <v>20110953.086920518</v>
      </c>
      <c r="G36" s="25"/>
      <c r="H36" s="171">
        <f>SUM(H32:H35)</f>
        <v>1394953</v>
      </c>
      <c r="J36" s="171">
        <f>SUM(J32:J35)</f>
        <v>0</v>
      </c>
      <c r="K36" s="25">
        <f>ROUND((J36+J17)/(F36+F17),5)</f>
        <v>0</v>
      </c>
      <c r="L36" s="171">
        <f>F36*K36</f>
        <v>0</v>
      </c>
    </row>
    <row r="37" spans="1:13" x14ac:dyDescent="0.2">
      <c r="A37" s="8">
        <f t="shared" si="10"/>
        <v>26</v>
      </c>
      <c r="C37" s="6" t="s">
        <v>40</v>
      </c>
      <c r="D37" s="178">
        <f>SUM(D30:D35)</f>
        <v>57580744</v>
      </c>
      <c r="E37" s="166">
        <f>SUM(E30:E35)</f>
        <v>1.0000000000000002</v>
      </c>
      <c r="F37" s="174">
        <f>'Margin Revenue'!G25</f>
        <v>55843995</v>
      </c>
      <c r="G37" s="25"/>
      <c r="H37" s="45">
        <f>SUM(H30:H35)</f>
        <v>7644989</v>
      </c>
      <c r="I37" s="175">
        <f>Rates!H37</f>
        <v>0</v>
      </c>
      <c r="J37" s="45">
        <f>SUM(J30:J35)</f>
        <v>0</v>
      </c>
      <c r="L37" s="170">
        <f>SUM(L30:L36)</f>
        <v>0</v>
      </c>
      <c r="M37" s="23">
        <f>L37-I37</f>
        <v>0</v>
      </c>
    </row>
    <row r="38" spans="1:13" x14ac:dyDescent="0.2">
      <c r="A38" s="8"/>
      <c r="C38" s="176"/>
      <c r="D38" s="177"/>
      <c r="E38" s="178"/>
      <c r="F38" s="181"/>
      <c r="G38" s="25"/>
      <c r="H38" s="45"/>
      <c r="I38" s="12"/>
      <c r="J38" s="45"/>
      <c r="L38" s="45"/>
    </row>
    <row r="39" spans="1:13" x14ac:dyDescent="0.2">
      <c r="A39" s="8">
        <f>A37+1</f>
        <v>27</v>
      </c>
      <c r="B39" s="6" t="s">
        <v>186</v>
      </c>
      <c r="D39" s="178"/>
      <c r="E39" s="178"/>
      <c r="F39" s="181"/>
      <c r="G39" s="25"/>
      <c r="H39" s="23"/>
      <c r="I39" s="12"/>
      <c r="J39" s="45"/>
      <c r="L39" s="45"/>
    </row>
    <row r="40" spans="1:13" x14ac:dyDescent="0.2">
      <c r="A40" s="8">
        <f t="shared" ref="A40:A46" si="15">A39+1</f>
        <v>28</v>
      </c>
      <c r="C40" s="6" t="s">
        <v>37</v>
      </c>
      <c r="D40" s="165">
        <v>2975000</v>
      </c>
      <c r="E40" s="166">
        <f t="shared" ref="E40:E45" si="16">+D40/$D$46</f>
        <v>3.2496874701827522E-2</v>
      </c>
      <c r="F40" s="167">
        <f t="shared" ref="F40:F45" si="17">+E40*$F$46</f>
        <v>3497798.1513156076</v>
      </c>
      <c r="G40" s="184">
        <f>'Exh JDT-5 (JDT-INTRPL-RD)'!H128</f>
        <v>0.20754</v>
      </c>
      <c r="H40" s="23">
        <f t="shared" ref="H40:H45" si="18">ROUND(F40*G40,0)</f>
        <v>725933</v>
      </c>
      <c r="I40" s="12"/>
      <c r="J40" s="23">
        <f t="shared" ref="J40:J45" si="19">ROUND(H40*$I$49,0)</f>
        <v>0</v>
      </c>
      <c r="K40" s="25">
        <f t="shared" ref="K40:K45" si="20">ROUND(J40/F40,5)</f>
        <v>0</v>
      </c>
      <c r="L40" s="23">
        <f t="shared" ref="L40:L45" si="21">F40*K40</f>
        <v>0</v>
      </c>
    </row>
    <row r="41" spans="1:13" x14ac:dyDescent="0.2">
      <c r="A41" s="8">
        <f t="shared" si="15"/>
        <v>29</v>
      </c>
      <c r="C41" s="6" t="s">
        <v>38</v>
      </c>
      <c r="D41" s="165">
        <v>2975000</v>
      </c>
      <c r="E41" s="166">
        <f t="shared" si="16"/>
        <v>3.2496874701827522E-2</v>
      </c>
      <c r="F41" s="167">
        <f t="shared" si="17"/>
        <v>3497798.1513156076</v>
      </c>
      <c r="G41" s="184">
        <f>'Exh JDT-5 (JDT-INTRPL-RD)'!H129</f>
        <v>0.12540999999999999</v>
      </c>
      <c r="H41" s="23">
        <f t="shared" si="18"/>
        <v>438659</v>
      </c>
      <c r="I41" s="12"/>
      <c r="J41" s="23">
        <f t="shared" si="19"/>
        <v>0</v>
      </c>
      <c r="K41" s="25">
        <f t="shared" si="20"/>
        <v>0</v>
      </c>
      <c r="L41" s="23">
        <f t="shared" si="21"/>
        <v>0</v>
      </c>
    </row>
    <row r="42" spans="1:13" x14ac:dyDescent="0.2">
      <c r="A42" s="8">
        <f t="shared" si="15"/>
        <v>30</v>
      </c>
      <c r="C42" s="6" t="s">
        <v>42</v>
      </c>
      <c r="D42" s="165">
        <v>5950000</v>
      </c>
      <c r="E42" s="166">
        <f t="shared" si="16"/>
        <v>6.4993749403655043E-2</v>
      </c>
      <c r="F42" s="167">
        <f t="shared" si="17"/>
        <v>6995596.3026312152</v>
      </c>
      <c r="G42" s="184">
        <f>'Exh JDT-5 (JDT-INTRPL-RD)'!H130</f>
        <v>7.9810000000000006E-2</v>
      </c>
      <c r="H42" s="23">
        <f t="shared" si="18"/>
        <v>558319</v>
      </c>
      <c r="I42" s="12"/>
      <c r="J42" s="23">
        <f t="shared" si="19"/>
        <v>0</v>
      </c>
      <c r="K42" s="25">
        <f t="shared" si="20"/>
        <v>0</v>
      </c>
      <c r="L42" s="23">
        <f t="shared" si="21"/>
        <v>0</v>
      </c>
    </row>
    <row r="43" spans="1:13" x14ac:dyDescent="0.2">
      <c r="A43" s="8">
        <f t="shared" si="15"/>
        <v>31</v>
      </c>
      <c r="C43" s="6" t="s">
        <v>43</v>
      </c>
      <c r="D43" s="165">
        <v>11363180</v>
      </c>
      <c r="E43" s="166">
        <f t="shared" si="16"/>
        <v>0.12412364257960082</v>
      </c>
      <c r="F43" s="167">
        <f t="shared" si="17"/>
        <v>13360036.973803859</v>
      </c>
      <c r="G43" s="184">
        <f>'Exh JDT-5 (JDT-INTRPL-RD)'!H131</f>
        <v>5.117E-2</v>
      </c>
      <c r="H43" s="23">
        <f t="shared" si="18"/>
        <v>683633</v>
      </c>
      <c r="I43" s="12"/>
      <c r="J43" s="23">
        <f t="shared" si="19"/>
        <v>0</v>
      </c>
      <c r="K43" s="25">
        <f t="shared" si="20"/>
        <v>0</v>
      </c>
      <c r="L43" s="23">
        <f t="shared" si="21"/>
        <v>0</v>
      </c>
    </row>
    <row r="44" spans="1:13" x14ac:dyDescent="0.2">
      <c r="A44" s="8">
        <f t="shared" si="15"/>
        <v>32</v>
      </c>
      <c r="C44" s="6" t="s">
        <v>44</v>
      </c>
      <c r="D44" s="165">
        <v>25273527</v>
      </c>
      <c r="E44" s="166">
        <f t="shared" si="16"/>
        <v>0.27607080342596801</v>
      </c>
      <c r="F44" s="167">
        <f t="shared" si="17"/>
        <v>29714855.804310955</v>
      </c>
      <c r="G44" s="184">
        <f>'Exh JDT-5 (JDT-INTRPL-RD)'!H132</f>
        <v>3.6830000000000002E-2</v>
      </c>
      <c r="H44" s="23">
        <f t="shared" si="18"/>
        <v>1094398</v>
      </c>
      <c r="I44" s="12"/>
      <c r="J44" s="23">
        <f t="shared" si="19"/>
        <v>0</v>
      </c>
      <c r="K44" s="25">
        <f t="shared" si="20"/>
        <v>0</v>
      </c>
      <c r="L44" s="23">
        <f t="shared" si="21"/>
        <v>0</v>
      </c>
    </row>
    <row r="45" spans="1:13" x14ac:dyDescent="0.2">
      <c r="A45" s="8">
        <f t="shared" si="15"/>
        <v>33</v>
      </c>
      <c r="C45" s="6" t="s">
        <v>45</v>
      </c>
      <c r="D45" s="165">
        <v>43010558</v>
      </c>
      <c r="E45" s="180">
        <f t="shared" si="16"/>
        <v>0.46981805518712111</v>
      </c>
      <c r="F45" s="167">
        <f t="shared" si="17"/>
        <v>50568823.616622761</v>
      </c>
      <c r="G45" s="184">
        <f>'Exh JDT-5 (JDT-INTRPL-RD)'!H133</f>
        <v>2.4830000000000001E-2</v>
      </c>
      <c r="H45" s="23">
        <f t="shared" si="18"/>
        <v>1255624</v>
      </c>
      <c r="I45" s="12"/>
      <c r="J45" s="185">
        <f t="shared" si="19"/>
        <v>0</v>
      </c>
      <c r="K45" s="25">
        <f t="shared" si="20"/>
        <v>0</v>
      </c>
      <c r="L45" s="185">
        <f t="shared" si="21"/>
        <v>0</v>
      </c>
    </row>
    <row r="46" spans="1:13" x14ac:dyDescent="0.2">
      <c r="A46" s="8">
        <f t="shared" si="15"/>
        <v>34</v>
      </c>
      <c r="C46" s="6" t="s">
        <v>40</v>
      </c>
      <c r="D46" s="172">
        <f>SUM(D40:D45)</f>
        <v>91547265</v>
      </c>
      <c r="E46" s="166">
        <f>SUM(E40:E45)</f>
        <v>1</v>
      </c>
      <c r="F46" s="174">
        <f>'Margin Revenue'!G26</f>
        <v>107634909</v>
      </c>
      <c r="G46" s="25"/>
      <c r="H46" s="170">
        <f>SUM(H40:H45)</f>
        <v>4756566</v>
      </c>
      <c r="I46" s="175">
        <f>Rates!H46</f>
        <v>0</v>
      </c>
      <c r="J46" s="170">
        <f>SUM(J40:J45)</f>
        <v>0</v>
      </c>
      <c r="L46" s="45">
        <f>SUM(L40:L45)</f>
        <v>0</v>
      </c>
      <c r="M46" s="23">
        <f>L46-I46</f>
        <v>0</v>
      </c>
    </row>
    <row r="47" spans="1:13" x14ac:dyDescent="0.2">
      <c r="A47" s="8"/>
      <c r="C47" s="176"/>
      <c r="D47" s="177"/>
      <c r="E47" s="178"/>
      <c r="F47" s="181"/>
      <c r="H47" s="45"/>
      <c r="I47" s="186"/>
      <c r="J47" s="45"/>
      <c r="L47" s="45"/>
    </row>
    <row r="48" spans="1:13" x14ac:dyDescent="0.2">
      <c r="A48" s="8"/>
      <c r="B48" s="6" t="s">
        <v>40</v>
      </c>
      <c r="D48" s="178">
        <f>D18+D27+D37+D46</f>
        <v>191834025</v>
      </c>
      <c r="E48" s="178"/>
      <c r="F48" s="178">
        <f>F18+F27+F37+F46</f>
        <v>199124345</v>
      </c>
      <c r="H48" s="45">
        <f>H18+H27+H37+H46</f>
        <v>15755488</v>
      </c>
      <c r="I48" s="45">
        <f>I18+I27+I37+I46</f>
        <v>0</v>
      </c>
      <c r="J48" s="45">
        <f>J18+J27+J37+J46</f>
        <v>0</v>
      </c>
      <c r="L48" s="45">
        <f>L18+L27+L37+L46</f>
        <v>0</v>
      </c>
      <c r="M48" s="187">
        <f>L48-I48</f>
        <v>0</v>
      </c>
    </row>
    <row r="49" spans="1:13" x14ac:dyDescent="0.2">
      <c r="A49" s="8"/>
      <c r="B49" s="6" t="s">
        <v>187</v>
      </c>
      <c r="D49" s="17"/>
      <c r="E49" s="17"/>
      <c r="F49" s="188"/>
      <c r="H49" s="45"/>
      <c r="I49" s="20">
        <f>I48/H48</f>
        <v>0</v>
      </c>
      <c r="J49" s="45"/>
      <c r="L49" s="45"/>
      <c r="M49" s="14">
        <f>IF(J48=0,0,M48/J48)</f>
        <v>0</v>
      </c>
    </row>
    <row r="50" spans="1:13" x14ac:dyDescent="0.2">
      <c r="A50" s="8"/>
      <c r="D50" s="17"/>
      <c r="E50" s="17"/>
      <c r="F50" s="181"/>
      <c r="H50" s="45"/>
      <c r="I50" s="20"/>
      <c r="J50" s="45"/>
      <c r="L50" s="45"/>
      <c r="M50" s="14"/>
    </row>
    <row r="51" spans="1:13" x14ac:dyDescent="0.2">
      <c r="A51" s="8"/>
    </row>
    <row r="52" spans="1:13" ht="12.75" customHeight="1" x14ac:dyDescent="0.2">
      <c r="A52" s="189" t="s">
        <v>188</v>
      </c>
      <c r="B52" s="190" t="s">
        <v>189</v>
      </c>
    </row>
    <row r="53" spans="1:13" ht="12.75" customHeight="1" x14ac:dyDescent="0.2">
      <c r="A53" s="191" t="s">
        <v>190</v>
      </c>
      <c r="B53" s="163" t="s">
        <v>191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</row>
    <row r="54" spans="1:13" ht="13.5" thickBot="1" x14ac:dyDescent="0.25"/>
    <row r="55" spans="1:13" x14ac:dyDescent="0.2">
      <c r="F55" s="193" t="s">
        <v>192</v>
      </c>
    </row>
    <row r="56" spans="1:13" x14ac:dyDescent="0.2">
      <c r="F56" s="194">
        <f>F18-SUM(F11:F16)</f>
        <v>0</v>
      </c>
    </row>
    <row r="57" spans="1:13" x14ac:dyDescent="0.2">
      <c r="F57" s="194">
        <f>F27-SUM(F21:F26)</f>
        <v>0</v>
      </c>
    </row>
    <row r="58" spans="1:13" x14ac:dyDescent="0.2">
      <c r="F58" s="194">
        <f>F37-SUM(F30:F35)</f>
        <v>0</v>
      </c>
    </row>
    <row r="59" spans="1:13" ht="13.5" thickBot="1" x14ac:dyDescent="0.25">
      <c r="F59" s="195">
        <f>F46-SUM(F40:F45)</f>
        <v>0</v>
      </c>
    </row>
    <row r="63" spans="1:13" x14ac:dyDescent="0.2">
      <c r="H63" s="44"/>
      <c r="I63" s="44"/>
    </row>
    <row r="64" spans="1:13" x14ac:dyDescent="0.2">
      <c r="F64" s="44"/>
    </row>
    <row r="68" spans="6:9" x14ac:dyDescent="0.2">
      <c r="F68" s="44"/>
    </row>
    <row r="70" spans="6:9" x14ac:dyDescent="0.2">
      <c r="I70" s="44"/>
    </row>
    <row r="72" spans="6:9" x14ac:dyDescent="0.2">
      <c r="I72" s="44"/>
    </row>
  </sheetData>
  <mergeCells count="3">
    <mergeCell ref="A1:M1"/>
    <mergeCell ref="A3:M3"/>
    <mergeCell ref="B8:C8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ax="12" man="1"/>
  </rowBreaks>
  <colBreaks count="1" manualBreakCount="1">
    <brk id="12" max="1048575" man="1"/>
  </col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zoomScale="90" zoomScaleNormal="90" workbookViewId="0">
      <selection activeCell="J17" sqref="J17"/>
    </sheetView>
  </sheetViews>
  <sheetFormatPr defaultColWidth="8.85546875" defaultRowHeight="12.75" x14ac:dyDescent="0.2"/>
  <cols>
    <col min="1" max="1" width="4.85546875" style="6" bestFit="1" customWidth="1"/>
    <col min="2" max="2" width="27.7109375" style="6" customWidth="1"/>
    <col min="3" max="3" width="9.42578125" style="6" customWidth="1"/>
    <col min="4" max="4" width="13.85546875" style="6" customWidth="1"/>
    <col min="5" max="5" width="14.5703125" style="6" customWidth="1"/>
    <col min="6" max="6" width="13.5703125" style="6" customWidth="1"/>
    <col min="7" max="7" width="15.85546875" style="6" bestFit="1" customWidth="1"/>
    <col min="8" max="8" width="15.42578125" style="6" bestFit="1" customWidth="1"/>
    <col min="9" max="16" width="9.140625" style="6" customWidth="1"/>
    <col min="17" max="16384" width="8.85546875" style="6"/>
  </cols>
  <sheetData>
    <row r="1" spans="1:13" ht="15" customHeight="1" x14ac:dyDescent="0.2">
      <c r="A1" s="1" t="s">
        <v>0</v>
      </c>
      <c r="B1" s="5"/>
      <c r="C1" s="1"/>
      <c r="D1" s="1"/>
      <c r="E1" s="1"/>
      <c r="F1" s="1"/>
      <c r="G1" s="1"/>
      <c r="H1" s="1"/>
      <c r="I1" s="196"/>
      <c r="J1" s="5"/>
      <c r="K1" s="163"/>
      <c r="L1" s="163"/>
      <c r="M1" s="163"/>
    </row>
    <row r="2" spans="1:13" ht="15" customHeight="1" x14ac:dyDescent="0.2">
      <c r="A2" s="1" t="str">
        <f>Rates!$A$2</f>
        <v>2024 Gas Schedule 129D Bill Discount Rate Filing</v>
      </c>
      <c r="B2" s="1"/>
      <c r="C2" s="1"/>
      <c r="D2" s="1"/>
      <c r="E2" s="1"/>
      <c r="F2" s="1"/>
      <c r="G2" s="4"/>
      <c r="H2" s="4"/>
      <c r="I2" s="196"/>
      <c r="J2" s="5"/>
      <c r="K2" s="163"/>
      <c r="L2" s="163"/>
      <c r="M2" s="163"/>
    </row>
    <row r="3" spans="1:13" ht="15" customHeight="1" x14ac:dyDescent="0.2">
      <c r="A3" s="5" t="s">
        <v>193</v>
      </c>
      <c r="B3" s="5"/>
      <c r="C3" s="5"/>
      <c r="D3" s="5"/>
      <c r="E3" s="5"/>
      <c r="F3" s="5"/>
      <c r="G3" s="7"/>
      <c r="H3" s="7"/>
      <c r="I3" s="163"/>
      <c r="J3" s="5"/>
      <c r="K3" s="163"/>
      <c r="L3" s="163"/>
      <c r="M3" s="163"/>
    </row>
    <row r="4" spans="1:13" x14ac:dyDescent="0.2">
      <c r="D4" s="163"/>
      <c r="E4" s="163"/>
      <c r="F4" s="163"/>
    </row>
    <row r="5" spans="1:13" x14ac:dyDescent="0.2">
      <c r="F5" s="8"/>
    </row>
    <row r="6" spans="1:13" x14ac:dyDescent="0.2">
      <c r="D6" s="197" t="s">
        <v>53</v>
      </c>
      <c r="E6" s="8" t="str">
        <f>$D$6</f>
        <v>UG-220067</v>
      </c>
      <c r="F6" s="8" t="str">
        <f>$D$6</f>
        <v>UG-220067</v>
      </c>
      <c r="G6" s="9" t="s">
        <v>4</v>
      </c>
      <c r="H6" s="10" t="str">
        <f>+G6</f>
        <v>Forecasted</v>
      </c>
      <c r="I6" s="10"/>
    </row>
    <row r="7" spans="1:13" x14ac:dyDescent="0.2">
      <c r="A7" s="6" t="s">
        <v>6</v>
      </c>
      <c r="C7" s="8" t="s">
        <v>7</v>
      </c>
      <c r="D7" s="10" t="s">
        <v>56</v>
      </c>
      <c r="E7" s="10" t="s">
        <v>194</v>
      </c>
      <c r="F7" s="10" t="s">
        <v>195</v>
      </c>
      <c r="G7" s="8" t="s">
        <v>8</v>
      </c>
      <c r="H7" s="10" t="s">
        <v>9</v>
      </c>
      <c r="I7" s="10"/>
    </row>
    <row r="8" spans="1:13" ht="14.25" x14ac:dyDescent="0.2">
      <c r="A8" s="11" t="s">
        <v>14</v>
      </c>
      <c r="B8" s="11" t="s">
        <v>73</v>
      </c>
      <c r="C8" s="11" t="s">
        <v>16</v>
      </c>
      <c r="D8" s="11" t="s">
        <v>196</v>
      </c>
      <c r="E8" s="11" t="s">
        <v>197</v>
      </c>
      <c r="F8" s="11" t="s">
        <v>76</v>
      </c>
      <c r="G8" s="164" t="s">
        <v>17</v>
      </c>
      <c r="H8" s="11" t="s">
        <v>18</v>
      </c>
      <c r="I8" s="10"/>
    </row>
    <row r="9" spans="1:13" x14ac:dyDescent="0.2">
      <c r="A9" s="10"/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/>
    </row>
    <row r="10" spans="1:13" x14ac:dyDescent="0.2">
      <c r="A10" s="8">
        <v>1</v>
      </c>
      <c r="B10" s="198" t="s">
        <v>30</v>
      </c>
      <c r="C10" s="8" t="s">
        <v>31</v>
      </c>
      <c r="D10" s="199">
        <f>'Exh JDT-5 (JDT-RES_RD)'!D13</f>
        <v>620836684.05687141</v>
      </c>
      <c r="E10" s="200">
        <f>'Exh JDT-5 (JDT-RES_RD)'!I16</f>
        <v>403613457.09474093</v>
      </c>
      <c r="F10" s="19">
        <f>E10/D10</f>
        <v>0.6501121268436002</v>
      </c>
      <c r="G10" s="199">
        <f>SUM('Forecast Therms'!N9:N10)</f>
        <v>561414251</v>
      </c>
      <c r="H10" s="201">
        <f>F10*G10</f>
        <v>364982212.75791681</v>
      </c>
      <c r="I10" s="42"/>
      <c r="L10" s="202"/>
    </row>
    <row r="11" spans="1:13" x14ac:dyDescent="0.2">
      <c r="A11" s="8"/>
      <c r="B11" s="198"/>
      <c r="C11" s="8"/>
      <c r="D11" s="199"/>
      <c r="E11" s="200"/>
      <c r="G11" s="165"/>
      <c r="I11" s="41"/>
    </row>
    <row r="12" spans="1:13" x14ac:dyDescent="0.2">
      <c r="A12" s="8">
        <f>A10+1</f>
        <v>2</v>
      </c>
      <c r="B12" s="50" t="s">
        <v>32</v>
      </c>
      <c r="C12" s="8"/>
      <c r="D12" s="199"/>
      <c r="E12" s="200"/>
      <c r="G12" s="165"/>
      <c r="I12" s="41"/>
    </row>
    <row r="13" spans="1:13" x14ac:dyDescent="0.2">
      <c r="A13" s="8">
        <f t="shared" ref="A13:A28" si="0">A12+1</f>
        <v>3</v>
      </c>
      <c r="B13" s="203" t="s">
        <v>198</v>
      </c>
      <c r="C13" s="8" t="s">
        <v>33</v>
      </c>
      <c r="D13" s="199">
        <f>'Exh JDT-5 (JDT-C&amp;I-RD)'!D32</f>
        <v>222203870.67539161</v>
      </c>
      <c r="E13" s="200">
        <f>'Exh JDT-5 (JDT-C&amp;I-RD)'!I34</f>
        <v>122144982.04000001</v>
      </c>
      <c r="F13" s="19">
        <f>E13/D13</f>
        <v>0.54969781430331843</v>
      </c>
      <c r="G13" s="199">
        <f>SUM('Forecast Therms'!N11,'Forecast Therms'!N16)</f>
        <v>229680981</v>
      </c>
      <c r="H13" s="201">
        <f>F13*G13</f>
        <v>126255133.242742</v>
      </c>
      <c r="I13" s="42"/>
      <c r="L13" s="202"/>
    </row>
    <row r="14" spans="1:13" x14ac:dyDescent="0.2">
      <c r="A14" s="8"/>
      <c r="B14" s="50"/>
      <c r="C14" s="10"/>
      <c r="D14" s="199"/>
      <c r="E14" s="200"/>
      <c r="G14" s="165"/>
      <c r="H14" s="201"/>
      <c r="I14" s="42"/>
    </row>
    <row r="15" spans="1:13" x14ac:dyDescent="0.2">
      <c r="A15" s="8">
        <f>A13+1</f>
        <v>4</v>
      </c>
      <c r="B15" s="198" t="s">
        <v>34</v>
      </c>
      <c r="C15" s="8" t="s">
        <v>35</v>
      </c>
      <c r="D15" s="199">
        <f>'Exh JDT-5 (JDT-C&amp;I-RD)'!D82</f>
        <v>82012496.764967203</v>
      </c>
      <c r="E15" s="200">
        <f>'Exh JDT-5 (JDT-C&amp;I-RD)'!I84</f>
        <v>22261797.053338237</v>
      </c>
      <c r="F15" s="19">
        <f>E15/D15</f>
        <v>0.27144396197492282</v>
      </c>
      <c r="G15" s="199">
        <f>SUM('Forecast Therms'!N12,'Forecast Therms'!N17)</f>
        <v>83914230</v>
      </c>
      <c r="H15" s="201">
        <f>F15*G15</f>
        <v>22778011.057274926</v>
      </c>
      <c r="I15" s="42"/>
      <c r="L15" s="202"/>
    </row>
    <row r="16" spans="1:13" x14ac:dyDescent="0.2">
      <c r="A16" s="8"/>
      <c r="B16" s="198"/>
      <c r="C16" s="8"/>
      <c r="D16" s="199"/>
      <c r="E16" s="200"/>
      <c r="F16" s="19"/>
      <c r="G16" s="165"/>
      <c r="H16" s="201"/>
      <c r="I16" s="42"/>
    </row>
    <row r="17" spans="1:20" x14ac:dyDescent="0.2">
      <c r="A17" s="8">
        <f>A15+1</f>
        <v>5</v>
      </c>
      <c r="B17" s="198" t="s">
        <v>128</v>
      </c>
      <c r="C17" s="8" t="s">
        <v>41</v>
      </c>
      <c r="D17" s="199">
        <f>'Exh JDT-5 (JDT-INTRPL-RD)'!D96</f>
        <v>7491654.8276905464</v>
      </c>
      <c r="E17" s="200">
        <f>'Exh JDT-5 (JDT-INTRPL-RD)'!I96</f>
        <v>1560031.02</v>
      </c>
      <c r="F17" s="19">
        <f>E17/D17</f>
        <v>0.20823583785972571</v>
      </c>
      <c r="G17" s="199">
        <f>SUM('Forecast Therms'!N14,'Forecast Therms'!N19)</f>
        <v>6379401</v>
      </c>
      <c r="H17" s="201">
        <f>F17*G17</f>
        <v>1328419.9122781721</v>
      </c>
      <c r="I17" s="42"/>
      <c r="L17" s="202"/>
    </row>
    <row r="18" spans="1:20" x14ac:dyDescent="0.2">
      <c r="A18" s="8"/>
      <c r="B18" s="198"/>
      <c r="C18" s="8"/>
      <c r="D18" s="199"/>
      <c r="E18" s="200"/>
      <c r="G18" s="165"/>
      <c r="H18" s="201"/>
      <c r="I18" s="42"/>
    </row>
    <row r="19" spans="1:20" x14ac:dyDescent="0.2">
      <c r="A19" s="8">
        <f>A17+1</f>
        <v>6</v>
      </c>
      <c r="B19" s="198" t="s">
        <v>36</v>
      </c>
      <c r="C19" s="8"/>
      <c r="D19" s="204"/>
      <c r="E19" s="204"/>
      <c r="G19" s="165"/>
      <c r="H19" s="201"/>
      <c r="I19" s="42"/>
    </row>
    <row r="20" spans="1:20" x14ac:dyDescent="0.2">
      <c r="A20" s="8">
        <f t="shared" si="0"/>
        <v>7</v>
      </c>
      <c r="B20" s="205" t="s">
        <v>36</v>
      </c>
      <c r="C20" s="8">
        <v>85</v>
      </c>
      <c r="D20" s="199">
        <f>'Exh JDT-5 (JDT-INTRPL-RD)'!D21</f>
        <v>19992939.502740219</v>
      </c>
      <c r="E20" s="200">
        <v>2272313.06</v>
      </c>
      <c r="F20" s="19">
        <f>E20/D20</f>
        <v>0.11365577631486147</v>
      </c>
      <c r="G20" s="199">
        <f>'Forecast Therms'!N13</f>
        <v>17393753</v>
      </c>
      <c r="H20" s="201">
        <f>F20*G20</f>
        <v>1976900.5002439506</v>
      </c>
      <c r="I20" s="42"/>
      <c r="J20" s="476"/>
      <c r="K20" s="476"/>
      <c r="L20" s="477"/>
      <c r="M20" s="476"/>
      <c r="N20" s="476"/>
      <c r="O20" s="476"/>
      <c r="P20" s="476"/>
      <c r="Q20" s="476"/>
      <c r="R20" s="476"/>
      <c r="S20" s="476"/>
      <c r="T20" s="476"/>
    </row>
    <row r="21" spans="1:20" x14ac:dyDescent="0.2">
      <c r="A21" s="8">
        <f t="shared" si="0"/>
        <v>8</v>
      </c>
      <c r="B21" s="203" t="s">
        <v>199</v>
      </c>
      <c r="C21" s="10">
        <v>87</v>
      </c>
      <c r="D21" s="199">
        <f>'Exh JDT-5 (JDT-INTRPL-RD)'!D116</f>
        <v>21819455.762355208</v>
      </c>
      <c r="E21" s="206">
        <f>'Exh JDT-5 (JDT-INTRPL-RD)'!I116</f>
        <v>1509849.77</v>
      </c>
      <c r="F21" s="19">
        <f>E21/D21</f>
        <v>6.9197407416775353E-2</v>
      </c>
      <c r="G21" s="199">
        <f>'Forecast Therms'!N15</f>
        <v>18251688</v>
      </c>
      <c r="H21" s="201">
        <f>F21*G21</f>
        <v>1262969.4905798696</v>
      </c>
      <c r="I21" s="42"/>
      <c r="J21" s="476"/>
      <c r="K21" s="476"/>
      <c r="L21" s="477"/>
      <c r="M21" s="476"/>
      <c r="N21" s="476"/>
      <c r="O21" s="476"/>
      <c r="P21" s="476"/>
      <c r="Q21" s="476"/>
      <c r="R21" s="476"/>
      <c r="S21" s="476"/>
      <c r="T21" s="476"/>
    </row>
    <row r="22" spans="1:20" x14ac:dyDescent="0.2">
      <c r="A22" s="8">
        <f t="shared" si="0"/>
        <v>9</v>
      </c>
      <c r="B22" s="203" t="s">
        <v>143</v>
      </c>
      <c r="C22" s="10"/>
      <c r="D22" s="38">
        <f t="shared" ref="D22" si="1">SUM(D20:D21)</f>
        <v>41812395.265095428</v>
      </c>
      <c r="E22" s="39">
        <f t="shared" ref="E22" si="2">SUM(E20:E21)</f>
        <v>3782162.83</v>
      </c>
      <c r="F22" s="19"/>
      <c r="G22" s="38">
        <f>SUM(G20:G21)</f>
        <v>35645441</v>
      </c>
      <c r="H22" s="39">
        <f>SUM(H20:H21)</f>
        <v>3239869.9908238202</v>
      </c>
      <c r="I22" s="42"/>
      <c r="L22" s="202"/>
    </row>
    <row r="23" spans="1:20" x14ac:dyDescent="0.2">
      <c r="A23" s="8"/>
      <c r="B23" s="203"/>
      <c r="C23" s="10"/>
      <c r="D23" s="51"/>
      <c r="E23" s="42"/>
      <c r="F23" s="19"/>
      <c r="G23" s="51"/>
      <c r="H23" s="42"/>
      <c r="I23" s="42"/>
    </row>
    <row r="24" spans="1:20" x14ac:dyDescent="0.2">
      <c r="A24" s="8">
        <f>A22+1</f>
        <v>10</v>
      </c>
      <c r="B24" s="50" t="s">
        <v>46</v>
      </c>
      <c r="C24" s="10"/>
      <c r="D24" s="207"/>
      <c r="E24" s="208"/>
      <c r="G24" s="26"/>
      <c r="H24" s="201"/>
      <c r="I24" s="42"/>
    </row>
    <row r="25" spans="1:20" x14ac:dyDescent="0.2">
      <c r="A25" s="8">
        <f t="shared" si="0"/>
        <v>11</v>
      </c>
      <c r="B25" s="205" t="s">
        <v>36</v>
      </c>
      <c r="C25" s="10" t="s">
        <v>47</v>
      </c>
      <c r="D25" s="199">
        <f>'Exh JDT-5 (JDT-INTRPL-RD)'!D36</f>
        <v>68886791.019958794</v>
      </c>
      <c r="E25" s="206">
        <f>'Exh JDT-5 (JDT-INTRPL-RD)'!I36</f>
        <v>7339677.3100000005</v>
      </c>
      <c r="F25" s="19">
        <f t="shared" ref="F25:F26" si="3">E25/D25</f>
        <v>0.1065469475544804</v>
      </c>
      <c r="G25" s="199">
        <f>'Forecast Therms'!N18</f>
        <v>55843995</v>
      </c>
      <c r="H25" s="201">
        <f>F25*G25</f>
        <v>5950007.2064976655</v>
      </c>
      <c r="I25" s="42"/>
      <c r="L25" s="202"/>
    </row>
    <row r="26" spans="1:20" x14ac:dyDescent="0.2">
      <c r="A26" s="8">
        <f t="shared" si="0"/>
        <v>12</v>
      </c>
      <c r="B26" s="203" t="s">
        <v>199</v>
      </c>
      <c r="C26" s="10" t="s">
        <v>48</v>
      </c>
      <c r="D26" s="199">
        <f>'Exh JDT-5 (JDT-INTRPL-RD)'!D134</f>
        <v>97500425.645479575</v>
      </c>
      <c r="E26" s="206">
        <f>'Exh JDT-5 (JDT-INTRPL-RD)'!I134</f>
        <v>4790056.76</v>
      </c>
      <c r="F26" s="19">
        <f t="shared" si="3"/>
        <v>4.9128572806616068E-2</v>
      </c>
      <c r="G26" s="199">
        <f>SUM('Forecast Therms'!N20:N21)</f>
        <v>107634909</v>
      </c>
      <c r="H26" s="201">
        <f>F26*G26</f>
        <v>5287949.4633399947</v>
      </c>
      <c r="I26" s="42"/>
      <c r="L26" s="202"/>
    </row>
    <row r="27" spans="1:20" x14ac:dyDescent="0.2">
      <c r="A27" s="8">
        <f t="shared" si="0"/>
        <v>13</v>
      </c>
      <c r="B27" s="50" t="s">
        <v>200</v>
      </c>
      <c r="C27" s="10"/>
      <c r="D27" s="209">
        <f>SUM(D25:D26)</f>
        <v>166387216.66543835</v>
      </c>
      <c r="E27" s="210">
        <f>SUM(E25:E26)</f>
        <v>12129734.07</v>
      </c>
      <c r="F27" s="19"/>
      <c r="G27" s="209">
        <f>SUM(G25:G26)</f>
        <v>163478904</v>
      </c>
      <c r="H27" s="210">
        <f>SUM(H25:H26)</f>
        <v>11237956.669837661</v>
      </c>
      <c r="I27" s="211"/>
      <c r="L27" s="202"/>
    </row>
    <row r="28" spans="1:20" x14ac:dyDescent="0.2">
      <c r="A28" s="8">
        <f t="shared" si="0"/>
        <v>14</v>
      </c>
      <c r="B28" s="50" t="s">
        <v>40</v>
      </c>
      <c r="C28" s="50"/>
      <c r="D28" s="38">
        <f>D10+D13+D15+D17+D22+D27</f>
        <v>1140744318.2554548</v>
      </c>
      <c r="E28" s="39">
        <f>E10+E13+E15+E17+E22+E27</f>
        <v>565492164.10807931</v>
      </c>
      <c r="F28" s="19"/>
      <c r="G28" s="38">
        <f>G10+G13+G15+G17+G22+G27</f>
        <v>1080513208</v>
      </c>
      <c r="H28" s="39">
        <f>H10+H13+H15+H17+H22+H27</f>
        <v>529821603.63087338</v>
      </c>
      <c r="I28" s="42"/>
      <c r="L28" s="202"/>
    </row>
    <row r="29" spans="1:20" x14ac:dyDescent="0.2">
      <c r="B29" s="198"/>
      <c r="C29" s="198"/>
      <c r="D29" s="51"/>
      <c r="E29" s="212"/>
      <c r="F29" s="212"/>
      <c r="G29" s="188">
        <f>SUM('Forecast Therms'!N9:N21)-'Margin Revenue'!G28</f>
        <v>0</v>
      </c>
      <c r="I29" s="41"/>
    </row>
    <row r="30" spans="1:20" x14ac:dyDescent="0.2">
      <c r="B30" s="198"/>
      <c r="C30" s="198"/>
      <c r="D30" s="51"/>
      <c r="E30" s="212"/>
      <c r="F30" s="212"/>
      <c r="I30" s="41"/>
    </row>
    <row r="31" spans="1:20" ht="14.25" x14ac:dyDescent="0.2">
      <c r="A31" s="191" t="s">
        <v>188</v>
      </c>
      <c r="B31" s="163" t="s">
        <v>201</v>
      </c>
      <c r="C31" s="163"/>
      <c r="D31" s="163"/>
      <c r="E31" s="163"/>
      <c r="F31" s="163"/>
      <c r="G31" s="163"/>
      <c r="H31" s="163"/>
      <c r="I31" s="163"/>
      <c r="J31" s="163"/>
      <c r="N31" s="41"/>
      <c r="O31" s="41"/>
      <c r="P31" s="41"/>
      <c r="Q31" s="41"/>
      <c r="R31" s="41"/>
      <c r="S31" s="41"/>
    </row>
    <row r="32" spans="1:20" ht="14.25" x14ac:dyDescent="0.2">
      <c r="A32" s="191" t="s">
        <v>190</v>
      </c>
      <c r="B32" s="163" t="s">
        <v>202</v>
      </c>
      <c r="C32" s="192"/>
      <c r="D32" s="192"/>
      <c r="E32" s="192"/>
      <c r="F32" s="192"/>
      <c r="G32" s="192"/>
      <c r="H32" s="192"/>
      <c r="I32" s="192"/>
      <c r="J32" s="192"/>
      <c r="N32" s="41"/>
      <c r="O32" s="41"/>
      <c r="P32" s="41"/>
      <c r="Q32" s="41"/>
      <c r="R32" s="41"/>
      <c r="S32" s="41"/>
    </row>
    <row r="33" spans="2:19" x14ac:dyDescent="0.2">
      <c r="B33" s="198"/>
      <c r="C33" s="198"/>
      <c r="D33" s="198"/>
      <c r="E33" s="198"/>
      <c r="F33" s="198"/>
      <c r="G33" s="198"/>
      <c r="H33" s="198"/>
      <c r="I33" s="198"/>
      <c r="J33" s="198"/>
      <c r="N33" s="41"/>
      <c r="O33" s="41"/>
      <c r="P33" s="41"/>
      <c r="Q33" s="41"/>
      <c r="R33" s="41"/>
      <c r="S33" s="41"/>
    </row>
    <row r="34" spans="2:19" x14ac:dyDescent="0.2">
      <c r="B34" s="198"/>
      <c r="C34" s="198"/>
      <c r="D34" s="198"/>
      <c r="E34" s="198"/>
      <c r="F34" s="198"/>
      <c r="G34" s="198"/>
      <c r="H34" s="198"/>
      <c r="I34" s="198"/>
      <c r="J34" s="198"/>
      <c r="N34" s="41"/>
      <c r="O34" s="41"/>
      <c r="P34" s="41"/>
      <c r="Q34" s="41"/>
      <c r="R34" s="41"/>
      <c r="S34" s="41"/>
    </row>
    <row r="35" spans="2:19" x14ac:dyDescent="0.2">
      <c r="D35" s="213"/>
      <c r="E35" s="213"/>
      <c r="F35" s="213"/>
      <c r="G35" s="213"/>
      <c r="H35" s="213"/>
      <c r="I35" s="213"/>
      <c r="J35" s="213"/>
      <c r="K35" s="41"/>
      <c r="L35" s="41"/>
      <c r="M35" s="41"/>
      <c r="N35" s="213"/>
      <c r="O35" s="41"/>
      <c r="P35" s="41"/>
      <c r="Q35" s="41"/>
      <c r="R35" s="41"/>
      <c r="S35" s="41"/>
    </row>
    <row r="36" spans="2:19" x14ac:dyDescent="0.2">
      <c r="D36" s="213"/>
      <c r="E36" s="213"/>
      <c r="F36" s="213"/>
      <c r="G36" s="213"/>
      <c r="H36" s="213"/>
      <c r="I36" s="213"/>
      <c r="J36" s="213"/>
      <c r="K36" s="41"/>
      <c r="L36" s="41"/>
      <c r="M36" s="213"/>
      <c r="N36" s="213"/>
      <c r="O36" s="41"/>
      <c r="P36" s="41"/>
      <c r="Q36" s="41"/>
      <c r="R36" s="41"/>
      <c r="S36" s="41"/>
    </row>
    <row r="37" spans="2:19" x14ac:dyDescent="0.2">
      <c r="D37" s="213"/>
      <c r="E37" s="213"/>
      <c r="F37" s="213"/>
      <c r="G37" s="213"/>
      <c r="H37" s="213"/>
      <c r="I37" s="213"/>
      <c r="J37" s="213"/>
      <c r="K37" s="41"/>
      <c r="L37" s="41"/>
      <c r="M37" s="51"/>
      <c r="N37" s="213"/>
      <c r="O37" s="41"/>
      <c r="P37" s="41"/>
      <c r="Q37" s="41"/>
      <c r="R37" s="41"/>
      <c r="S37" s="41"/>
    </row>
    <row r="38" spans="2:19" x14ac:dyDescent="0.2">
      <c r="D38" s="213"/>
      <c r="E38" s="213"/>
      <c r="F38" s="213"/>
      <c r="G38" s="213"/>
      <c r="H38" s="213"/>
      <c r="I38" s="213"/>
      <c r="J38" s="213"/>
      <c r="K38" s="41"/>
      <c r="L38" s="41"/>
      <c r="M38" s="213"/>
      <c r="N38" s="213"/>
      <c r="O38" s="41"/>
      <c r="P38" s="41"/>
      <c r="Q38" s="41"/>
      <c r="R38" s="41"/>
      <c r="S38" s="41"/>
    </row>
    <row r="39" spans="2:19" x14ac:dyDescent="0.2">
      <c r="D39" s="213"/>
      <c r="E39" s="213"/>
      <c r="F39" s="213"/>
      <c r="G39" s="213"/>
      <c r="H39" s="213"/>
      <c r="I39" s="213"/>
      <c r="J39" s="213"/>
      <c r="K39" s="41"/>
      <c r="L39" s="41"/>
      <c r="M39" s="213"/>
      <c r="N39" s="213"/>
      <c r="O39" s="41"/>
      <c r="P39" s="41"/>
      <c r="Q39" s="41"/>
      <c r="R39" s="41"/>
      <c r="S39" s="41"/>
    </row>
    <row r="40" spans="2:19" x14ac:dyDescent="0.2">
      <c r="D40" s="213"/>
      <c r="E40" s="213"/>
      <c r="F40" s="213"/>
      <c r="G40" s="213"/>
      <c r="H40" s="213"/>
      <c r="I40" s="213"/>
      <c r="J40" s="213"/>
      <c r="K40" s="41"/>
      <c r="L40" s="41"/>
      <c r="M40" s="51"/>
      <c r="N40" s="213"/>
      <c r="O40" s="41"/>
      <c r="P40" s="41"/>
      <c r="Q40" s="41"/>
      <c r="R40" s="41"/>
      <c r="S40" s="41"/>
    </row>
    <row r="41" spans="2:19" x14ac:dyDescent="0.2">
      <c r="D41" s="213"/>
      <c r="E41" s="213"/>
      <c r="F41" s="213"/>
      <c r="G41" s="213"/>
      <c r="H41" s="213"/>
      <c r="I41" s="213"/>
      <c r="J41" s="213"/>
      <c r="K41" s="41"/>
      <c r="L41" s="41"/>
      <c r="M41" s="41"/>
      <c r="N41" s="213"/>
    </row>
    <row r="42" spans="2:19" x14ac:dyDescent="0.2">
      <c r="D42" s="213"/>
      <c r="E42" s="213"/>
      <c r="F42" s="213"/>
      <c r="G42" s="213"/>
      <c r="H42" s="213"/>
      <c r="I42" s="213"/>
      <c r="J42" s="213"/>
      <c r="K42" s="41"/>
      <c r="L42" s="41"/>
      <c r="M42" s="41"/>
      <c r="N42" s="213"/>
    </row>
    <row r="43" spans="2:19" x14ac:dyDescent="0.2">
      <c r="D43" s="213"/>
      <c r="E43" s="213"/>
      <c r="F43" s="213"/>
      <c r="G43" s="213"/>
      <c r="H43" s="213"/>
      <c r="I43" s="213"/>
      <c r="J43" s="213"/>
      <c r="K43" s="41"/>
      <c r="L43" s="41"/>
      <c r="M43" s="41"/>
      <c r="N43" s="213"/>
    </row>
    <row r="44" spans="2:19" x14ac:dyDescent="0.2">
      <c r="D44" s="213"/>
      <c r="E44" s="213"/>
      <c r="F44" s="213"/>
      <c r="G44" s="213"/>
      <c r="H44" s="213"/>
      <c r="I44" s="213"/>
      <c r="J44" s="213"/>
      <c r="K44" s="41"/>
      <c r="L44" s="41"/>
      <c r="M44" s="41"/>
      <c r="N44" s="213"/>
    </row>
    <row r="45" spans="2:19" x14ac:dyDescent="0.2">
      <c r="D45" s="213"/>
      <c r="E45" s="213"/>
      <c r="F45" s="213"/>
      <c r="G45" s="213"/>
      <c r="H45" s="213"/>
      <c r="I45" s="213"/>
      <c r="J45" s="213"/>
      <c r="K45" s="41"/>
      <c r="L45" s="41"/>
      <c r="M45" s="41"/>
      <c r="N45" s="213"/>
    </row>
    <row r="46" spans="2:19" x14ac:dyDescent="0.2">
      <c r="D46" s="213"/>
      <c r="E46" s="213"/>
      <c r="F46" s="213"/>
      <c r="G46" s="213"/>
      <c r="H46" s="213"/>
      <c r="I46" s="213"/>
      <c r="J46" s="213"/>
      <c r="K46" s="41"/>
      <c r="L46" s="41"/>
      <c r="M46" s="41"/>
      <c r="N46" s="213"/>
    </row>
    <row r="47" spans="2:19" x14ac:dyDescent="0.2">
      <c r="D47" s="213"/>
      <c r="E47" s="213"/>
      <c r="F47" s="213"/>
      <c r="G47" s="213"/>
      <c r="H47" s="213"/>
      <c r="I47" s="213"/>
      <c r="J47" s="213"/>
      <c r="K47" s="41"/>
      <c r="L47" s="41"/>
      <c r="M47" s="41"/>
      <c r="N47" s="213"/>
    </row>
    <row r="48" spans="2:19" x14ac:dyDescent="0.2">
      <c r="D48" s="41"/>
      <c r="E48" s="208"/>
      <c r="F48" s="208"/>
      <c r="G48" s="41"/>
      <c r="H48" s="41"/>
      <c r="I48" s="41"/>
      <c r="J48" s="41"/>
      <c r="K48" s="41"/>
      <c r="L48" s="41"/>
      <c r="M48" s="41"/>
      <c r="N48" s="213"/>
    </row>
    <row r="49" spans="4:14" x14ac:dyDescent="0.2">
      <c r="D49" s="41"/>
      <c r="E49" s="42"/>
      <c r="F49" s="42"/>
      <c r="G49" s="41"/>
      <c r="H49" s="41"/>
      <c r="I49" s="41"/>
      <c r="J49" s="41"/>
      <c r="K49" s="41"/>
      <c r="L49" s="41"/>
      <c r="M49" s="41"/>
      <c r="N49" s="213"/>
    </row>
    <row r="50" spans="4:14" x14ac:dyDescent="0.2">
      <c r="D50" s="41"/>
      <c r="E50" s="41"/>
      <c r="F50" s="41"/>
      <c r="G50" s="41"/>
      <c r="H50" s="41"/>
      <c r="I50" s="213"/>
      <c r="J50" s="213"/>
      <c r="K50" s="41"/>
      <c r="L50" s="41"/>
      <c r="M50" s="41"/>
      <c r="N50" s="213"/>
    </row>
    <row r="51" spans="4:14" x14ac:dyDescent="0.2">
      <c r="D51" s="41"/>
      <c r="E51" s="45"/>
      <c r="F51" s="45"/>
      <c r="G51" s="45"/>
      <c r="H51" s="41"/>
      <c r="I51" s="213"/>
      <c r="J51" s="45"/>
      <c r="K51" s="41"/>
      <c r="L51" s="41"/>
      <c r="M51" s="41"/>
      <c r="N51" s="41"/>
    </row>
    <row r="52" spans="4:14" x14ac:dyDescent="0.2">
      <c r="D52" s="41"/>
      <c r="E52" s="45"/>
      <c r="F52" s="45"/>
      <c r="G52" s="45"/>
      <c r="H52" s="213"/>
      <c r="I52" s="213"/>
      <c r="J52" s="45"/>
      <c r="K52" s="41"/>
      <c r="L52" s="41"/>
      <c r="M52" s="41"/>
      <c r="N52" s="41"/>
    </row>
    <row r="53" spans="4:14" x14ac:dyDescent="0.2">
      <c r="D53" s="41"/>
      <c r="E53" s="45"/>
      <c r="F53" s="45"/>
      <c r="G53" s="45"/>
      <c r="H53" s="213"/>
      <c r="I53" s="213"/>
      <c r="J53" s="213"/>
      <c r="K53" s="41"/>
      <c r="L53" s="41"/>
      <c r="M53" s="41"/>
      <c r="N53" s="41"/>
    </row>
    <row r="54" spans="4:14" x14ac:dyDescent="0.2">
      <c r="D54" s="42"/>
      <c r="E54" s="41"/>
      <c r="F54" s="41"/>
      <c r="G54" s="45"/>
      <c r="H54" s="213"/>
      <c r="I54" s="213"/>
      <c r="J54" s="213"/>
      <c r="K54" s="41"/>
      <c r="L54" s="41"/>
      <c r="M54" s="41"/>
      <c r="N54" s="41"/>
    </row>
    <row r="55" spans="4:14" x14ac:dyDescent="0.2">
      <c r="D55" s="41"/>
      <c r="E55" s="41"/>
      <c r="F55" s="41"/>
      <c r="G55" s="45"/>
      <c r="H55" s="213"/>
      <c r="I55" s="213"/>
      <c r="J55" s="213"/>
      <c r="K55" s="41"/>
      <c r="L55" s="41"/>
      <c r="M55" s="41"/>
      <c r="N55" s="41"/>
    </row>
    <row r="56" spans="4:14" x14ac:dyDescent="0.2">
      <c r="D56" s="41"/>
      <c r="E56" s="41"/>
      <c r="F56" s="41"/>
      <c r="G56" s="45"/>
      <c r="H56" s="213"/>
      <c r="I56" s="213"/>
      <c r="J56" s="213"/>
      <c r="K56" s="41"/>
      <c r="L56" s="41"/>
      <c r="M56" s="41"/>
      <c r="N56" s="41"/>
    </row>
    <row r="57" spans="4:14" x14ac:dyDescent="0.2">
      <c r="D57" s="41"/>
      <c r="E57" s="41"/>
      <c r="F57" s="41"/>
      <c r="G57" s="41"/>
      <c r="H57" s="213"/>
      <c r="I57" s="213"/>
      <c r="J57" s="213"/>
      <c r="K57" s="41"/>
      <c r="L57" s="41"/>
      <c r="M57" s="41"/>
      <c r="N57" s="41"/>
    </row>
    <row r="58" spans="4:14" x14ac:dyDescent="0.2">
      <c r="D58" s="41"/>
      <c r="E58" s="41"/>
      <c r="F58" s="41"/>
      <c r="G58" s="213"/>
      <c r="H58" s="213"/>
      <c r="I58" s="213"/>
      <c r="J58" s="213"/>
      <c r="K58" s="41"/>
      <c r="L58" s="41"/>
      <c r="M58" s="45"/>
      <c r="N58" s="41"/>
    </row>
    <row r="59" spans="4:14" x14ac:dyDescent="0.2">
      <c r="D59" s="41"/>
      <c r="E59" s="45"/>
      <c r="F59" s="45"/>
      <c r="G59" s="45"/>
      <c r="H59" s="45"/>
      <c r="I59" s="45"/>
      <c r="J59" s="45"/>
      <c r="K59" s="45"/>
      <c r="L59" s="45"/>
      <c r="M59" s="214"/>
      <c r="N59" s="41"/>
    </row>
    <row r="60" spans="4:14" x14ac:dyDescent="0.2">
      <c r="D60" s="41"/>
      <c r="E60" s="45"/>
      <c r="F60" s="45"/>
      <c r="G60" s="45"/>
      <c r="H60" s="45"/>
      <c r="I60" s="45"/>
      <c r="J60" s="45"/>
      <c r="K60" s="45"/>
      <c r="L60" s="45"/>
      <c r="M60" s="45"/>
      <c r="N60" s="41"/>
    </row>
    <row r="61" spans="4:14" x14ac:dyDescent="0.2">
      <c r="D61" s="41"/>
      <c r="E61" s="45"/>
      <c r="F61" s="45"/>
      <c r="G61" s="213"/>
      <c r="H61" s="45"/>
      <c r="I61" s="45"/>
      <c r="J61" s="45"/>
      <c r="K61" s="45"/>
      <c r="L61" s="45"/>
      <c r="M61" s="45"/>
      <c r="N61" s="41"/>
    </row>
    <row r="62" spans="4:14" x14ac:dyDescent="0.2">
      <c r="D62" s="41"/>
      <c r="E62" s="45"/>
      <c r="F62" s="45"/>
      <c r="G62" s="45"/>
      <c r="H62" s="45"/>
      <c r="I62" s="45"/>
      <c r="J62" s="45"/>
      <c r="K62" s="45"/>
      <c r="L62" s="45"/>
      <c r="M62" s="45"/>
      <c r="N62" s="41"/>
    </row>
    <row r="63" spans="4:14" x14ac:dyDescent="0.2">
      <c r="D63" s="41"/>
      <c r="E63" s="45"/>
      <c r="F63" s="45"/>
      <c r="G63" s="45"/>
      <c r="H63" s="45"/>
      <c r="I63" s="45"/>
      <c r="J63" s="45"/>
      <c r="K63" s="45"/>
      <c r="L63" s="45"/>
      <c r="M63" s="41"/>
      <c r="N63" s="41"/>
    </row>
    <row r="64" spans="4:14" x14ac:dyDescent="0.2">
      <c r="D64" s="41"/>
      <c r="E64" s="41"/>
      <c r="F64" s="41"/>
      <c r="G64" s="213"/>
      <c r="H64" s="213"/>
      <c r="I64" s="213"/>
      <c r="J64" s="213"/>
      <c r="K64" s="41"/>
      <c r="L64" s="41"/>
      <c r="M64" s="41"/>
      <c r="N64" s="41"/>
    </row>
    <row r="65" spans="4:14" x14ac:dyDescent="0.2">
      <c r="D65" s="41"/>
      <c r="E65" s="41"/>
      <c r="F65" s="41"/>
      <c r="G65" s="213"/>
      <c r="H65" s="213"/>
      <c r="I65" s="213"/>
      <c r="J65" s="213"/>
      <c r="K65" s="213"/>
      <c r="L65" s="41"/>
      <c r="M65" s="41"/>
      <c r="N65" s="41"/>
    </row>
    <row r="66" spans="4:14" x14ac:dyDescent="0.2">
      <c r="G66" s="215"/>
      <c r="H66" s="215"/>
      <c r="I66" s="215"/>
      <c r="J66" s="215"/>
      <c r="K66" s="215"/>
    </row>
    <row r="67" spans="4:14" x14ac:dyDescent="0.2">
      <c r="G67" s="215"/>
      <c r="H67" s="215"/>
      <c r="I67" s="215"/>
      <c r="J67" s="215"/>
      <c r="K67" s="215"/>
    </row>
    <row r="68" spans="4:14" x14ac:dyDescent="0.2">
      <c r="G68" s="215"/>
      <c r="H68" s="215"/>
      <c r="I68" s="215"/>
      <c r="J68" s="215"/>
      <c r="K68" s="215"/>
    </row>
    <row r="69" spans="4:14" x14ac:dyDescent="0.2">
      <c r="E69" s="215"/>
      <c r="F69" s="215"/>
      <c r="G69" s="215"/>
      <c r="H69" s="215"/>
      <c r="I69" s="215"/>
      <c r="J69" s="215"/>
      <c r="K69" s="215"/>
    </row>
    <row r="70" spans="4:14" x14ac:dyDescent="0.2">
      <c r="E70" s="216"/>
      <c r="F70" s="216"/>
      <c r="G70" s="215"/>
      <c r="H70" s="215"/>
      <c r="I70" s="215"/>
      <c r="J70" s="215"/>
      <c r="K70" s="215"/>
    </row>
    <row r="71" spans="4:14" x14ac:dyDescent="0.2">
      <c r="E71" s="216"/>
      <c r="F71" s="216"/>
      <c r="G71" s="215"/>
      <c r="H71" s="215"/>
      <c r="I71" s="215"/>
      <c r="J71" s="215"/>
      <c r="K71" s="215"/>
    </row>
    <row r="72" spans="4:14" x14ac:dyDescent="0.2">
      <c r="E72" s="216"/>
      <c r="F72" s="216"/>
      <c r="G72" s="215"/>
      <c r="H72" s="215"/>
      <c r="I72" s="215"/>
      <c r="J72" s="215"/>
      <c r="K72" s="215"/>
    </row>
    <row r="73" spans="4:14" x14ac:dyDescent="0.2">
      <c r="G73" s="215"/>
      <c r="H73" s="215"/>
      <c r="I73" s="215"/>
      <c r="J73" s="215"/>
      <c r="K73" s="215"/>
    </row>
    <row r="74" spans="4:14" x14ac:dyDescent="0.2">
      <c r="G74" s="215"/>
      <c r="H74" s="215"/>
      <c r="I74" s="215"/>
      <c r="J74" s="215"/>
      <c r="K74" s="215"/>
    </row>
    <row r="75" spans="4:14" x14ac:dyDescent="0.2">
      <c r="G75" s="215"/>
      <c r="H75" s="215"/>
      <c r="I75" s="215"/>
      <c r="J75" s="215"/>
      <c r="K75" s="215"/>
    </row>
    <row r="76" spans="4:14" x14ac:dyDescent="0.2">
      <c r="G76" s="215"/>
      <c r="H76" s="215"/>
      <c r="I76" s="215"/>
    </row>
  </sheetData>
  <printOptions horizontalCentered="1"/>
  <pageMargins left="0.5" right="0.5" top="1" bottom="1" header="0.5" footer="0.5"/>
  <pageSetup orientation="landscape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90" zoomScaleNormal="90" workbookViewId="0">
      <pane xSplit="1" ySplit="4" topLeftCell="B5" activePane="bottomRight" state="frozen"/>
      <selection activeCell="E26" sqref="E26"/>
      <selection pane="topRight" activeCell="E26" sqref="E26"/>
      <selection pane="bottomLeft" activeCell="E26" sqref="E26"/>
      <selection pane="bottomRight" activeCell="F29" sqref="F29"/>
    </sheetView>
  </sheetViews>
  <sheetFormatPr defaultColWidth="9.140625" defaultRowHeight="12.75" x14ac:dyDescent="0.2"/>
  <cols>
    <col min="1" max="1" width="10.7109375" style="217" customWidth="1"/>
    <col min="2" max="2" width="12.140625" style="217" bestFit="1" customWidth="1"/>
    <col min="3" max="7" width="12.42578125" style="217" bestFit="1" customWidth="1"/>
    <col min="8" max="12" width="12.5703125" style="217" bestFit="1" customWidth="1"/>
    <col min="13" max="13" width="12.140625" style="217" bestFit="1" customWidth="1"/>
    <col min="14" max="14" width="13.85546875" style="217" customWidth="1"/>
    <col min="15" max="16384" width="9.140625" style="217"/>
  </cols>
  <sheetData>
    <row r="1" spans="1:14" x14ac:dyDescent="0.2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x14ac:dyDescent="0.2">
      <c r="A2" s="495" t="str">
        <f>Rates!A2</f>
        <v>2024 Gas Schedule 129D Bill Discount Rate Filing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4" x14ac:dyDescent="0.2">
      <c r="A3" s="495" t="s">
        <v>203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</row>
    <row r="4" spans="1:14" x14ac:dyDescent="0.2">
      <c r="A4" s="498" t="str">
        <f>TEXT(B7,"Mmmm YYYY - ")&amp;TEXT(M7,"Mmmm YYYY")</f>
        <v>January 2025 - December 2025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18"/>
      <c r="N5" s="218"/>
    </row>
    <row r="6" spans="1:14" x14ac:dyDescent="0.2">
      <c r="A6" s="219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18"/>
      <c r="N6" s="218"/>
    </row>
    <row r="7" spans="1:14" x14ac:dyDescent="0.2">
      <c r="A7" s="220" t="s">
        <v>16</v>
      </c>
      <c r="B7" s="221">
        <v>45658</v>
      </c>
      <c r="C7" s="222">
        <f>EDATE(B7,1)</f>
        <v>45689</v>
      </c>
      <c r="D7" s="222">
        <f t="shared" ref="D7:M7" si="0">EDATE(C7,1)</f>
        <v>45717</v>
      </c>
      <c r="E7" s="222">
        <f t="shared" si="0"/>
        <v>45748</v>
      </c>
      <c r="F7" s="222">
        <f t="shared" si="0"/>
        <v>45778</v>
      </c>
      <c r="G7" s="222">
        <f t="shared" si="0"/>
        <v>45809</v>
      </c>
      <c r="H7" s="222">
        <f t="shared" si="0"/>
        <v>45839</v>
      </c>
      <c r="I7" s="222">
        <f t="shared" si="0"/>
        <v>45870</v>
      </c>
      <c r="J7" s="222">
        <f t="shared" si="0"/>
        <v>45901</v>
      </c>
      <c r="K7" s="222">
        <f t="shared" si="0"/>
        <v>45931</v>
      </c>
      <c r="L7" s="222">
        <f t="shared" si="0"/>
        <v>45962</v>
      </c>
      <c r="M7" s="222">
        <f t="shared" si="0"/>
        <v>45992</v>
      </c>
      <c r="N7" s="223" t="s">
        <v>40</v>
      </c>
    </row>
    <row r="8" spans="1:14" x14ac:dyDescent="0.2">
      <c r="A8" s="219">
        <v>16</v>
      </c>
      <c r="B8" s="199">
        <v>513</v>
      </c>
      <c r="C8" s="199">
        <v>513</v>
      </c>
      <c r="D8" s="199">
        <v>513</v>
      </c>
      <c r="E8" s="199">
        <v>513</v>
      </c>
      <c r="F8" s="199">
        <v>513</v>
      </c>
      <c r="G8" s="199">
        <v>513</v>
      </c>
      <c r="H8" s="199">
        <v>513</v>
      </c>
      <c r="I8" s="199">
        <v>513</v>
      </c>
      <c r="J8" s="199">
        <v>513</v>
      </c>
      <c r="K8" s="199">
        <v>513</v>
      </c>
      <c r="L8" s="199">
        <v>513</v>
      </c>
      <c r="M8" s="199">
        <v>513</v>
      </c>
      <c r="N8" s="178">
        <f t="shared" ref="N8:N22" si="1">SUM(B8:M8)</f>
        <v>6156</v>
      </c>
    </row>
    <row r="9" spans="1:14" x14ac:dyDescent="0.2">
      <c r="A9" s="219">
        <v>23</v>
      </c>
      <c r="B9" s="199">
        <v>84091990</v>
      </c>
      <c r="C9" s="199">
        <v>72855060</v>
      </c>
      <c r="D9" s="199">
        <v>65707108</v>
      </c>
      <c r="E9" s="199">
        <v>45647376</v>
      </c>
      <c r="F9" s="199">
        <v>27871265</v>
      </c>
      <c r="G9" s="199">
        <v>19273637</v>
      </c>
      <c r="H9" s="199">
        <v>14492879</v>
      </c>
      <c r="I9" s="199">
        <v>14574848</v>
      </c>
      <c r="J9" s="199">
        <v>19979616</v>
      </c>
      <c r="K9" s="199">
        <v>42276981</v>
      </c>
      <c r="L9" s="199">
        <v>67463742</v>
      </c>
      <c r="M9" s="199">
        <v>87179749</v>
      </c>
      <c r="N9" s="178">
        <f t="shared" si="1"/>
        <v>561414251</v>
      </c>
    </row>
    <row r="10" spans="1:14" x14ac:dyDescent="0.2">
      <c r="A10" s="219">
        <v>53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78">
        <f t="shared" si="1"/>
        <v>0</v>
      </c>
    </row>
    <row r="11" spans="1:14" x14ac:dyDescent="0.2">
      <c r="A11" s="219">
        <v>31</v>
      </c>
      <c r="B11" s="199">
        <v>29692885</v>
      </c>
      <c r="C11" s="199">
        <v>26316395</v>
      </c>
      <c r="D11" s="199">
        <v>23569963</v>
      </c>
      <c r="E11" s="199">
        <v>16996414</v>
      </c>
      <c r="F11" s="199">
        <v>12050268</v>
      </c>
      <c r="G11" s="199">
        <v>9905036</v>
      </c>
      <c r="H11" s="199">
        <v>8713537</v>
      </c>
      <c r="I11" s="199">
        <v>9689232</v>
      </c>
      <c r="J11" s="199">
        <v>11580729</v>
      </c>
      <c r="K11" s="199">
        <v>19315268</v>
      </c>
      <c r="L11" s="199">
        <v>27775687</v>
      </c>
      <c r="M11" s="199">
        <v>34075567</v>
      </c>
      <c r="N11" s="178">
        <f t="shared" si="1"/>
        <v>229680981</v>
      </c>
    </row>
    <row r="12" spans="1:14" x14ac:dyDescent="0.2">
      <c r="A12" s="219">
        <v>41</v>
      </c>
      <c r="B12" s="199">
        <v>7128146</v>
      </c>
      <c r="C12" s="199">
        <v>6663689</v>
      </c>
      <c r="D12" s="199">
        <v>6195978</v>
      </c>
      <c r="E12" s="199">
        <v>4825720</v>
      </c>
      <c r="F12" s="199">
        <v>3787419</v>
      </c>
      <c r="G12" s="199">
        <v>3273804</v>
      </c>
      <c r="H12" s="199">
        <v>2790751</v>
      </c>
      <c r="I12" s="199">
        <v>3064107</v>
      </c>
      <c r="J12" s="199">
        <v>3691483</v>
      </c>
      <c r="K12" s="199">
        <v>5652301</v>
      </c>
      <c r="L12" s="199">
        <v>7486386</v>
      </c>
      <c r="M12" s="199">
        <v>8238591</v>
      </c>
      <c r="N12" s="178">
        <f t="shared" si="1"/>
        <v>62798375</v>
      </c>
    </row>
    <row r="13" spans="1:14" x14ac:dyDescent="0.2">
      <c r="A13" s="219">
        <v>85</v>
      </c>
      <c r="B13" s="199">
        <v>1910561</v>
      </c>
      <c r="C13" s="199">
        <v>1650567</v>
      </c>
      <c r="D13" s="199">
        <v>1719109</v>
      </c>
      <c r="E13" s="199">
        <v>1552464</v>
      </c>
      <c r="F13" s="199">
        <v>1422984</v>
      </c>
      <c r="G13" s="199">
        <v>1209166</v>
      </c>
      <c r="H13" s="199">
        <v>1112660</v>
      </c>
      <c r="I13" s="199">
        <v>1070071</v>
      </c>
      <c r="J13" s="199">
        <v>1005779</v>
      </c>
      <c r="K13" s="199">
        <v>1463922</v>
      </c>
      <c r="L13" s="199">
        <v>1455079</v>
      </c>
      <c r="M13" s="199">
        <v>1821391</v>
      </c>
      <c r="N13" s="178">
        <f t="shared" si="1"/>
        <v>17393753</v>
      </c>
    </row>
    <row r="14" spans="1:14" x14ac:dyDescent="0.2">
      <c r="A14" s="219">
        <v>86</v>
      </c>
      <c r="B14" s="199">
        <v>800487</v>
      </c>
      <c r="C14" s="199">
        <v>670382</v>
      </c>
      <c r="D14" s="199">
        <v>676505</v>
      </c>
      <c r="E14" s="199">
        <v>514139</v>
      </c>
      <c r="F14" s="199">
        <v>381780</v>
      </c>
      <c r="G14" s="199">
        <v>224267</v>
      </c>
      <c r="H14" s="199">
        <v>109878</v>
      </c>
      <c r="I14" s="199">
        <v>44384</v>
      </c>
      <c r="J14" s="199">
        <v>69259</v>
      </c>
      <c r="K14" s="199">
        <v>294326</v>
      </c>
      <c r="L14" s="199">
        <v>477731</v>
      </c>
      <c r="M14" s="199">
        <v>745018</v>
      </c>
      <c r="N14" s="178">
        <f t="shared" si="1"/>
        <v>5008156</v>
      </c>
    </row>
    <row r="15" spans="1:14" x14ac:dyDescent="0.2">
      <c r="A15" s="219">
        <v>87</v>
      </c>
      <c r="B15" s="199">
        <v>2060563</v>
      </c>
      <c r="C15" s="199">
        <v>1710298</v>
      </c>
      <c r="D15" s="199">
        <v>1713137</v>
      </c>
      <c r="E15" s="199">
        <v>1452440</v>
      </c>
      <c r="F15" s="199">
        <v>1346088</v>
      </c>
      <c r="G15" s="199">
        <v>1193038</v>
      </c>
      <c r="H15" s="199">
        <v>1170945</v>
      </c>
      <c r="I15" s="199">
        <v>1098169</v>
      </c>
      <c r="J15" s="199">
        <v>1005515</v>
      </c>
      <c r="K15" s="199">
        <v>1783820</v>
      </c>
      <c r="L15" s="199">
        <v>1650516</v>
      </c>
      <c r="M15" s="199">
        <v>2067159</v>
      </c>
      <c r="N15" s="178">
        <f t="shared" si="1"/>
        <v>18251688</v>
      </c>
    </row>
    <row r="16" spans="1:14" x14ac:dyDescent="0.2">
      <c r="A16" s="219" t="s">
        <v>112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78">
        <f t="shared" si="1"/>
        <v>0</v>
      </c>
    </row>
    <row r="17" spans="1:14" x14ac:dyDescent="0.2">
      <c r="A17" s="219" t="s">
        <v>114</v>
      </c>
      <c r="B17" s="199">
        <v>1787398</v>
      </c>
      <c r="C17" s="199">
        <v>1944865</v>
      </c>
      <c r="D17" s="199">
        <v>1713007</v>
      </c>
      <c r="E17" s="199">
        <v>1817525</v>
      </c>
      <c r="F17" s="199">
        <v>1715751</v>
      </c>
      <c r="G17" s="199">
        <v>1834118</v>
      </c>
      <c r="H17" s="199">
        <v>1639656</v>
      </c>
      <c r="I17" s="199">
        <v>1657073</v>
      </c>
      <c r="J17" s="199">
        <v>1664657</v>
      </c>
      <c r="K17" s="199">
        <v>1620165</v>
      </c>
      <c r="L17" s="199">
        <v>1867820</v>
      </c>
      <c r="M17" s="199">
        <v>1853820</v>
      </c>
      <c r="N17" s="178">
        <f t="shared" si="1"/>
        <v>21115855</v>
      </c>
    </row>
    <row r="18" spans="1:14" x14ac:dyDescent="0.2">
      <c r="A18" s="219" t="s">
        <v>47</v>
      </c>
      <c r="B18" s="199">
        <v>4307272</v>
      </c>
      <c r="C18" s="199">
        <v>5013043</v>
      </c>
      <c r="D18" s="199">
        <v>4437443</v>
      </c>
      <c r="E18" s="199">
        <v>4895422</v>
      </c>
      <c r="F18" s="199">
        <v>4556924</v>
      </c>
      <c r="G18" s="199">
        <v>4680219</v>
      </c>
      <c r="H18" s="199">
        <v>4330088</v>
      </c>
      <c r="I18" s="199">
        <v>4365135</v>
      </c>
      <c r="J18" s="199">
        <v>4729457</v>
      </c>
      <c r="K18" s="199">
        <v>4625269</v>
      </c>
      <c r="L18" s="199">
        <v>4807079</v>
      </c>
      <c r="M18" s="199">
        <v>5096644</v>
      </c>
      <c r="N18" s="178">
        <f t="shared" si="1"/>
        <v>55843995</v>
      </c>
    </row>
    <row r="19" spans="1:14" x14ac:dyDescent="0.2">
      <c r="A19" s="219" t="s">
        <v>117</v>
      </c>
      <c r="B19" s="199">
        <v>105817</v>
      </c>
      <c r="C19" s="199">
        <v>123254</v>
      </c>
      <c r="D19" s="199">
        <v>110382</v>
      </c>
      <c r="E19" s="199">
        <v>125657</v>
      </c>
      <c r="F19" s="199">
        <v>113495</v>
      </c>
      <c r="G19" s="199">
        <v>121199</v>
      </c>
      <c r="H19" s="199">
        <v>106268</v>
      </c>
      <c r="I19" s="199">
        <v>102961</v>
      </c>
      <c r="J19" s="199">
        <v>115379</v>
      </c>
      <c r="K19" s="199">
        <v>107961</v>
      </c>
      <c r="L19" s="199">
        <v>120350</v>
      </c>
      <c r="M19" s="199">
        <v>118522</v>
      </c>
      <c r="N19" s="178">
        <f t="shared" si="1"/>
        <v>1371245</v>
      </c>
    </row>
    <row r="20" spans="1:14" x14ac:dyDescent="0.2">
      <c r="A20" s="219" t="s">
        <v>119</v>
      </c>
      <c r="B20" s="199">
        <v>5343507</v>
      </c>
      <c r="C20" s="199">
        <v>7091666</v>
      </c>
      <c r="D20" s="199">
        <v>5600959</v>
      </c>
      <c r="E20" s="199">
        <v>6304355</v>
      </c>
      <c r="F20" s="199">
        <v>6072939</v>
      </c>
      <c r="G20" s="199">
        <v>6159153</v>
      </c>
      <c r="H20" s="199">
        <v>6412814</v>
      </c>
      <c r="I20" s="199">
        <v>6009451</v>
      </c>
      <c r="J20" s="199">
        <v>6460599</v>
      </c>
      <c r="K20" s="199">
        <v>5693897</v>
      </c>
      <c r="L20" s="199">
        <v>5928224</v>
      </c>
      <c r="M20" s="199">
        <v>6961545</v>
      </c>
      <c r="N20" s="178">
        <f t="shared" si="1"/>
        <v>74039109</v>
      </c>
    </row>
    <row r="21" spans="1:14" x14ac:dyDescent="0.2">
      <c r="A21" s="219" t="s">
        <v>121</v>
      </c>
      <c r="B21" s="199">
        <v>2799650</v>
      </c>
      <c r="C21" s="199">
        <v>2799650</v>
      </c>
      <c r="D21" s="199">
        <v>2799650</v>
      </c>
      <c r="E21" s="199">
        <v>2799650</v>
      </c>
      <c r="F21" s="199">
        <v>2799650</v>
      </c>
      <c r="G21" s="199">
        <v>2799650</v>
      </c>
      <c r="H21" s="199">
        <v>2799650</v>
      </c>
      <c r="I21" s="199">
        <v>2799650</v>
      </c>
      <c r="J21" s="199">
        <v>2799650</v>
      </c>
      <c r="K21" s="199">
        <v>2799650</v>
      </c>
      <c r="L21" s="199">
        <v>2799650</v>
      </c>
      <c r="M21" s="199">
        <v>2799650</v>
      </c>
      <c r="N21" s="178">
        <f t="shared" si="1"/>
        <v>33595800</v>
      </c>
    </row>
    <row r="22" spans="1:14" x14ac:dyDescent="0.2">
      <c r="A22" s="224" t="s">
        <v>122</v>
      </c>
      <c r="B22" s="199">
        <v>3482501</v>
      </c>
      <c r="C22" s="199">
        <v>4191398</v>
      </c>
      <c r="D22" s="199">
        <v>3055281</v>
      </c>
      <c r="E22" s="199">
        <v>2967362</v>
      </c>
      <c r="F22" s="199">
        <v>2280034</v>
      </c>
      <c r="G22" s="199">
        <v>2083748</v>
      </c>
      <c r="H22" s="199">
        <v>1865291</v>
      </c>
      <c r="I22" s="199">
        <v>1746292</v>
      </c>
      <c r="J22" s="199">
        <v>2093490</v>
      </c>
      <c r="K22" s="199">
        <v>2578594</v>
      </c>
      <c r="L22" s="199">
        <v>3487417</v>
      </c>
      <c r="M22" s="199">
        <v>4215409</v>
      </c>
      <c r="N22" s="178">
        <f t="shared" si="1"/>
        <v>34046817</v>
      </c>
    </row>
    <row r="23" spans="1:14" x14ac:dyDescent="0.2">
      <c r="A23" s="219" t="s">
        <v>40</v>
      </c>
      <c r="B23" s="172">
        <f>SUM(B8:B22)</f>
        <v>143511290</v>
      </c>
      <c r="C23" s="172">
        <f t="shared" ref="C23:M23" si="2">SUM(C8:C22)</f>
        <v>131030780</v>
      </c>
      <c r="D23" s="172">
        <f t="shared" si="2"/>
        <v>117299035</v>
      </c>
      <c r="E23" s="172">
        <f t="shared" si="2"/>
        <v>89899037</v>
      </c>
      <c r="F23" s="172">
        <f t="shared" si="2"/>
        <v>64399110</v>
      </c>
      <c r="G23" s="172">
        <f t="shared" si="2"/>
        <v>52757548</v>
      </c>
      <c r="H23" s="172">
        <f t="shared" si="2"/>
        <v>45544930</v>
      </c>
      <c r="I23" s="172">
        <f t="shared" si="2"/>
        <v>46221886</v>
      </c>
      <c r="J23" s="172">
        <f t="shared" si="2"/>
        <v>55196126</v>
      </c>
      <c r="K23" s="172">
        <f t="shared" si="2"/>
        <v>88212667</v>
      </c>
      <c r="L23" s="172">
        <f t="shared" si="2"/>
        <v>125320194</v>
      </c>
      <c r="M23" s="172">
        <f t="shared" si="2"/>
        <v>155173578</v>
      </c>
      <c r="N23" s="172">
        <f>SUM(N8:N22)</f>
        <v>1114566181</v>
      </c>
    </row>
    <row r="24" spans="1:14" x14ac:dyDescent="0.2">
      <c r="A24" s="219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</row>
    <row r="25" spans="1:14" x14ac:dyDescent="0.2">
      <c r="A25" s="218" t="s">
        <v>204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</row>
    <row r="26" spans="1:14" x14ac:dyDescent="0.2"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CA9C5BB1F5E44FA2D09DB9663F65EF" ma:contentTypeVersion="16" ma:contentTypeDescription="" ma:contentTypeScope="" ma:versionID="3ca6e0397fd01c728241a4cd7d89946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433E33-4F18-4798-B2CB-5189B4D8B9E2}"/>
</file>

<file path=customXml/itemProps2.xml><?xml version="1.0" encoding="utf-8"?>
<ds:datastoreItem xmlns:ds="http://schemas.openxmlformats.org/officeDocument/2006/customXml" ds:itemID="{81363A87-C949-4FEC-8A71-4AD7858F73BC}"/>
</file>

<file path=customXml/itemProps3.xml><?xml version="1.0" encoding="utf-8"?>
<ds:datastoreItem xmlns:ds="http://schemas.openxmlformats.org/officeDocument/2006/customXml" ds:itemID="{352C1C3C-EF7B-4227-9AC6-193FF6BEBB41}"/>
</file>

<file path=customXml/itemProps4.xml><?xml version="1.0" encoding="utf-8"?>
<ds:datastoreItem xmlns:ds="http://schemas.openxmlformats.org/officeDocument/2006/customXml" ds:itemID="{4C94E55D-57EA-403C-991A-B4688726C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Rates</vt:lpstr>
      <vt:lpstr>Rate Impacts--&gt;</vt:lpstr>
      <vt:lpstr>Sch. 129D</vt:lpstr>
      <vt:lpstr>Typical Res Bill Sch 129D</vt:lpstr>
      <vt:lpstr>Rate Impacts Sch 129D</vt:lpstr>
      <vt:lpstr>Work Papers--&gt;</vt:lpstr>
      <vt:lpstr>Sch 85 87 Rate Calc</vt:lpstr>
      <vt:lpstr>Margin Revenue</vt:lpstr>
      <vt:lpstr>Forecast Therms</vt:lpstr>
      <vt:lpstr>Revenue Requirement</vt:lpstr>
      <vt:lpstr>2022 GRC Rates--&gt;</vt:lpstr>
      <vt:lpstr>Exh JDT-5 (JDT-RES_RD)</vt:lpstr>
      <vt:lpstr>Exh JDT-5 (JDT-C&amp;I-RD)</vt:lpstr>
      <vt:lpstr>Exh JDT-5 (JDT-INTRPL-RD)</vt:lpstr>
      <vt:lpstr>'Forecast Therms'!Print_Area</vt:lpstr>
      <vt:lpstr>'Margin Revenue'!Print_Area</vt:lpstr>
      <vt:lpstr>'Rate Impacts Sch 129D'!Print_Area</vt:lpstr>
      <vt:lpstr>Rates!Print_Area</vt:lpstr>
      <vt:lpstr>'Sch 85 87 Rate Calc'!Print_Area</vt:lpstr>
      <vt:lpstr>'Sch. 129D'!Print_Area</vt:lpstr>
      <vt:lpstr>'Typical Res Bill Sch 129D'!Print_Area</vt:lpstr>
      <vt:lpstr>'Exh JDT-5 (JDT-C&amp;I-RD)'!Print_Titles</vt:lpstr>
      <vt:lpstr>'Exh JDT-5 (JDT-INTRPL-RD)'!Print_Titles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Replyanskaya, Ekaterina - Transmission</dc:creator>
  <cp:lastModifiedBy>Schmidt, Paul</cp:lastModifiedBy>
  <cp:lastPrinted>2024-11-02T00:00:59Z</cp:lastPrinted>
  <dcterms:created xsi:type="dcterms:W3CDTF">2024-10-22T17:34:52Z</dcterms:created>
  <dcterms:modified xsi:type="dcterms:W3CDTF">2024-11-02T00:03:01Z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0x0101006E56B4D1795A2E4DB2F0B01679ED314A0064CA9C5BB1F5E44FA2D09DB9663F65EF</vt:lpwstr>
  </property>
</Properties>
</file>