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5.bin" ContentType="application/vnd.openxmlformats-officedocument.spreadsheetml.customProperty"/>
  <Override PartName="/xl/externalLinks/externalLink5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ates\Public\RASANEN\#  Rate Filings\Sch 129D - BDR (Low Income Funding)\2024\Analysis\No Links\"/>
    </mc:Choice>
  </mc:AlternateContent>
  <bookViews>
    <workbookView xWindow="0" yWindow="0" windowWidth="28800" windowHeight="11400"/>
  </bookViews>
  <sheets>
    <sheet name="Sch 129D Rates" sheetId="67" r:id="rId1"/>
    <sheet name="Lighting Rates" sheetId="68" r:id="rId2"/>
    <sheet name="Rate Impacts" sheetId="12" r:id="rId3"/>
    <sheet name="Workpapers -&gt;" sheetId="61" r:id="rId4"/>
    <sheet name="Rate Spread and Design" sheetId="65" r:id="rId5"/>
    <sheet name="Lighting RD" sheetId="69" r:id="rId6"/>
    <sheet name="Inputs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six6" localSheetId="4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4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4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localSheetId="5" hidden="1">{#N/A,#N/A,FALSE,"CRPT";#N/A,#N/A,FALSE,"TREND";#N/A,#N/A,FALSE,"%Curve"}</definedName>
    <definedName name="__________________six6" localSheetId="4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localSheetId="5" hidden="1">{#N/A,#N/A,FALSE,"schA"}</definedName>
    <definedName name="__________________www1" localSheetId="4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localSheetId="5" hidden="1">{#N/A,#N/A,FALSE,"CRPT";#N/A,#N/A,FALSE,"TREND";#N/A,#N/A,FALSE,"%Curve"}</definedName>
    <definedName name="_________________six6" localSheetId="4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localSheetId="5" hidden="1">{#N/A,#N/A,FALSE,"schA"}</definedName>
    <definedName name="_________________www1" localSheetId="4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localSheetId="5" hidden="1">{#N/A,#N/A,FALSE,"CRPT";#N/A,#N/A,FALSE,"TREND";#N/A,#N/A,FALSE,"%Curve"}</definedName>
    <definedName name="________________six6" localSheetId="4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5" hidden="1">{#N/A,#N/A,FALSE,"schA"}</definedName>
    <definedName name="________________www1" localSheetId="4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5" hidden="1">{#N/A,#N/A,FALSE,"CRPT";#N/A,#N/A,FALSE,"TREND";#N/A,#N/A,FALSE,"%Curve"}</definedName>
    <definedName name="_______________six6" localSheetId="4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5" hidden="1">{#N/A,#N/A,FALSE,"schA"}</definedName>
    <definedName name="_______________www1" localSheetId="4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localSheetId="5" hidden="1">{#N/A,#N/A,FALSE,"CRPT";#N/A,#N/A,FALSE,"TREND";#N/A,#N/A,FALSE,"%Curve"}</definedName>
    <definedName name="______________six6" localSheetId="4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5" hidden="1">{#N/A,#N/A,FALSE,"schA"}</definedName>
    <definedName name="______________www1" localSheetId="4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5" hidden="1">{#N/A,#N/A,FALSE,"CRPT";#N/A,#N/A,FALSE,"TREND";#N/A,#N/A,FALSE,"%Curve"}</definedName>
    <definedName name="_____________six6" localSheetId="4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5" hidden="1">{#N/A,#N/A,FALSE,"schA"}</definedName>
    <definedName name="_____________www1" localSheetId="4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localSheetId="5" hidden="1">{#N/A,#N/A,FALSE,"CRPT";#N/A,#N/A,FALSE,"TREND";#N/A,#N/A,FALSE,"%Curve"}</definedName>
    <definedName name="____________six6" localSheetId="4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5" hidden="1">{#N/A,#N/A,FALSE,"schA"}</definedName>
    <definedName name="____________www1" localSheetId="4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localSheetId="5" hidden="1">{#N/A,#N/A,FALSE,"CRPT";#N/A,#N/A,FALSE,"TREND";#N/A,#N/A,FALSE,"%Curve"}</definedName>
    <definedName name="___________six6" localSheetId="4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5" hidden="1">{#N/A,#N/A,FALSE,"schA"}</definedName>
    <definedName name="___________www1" localSheetId="4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5" hidden="1">{#N/A,#N/A,FALSE,"CRPT";#N/A,#N/A,FALSE,"TREND";#N/A,#N/A,FALSE,"%Curve"}</definedName>
    <definedName name="__________six6" localSheetId="4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5" hidden="1">{#N/A,#N/A,FALSE,"schA"}</definedName>
    <definedName name="__________www1" localSheetId="4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localSheetId="5" hidden="1">{#N/A,#N/A,FALSE,"CRPT";#N/A,#N/A,FALSE,"TREND";#N/A,#N/A,FALSE,"%Curve"}</definedName>
    <definedName name="_________six6" localSheetId="4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5" hidden="1">{#N/A,#N/A,FALSE,"schA"}</definedName>
    <definedName name="_________www1" localSheetId="4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localSheetId="5" hidden="1">{#N/A,#N/A,FALSE,"CRPT";#N/A,#N/A,FALSE,"TREND";#N/A,#N/A,FALSE,"%Curve"}</definedName>
    <definedName name="________six6" localSheetId="4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5" hidden="1">{#N/A,#N/A,FALSE,"schA"}</definedName>
    <definedName name="________www1" localSheetId="4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localSheetId="5" hidden="1">{#N/A,#N/A,FALSE,"Summ";#N/A,#N/A,FALSE,"General"}</definedName>
    <definedName name="_______ex1" localSheetId="4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localSheetId="5" hidden="1">{#N/A,#N/A,FALSE,"Summ";#N/A,#N/A,FALSE,"General"}</definedName>
    <definedName name="_______new1" localSheetId="4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localSheetId="5" hidden="1">{#N/A,#N/A,FALSE,"CRPT";#N/A,#N/A,FALSE,"TREND";#N/A,#N/A,FALSE,"%Curve"}</definedName>
    <definedName name="_______six6" localSheetId="4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5" hidden="1">{#N/A,#N/A,FALSE,"schA"}</definedName>
    <definedName name="_______www1" localSheetId="4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localSheetId="5" hidden="1">{#N/A,#N/A,FALSE,"Summ";#N/A,#N/A,FALSE,"General"}</definedName>
    <definedName name="______ex1" localSheetId="4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localSheetId="5" hidden="1">{#N/A,#N/A,FALSE,"Summ";#N/A,#N/A,FALSE,"General"}</definedName>
    <definedName name="______new1" localSheetId="4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localSheetId="5" hidden="1">{#N/A,#N/A,FALSE,"CRPT";#N/A,#N/A,FALSE,"TREND";#N/A,#N/A,FALSE,"%Curve"}</definedName>
    <definedName name="______six6" localSheetId="4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5" hidden="1">{#N/A,#N/A,FALSE,"schA"}</definedName>
    <definedName name="______www1" localSheetId="4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localSheetId="5" hidden="1">{#N/A,#N/A,FALSE,"Summ";#N/A,#N/A,FALSE,"General"}</definedName>
    <definedName name="_____ex1" localSheetId="4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localSheetId="5" hidden="1">{#N/A,#N/A,FALSE,"Summ";#N/A,#N/A,FALSE,"General"}</definedName>
    <definedName name="_____new1" localSheetId="4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localSheetId="5" hidden="1">{#N/A,#N/A,FALSE,"CRPT";#N/A,#N/A,FALSE,"TREND";#N/A,#N/A,FALSE,"%Curve"}</definedName>
    <definedName name="_____six6" localSheetId="4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localSheetId="5" hidden="1">{#N/A,#N/A,FALSE,"schA"}</definedName>
    <definedName name="_____www1" localSheetId="4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localSheetId="5" hidden="1">{#N/A,#N/A,FALSE,"Summ";#N/A,#N/A,FALSE,"General"}</definedName>
    <definedName name="____ex1" localSheetId="4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localSheetId="5" hidden="1">{#N/A,#N/A,FALSE,"Summ";#N/A,#N/A,FALSE,"General"}</definedName>
    <definedName name="____new1" localSheetId="4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localSheetId="5" hidden="1">{#N/A,#N/A,FALSE,"CRPT";#N/A,#N/A,FALSE,"TREND";#N/A,#N/A,FALSE,"%Curve"}</definedName>
    <definedName name="____six6" localSheetId="4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localSheetId="5" hidden="1">{#N/A,#N/A,FALSE,"schA"}</definedName>
    <definedName name="____www1" localSheetId="4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localSheetId="5" hidden="1">{#N/A,#N/A,FALSE,"Summ";#N/A,#N/A,FALSE,"General"}</definedName>
    <definedName name="___ex1" localSheetId="4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localSheetId="5" hidden="1">{#N/A,#N/A,FALSE,"Summ";#N/A,#N/A,FALSE,"General"}</definedName>
    <definedName name="___new1" localSheetId="4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localSheetId="5" hidden="1">{#N/A,#N/A,FALSE,"CRPT";#N/A,#N/A,FALSE,"TREND";#N/A,#N/A,FALSE,"%Curve"}</definedName>
    <definedName name="___six6" localSheetId="4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localSheetId="5" hidden="1">{#N/A,#N/A,FALSE,"schA"}</definedName>
    <definedName name="___www1" localSheetId="4" hidden="1">{#N/A,#N/A,FALSE,"schA"}</definedName>
    <definedName name="___www1" hidden="1">{#N/A,#N/A,FALSE,"schA"}</definedName>
    <definedName name="__123Graph_A" localSheetId="1" hidden="1">[1]Inputs!#REF!</definedName>
    <definedName name="__123Graph_A" localSheetId="5" hidden="1">[1]Inputs!#REF!</definedName>
    <definedName name="__123Graph_B" localSheetId="1" hidden="1">[1]Inputs!#REF!</definedName>
    <definedName name="__123Graph_B" localSheetId="5" hidden="1">[1]Inputs!#REF!</definedName>
    <definedName name="__123Graph_D" localSheetId="1" hidden="1">#REF!</definedName>
    <definedName name="__123Graph_D" localSheetId="5" hidden="1">#REF!</definedName>
    <definedName name="__123Graph_D" hidden="1">#REF!</definedName>
    <definedName name="__123Graph_ECURRENT" localSheetId="1" hidden="1">[2]ConsolidatingPL!#REF!</definedName>
    <definedName name="__123Graph_ECURRENT" localSheetId="5" hidden="1">[2]ConsolidatingPL!#REF!</definedName>
    <definedName name="__123Graph_ECURRENT" hidden="1">[2]ConsolidatingPL!#REF!</definedName>
    <definedName name="__ex1" localSheetId="1" hidden="1">{#N/A,#N/A,FALSE,"Summ";#N/A,#N/A,FALSE,"General"}</definedName>
    <definedName name="__ex1" localSheetId="5" hidden="1">{#N/A,#N/A,FALSE,"Summ";#N/A,#N/A,FALSE,"General"}</definedName>
    <definedName name="__ex1" localSheetId="4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localSheetId="5" hidden="1">{#N/A,#N/A,FALSE,"Summ";#N/A,#N/A,FALSE,"General"}</definedName>
    <definedName name="__new1" localSheetId="4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4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5" hidden="1">{#N/A,#N/A,FALSE,"schA"}</definedName>
    <definedName name="__www1" localSheetId="4" hidden="1">{#N/A,#N/A,FALSE,"schA"}</definedName>
    <definedName name="__www1" hidden="1">{#N/A,#N/A,FALSE,"schA"}</definedName>
    <definedName name="_2__123Graph_ABUDG6_Dtons_inv" localSheetId="1" hidden="1">[3]Quant!#REF!</definedName>
    <definedName name="_2__123Graph_ABUDG6_Dtons_inv" localSheetId="5" hidden="1">[3]Quant!#REF!</definedName>
    <definedName name="_2__123Graph_ABUDG6_Dtons_inv" hidden="1">[3]Quant!#REF!</definedName>
    <definedName name="_3__123Graph_ABUDG6_Dtons_inv" localSheetId="1" hidden="1">[4]Quant!#REF!</definedName>
    <definedName name="_3__123Graph_ABUDG6_Dtons_inv" localSheetId="5" hidden="1">[4]Quant!#REF!</definedName>
    <definedName name="_3__123Graph_ABUDG6_Dtons_inv" hidden="1">[4]Quant!#REF!</definedName>
    <definedName name="_4__123Graph_ABUDG6_Dtons_inv" localSheetId="1" hidden="1">'[5]Area D 2011'!#REF!</definedName>
    <definedName name="_4__123Graph_ABUDG6_Dtons_inv" localSheetId="5" hidden="1">'[5]Area D 2011'!#REF!</definedName>
    <definedName name="_4__123Graph_ABUDG6_Dtons_inv" hidden="1">'[5]Area D 2011'!#REF!</definedName>
    <definedName name="_6__123Graph_CBUDG6_D_ESCRPR" localSheetId="1" hidden="1">'[6]2012 Area AB BudgetSummary'!#REF!</definedName>
    <definedName name="_6__123Graph_CBUDG6_D_ESCRPR" localSheetId="5" hidden="1">'[6]2012 Area AB BudgetSummary'!#REF!</definedName>
    <definedName name="_6__123Graph_CBUDG6_D_ESCRPR" hidden="1">'[6]2012 Area AB BudgetSummary'!#REF!</definedName>
    <definedName name="_7__123Graph_CBUDG6_D_ESCRPR" localSheetId="1" hidden="1">'[5]Area D 2011'!#REF!</definedName>
    <definedName name="_7__123Graph_CBUDG6_D_ESCRPR" localSheetId="5" hidden="1">'[5]Area D 2011'!#REF!</definedName>
    <definedName name="_7__123Graph_CBUDG6_D_ESCRPR" hidden="1">'[5]Area D 2011'!#REF!</definedName>
    <definedName name="_7__123Graph_DBUDG6_D_ESCRPR" localSheetId="1" hidden="1">'[6]2012 Area AB BudgetSummary'!#REF!</definedName>
    <definedName name="_7__123Graph_DBUDG6_D_ESCRPR" localSheetId="5" hidden="1">'[6]2012 Area AB BudgetSummary'!#REF!</definedName>
    <definedName name="_7__123Graph_DBUDG6_D_ESCRPR" hidden="1">'[6]2012 Area AB BudgetSummary'!#REF!</definedName>
    <definedName name="_8__123Graph_DBUDG6_D_ESCRPR" localSheetId="1" hidden="1">'[5]Area D 2011'!#REF!</definedName>
    <definedName name="_8__123Graph_DBUDG6_D_ESCRPR" localSheetId="5" hidden="1">'[5]Area D 2011'!#REF!</definedName>
    <definedName name="_8__123Graph_DBUDG6_D_ESCRPR" hidden="1">'[5]Area D 2011'!#REF!</definedName>
    <definedName name="_ex1" localSheetId="1" hidden="1">{#N/A,#N/A,FALSE,"Summ";#N/A,#N/A,FALSE,"General"}</definedName>
    <definedName name="_ex1" localSheetId="5" hidden="1">{#N/A,#N/A,FALSE,"Summ";#N/A,#N/A,FALSE,"General"}</definedName>
    <definedName name="_ex1" localSheetId="4" hidden="1">{#N/A,#N/A,FALSE,"Summ";#N/A,#N/A,FALSE,"General"}</definedName>
    <definedName name="_ex1" hidden="1">{#N/A,#N/A,FALSE,"Summ";#N/A,#N/A,FALSE,"General"}</definedName>
    <definedName name="_Fill" localSheetId="1" hidden="1">#REF!</definedName>
    <definedName name="_Fill" localSheetId="5" hidden="1">#REF!</definedName>
    <definedName name="_Key1" localSheetId="1" hidden="1">#REF!</definedName>
    <definedName name="_Key1" localSheetId="5" hidden="1">#REF!</definedName>
    <definedName name="_Key1" hidden="1">#REF!</definedName>
    <definedName name="_Key2" localSheetId="1" hidden="1">#REF!</definedName>
    <definedName name="_Key2" localSheetId="5" hidden="1">#REF!</definedName>
    <definedName name="_Key2" hidden="1">#REF!</definedName>
    <definedName name="_new1" localSheetId="1" hidden="1">{#N/A,#N/A,FALSE,"Summ";#N/A,#N/A,FALSE,"General"}</definedName>
    <definedName name="_new1" localSheetId="5" hidden="1">{#N/A,#N/A,FALSE,"Summ";#N/A,#N/A,FALSE,"General"}</definedName>
    <definedName name="_new1" localSheetId="4" hidden="1">{#N/A,#N/A,FALSE,"Summ";#N/A,#N/A,FALSE,"General"}</definedName>
    <definedName name="_new1" hidden="1">{#N/A,#N/A,FALSE,"Summ";#N/A,#N/A,FALSE,"General"}</definedName>
    <definedName name="_Parse_In" localSheetId="1" hidden="1">#REF!</definedName>
    <definedName name="_Parse_In" localSheetId="5" hidden="1">#REF!</definedName>
    <definedName name="_Parse_In" hidden="1">#REF!</definedName>
    <definedName name="_six6" localSheetId="1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localSheetId="5" hidden="1">#REF!</definedName>
    <definedName name="_Sort" hidden="1">#REF!</definedName>
    <definedName name="_www1" localSheetId="1" hidden="1">{#N/A,#N/A,FALSE,"schA"}</definedName>
    <definedName name="_www1" localSheetId="5" hidden="1">{#N/A,#N/A,FALSE,"schA"}</definedName>
    <definedName name="_www1" localSheetId="4" hidden="1">{#N/A,#N/A,FALSE,"schA"}</definedName>
    <definedName name="_www1" hidden="1">{#N/A,#N/A,FALSE,"schA"}</definedName>
    <definedName name="a" localSheetId="1" hidden="1">{#N/A,#N/A,FALSE,"Coversheet";#N/A,#N/A,FALSE,"QA"}</definedName>
    <definedName name="a" localSheetId="5" hidden="1">{#N/A,#N/A,FALSE,"Coversheet";#N/A,#N/A,FALSE,"QA"}</definedName>
    <definedName name="aaa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localSheetId="5" hidden="1">{#N/A,#N/A,FALSE,"Coversheet";#N/A,#N/A,FALSE,"QA"}</definedName>
    <definedName name="AAAAAAAAAAAAAA" localSheetId="4" hidden="1">{#N/A,#N/A,FALSE,"Coversheet";#N/A,#N/A,FALSE,"QA"}</definedName>
    <definedName name="AAAAAAAAAAAAAA" hidden="1">{#N/A,#N/A,FALSE,"Coversheet";#N/A,#N/A,FALSE,"QA"}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4" hidden="1">{#N/A,#N/A,FALSE,"Coversheet";#N/A,#N/A,FALSE,"QA"}</definedName>
    <definedName name="b" hidden="1">{#N/A,#N/A,FALSE,"Coversheet";#N/A,#N/A,FALSE,"QA"}</definedName>
    <definedName name="BEm" localSheetId="1" hidden="1">#REF!</definedName>
    <definedName name="BEm" localSheetId="5" hidden="1">#REF!</definedName>
    <definedName name="BEm" hidden="1">#REF!</definedName>
    <definedName name="BEx0017DGUEDPCFJUPUZOOLJCS2B" localSheetId="1" hidden="1">#REF!</definedName>
    <definedName name="BEx0017DGUEDPCFJUPUZOOLJCS2B" localSheetId="5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1" hidden="1">[7]ZZCOOM_M03_Q005!#REF!</definedName>
    <definedName name="BEx3O85IKWARA6NCJOLRBRJFMEWW" localSheetId="5" hidden="1">[7]ZZCOOM_M03_Q005!#REF!</definedName>
    <definedName name="BEx3O85IKWARA6NCJOLRBRJFMEWW" hidden="1">[8]ZZCOOM_M03_Q004!#REF!</definedName>
    <definedName name="BEx3OJZSCGFRW7SVGBFI0X9DNVMM" localSheetId="1" hidden="1">#REF!</definedName>
    <definedName name="BEx3OJZSCGFRW7SVGBFI0X9DNVMM" localSheetId="5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5" hidden="1">#REF!</definedName>
    <definedName name="BEx3ORSBUXAF21MKEY90YJV9AY9A" hidden="1">#REF!</definedName>
    <definedName name="BEx3OUS0N576NJN078Y1BWUWQK6B" localSheetId="1" hidden="1">#REF!</definedName>
    <definedName name="BEx3OUS0N576NJN078Y1BWUWQK6B" localSheetId="5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1" hidden="1">[7]ZZCOOM_M03_Q005!#REF!</definedName>
    <definedName name="BEx5MLQZM68YQSKARVWTTPINFQ2C" localSheetId="5" hidden="1">[7]ZZCOOM_M03_Q005!#REF!</definedName>
    <definedName name="BEx5MLQZM68YQSKARVWTTPINFQ2C" hidden="1">[8]ZZCOOM_M03_Q004!#REF!</definedName>
    <definedName name="BEx5MMCJMU7FOOWUCW9EA13B7V5F" localSheetId="1" hidden="1">#REF!</definedName>
    <definedName name="BEx5MMCJMU7FOOWUCW9EA13B7V5F" localSheetId="5" hidden="1">#REF!</definedName>
    <definedName name="BEx5MMCJMU7FOOWUCW9EA13B7V5F" hidden="1">#REF!</definedName>
    <definedName name="BEx5MVXTKNBXHNWTL43C670E4KXC" localSheetId="1" hidden="1">#REF!</definedName>
    <definedName name="BEx5MVXTKNBXHNWTL43C670E4KXC" localSheetId="5" hidden="1">#REF!</definedName>
    <definedName name="BEx5MVXTKNBXHNWTL43C670E4KXC" hidden="1">#REF!</definedName>
    <definedName name="BEx5MWZGZ3VRB5418C2RNF9H17BQ" localSheetId="1" hidden="1">#REF!</definedName>
    <definedName name="BEx5MWZGZ3VRB5418C2RNF9H17BQ" localSheetId="5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1" hidden="1">[7]ZZCOOM_M03_Q005!#REF!</definedName>
    <definedName name="BExERWCEBKQRYWRQLYJ4UCMMKTHG" localSheetId="5" hidden="1">[7]ZZCOOM_M03_Q005!#REF!</definedName>
    <definedName name="BExERWCEBKQRYWRQLYJ4UCMMKTHG" hidden="1">[8]ZZCOOM_M03_Q004!#REF!</definedName>
    <definedName name="BExERXE1QW042A2T25RI4DVUU59O" localSheetId="1" hidden="1">#REF!</definedName>
    <definedName name="BExERXE1QW042A2T25RI4DVUU59O" localSheetId="5" hidden="1">#REF!</definedName>
    <definedName name="BExERXE1QW042A2T25RI4DVUU59O" hidden="1">#REF!</definedName>
    <definedName name="BExES44RHHDL3V7FLV6M20834WF1" localSheetId="1" hidden="1">#REF!</definedName>
    <definedName name="BExES44RHHDL3V7FLV6M20834WF1" localSheetId="5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5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1" hidden="1">[7]ZZCOOM_M03_Q005!#REF!</definedName>
    <definedName name="BExMBYPQDG9AYDQ5E8IECVFREPO6" localSheetId="5" hidden="1">[7]ZZCOOM_M03_Q005!#REF!</definedName>
    <definedName name="BExMBYPQDG9AYDQ5E8IECVFREPO6" hidden="1">[8]ZZCOOM_M03_Q004!#REF!</definedName>
    <definedName name="BExMC7PESEESXVMDCGGIP5LPMUGY" localSheetId="1" hidden="1">#REF!</definedName>
    <definedName name="BExMC7PESEESXVMDCGGIP5LPMUGY" localSheetId="5" hidden="1">#REF!</definedName>
    <definedName name="BExMC7PESEESXVMDCGGIP5LPMUGY" hidden="1">#REF!</definedName>
    <definedName name="BExMC8AZUTX8LG89K2JJR7ZG62XX" localSheetId="1" hidden="1">#REF!</definedName>
    <definedName name="BExMC8AZUTX8LG89K2JJR7ZG62XX" localSheetId="5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5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1" hidden="1">[7]ZZCOOM_M03_Q005!#REF!</definedName>
    <definedName name="BExQ9ZLYHWABXAA9NJDW8ZS0UQ9P" localSheetId="5" hidden="1">[7]ZZCOOM_M03_Q005!#REF!</definedName>
    <definedName name="BExQ9ZLYHWABXAA9NJDW8ZS0UQ9P" hidden="1">[8]ZZCOOM_M03_Q004!#REF!</definedName>
    <definedName name="BExQ9ZWQ19KSRZNZNPY6ZNWEST1J" localSheetId="1" hidden="1">#REF!</definedName>
    <definedName name="BExQ9ZWQ19KSRZNZNPY6ZNWEST1J" localSheetId="5" hidden="1">#REF!</definedName>
    <definedName name="BExQ9ZWQ19KSRZNZNPY6ZNWEST1J" hidden="1">#REF!</definedName>
    <definedName name="BExQA324HSCK40ENJUT9CS9EC71B" localSheetId="1" hidden="1">#REF!</definedName>
    <definedName name="BExQA324HSCK40ENJUT9CS9EC71B" localSheetId="5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5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1" hidden="1">[7]ZZCOOM_M03_Q005!#REF!</definedName>
    <definedName name="BExTUY9WNSJ91GV8CP0SKJTEIV82" localSheetId="5" hidden="1">[7]ZZCOOM_M03_Q005!#REF!</definedName>
    <definedName name="BExTUY9WNSJ91GV8CP0SKJTEIV82" hidden="1">[8]ZZCOOM_M03_Q004!#REF!</definedName>
    <definedName name="BExTV67VIM8PV6KO253M4DUBJQLC" localSheetId="1" hidden="1">#REF!</definedName>
    <definedName name="BExTV67VIM8PV6KO253M4DUBJQLC" localSheetId="5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5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5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4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4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4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1" hidden="1">#REF!</definedName>
    <definedName name="Bum" localSheetId="5" hidden="1">#REF!</definedName>
    <definedName name="Bum" hidden="1">#REF!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5" hidden="1">{#N/A,#N/A,FALSE,"Coversheet";#N/A,#N/A,FALSE,"QA"}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5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5" hidden="1">{#N/A,#N/A,FALSE,"Schedule F";#N/A,#N/A,FALSE,"Schedule G"}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5" hidden="1">{#N/A,#N/A,FALSE,"Coversheet";#N/A,#N/A,FALSE,"QA"}</definedName>
    <definedName name="Delete21" localSheetId="4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localSheetId="5" hidden="1">{#N/A,#N/A,FALSE,"CESTSUM";#N/A,#N/A,FALSE,"est sum A";#N/A,#N/A,FALSE,"est detail A"}</definedName>
    <definedName name="df" localSheetId="4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localSheetId="5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DUDE" localSheetId="1" hidden="1">#REF!</definedName>
    <definedName name="DUDE" localSheetId="5" hidden="1">#REF!</definedName>
    <definedName name="DUDE" hidden="1">#REF!</definedName>
    <definedName name="ee" localSheetId="1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localSheetId="1" hidden="1">{#N/A,#N/A,FALSE,"Coversheet";#N/A,#N/A,FALSE,"QA"}</definedName>
    <definedName name="error" localSheetId="5" hidden="1">{#N/A,#N/A,FALSE,"Coversheet";#N/A,#N/A,FALSE,"QA"}</definedName>
    <definedName name="error" localSheetId="4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5" hidden="1">{#N/A,#N/A,FALSE,"Summ";#N/A,#N/A,FALSE,"General"}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5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" localSheetId="1" hidden="1">#REF!</definedName>
    <definedName name="F" localSheetId="5" hidden="1">#REF!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localSheetId="5" hidden="1">{#N/A,#N/A,FALSE,"Coversheet";#N/A,#N/A,FALSE,"QA"}</definedName>
    <definedName name="ffff" localSheetId="4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5" hidden="1">{#N/A,#N/A,FALSE,"Coversheet";#N/A,#N/A,FALSE,"QA"}</definedName>
    <definedName name="fffgf" localSheetId="4" hidden="1">{#N/A,#N/A,FALSE,"Coversheet";#N/A,#N/A,FALSE,"QA"}</definedName>
    <definedName name="fffgf" hidden="1">{#N/A,#N/A,FALSE,"Coversheet";#N/A,#N/A,FALSE,"QA"}</definedName>
    <definedName name="gary" localSheetId="4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localSheetId="5" hidden="1">{#N/A,#N/A,FALSE,"Pg 6b CustCount_Gas";#N/A,#N/A,FALSE,"QA";#N/A,#N/A,FALSE,"Report";#N/A,#N/A,FALSE,"forecast"}</definedName>
    <definedName name="helllo" localSheetId="4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localSheetId="5" hidden="1">{#N/A,#N/A,FALSE,"Coversheet";#N/A,#N/A,FALSE,"QA"}</definedName>
    <definedName name="HELP" localSheetId="4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5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4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localSheetId="5" hidden="1">{#N/A,#N/A,FALSE,"Summ";#N/A,#N/A,FALSE,"General"}</definedName>
    <definedName name="jfkljsdkljiejgr" localSheetId="4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localSheetId="5" hidden="1">{#N/A,#N/A,FALSE,"Coversheet";#N/A,#N/A,FALSE,"QA"}</definedName>
    <definedName name="lookup" localSheetId="4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localSheetId="5" hidden="1">{#N/A,#N/A,FALSE,"Summ";#N/A,#N/A,FALSE,"General"}</definedName>
    <definedName name="new" localSheetId="4" hidden="1">{#N/A,#N/A,FALSE,"Summ";#N/A,#N/A,FALSE,"General"}</definedName>
    <definedName name="new" hidden="1">{#N/A,#N/A,FALSE,"Summ";#N/A,#N/A,FALSE,"General"}</definedName>
    <definedName name="NOYT" localSheetId="4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localSheetId="5" hidden="1">{#N/A,#N/A,FALSE,"Coversheet";#N/A,#N/A,FALSE,"QA"}</definedName>
    <definedName name="q" localSheetId="4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5" hidden="1">{#N/A,#N/A,FALSE,"schA"}</definedName>
    <definedName name="qqq" localSheetId="4" hidden="1">{#N/A,#N/A,FALSE,"schA"}</definedName>
    <definedName name="qqq" hidden="1">{#N/A,#N/A,FALSE,"schA"}</definedName>
    <definedName name="re" localSheetId="5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rec_weco_gl_contract_aug99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localSheetId="5" hidden="1">{#N/A,#N/A,FALSE,"Summ";#N/A,#N/A,FALSE,"General"}</definedName>
    <definedName name="sdlfhsdlhfkl" localSheetId="4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localSheetId="5" hidden="1">{#N/A,#N/A,FALSE,"CRPT";#N/A,#N/A,FALSE,"TREND";#N/A,#N/A,FALSE,"%Curve"}</definedName>
    <definedName name="seven" localSheetId="4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localSheetId="4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4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localSheetId="5" hidden="1">{#N/A,#N/A,FALSE,"Summ";#N/A,#N/A,FALSE,"General"}</definedName>
    <definedName name="tem" localSheetId="4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5" hidden="1">{#N/A,#N/A,FALSE,"Summ";#N/A,#N/A,FALSE,"General"}</definedName>
    <definedName name="tem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5" hidden="1">{#N/A,#N/A,FALSE,"CESTSUM";#N/A,#N/A,FALSE,"est sum A";#N/A,#N/A,FALSE,"est detail A"}</definedName>
    <definedName name="temp2" localSheetId="4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5" hidden="1">{#N/A,#N/A,FALSE,"CESTSUM";#N/A,#N/A,FALSE,"est sum A";#N/A,#N/A,FALSE,"est detail A"}</definedName>
    <definedName name="tr" localSheetId="4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localSheetId="5" hidden="1">{#N/A,#N/A,FALSE,"Summ";#N/A,#N/A,FALSE,"General"}</definedName>
    <definedName name="u" localSheetId="4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localSheetId="5" hidden="1">{#N/A,#N/A,FALSE,"Coversheet";#N/A,#N/A,FALSE,"QA"}</definedName>
    <definedName name="v" localSheetId="4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localSheetId="5" hidden="1">{#N/A,#N/A,FALSE,"Summ";#N/A,#N/A,FALSE,"General"}</definedName>
    <definedName name="Value" localSheetId="4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localSheetId="5" hidden="1">{#N/A,#N/A,FALSE,"Schedule F";#N/A,#N/A,FALSE,"Schedule G"}</definedName>
    <definedName name="w" localSheetId="4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localSheetId="5" hidden="1">{#N/A,#N/A,FALSE,"Coversheet";#N/A,#N/A,FALSE,"QA"}</definedName>
    <definedName name="WH" localSheetId="4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5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4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4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4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localSheetId="5" hidden="1">{#N/A,#N/A,FALSE,"schA"}</definedName>
    <definedName name="wrn.ECR." localSheetId="4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5" hidden="1">{#N/A,#N/A,TRUE,"CoverPage";#N/A,#N/A,TRUE,"Gas";#N/A,#N/A,TRUE,"Power";#N/A,#N/A,TRUE,"Historical DJ Mthly Prices"}</definedName>
    <definedName name="wrn.Fundamental2" localSheetId="4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4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5" hidden="1">{#N/A,#N/A,FALSE,"7617 Fab";#N/A,#N/A,FALSE,"7617 NSK"}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emi._.Annual._.Cost._.Adj." localSheetId="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5" hidden="1">{#N/A,#N/A,FALSE,"Summ";#N/A,#N/A,FALSE,"General"}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test." localSheetId="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5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4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localSheetId="5" hidden="1">{#N/A,#N/A,FALSE,"schA"}</definedName>
    <definedName name="www" localSheetId="4" hidden="1">{#N/A,#N/A,FALSE,"schA"}</definedName>
    <definedName name="www" hidden="1">{#N/A,#N/A,FALSE,"schA"}</definedName>
    <definedName name="x" localSheetId="1" hidden="1">{#N/A,#N/A,FALSE,"Coversheet";#N/A,#N/A,FALSE,"QA"}</definedName>
    <definedName name="x" localSheetId="5" hidden="1">{#N/A,#N/A,FALSE,"Coversheet";#N/A,#N/A,FALSE,"QA"}</definedName>
    <definedName name="x" localSheetId="4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5" hidden="1">{#N/A,#N/A,FALSE,"Balance_Sheet";#N/A,#N/A,FALSE,"income_statement_monthly";#N/A,#N/A,FALSE,"income_statement_Quarter";#N/A,#N/A,FALSE,"income_statement_ytd";#N/A,#N/A,FALSE,"income_statement_12Months"}</definedName>
    <definedName name="xx" localSheetId="4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5" hidden="1">{#N/A,#N/A,FALSE,"2002 Small Tool OH";#N/A,#N/A,FALSE,"QA"}</definedName>
    <definedName name="XXXX" hidden="1">{#N/A,#N/A,FALSE,"2002 Small Tool OH";#N/A,#N/A,FALSE,"QA"}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localSheetId="5" hidden="1">{#N/A,#N/A,FALSE,"Summ";#N/A,#N/A,FALSE,"General"}</definedName>
    <definedName name="yuf" localSheetId="4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localSheetId="5" hidden="1">{#N/A,#N/A,FALSE,"Coversheet";#N/A,#N/A,FALSE,"QA"}</definedName>
    <definedName name="z" localSheetId="4" hidden="1">{#N/A,#N/A,FALSE,"Coversheet";#N/A,#N/A,FALSE,"QA"}</definedName>
    <definedName name="z" hidden="1">{#N/A,#N/A,FALSE,"Coversheet";#N/A,#N/A,FALSE,"QA"}</definedName>
    <definedName name="zzz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2" l="1"/>
  <c r="J19" i="12"/>
  <c r="J14" i="12"/>
  <c r="A33" i="12" l="1"/>
  <c r="A34" i="12"/>
  <c r="A35" i="12"/>
  <c r="A36" i="12"/>
  <c r="A37" i="12"/>
  <c r="A38" i="12"/>
  <c r="A39" i="12"/>
  <c r="A40" i="12" s="1"/>
  <c r="A41" i="12" s="1"/>
  <c r="A42" i="12" s="1"/>
  <c r="B23" i="12" l="1"/>
  <c r="B19" i="12"/>
  <c r="B14" i="12"/>
  <c r="B25" i="12"/>
  <c r="K9" i="12" l="1"/>
  <c r="G14" i="12" l="1"/>
  <c r="G19" i="12"/>
  <c r="G23" i="12"/>
  <c r="G31" i="12"/>
  <c r="D32" i="67"/>
  <c r="D31" i="67"/>
  <c r="D33" i="67"/>
  <c r="D28" i="67"/>
  <c r="D27" i="67"/>
  <c r="D23" i="67"/>
  <c r="D22" i="67"/>
  <c r="D21" i="67"/>
  <c r="D17" i="67"/>
  <c r="D16" i="67"/>
  <c r="D15" i="67"/>
  <c r="D14" i="67"/>
  <c r="D11" i="67"/>
  <c r="A1" i="68" l="1"/>
  <c r="A4" i="69"/>
  <c r="A3" i="69"/>
  <c r="E4" i="65"/>
  <c r="D5" i="12"/>
  <c r="A3" i="12"/>
  <c r="A4" i="67"/>
  <c r="D29" i="12" l="1"/>
  <c r="D27" i="12"/>
  <c r="D25" i="12"/>
  <c r="D22" i="12"/>
  <c r="D21" i="12"/>
  <c r="D18" i="12"/>
  <c r="D17" i="12"/>
  <c r="D16" i="12"/>
  <c r="D13" i="12"/>
  <c r="D12" i="12"/>
  <c r="D11" i="12"/>
  <c r="D10" i="12"/>
  <c r="D8" i="12"/>
  <c r="A1" i="12"/>
  <c r="D23" i="12" l="1"/>
  <c r="D14" i="12"/>
  <c r="A2" i="69"/>
  <c r="E38" i="12"/>
  <c r="D38" i="12"/>
  <c r="C38" i="12"/>
  <c r="G37" i="12" l="1"/>
  <c r="E61" i="68" l="1"/>
  <c r="E62" i="68"/>
  <c r="E63" i="68" s="1"/>
  <c r="E64" i="68" s="1"/>
  <c r="E60" i="68"/>
  <c r="E59" i="68"/>
  <c r="A3" i="68"/>
  <c r="A2" i="68"/>
  <c r="E145" i="68"/>
  <c r="E144" i="68"/>
  <c r="E141" i="68"/>
  <c r="E142" i="68" s="1"/>
  <c r="E140" i="68"/>
  <c r="E139" i="68"/>
  <c r="E135" i="68"/>
  <c r="E136" i="68"/>
  <c r="E137" i="68"/>
  <c r="E134" i="68"/>
  <c r="E113" i="68"/>
  <c r="E114" i="68"/>
  <c r="E115" i="68"/>
  <c r="E116" i="68"/>
  <c r="E117" i="68"/>
  <c r="E118" i="68"/>
  <c r="E119" i="68"/>
  <c r="E120" i="68" s="1"/>
  <c r="E112" i="68"/>
  <c r="E82" i="68"/>
  <c r="E83" i="68" s="1"/>
  <c r="E84" i="68" s="1"/>
  <c r="E85" i="68" s="1"/>
  <c r="E86" i="68" s="1"/>
  <c r="E87" i="68" s="1"/>
  <c r="E88" i="68" s="1"/>
  <c r="E81" i="68"/>
  <c r="E66" i="68"/>
  <c r="A10" i="69" l="1"/>
  <c r="A11" i="69"/>
  <c r="F11" i="69"/>
  <c r="D9" i="68" s="1"/>
  <c r="A12" i="69"/>
  <c r="A13" i="69"/>
  <c r="A14" i="69" s="1"/>
  <c r="A15" i="69" s="1"/>
  <c r="A16" i="69" s="1"/>
  <c r="A17" i="69" s="1"/>
  <c r="A18" i="69" s="1"/>
  <c r="A19" i="69" s="1"/>
  <c r="A20" i="69" s="1"/>
  <c r="A21" i="69" s="1"/>
  <c r="F13" i="69"/>
  <c r="B14" i="69"/>
  <c r="F14" i="69"/>
  <c r="B15" i="69"/>
  <c r="B16" i="69" s="1"/>
  <c r="F15" i="69"/>
  <c r="D13" i="68" s="1"/>
  <c r="F16" i="69"/>
  <c r="F19" i="69"/>
  <c r="F20" i="69"/>
  <c r="F21" i="69"/>
  <c r="A22" i="69"/>
  <c r="A23" i="69" s="1"/>
  <c r="A24" i="69" s="1"/>
  <c r="A25" i="69" s="1"/>
  <c r="A26" i="69" s="1"/>
  <c r="F22" i="69"/>
  <c r="F23" i="69"/>
  <c r="F24" i="69"/>
  <c r="D22" i="68" s="1"/>
  <c r="F25" i="69"/>
  <c r="F26" i="69"/>
  <c r="D24" i="68" s="1"/>
  <c r="A27" i="69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F27" i="69"/>
  <c r="F28" i="69"/>
  <c r="D26" i="68" s="1"/>
  <c r="F32" i="69"/>
  <c r="B33" i="69"/>
  <c r="B34" i="69" s="1"/>
  <c r="B35" i="69" s="1"/>
  <c r="B36" i="69" s="1"/>
  <c r="F33" i="69"/>
  <c r="F34" i="69"/>
  <c r="F35" i="69"/>
  <c r="F36" i="69"/>
  <c r="D35" i="68" s="1"/>
  <c r="F37" i="69"/>
  <c r="F38" i="69"/>
  <c r="F39" i="69"/>
  <c r="F41" i="69"/>
  <c r="D40" i="68" s="1"/>
  <c r="F42" i="69"/>
  <c r="F43" i="69"/>
  <c r="H43" i="69" s="1"/>
  <c r="F44" i="69"/>
  <c r="C45" i="69"/>
  <c r="F45" i="69"/>
  <c r="A46" i="69"/>
  <c r="A47" i="69" s="1"/>
  <c r="A48" i="69" s="1"/>
  <c r="A49" i="69" s="1"/>
  <c r="A50" i="69" s="1"/>
  <c r="A51" i="69" s="1"/>
  <c r="A52" i="69" s="1"/>
  <c r="A53" i="69" s="1"/>
  <c r="A54" i="69" s="1"/>
  <c r="A55" i="69" s="1"/>
  <c r="A56" i="69" s="1"/>
  <c r="A57" i="69" s="1"/>
  <c r="A58" i="69" s="1"/>
  <c r="A59" i="69" s="1"/>
  <c r="A60" i="69" s="1"/>
  <c r="A61" i="69" s="1"/>
  <c r="A62" i="69" s="1"/>
  <c r="C46" i="69"/>
  <c r="F46" i="69"/>
  <c r="C47" i="69"/>
  <c r="F47" i="69"/>
  <c r="F50" i="69"/>
  <c r="B51" i="69"/>
  <c r="B52" i="69" s="1"/>
  <c r="B53" i="69" s="1"/>
  <c r="B54" i="69" s="1"/>
  <c r="B55" i="69" s="1"/>
  <c r="B56" i="69" s="1"/>
  <c r="B57" i="69" s="1"/>
  <c r="B58" i="69" s="1"/>
  <c r="B60" i="69" s="1"/>
  <c r="B61" i="69" s="1"/>
  <c r="B62" i="69" s="1"/>
  <c r="B63" i="69" s="1"/>
  <c r="B64" i="69" s="1"/>
  <c r="F51" i="69"/>
  <c r="D50" i="68" s="1"/>
  <c r="F52" i="69"/>
  <c r="F53" i="69"/>
  <c r="F54" i="69"/>
  <c r="F55" i="69"/>
  <c r="F56" i="69"/>
  <c r="F57" i="69"/>
  <c r="D56" i="68" s="1"/>
  <c r="F58" i="69"/>
  <c r="F60" i="69"/>
  <c r="F61" i="69"/>
  <c r="F62" i="69"/>
  <c r="A63" i="69"/>
  <c r="A64" i="69" s="1"/>
  <c r="A65" i="69" s="1"/>
  <c r="A66" i="69" s="1"/>
  <c r="A67" i="69" s="1"/>
  <c r="A68" i="69" s="1"/>
  <c r="A69" i="69" s="1"/>
  <c r="A70" i="69" s="1"/>
  <c r="A71" i="69" s="1"/>
  <c r="A72" i="69" s="1"/>
  <c r="A73" i="69" s="1"/>
  <c r="A74" i="69" s="1"/>
  <c r="A75" i="69" s="1"/>
  <c r="A76" i="69" s="1"/>
  <c r="A77" i="69" s="1"/>
  <c r="A78" i="69" s="1"/>
  <c r="A79" i="69" s="1"/>
  <c r="A80" i="69" s="1"/>
  <c r="A81" i="69" s="1"/>
  <c r="A82" i="69" s="1"/>
  <c r="A83" i="69" s="1"/>
  <c r="A84" i="69" s="1"/>
  <c r="A85" i="69" s="1"/>
  <c r="A86" i="69" s="1"/>
  <c r="A87" i="69" s="1"/>
  <c r="A88" i="69" s="1"/>
  <c r="A89" i="69" s="1"/>
  <c r="A90" i="69" s="1"/>
  <c r="A91" i="69" s="1"/>
  <c r="A92" i="69" s="1"/>
  <c r="A93" i="69" s="1"/>
  <c r="A94" i="69" s="1"/>
  <c r="A95" i="69" s="1"/>
  <c r="A96" i="69" s="1"/>
  <c r="A97" i="69" s="1"/>
  <c r="A98" i="69" s="1"/>
  <c r="A99" i="69" s="1"/>
  <c r="A100" i="69" s="1"/>
  <c r="A101" i="69" s="1"/>
  <c r="A102" i="69" s="1"/>
  <c r="A103" i="69" s="1"/>
  <c r="A104" i="69" s="1"/>
  <c r="A105" i="69" s="1"/>
  <c r="A106" i="69" s="1"/>
  <c r="A107" i="69" s="1"/>
  <c r="A108" i="69" s="1"/>
  <c r="A109" i="69" s="1"/>
  <c r="A110" i="69" s="1"/>
  <c r="A111" i="69" s="1"/>
  <c r="A112" i="69" s="1"/>
  <c r="A113" i="69" s="1"/>
  <c r="A114" i="69" s="1"/>
  <c r="A115" i="69" s="1"/>
  <c r="A116" i="69" s="1"/>
  <c r="A117" i="69" s="1"/>
  <c r="A118" i="69" s="1"/>
  <c r="A119" i="69" s="1"/>
  <c r="A120" i="69" s="1"/>
  <c r="A121" i="69" s="1"/>
  <c r="A122" i="69" s="1"/>
  <c r="A123" i="69" s="1"/>
  <c r="A124" i="69" s="1"/>
  <c r="A125" i="69" s="1"/>
  <c r="A126" i="69" s="1"/>
  <c r="A127" i="69" s="1"/>
  <c r="A128" i="69" s="1"/>
  <c r="A129" i="69" s="1"/>
  <c r="A130" i="69" s="1"/>
  <c r="A131" i="69" s="1"/>
  <c r="A132" i="69" s="1"/>
  <c r="A133" i="69" s="1"/>
  <c r="A134" i="69" s="1"/>
  <c r="A135" i="69" s="1"/>
  <c r="A136" i="69" s="1"/>
  <c r="A137" i="69" s="1"/>
  <c r="A138" i="69" s="1"/>
  <c r="A139" i="69" s="1"/>
  <c r="A140" i="69" s="1"/>
  <c r="A141" i="69" s="1"/>
  <c r="A142" i="69" s="1"/>
  <c r="A143" i="69" s="1"/>
  <c r="A144" i="69" s="1"/>
  <c r="A145" i="69" s="1"/>
  <c r="A146" i="69" s="1"/>
  <c r="A147" i="69" s="1"/>
  <c r="A148" i="69" s="1"/>
  <c r="A149" i="69" s="1"/>
  <c r="A150" i="69" s="1"/>
  <c r="A151" i="69" s="1"/>
  <c r="A152" i="69" s="1"/>
  <c r="A153" i="69" s="1"/>
  <c r="A154" i="69" s="1"/>
  <c r="A155" i="69" s="1"/>
  <c r="A156" i="69" s="1"/>
  <c r="A157" i="69" s="1"/>
  <c r="A158" i="69" s="1"/>
  <c r="A159" i="69" s="1"/>
  <c r="A160" i="69" s="1"/>
  <c r="A161" i="69" s="1"/>
  <c r="A162" i="69" s="1"/>
  <c r="A163" i="69" s="1"/>
  <c r="A164" i="69" s="1"/>
  <c r="A165" i="69" s="1"/>
  <c r="A166" i="69" s="1"/>
  <c r="A167" i="69" s="1"/>
  <c r="A168" i="69" s="1"/>
  <c r="A169" i="69" s="1"/>
  <c r="A170" i="69" s="1"/>
  <c r="A171" i="69" s="1"/>
  <c r="F63" i="69"/>
  <c r="D62" i="68" s="1"/>
  <c r="F64" i="69"/>
  <c r="H64" i="69" s="1"/>
  <c r="F65" i="69"/>
  <c r="H65" i="69" s="1"/>
  <c r="F67" i="69"/>
  <c r="F68" i="69"/>
  <c r="F69" i="69"/>
  <c r="D68" i="68" s="1"/>
  <c r="F70" i="69"/>
  <c r="F71" i="69"/>
  <c r="D70" i="68" s="1"/>
  <c r="F72" i="69"/>
  <c r="D71" i="68" s="1"/>
  <c r="F73" i="69"/>
  <c r="D72" i="68" s="1"/>
  <c r="F74" i="69"/>
  <c r="F75" i="69"/>
  <c r="D74" i="68" s="1"/>
  <c r="F76" i="69"/>
  <c r="F80" i="69"/>
  <c r="D80" i="68" s="1"/>
  <c r="B81" i="69"/>
  <c r="F81" i="69"/>
  <c r="D81" i="68" s="1"/>
  <c r="B82" i="69"/>
  <c r="B83" i="69" s="1"/>
  <c r="F82" i="69"/>
  <c r="F83" i="69"/>
  <c r="D83" i="68" s="1"/>
  <c r="B84" i="69"/>
  <c r="B85" i="69" s="1"/>
  <c r="B86" i="69" s="1"/>
  <c r="B87" i="69" s="1"/>
  <c r="F84" i="69"/>
  <c r="F85" i="69"/>
  <c r="D85" i="68" s="1"/>
  <c r="F86" i="69"/>
  <c r="F87" i="69"/>
  <c r="D87" i="68" s="1"/>
  <c r="F88" i="69"/>
  <c r="F90" i="69"/>
  <c r="D90" i="68" s="1"/>
  <c r="F91" i="69"/>
  <c r="D91" i="68" s="1"/>
  <c r="F92" i="69"/>
  <c r="D92" i="68" s="1"/>
  <c r="F93" i="69"/>
  <c r="F94" i="69"/>
  <c r="D94" i="68" s="1"/>
  <c r="F95" i="69"/>
  <c r="F96" i="69"/>
  <c r="D96" i="68" s="1"/>
  <c r="F97" i="69"/>
  <c r="F98" i="69"/>
  <c r="D98" i="68" s="1"/>
  <c r="F99" i="69"/>
  <c r="H99" i="69" s="1"/>
  <c r="F102" i="69"/>
  <c r="D102" i="68" s="1"/>
  <c r="B103" i="69"/>
  <c r="B104" i="69" s="1"/>
  <c r="F103" i="69"/>
  <c r="F104" i="69"/>
  <c r="D104" i="68" s="1"/>
  <c r="B105" i="69"/>
  <c r="B106" i="69" s="1"/>
  <c r="B107" i="69" s="1"/>
  <c r="B109" i="69" s="1"/>
  <c r="F105" i="69"/>
  <c r="D105" i="68" s="1"/>
  <c r="F106" i="69"/>
  <c r="D106" i="68" s="1"/>
  <c r="F107" i="69"/>
  <c r="D107" i="68" s="1"/>
  <c r="F109" i="69"/>
  <c r="F111" i="69"/>
  <c r="F112" i="69"/>
  <c r="D112" i="68" s="1"/>
  <c r="F113" i="69"/>
  <c r="F114" i="69"/>
  <c r="F115" i="69"/>
  <c r="H115" i="69" s="1"/>
  <c r="F116" i="69"/>
  <c r="H116" i="69" s="1"/>
  <c r="F117" i="69"/>
  <c r="F118" i="69"/>
  <c r="D118" i="68" s="1"/>
  <c r="F119" i="69"/>
  <c r="H119" i="69" s="1"/>
  <c r="F120" i="69"/>
  <c r="H120" i="69" s="1"/>
  <c r="F123" i="69"/>
  <c r="F126" i="69"/>
  <c r="D126" i="68" s="1"/>
  <c r="B127" i="69"/>
  <c r="B128" i="69" s="1"/>
  <c r="F127" i="69"/>
  <c r="F128" i="69"/>
  <c r="D128" i="68" s="1"/>
  <c r="B129" i="69"/>
  <c r="B130" i="69" s="1"/>
  <c r="B131" i="69" s="1"/>
  <c r="F129" i="69"/>
  <c r="F130" i="69"/>
  <c r="D130" i="68" s="1"/>
  <c r="F131" i="69"/>
  <c r="F133" i="69"/>
  <c r="B134" i="69"/>
  <c r="B135" i="69" s="1"/>
  <c r="B136" i="69" s="1"/>
  <c r="B137" i="69" s="1"/>
  <c r="F134" i="69"/>
  <c r="F135" i="69"/>
  <c r="D135" i="68" s="1"/>
  <c r="F136" i="69"/>
  <c r="F137" i="69"/>
  <c r="B139" i="69"/>
  <c r="B140" i="69" s="1"/>
  <c r="B141" i="69" s="1"/>
  <c r="B142" i="69" s="1"/>
  <c r="F139" i="69"/>
  <c r="F140" i="69"/>
  <c r="D140" i="68" s="1"/>
  <c r="F141" i="69"/>
  <c r="F142" i="69"/>
  <c r="D142" i="68" s="1"/>
  <c r="B144" i="69"/>
  <c r="B145" i="69" s="1"/>
  <c r="F144" i="69"/>
  <c r="D144" i="68" s="1"/>
  <c r="F145" i="69"/>
  <c r="D145" i="68" s="1"/>
  <c r="F147" i="69"/>
  <c r="F148" i="69"/>
  <c r="B149" i="69"/>
  <c r="B150" i="69" s="1"/>
  <c r="B151" i="69" s="1"/>
  <c r="B152" i="69" s="1"/>
  <c r="B153" i="69" s="1"/>
  <c r="B154" i="69" s="1"/>
  <c r="B155" i="69" s="1"/>
  <c r="B156" i="69" s="1"/>
  <c r="B157" i="69" s="1"/>
  <c r="B158" i="69" s="1"/>
  <c r="B159" i="69" s="1"/>
  <c r="F149" i="69"/>
  <c r="F150" i="69"/>
  <c r="F151" i="69"/>
  <c r="F152" i="69"/>
  <c r="D152" i="68" s="1"/>
  <c r="F153" i="69"/>
  <c r="F154" i="69"/>
  <c r="F155" i="69"/>
  <c r="F156" i="69"/>
  <c r="F157" i="69"/>
  <c r="D157" i="68" s="1"/>
  <c r="F158" i="69"/>
  <c r="F159" i="69"/>
  <c r="H159" i="69" s="1"/>
  <c r="B160" i="69"/>
  <c r="B161" i="69" s="1"/>
  <c r="B162" i="69" s="1"/>
  <c r="F160" i="69"/>
  <c r="H160" i="69" s="1"/>
  <c r="F161" i="69"/>
  <c r="H161" i="69" s="1"/>
  <c r="F162" i="69"/>
  <c r="D162" i="68" s="1"/>
  <c r="A8" i="68"/>
  <c r="A9" i="68" s="1"/>
  <c r="A10" i="68" s="1"/>
  <c r="A11" i="68" s="1"/>
  <c r="A12" i="68" s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A74" i="68" s="1"/>
  <c r="A75" i="68" s="1"/>
  <c r="A76" i="68" s="1"/>
  <c r="A77" i="68" s="1"/>
  <c r="A78" i="68" s="1"/>
  <c r="A79" i="68" s="1"/>
  <c r="A80" i="68" s="1"/>
  <c r="A81" i="68" s="1"/>
  <c r="A82" i="68" s="1"/>
  <c r="A83" i="68" s="1"/>
  <c r="A84" i="68" s="1"/>
  <c r="A85" i="68" s="1"/>
  <c r="A86" i="68" s="1"/>
  <c r="A87" i="68" s="1"/>
  <c r="A88" i="68" s="1"/>
  <c r="A89" i="68" s="1"/>
  <c r="A90" i="68" s="1"/>
  <c r="A91" i="68" s="1"/>
  <c r="A92" i="68" s="1"/>
  <c r="A93" i="68" s="1"/>
  <c r="A94" i="68" s="1"/>
  <c r="A95" i="68" s="1"/>
  <c r="A96" i="68" s="1"/>
  <c r="A97" i="68" s="1"/>
  <c r="A98" i="68" s="1"/>
  <c r="A99" i="68" s="1"/>
  <c r="A100" i="68" s="1"/>
  <c r="A101" i="68" s="1"/>
  <c r="A102" i="68" s="1"/>
  <c r="A103" i="68" s="1"/>
  <c r="A104" i="68" s="1"/>
  <c r="E11" i="68"/>
  <c r="E12" i="68"/>
  <c r="E13" i="68"/>
  <c r="E14" i="68"/>
  <c r="E18" i="68"/>
  <c r="E19" i="68"/>
  <c r="E20" i="68"/>
  <c r="E21" i="68"/>
  <c r="E22" i="68"/>
  <c r="E23" i="68"/>
  <c r="E24" i="68"/>
  <c r="E25" i="68"/>
  <c r="E26" i="68"/>
  <c r="E28" i="68"/>
  <c r="E31" i="68" s="1"/>
  <c r="E41" i="68"/>
  <c r="E42" i="68"/>
  <c r="E43" i="68"/>
  <c r="E44" i="68"/>
  <c r="E45" i="68"/>
  <c r="E46" i="68"/>
  <c r="E49" i="68"/>
  <c r="E50" i="68"/>
  <c r="E51" i="68"/>
  <c r="E52" i="68"/>
  <c r="E53" i="68"/>
  <c r="E54" i="68"/>
  <c r="E55" i="68"/>
  <c r="E56" i="68"/>
  <c r="E57" i="68"/>
  <c r="E67" i="68"/>
  <c r="E68" i="68"/>
  <c r="E69" i="68"/>
  <c r="E70" i="68"/>
  <c r="E71" i="68"/>
  <c r="E72" i="68"/>
  <c r="E73" i="68"/>
  <c r="E74" i="68"/>
  <c r="E75" i="68"/>
  <c r="E77" i="68"/>
  <c r="E90" i="68"/>
  <c r="E91" i="68"/>
  <c r="E92" i="68"/>
  <c r="E93" i="68"/>
  <c r="E94" i="68"/>
  <c r="E95" i="68"/>
  <c r="E96" i="68"/>
  <c r="E97" i="68"/>
  <c r="E98" i="68"/>
  <c r="E99" i="68"/>
  <c r="E103" i="68"/>
  <c r="E104" i="68"/>
  <c r="A105" i="68"/>
  <c r="A106" i="68" s="1"/>
  <c r="A107" i="68" s="1"/>
  <c r="A108" i="68" s="1"/>
  <c r="A109" i="68" s="1"/>
  <c r="A110" i="68" s="1"/>
  <c r="A111" i="68" s="1"/>
  <c r="A112" i="68" s="1"/>
  <c r="A113" i="68" s="1"/>
  <c r="A114" i="68" s="1"/>
  <c r="A115" i="68" s="1"/>
  <c r="A116" i="68" s="1"/>
  <c r="A117" i="68" s="1"/>
  <c r="A118" i="68" s="1"/>
  <c r="A119" i="68" s="1"/>
  <c r="A120" i="68" s="1"/>
  <c r="A121" i="68" s="1"/>
  <c r="A122" i="68" s="1"/>
  <c r="A123" i="68" s="1"/>
  <c r="A124" i="68" s="1"/>
  <c r="A125" i="68" s="1"/>
  <c r="A126" i="68" s="1"/>
  <c r="A127" i="68" s="1"/>
  <c r="A128" i="68" s="1"/>
  <c r="A129" i="68" s="1"/>
  <c r="A130" i="68" s="1"/>
  <c r="A131" i="68" s="1"/>
  <c r="A132" i="68" s="1"/>
  <c r="A133" i="68" s="1"/>
  <c r="A134" i="68" s="1"/>
  <c r="A135" i="68" s="1"/>
  <c r="A136" i="68" s="1"/>
  <c r="A137" i="68" s="1"/>
  <c r="A138" i="68" s="1"/>
  <c r="A139" i="68" s="1"/>
  <c r="A140" i="68" s="1"/>
  <c r="A141" i="68" s="1"/>
  <c r="A142" i="68" s="1"/>
  <c r="A143" i="68" s="1"/>
  <c r="A144" i="68" s="1"/>
  <c r="A145" i="68" s="1"/>
  <c r="A146" i="68" s="1"/>
  <c r="A147" i="68" s="1"/>
  <c r="A148" i="68" s="1"/>
  <c r="A149" i="68" s="1"/>
  <c r="A150" i="68" s="1"/>
  <c r="A151" i="68" s="1"/>
  <c r="A152" i="68" s="1"/>
  <c r="A153" i="68" s="1"/>
  <c r="A154" i="68" s="1"/>
  <c r="A155" i="68" s="1"/>
  <c r="A156" i="68" s="1"/>
  <c r="A157" i="68" s="1"/>
  <c r="A158" i="68" s="1"/>
  <c r="A159" i="68" s="1"/>
  <c r="A160" i="68" s="1"/>
  <c r="A161" i="68" s="1"/>
  <c r="A162" i="68" s="1"/>
  <c r="E105" i="68"/>
  <c r="E106" i="68"/>
  <c r="E107" i="68"/>
  <c r="E109" i="68"/>
  <c r="E126" i="68"/>
  <c r="E129" i="68" s="1"/>
  <c r="E130" i="68"/>
  <c r="E148" i="68"/>
  <c r="E149" i="68"/>
  <c r="E150" i="68"/>
  <c r="E151" i="68"/>
  <c r="E152" i="68"/>
  <c r="E153" i="68"/>
  <c r="E154" i="68"/>
  <c r="E155" i="68"/>
  <c r="E156" i="68"/>
  <c r="E157" i="68"/>
  <c r="E158" i="68"/>
  <c r="E159" i="68"/>
  <c r="E160" i="68"/>
  <c r="E161" i="68"/>
  <c r="E162" i="68"/>
  <c r="H23" i="69" l="1"/>
  <c r="H13" i="69"/>
  <c r="H19" i="69"/>
  <c r="H150" i="69"/>
  <c r="D156" i="68"/>
  <c r="H156" i="69"/>
  <c r="H136" i="69"/>
  <c r="H90" i="69"/>
  <c r="H36" i="69"/>
  <c r="H92" i="69"/>
  <c r="D120" i="68"/>
  <c r="H69" i="69"/>
  <c r="H162" i="69"/>
  <c r="D115" i="68"/>
  <c r="D161" i="68"/>
  <c r="D160" i="68"/>
  <c r="H15" i="69"/>
  <c r="H152" i="69"/>
  <c r="D11" i="68"/>
  <c r="H71" i="69"/>
  <c r="D117" i="68"/>
  <c r="H117" i="69"/>
  <c r="H47" i="69"/>
  <c r="D46" i="68"/>
  <c r="H38" i="69"/>
  <c r="D37" i="68"/>
  <c r="H111" i="69"/>
  <c r="D21" i="68"/>
  <c r="H114" i="69"/>
  <c r="D17" i="68"/>
  <c r="H45" i="69"/>
  <c r="H106" i="69"/>
  <c r="H28" i="69"/>
  <c r="D116" i="68"/>
  <c r="H154" i="69"/>
  <c r="H112" i="69"/>
  <c r="H73" i="69"/>
  <c r="H130" i="69"/>
  <c r="H126" i="69"/>
  <c r="H94" i="69"/>
  <c r="H147" i="69"/>
  <c r="D147" i="68"/>
  <c r="D33" i="68"/>
  <c r="H34" i="69"/>
  <c r="H133" i="69"/>
  <c r="D133" i="68"/>
  <c r="D148" i="68"/>
  <c r="H148" i="69"/>
  <c r="H32" i="69"/>
  <c r="D31" i="68"/>
  <c r="D137" i="68"/>
  <c r="H137" i="69"/>
  <c r="D59" i="68"/>
  <c r="H60" i="69"/>
  <c r="H67" i="69"/>
  <c r="D66" i="68"/>
  <c r="H86" i="69"/>
  <c r="H157" i="69"/>
  <c r="H135" i="69"/>
  <c r="H131" i="69"/>
  <c r="H118" i="69"/>
  <c r="H96" i="69"/>
  <c r="H85" i="69"/>
  <c r="H81" i="69"/>
  <c r="H75" i="69"/>
  <c r="H21" i="69"/>
  <c r="H140" i="69"/>
  <c r="H113" i="69"/>
  <c r="H107" i="69"/>
  <c r="H91" i="69"/>
  <c r="H63" i="69"/>
  <c r="H109" i="69"/>
  <c r="D119" i="68"/>
  <c r="H102" i="69"/>
  <c r="H123" i="69"/>
  <c r="H80" i="69"/>
  <c r="D154" i="68"/>
  <c r="D86" i="68"/>
  <c r="H142" i="69"/>
  <c r="H83" i="69"/>
  <c r="H41" i="69"/>
  <c r="H27" i="69"/>
  <c r="D136" i="68"/>
  <c r="D150" i="68"/>
  <c r="D131" i="68"/>
  <c r="D42" i="68"/>
  <c r="H128" i="69"/>
  <c r="H105" i="69"/>
  <c r="H98" i="69"/>
  <c r="H87" i="69"/>
  <c r="H144" i="69"/>
  <c r="D114" i="68"/>
  <c r="H104" i="69"/>
  <c r="H93" i="69"/>
  <c r="H72" i="69"/>
  <c r="H26" i="69"/>
  <c r="B90" i="69"/>
  <c r="B88" i="69"/>
  <c r="B91" i="69" s="1"/>
  <c r="B92" i="69" s="1"/>
  <c r="B93" i="69" s="1"/>
  <c r="B94" i="69" s="1"/>
  <c r="B95" i="69" s="1"/>
  <c r="B96" i="69" s="1"/>
  <c r="B97" i="69" s="1"/>
  <c r="B98" i="69" s="1"/>
  <c r="B99" i="69" s="1"/>
  <c r="B67" i="69"/>
  <c r="B65" i="69"/>
  <c r="B68" i="69" s="1"/>
  <c r="B69" i="69" s="1"/>
  <c r="B70" i="69" s="1"/>
  <c r="B71" i="69" s="1"/>
  <c r="B72" i="69" s="1"/>
  <c r="B73" i="69" s="1"/>
  <c r="B74" i="69" s="1"/>
  <c r="B75" i="69" s="1"/>
  <c r="B76" i="69" s="1"/>
  <c r="H35" i="69"/>
  <c r="D34" i="68"/>
  <c r="D153" i="68"/>
  <c r="H153" i="69"/>
  <c r="D134" i="68"/>
  <c r="H134" i="69"/>
  <c r="D12" i="68"/>
  <c r="H14" i="69"/>
  <c r="H97" i="69"/>
  <c r="D97" i="68"/>
  <c r="H103" i="69"/>
  <c r="D103" i="68"/>
  <c r="H141" i="69"/>
  <c r="D141" i="68"/>
  <c r="H57" i="69"/>
  <c r="D14" i="68"/>
  <c r="H16" i="69"/>
  <c r="D64" i="68"/>
  <c r="H82" i="69"/>
  <c r="D82" i="68"/>
  <c r="D51" i="68"/>
  <c r="H52" i="69"/>
  <c r="D20" i="68"/>
  <c r="H22" i="69"/>
  <c r="H151" i="69"/>
  <c r="D151" i="68"/>
  <c r="D139" i="68"/>
  <c r="H139" i="69"/>
  <c r="H62" i="69"/>
  <c r="D61" i="68"/>
  <c r="H55" i="69"/>
  <c r="D54" i="68"/>
  <c r="D41" i="68"/>
  <c r="H42" i="69"/>
  <c r="H158" i="69"/>
  <c r="D158" i="68"/>
  <c r="D84" i="68"/>
  <c r="H84" i="69"/>
  <c r="D53" i="68"/>
  <c r="H54" i="69"/>
  <c r="D43" i="68"/>
  <c r="H44" i="69"/>
  <c r="H39" i="69"/>
  <c r="D38" i="68"/>
  <c r="D113" i="68"/>
  <c r="D93" i="68"/>
  <c r="D149" i="68"/>
  <c r="H149" i="69"/>
  <c r="H127" i="69"/>
  <c r="D127" i="68"/>
  <c r="H95" i="69"/>
  <c r="D95" i="68"/>
  <c r="H46" i="69"/>
  <c r="D45" i="68"/>
  <c r="D99" i="68"/>
  <c r="H76" i="69"/>
  <c r="D75" i="68"/>
  <c r="H68" i="69"/>
  <c r="D67" i="68"/>
  <c r="D55" i="68"/>
  <c r="H56" i="69"/>
  <c r="H51" i="69"/>
  <c r="H11" i="69"/>
  <c r="H155" i="69"/>
  <c r="D155" i="68"/>
  <c r="H24" i="69"/>
  <c r="D23" i="68"/>
  <c r="H25" i="69"/>
  <c r="D60" i="68"/>
  <c r="H61" i="69"/>
  <c r="H37" i="69"/>
  <c r="D36" i="68"/>
  <c r="H88" i="69"/>
  <c r="D88" i="68"/>
  <c r="D49" i="68"/>
  <c r="H50" i="69"/>
  <c r="D18" i="68"/>
  <c r="H20" i="69"/>
  <c r="H129" i="69"/>
  <c r="D129" i="68"/>
  <c r="D32" i="68"/>
  <c r="H33" i="69"/>
  <c r="H74" i="69"/>
  <c r="D73" i="68"/>
  <c r="H70" i="69"/>
  <c r="D69" i="68"/>
  <c r="D123" i="68"/>
  <c r="D57" i="68"/>
  <c r="H58" i="69"/>
  <c r="H53" i="69"/>
  <c r="D52" i="68"/>
  <c r="B37" i="69"/>
  <c r="B41" i="69"/>
  <c r="D19" i="68"/>
  <c r="D25" i="68"/>
  <c r="D111" i="68"/>
  <c r="D44" i="68"/>
  <c r="D109" i="68"/>
  <c r="D63" i="68"/>
  <c r="H145" i="69"/>
  <c r="D159" i="68"/>
  <c r="E32" i="68"/>
  <c r="E36" i="68"/>
  <c r="E33" i="68"/>
  <c r="E37" i="68"/>
  <c r="E34" i="68"/>
  <c r="E38" i="68"/>
  <c r="E35" i="68"/>
  <c r="E128" i="68"/>
  <c r="E131" i="68"/>
  <c r="E127" i="68"/>
  <c r="B38" i="69" l="1"/>
  <c r="B42" i="69"/>
  <c r="B39" i="69" l="1"/>
  <c r="B44" i="69" s="1"/>
  <c r="B45" i="69" s="1"/>
  <c r="B46" i="69" s="1"/>
  <c r="B47" i="69" s="1"/>
  <c r="B43" i="69"/>
  <c r="C10" i="65"/>
  <c r="C11" i="12" l="1"/>
  <c r="E8" i="67" l="1"/>
  <c r="D8" i="67"/>
  <c r="C18" i="12" l="1"/>
  <c r="C17" i="65"/>
  <c r="C21" i="12"/>
  <c r="C20" i="65"/>
  <c r="C16" i="12"/>
  <c r="C15" i="65"/>
  <c r="C17" i="12"/>
  <c r="C16" i="65"/>
  <c r="C22" i="12"/>
  <c r="C21" i="65"/>
  <c r="C27" i="12"/>
  <c r="C26" i="65"/>
  <c r="C25" i="12"/>
  <c r="C24" i="65"/>
  <c r="C29" i="12"/>
  <c r="C28" i="65"/>
  <c r="C8" i="12"/>
  <c r="C7" i="65"/>
  <c r="C12" i="12"/>
  <c r="C11" i="65"/>
  <c r="C10" i="12"/>
  <c r="C9" i="65"/>
  <c r="C13" i="12"/>
  <c r="C12" i="65"/>
  <c r="F27" i="67"/>
  <c r="A11" i="67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A57" i="67" s="1"/>
  <c r="A58" i="67" s="1"/>
  <c r="A59" i="67" s="1"/>
  <c r="A60" i="67" s="1"/>
  <c r="A61" i="67" s="1"/>
  <c r="A62" i="67" s="1"/>
  <c r="A63" i="67" s="1"/>
  <c r="A64" i="67" s="1"/>
  <c r="A65" i="67" s="1"/>
  <c r="A66" i="67" s="1"/>
  <c r="A67" i="67" s="1"/>
  <c r="A68" i="67" s="1"/>
  <c r="A69" i="67" s="1"/>
  <c r="A70" i="67" s="1"/>
  <c r="A71" i="67" s="1"/>
  <c r="C43" i="67"/>
  <c r="C46" i="67"/>
  <c r="F14" i="67"/>
  <c r="F15" i="67"/>
  <c r="C48" i="67"/>
  <c r="F16" i="67"/>
  <c r="B12" i="65"/>
  <c r="C49" i="67"/>
  <c r="F17" i="67"/>
  <c r="C53" i="67"/>
  <c r="F21" i="67"/>
  <c r="C54" i="67"/>
  <c r="F22" i="67"/>
  <c r="B17" i="65"/>
  <c r="C55" i="67"/>
  <c r="F23" i="67"/>
  <c r="B20" i="65"/>
  <c r="C59" i="67"/>
  <c r="B21" i="65"/>
  <c r="C63" i="67"/>
  <c r="F31" i="67"/>
  <c r="B28" i="65"/>
  <c r="F32" i="67"/>
  <c r="B24" i="65"/>
  <c r="C65" i="67"/>
  <c r="B69" i="67"/>
  <c r="C69" i="67"/>
  <c r="B45" i="67"/>
  <c r="C47" i="67"/>
  <c r="B50" i="67"/>
  <c r="B52" i="67"/>
  <c r="B53" i="67"/>
  <c r="B56" i="67"/>
  <c r="B58" i="67"/>
  <c r="C60" i="67"/>
  <c r="B61" i="67"/>
  <c r="C64" i="67"/>
  <c r="B67" i="67"/>
  <c r="B71" i="67"/>
  <c r="B12" i="12" l="1"/>
  <c r="B11" i="65"/>
  <c r="B10" i="12"/>
  <c r="B9" i="65"/>
  <c r="B16" i="12"/>
  <c r="B15" i="65"/>
  <c r="B17" i="12"/>
  <c r="B16" i="65"/>
  <c r="B27" i="12"/>
  <c r="B26" i="65"/>
  <c r="B8" i="12"/>
  <c r="B7" i="65"/>
  <c r="B11" i="12"/>
  <c r="B10" i="65"/>
  <c r="B54" i="67"/>
  <c r="B65" i="67"/>
  <c r="B64" i="67"/>
  <c r="B29" i="12"/>
  <c r="B48" i="67"/>
  <c r="B47" i="67"/>
  <c r="B60" i="67"/>
  <c r="B22" i="12"/>
  <c r="B43" i="67"/>
  <c r="B55" i="67"/>
  <c r="B18" i="12"/>
  <c r="B63" i="67"/>
  <c r="B46" i="67"/>
  <c r="B59" i="67"/>
  <c r="B21" i="12"/>
  <c r="B49" i="67"/>
  <c r="B13" i="12"/>
  <c r="F4" i="65" l="1"/>
  <c r="G4" i="65"/>
  <c r="H4" i="65"/>
  <c r="A8" i="65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38" i="65" s="1"/>
  <c r="A1" i="65" l="1"/>
  <c r="D4" i="65" l="1"/>
  <c r="A2" i="65" l="1"/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D22" i="65" l="1"/>
  <c r="D18" i="65"/>
  <c r="D19" i="12"/>
  <c r="D31" i="12" s="1"/>
  <c r="D13" i="65"/>
  <c r="D29" i="65" l="1"/>
  <c r="D33" i="65" s="1"/>
  <c r="E22" i="65" l="1"/>
  <c r="E18" i="65" l="1"/>
  <c r="E13" i="65"/>
  <c r="E29" i="65"/>
  <c r="E36" i="65" s="1"/>
  <c r="E38" i="65" l="1"/>
  <c r="F7" i="65" s="1"/>
  <c r="F8" i="12" s="1"/>
  <c r="F26" i="65"/>
  <c r="F27" i="12" s="1"/>
  <c r="E31" i="67" s="1"/>
  <c r="F17" i="65"/>
  <c r="F18" i="12" s="1"/>
  <c r="F10" i="65"/>
  <c r="F11" i="12" s="1"/>
  <c r="F15" i="65"/>
  <c r="F16" i="12" s="1"/>
  <c r="F11" i="65"/>
  <c r="F12" i="12" s="1"/>
  <c r="F12" i="65"/>
  <c r="F13" i="12" s="1"/>
  <c r="F21" i="65"/>
  <c r="F22" i="12" s="1"/>
  <c r="F9" i="65"/>
  <c r="F10" i="12" s="1"/>
  <c r="F20" i="65"/>
  <c r="F21" i="12" s="1"/>
  <c r="F28" i="65"/>
  <c r="F29" i="12" s="1"/>
  <c r="E32" i="67" s="1"/>
  <c r="F24" i="65"/>
  <c r="F25" i="12" s="1"/>
  <c r="E33" i="67" s="1"/>
  <c r="E11" i="67" l="1"/>
  <c r="K8" i="12"/>
  <c r="F38" i="12"/>
  <c r="H8" i="12"/>
  <c r="I8" i="12" s="1"/>
  <c r="F16" i="65"/>
  <c r="F17" i="12" s="1"/>
  <c r="E22" i="67" s="1"/>
  <c r="E17" i="67"/>
  <c r="K13" i="12"/>
  <c r="H13" i="12"/>
  <c r="I13" i="12" s="1"/>
  <c r="J13" i="12" s="1"/>
  <c r="K27" i="12"/>
  <c r="H27" i="12"/>
  <c r="I27" i="12" s="1"/>
  <c r="J27" i="12" s="1"/>
  <c r="E21" i="67"/>
  <c r="K16" i="12"/>
  <c r="H16" i="12"/>
  <c r="E28" i="67"/>
  <c r="K22" i="12"/>
  <c r="H22" i="12"/>
  <c r="I22" i="12" s="1"/>
  <c r="J22" i="12" s="1"/>
  <c r="E16" i="67"/>
  <c r="K12" i="12"/>
  <c r="H12" i="12"/>
  <c r="I12" i="12" s="1"/>
  <c r="J12" i="12" s="1"/>
  <c r="E23" i="67"/>
  <c r="K18" i="12"/>
  <c r="H18" i="12"/>
  <c r="I18" i="12" s="1"/>
  <c r="J18" i="12" s="1"/>
  <c r="K29" i="12"/>
  <c r="H29" i="12"/>
  <c r="E27" i="67"/>
  <c r="K21" i="12"/>
  <c r="H21" i="12"/>
  <c r="H17" i="12"/>
  <c r="I17" i="12" s="1"/>
  <c r="J17" i="12" s="1"/>
  <c r="E15" i="67"/>
  <c r="K11" i="12"/>
  <c r="H11" i="12"/>
  <c r="I11" i="12" s="1"/>
  <c r="J11" i="12" s="1"/>
  <c r="K25" i="12"/>
  <c r="H25" i="12"/>
  <c r="I25" i="12" s="1"/>
  <c r="J25" i="12" s="1"/>
  <c r="J8" i="12"/>
  <c r="E14" i="67"/>
  <c r="K10" i="12"/>
  <c r="H10" i="12"/>
  <c r="F29" i="69"/>
  <c r="F77" i="69"/>
  <c r="H12" i="65"/>
  <c r="H10" i="65"/>
  <c r="H20" i="65"/>
  <c r="H24" i="65"/>
  <c r="H166" i="69" s="1"/>
  <c r="H15" i="65"/>
  <c r="H26" i="65"/>
  <c r="H28" i="65"/>
  <c r="H11" i="65"/>
  <c r="H7" i="65"/>
  <c r="H17" i="65"/>
  <c r="H9" i="65"/>
  <c r="H21" i="65"/>
  <c r="H16" i="65"/>
  <c r="E33" i="65"/>
  <c r="K17" i="12" l="1"/>
  <c r="I29" i="12"/>
  <c r="J29" i="12" s="1"/>
  <c r="H19" i="12"/>
  <c r="I16" i="12"/>
  <c r="H23" i="12"/>
  <c r="I21" i="12"/>
  <c r="H14" i="12"/>
  <c r="H31" i="12" s="1"/>
  <c r="I10" i="12"/>
  <c r="D77" i="68"/>
  <c r="H77" i="69"/>
  <c r="H29" i="69"/>
  <c r="D28" i="68"/>
  <c r="G28" i="65"/>
  <c r="I28" i="65"/>
  <c r="H22" i="65"/>
  <c r="I20" i="65"/>
  <c r="G20" i="65"/>
  <c r="G24" i="65"/>
  <c r="I24" i="65"/>
  <c r="G9" i="65"/>
  <c r="I9" i="65"/>
  <c r="H13" i="65"/>
  <c r="G21" i="65"/>
  <c r="I21" i="65"/>
  <c r="G17" i="65"/>
  <c r="I17" i="65"/>
  <c r="I26" i="65"/>
  <c r="G26" i="65"/>
  <c r="I10" i="65"/>
  <c r="G10" i="65"/>
  <c r="I11" i="65"/>
  <c r="G11" i="65"/>
  <c r="G16" i="65"/>
  <c r="I16" i="65"/>
  <c r="I7" i="65"/>
  <c r="G7" i="65"/>
  <c r="H18" i="65"/>
  <c r="I15" i="65"/>
  <c r="G15" i="65"/>
  <c r="I12" i="65"/>
  <c r="G12" i="65"/>
  <c r="H165" i="69" l="1"/>
  <c r="H167" i="69" s="1"/>
  <c r="I19" i="12"/>
  <c r="J16" i="12"/>
  <c r="I14" i="12"/>
  <c r="J10" i="12"/>
  <c r="I23" i="12"/>
  <c r="J21" i="12"/>
  <c r="G22" i="65"/>
  <c r="I18" i="65"/>
  <c r="F18" i="65"/>
  <c r="F13" i="65"/>
  <c r="I13" i="65"/>
  <c r="I22" i="65"/>
  <c r="F22" i="65"/>
  <c r="H29" i="65"/>
  <c r="G13" i="65"/>
  <c r="G18" i="65"/>
  <c r="I31" i="12" l="1"/>
  <c r="J31" i="12" s="1"/>
  <c r="G29" i="65"/>
  <c r="F29" i="65"/>
  <c r="H32" i="65"/>
  <c r="I29" i="65"/>
  <c r="G38" i="12" l="1"/>
  <c r="G39" i="12" s="1"/>
  <c r="G40" i="12" s="1"/>
</calcChain>
</file>

<file path=xl/sharedStrings.xml><?xml version="1.0" encoding="utf-8"?>
<sst xmlns="http://schemas.openxmlformats.org/spreadsheetml/2006/main" count="571" uniqueCount="192">
  <si>
    <t>Schedule</t>
  </si>
  <si>
    <t>Line No.</t>
  </si>
  <si>
    <t>Lamp Type</t>
  </si>
  <si>
    <t>Mercury Vapor</t>
  </si>
  <si>
    <t>Sodium Vapor</t>
  </si>
  <si>
    <t>A</t>
  </si>
  <si>
    <t>B</t>
  </si>
  <si>
    <t>Secondary Service Total</t>
  </si>
  <si>
    <t>Primary Service Total</t>
  </si>
  <si>
    <t>High Voltage Service Total</t>
  </si>
  <si>
    <t>Total</t>
  </si>
  <si>
    <t>Firm Resale</t>
  </si>
  <si>
    <t>Total Sales</t>
  </si>
  <si>
    <t>Customer Rate Impacts</t>
  </si>
  <si>
    <t>Customer Class</t>
  </si>
  <si>
    <t>D=
B+E</t>
  </si>
  <si>
    <t>E=
A*C</t>
  </si>
  <si>
    <t>F=
E/B</t>
  </si>
  <si>
    <t>aa</t>
  </si>
  <si>
    <t xml:space="preserve"> </t>
  </si>
  <si>
    <t>Voltage Level</t>
  </si>
  <si>
    <t>Total Secondary Voltage</t>
  </si>
  <si>
    <t>Total Primary Voltage</t>
  </si>
  <si>
    <t>Total High Voltage</t>
  </si>
  <si>
    <t>Proposed % to Forecast Revenue</t>
  </si>
  <si>
    <t>C=
(aa*B)/A</t>
  </si>
  <si>
    <t>Per W charge</t>
  </si>
  <si>
    <t>57E</t>
  </si>
  <si>
    <t>Sch 57</t>
  </si>
  <si>
    <t>800.01 - 900</t>
  </si>
  <si>
    <t>Light Emitting Diode</t>
  </si>
  <si>
    <t>700.01 - 800</t>
  </si>
  <si>
    <t>600.01 - 700</t>
  </si>
  <si>
    <t>500.01 - 600</t>
  </si>
  <si>
    <t>400.01 - 500</t>
  </si>
  <si>
    <t>300.01 - 400</t>
  </si>
  <si>
    <t>270.01 - 300</t>
  </si>
  <si>
    <t>240.01 - 270</t>
  </si>
  <si>
    <t>210.01 - 240</t>
  </si>
  <si>
    <t>180.01 - 210</t>
  </si>
  <si>
    <t>150.01 - 180</t>
  </si>
  <si>
    <t>120.01 - 150</t>
  </si>
  <si>
    <t>90.01 - 120</t>
  </si>
  <si>
    <t>60.01 - 90</t>
  </si>
  <si>
    <t>30.01 - 60</t>
  </si>
  <si>
    <t>58E &amp; 59E</t>
  </si>
  <si>
    <t>Metal Halide</t>
  </si>
  <si>
    <t>58E &amp; 59E - Horizontal</t>
  </si>
  <si>
    <t>58E &amp; 59E - Directional</t>
  </si>
  <si>
    <t>Sch 58 &amp; 59</t>
  </si>
  <si>
    <t>55E &amp; 56E</t>
  </si>
  <si>
    <t>Sch 55 &amp; 56</t>
  </si>
  <si>
    <t>54E</t>
  </si>
  <si>
    <t xml:space="preserve">52E </t>
  </si>
  <si>
    <t>51E</t>
  </si>
  <si>
    <t>Sch 51E</t>
  </si>
  <si>
    <t>Compact Flourescent</t>
  </si>
  <si>
    <t>003</t>
  </si>
  <si>
    <t>Wattage (W)</t>
  </si>
  <si>
    <t>Total Retail Sales</t>
  </si>
  <si>
    <t>Proposed Rider Rate Effective Start Date</t>
  </si>
  <si>
    <t>Proposed Rider Rate Effective End Date</t>
  </si>
  <si>
    <t>Current Rider Rate Effective Date</t>
  </si>
  <si>
    <t>Budget Forecast</t>
  </si>
  <si>
    <t>Smart LED</t>
  </si>
  <si>
    <t>Per kWh - All Lamps</t>
  </si>
  <si>
    <t>Energy</t>
  </si>
  <si>
    <t>50E</t>
  </si>
  <si>
    <t>0-30</t>
  </si>
  <si>
    <t>30 - 60</t>
  </si>
  <si>
    <t>53E</t>
  </si>
  <si>
    <t>0 - 30</t>
  </si>
  <si>
    <t>Bill Discount Revenue Requirement</t>
  </si>
  <si>
    <t>Bill Discount Revenue Requirement as % of Total Revenue Adj for Firm Resale</t>
  </si>
  <si>
    <t>Total Sales less Firm Resale</t>
  </si>
  <si>
    <t>cross check</t>
  </si>
  <si>
    <t>F2024</t>
  </si>
  <si>
    <t>Demand</t>
  </si>
  <si>
    <t>na</t>
  </si>
  <si>
    <t>See Lighting Rates tab</t>
  </si>
  <si>
    <t>High Voltage:</t>
  </si>
  <si>
    <t>Primary Voltage:</t>
  </si>
  <si>
    <t>7A (11) (25)</t>
  </si>
  <si>
    <t>Secondary Voltage:</t>
  </si>
  <si>
    <t>f</t>
  </si>
  <si>
    <t>d</t>
  </si>
  <si>
    <t>c</t>
  </si>
  <si>
    <t>b</t>
  </si>
  <si>
    <t>a</t>
  </si>
  <si>
    <t>Proposed Rates</t>
  </si>
  <si>
    <t xml:space="preserve">Current Rates </t>
  </si>
  <si>
    <t>Rate Schedule</t>
  </si>
  <si>
    <t>PUGET SOUND ENERGY</t>
  </si>
  <si>
    <t>Annual True-Up Filing</t>
  </si>
  <si>
    <t>Sch 129D Tariff Reference</t>
  </si>
  <si>
    <t>Sheet No. 129D-A</t>
  </si>
  <si>
    <t>Sheet No. 129D-B</t>
  </si>
  <si>
    <t>01/01/2025</t>
  </si>
  <si>
    <t>Note (1):  Avg 2022 GRC Compliance Base Rates.</t>
  </si>
  <si>
    <t>Residential</t>
  </si>
  <si>
    <t>General Service: Demand &lt;= 50 kW</t>
  </si>
  <si>
    <t>Small General Service: Demand &gt; 50 kW but &lt;= 350 kW</t>
  </si>
  <si>
    <t>Large General Service: Demand &gt; 350 kW</t>
  </si>
  <si>
    <t>Irrigation &amp; Pumping Service: Demand &gt; 50 kW but &lt;= 350 kW</t>
  </si>
  <si>
    <t>General Service</t>
  </si>
  <si>
    <t>Irrigation &amp; Pumping Service</t>
  </si>
  <si>
    <t>All Electric Schools</t>
  </si>
  <si>
    <t>Interruptible Service</t>
  </si>
  <si>
    <t>Choice / Retail Wheeling</t>
  </si>
  <si>
    <t>Special Contracts</t>
  </si>
  <si>
    <t>Lighting</t>
  </si>
  <si>
    <t>58E &amp; 59E - LED</t>
  </si>
  <si>
    <t>58E &amp; 59E - Horizontal Metal Halide</t>
  </si>
  <si>
    <t>58E &amp; 59E - Directional Metal Halide</t>
  </si>
  <si>
    <t>58E &amp; 59E - Horizontal Sodium Vapor</t>
  </si>
  <si>
    <t>58E &amp; 59E - Directional Sodium Vapor</t>
  </si>
  <si>
    <t>per W charge</t>
  </si>
  <si>
    <t>55E &amp; 56E - LED</t>
  </si>
  <si>
    <t>55E &amp; 56E - Metal Halide</t>
  </si>
  <si>
    <t>55E &amp; 56E - Sodium Vapor</t>
  </si>
  <si>
    <t>Sch 55 &amp; Sch 56</t>
  </si>
  <si>
    <t>54E - LED</t>
  </si>
  <si>
    <t>54E - Sodium Vapor</t>
  </si>
  <si>
    <t>Sch 54</t>
  </si>
  <si>
    <t>per kWh</t>
  </si>
  <si>
    <t>53S - Smart LED</t>
  </si>
  <si>
    <t>53E - LED</t>
  </si>
  <si>
    <t>53E - Metal Halide</t>
  </si>
  <si>
    <t>53E - Sodium Vapor</t>
  </si>
  <si>
    <t>Sch 53</t>
  </si>
  <si>
    <t>52E  - Metal Halide</t>
  </si>
  <si>
    <t>52E  - Sodium Vapor</t>
  </si>
  <si>
    <t>Sch 52</t>
  </si>
  <si>
    <t>51S - Smart LED</t>
  </si>
  <si>
    <t>51E - LED</t>
  </si>
  <si>
    <t>Sch 51</t>
  </si>
  <si>
    <t>50E - Mercury Vapor</t>
  </si>
  <si>
    <t>003 - Compact Flourescent</t>
  </si>
  <si>
    <t>Sch 50</t>
  </si>
  <si>
    <t>Tariff Reference</t>
  </si>
  <si>
    <t>Wattage</t>
  </si>
  <si>
    <t>Schedule &amp; Charge Type</t>
  </si>
  <si>
    <t>Street Lighting Rates</t>
  </si>
  <si>
    <t>Note [2]: Utilizes lamp inventory from February 2024</t>
  </si>
  <si>
    <t>Note [1]: Utilizes the allocation factor as approved in the Lighting COS Model from the 2022 GRC (Docket No. UE-220066).</t>
  </si>
  <si>
    <t>Scaling Factor [SF]</t>
  </si>
  <si>
    <t>Variance</t>
  </si>
  <si>
    <t>Lighting Allocation of Revenue Requirement</t>
  </si>
  <si>
    <t>Proposed Lighting Revenue</t>
  </si>
  <si>
    <t>53S</t>
  </si>
  <si>
    <t>51S</t>
  </si>
  <si>
    <t>g = e * f</t>
  </si>
  <si>
    <t>e</t>
  </si>
  <si>
    <t>Proposed Lamp Revenue</t>
  </si>
  <si>
    <r>
      <t>Lamp Inventory (Annualized)</t>
    </r>
    <r>
      <rPr>
        <b/>
        <vertAlign val="superscript"/>
        <sz val="8"/>
        <rFont val="Arial"/>
        <family val="2"/>
      </rPr>
      <t xml:space="preserve"> [2]</t>
    </r>
  </si>
  <si>
    <t>Proposed Lamp Charge</t>
  </si>
  <si>
    <r>
      <t>Combined Energy &amp; Demand Allocation</t>
    </r>
    <r>
      <rPr>
        <b/>
        <vertAlign val="superscript"/>
        <sz val="8"/>
        <rFont val="Arial"/>
        <family val="2"/>
      </rPr>
      <t xml:space="preserve"> [1]</t>
    </r>
  </si>
  <si>
    <t>Lamp Level Rate Design</t>
  </si>
  <si>
    <t>Sheet No. 129D-C</t>
  </si>
  <si>
    <t>Sheet No. 129D-D</t>
  </si>
  <si>
    <t>Sheet No. 129D-E</t>
  </si>
  <si>
    <t>Sheet No. 129D-F</t>
  </si>
  <si>
    <t>Sheet No. 129D-G</t>
  </si>
  <si>
    <t>Sheet No. 129D-H</t>
  </si>
  <si>
    <t>Residential Bill Impacts</t>
  </si>
  <si>
    <t>Typical Residential Bill at 800 kWh</t>
  </si>
  <si>
    <t>Basic Charge</t>
  </si>
  <si>
    <t>First 600 kWh</t>
  </si>
  <si>
    <t>Over 600 kWh</t>
  </si>
  <si>
    <t>Pass-Thru Trackers</t>
  </si>
  <si>
    <t>Current Bill</t>
  </si>
  <si>
    <t>Current</t>
  </si>
  <si>
    <t>Proposed</t>
  </si>
  <si>
    <t>Schedule 129D Bill Discount Rider Rate</t>
  </si>
  <si>
    <t>Proposed Rate</t>
  </si>
  <si>
    <t>Total Projected Revenue
 @ Current Rates</t>
  </si>
  <si>
    <t>Total Projected Revenue
@ Proposed Rates</t>
  </si>
  <si>
    <t>Projected Rate-Year
Revenue Impacts
from Proposed Rate Changes</t>
  </si>
  <si>
    <t>e = a * (c - b) + d</t>
  </si>
  <si>
    <t>f = e - d</t>
  </si>
  <si>
    <t>g = f / d</t>
  </si>
  <si>
    <t xml:space="preserve">Note (1): Rate for Street Lighting (Sch. 03, 50-59) displayed in energy determinates (kWh). Proposed Lighting tariff rates are detailed on the "Lighting Rates" tab.
</t>
  </si>
  <si>
    <t>Current Rate (2)</t>
  </si>
  <si>
    <t>Note (2): Rate includes funding in UE-230692</t>
  </si>
  <si>
    <t>check</t>
  </si>
  <si>
    <t>7 (307) (317) (327)</t>
  </si>
  <si>
    <t>08 (24) (324)</t>
  </si>
  <si>
    <t>12 (26) (26P)</t>
  </si>
  <si>
    <t>10 (31)</t>
  </si>
  <si>
    <t>448 - 459</t>
  </si>
  <si>
    <t>Special Contract</t>
  </si>
  <si>
    <t>50 - 59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</si>
</sst>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_(* #,##0_);_(* \(#,##0\);_(* &quot;-&quot;??_);_(@_)"/>
    <numFmt numFmtId="168" formatCode="0.000%"/>
    <numFmt numFmtId="169" formatCode="0.0000\ \¢"/>
    <numFmt numFmtId="170" formatCode="_(* #,##0.000000_);_(* \(#,##0.000000\);_(* &quot;-&quot;??_);_(@_)"/>
    <numFmt numFmtId="171" formatCode="mm/dd/yy;@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sz val="12"/>
      <name val="Times New Roman"/>
      <family val="1"/>
    </font>
    <font>
      <b/>
      <sz val="8"/>
      <color rgb="FF008080"/>
      <name val="Arial"/>
      <family val="2"/>
    </font>
    <font>
      <b/>
      <i/>
      <u/>
      <sz val="8"/>
      <name val="Arial"/>
      <family val="2"/>
    </font>
    <font>
      <b/>
      <sz val="8"/>
      <color rgb="FF0033CC"/>
      <name val="Arial"/>
      <family val="2"/>
    </font>
    <font>
      <sz val="8"/>
      <color rgb="FF0033CC"/>
      <name val="Arial"/>
      <family val="2"/>
    </font>
    <font>
      <sz val="8"/>
      <color theme="0" tint="-0.499984740745262"/>
      <name val="Arial"/>
      <family val="2"/>
    </font>
    <font>
      <u/>
      <sz val="8"/>
      <color theme="0" tint="-0.499984740745262"/>
      <name val="Arial"/>
      <family val="2"/>
    </font>
    <font>
      <u/>
      <sz val="8"/>
      <name val="Arial"/>
      <family val="2"/>
    </font>
    <font>
      <b/>
      <i/>
      <u/>
      <sz val="8"/>
      <color rgb="FFFF0000"/>
      <name val="Arial"/>
      <family val="2"/>
    </font>
    <font>
      <sz val="10"/>
      <name val="Arial"/>
      <family val="2"/>
    </font>
    <font>
      <b/>
      <u val="singleAccounting"/>
      <sz val="8"/>
      <name val="Arial"/>
      <family val="2"/>
    </font>
    <font>
      <b/>
      <sz val="8"/>
      <color theme="1"/>
      <name val="Arial"/>
      <family val="2"/>
    </font>
    <font>
      <u val="singleAccounting"/>
      <sz val="8"/>
      <color rgb="FF0033CC"/>
      <name val="Arial"/>
      <family val="2"/>
    </font>
    <font>
      <u val="singleAccounting"/>
      <sz val="8"/>
      <color rgb="FF008080"/>
      <name val="Arial"/>
      <family val="2"/>
    </font>
    <font>
      <u val="singleAccounting"/>
      <sz val="8"/>
      <name val="Arial"/>
      <family val="2"/>
    </font>
    <font>
      <b/>
      <vertAlign val="superscript"/>
      <sz val="8"/>
      <name val="Arial"/>
      <family val="2"/>
    </font>
    <font>
      <b/>
      <sz val="8"/>
      <color rgb="FFFF0000"/>
      <name val="Arial"/>
      <family val="2"/>
    </font>
    <font>
      <b/>
      <u val="singleAccounting"/>
      <sz val="8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9" fontId="28" fillId="0" borderId="0" applyFont="0" applyFill="0" applyBorder="0" applyAlignment="0" applyProtection="0"/>
  </cellStyleXfs>
  <cellXfs count="252">
    <xf numFmtId="0" fontId="0" fillId="0" borderId="0" xfId="0"/>
    <xf numFmtId="168" fontId="5" fillId="0" borderId="1" xfId="4" applyNumberFormat="1" applyFont="1" applyFill="1" applyBorder="1"/>
    <xf numFmtId="164" fontId="2" fillId="0" borderId="0" xfId="6" applyNumberFormat="1" applyFont="1" applyFill="1" applyBorder="1"/>
    <xf numFmtId="164" fontId="2" fillId="0" borderId="4" xfId="6" applyNumberFormat="1" applyFont="1" applyFill="1" applyBorder="1"/>
    <xf numFmtId="167" fontId="2" fillId="0" borderId="4" xfId="12" applyNumberFormat="1" applyFont="1" applyFill="1" applyBorder="1"/>
    <xf numFmtId="0" fontId="5" fillId="0" borderId="5" xfId="0" quotePrefix="1" applyFont="1" applyFill="1" applyBorder="1" applyAlignment="1">
      <alignment horizontal="center" wrapText="1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5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164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0" fontId="2" fillId="0" borderId="0" xfId="0" quotePrefix="1" applyFont="1" applyFill="1" applyAlignment="1">
      <alignment horizontal="left"/>
    </xf>
    <xf numFmtId="164" fontId="2" fillId="0" borderId="4" xfId="0" applyNumberFormat="1" applyFont="1" applyFill="1" applyBorder="1"/>
    <xf numFmtId="164" fontId="2" fillId="0" borderId="6" xfId="0" applyNumberFormat="1" applyFont="1" applyFill="1" applyBorder="1"/>
    <xf numFmtId="0" fontId="9" fillId="0" borderId="0" xfId="0" applyFont="1" applyFill="1"/>
    <xf numFmtId="164" fontId="9" fillId="0" borderId="0" xfId="0" applyNumberFormat="1" applyFont="1" applyFill="1"/>
    <xf numFmtId="0" fontId="11" fillId="0" borderId="0" xfId="0" applyFont="1" applyFill="1"/>
    <xf numFmtId="0" fontId="5" fillId="0" borderId="10" xfId="0" applyFont="1" applyFill="1" applyBorder="1"/>
    <xf numFmtId="167" fontId="5" fillId="0" borderId="0" xfId="0" applyNumberFormat="1" applyFont="1" applyFill="1"/>
    <xf numFmtId="0" fontId="5" fillId="0" borderId="11" xfId="0" applyFont="1" applyFill="1" applyBorder="1"/>
    <xf numFmtId="0" fontId="5" fillId="0" borderId="1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167" fontId="5" fillId="0" borderId="3" xfId="0" applyNumberFormat="1" applyFont="1" applyFill="1" applyBorder="1" applyAlignment="1">
      <alignment horizontal="center" wrapText="1"/>
    </xf>
    <xf numFmtId="167" fontId="5" fillId="0" borderId="3" xfId="0" quotePrefix="1" applyNumberFormat="1" applyFont="1" applyFill="1" applyBorder="1" applyAlignment="1">
      <alignment horizontal="center" wrapText="1"/>
    </xf>
    <xf numFmtId="0" fontId="5" fillId="0" borderId="3" xfId="0" quotePrefix="1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67" fontId="2" fillId="0" borderId="3" xfId="0" applyNumberFormat="1" applyFont="1" applyFill="1" applyBorder="1" applyAlignment="1">
      <alignment horizontal="center" wrapText="1"/>
    </xf>
    <xf numFmtId="0" fontId="2" fillId="0" borderId="3" xfId="0" quotePrefix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0" xfId="0" applyFont="1" applyFill="1" applyBorder="1"/>
    <xf numFmtId="167" fontId="2" fillId="0" borderId="0" xfId="0" applyNumberFormat="1" applyFont="1" applyFill="1"/>
    <xf numFmtId="0" fontId="2" fillId="0" borderId="11" xfId="0" applyFont="1" applyFill="1" applyBorder="1"/>
    <xf numFmtId="0" fontId="2" fillId="0" borderId="10" xfId="0" applyFont="1" applyFill="1" applyBorder="1" applyAlignment="1">
      <alignment horizontal="center"/>
    </xf>
    <xf numFmtId="167" fontId="8" fillId="0" borderId="0" xfId="0" applyNumberFormat="1" applyFont="1" applyFill="1"/>
    <xf numFmtId="164" fontId="8" fillId="0" borderId="0" xfId="0" applyNumberFormat="1" applyFont="1" applyFill="1"/>
    <xf numFmtId="166" fontId="2" fillId="0" borderId="0" xfId="0" applyNumberFormat="1" applyFont="1" applyFill="1"/>
    <xf numFmtId="168" fontId="2" fillId="0" borderId="11" xfId="0" applyNumberFormat="1" applyFont="1" applyFill="1" applyBorder="1"/>
    <xf numFmtId="169" fontId="2" fillId="0" borderId="0" xfId="0" applyNumberFormat="1" applyFont="1" applyFill="1"/>
    <xf numFmtId="167" fontId="2" fillId="0" borderId="6" xfId="0" applyNumberFormat="1" applyFont="1" applyFill="1" applyBorder="1"/>
    <xf numFmtId="166" fontId="2" fillId="0" borderId="6" xfId="0" applyNumberFormat="1" applyFont="1" applyFill="1" applyBorder="1"/>
    <xf numFmtId="168" fontId="2" fillId="0" borderId="17" xfId="0" applyNumberFormat="1" applyFont="1" applyFill="1" applyBorder="1"/>
    <xf numFmtId="168" fontId="2" fillId="0" borderId="11" xfId="0" applyNumberFormat="1" applyFont="1" applyFill="1" applyBorder="1" applyAlignment="1">
      <alignment horizontal="right"/>
    </xf>
    <xf numFmtId="166" fontId="2" fillId="0" borderId="4" xfId="0" applyNumberFormat="1" applyFont="1" applyFill="1" applyBorder="1"/>
    <xf numFmtId="168" fontId="2" fillId="0" borderId="16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67" fontId="2" fillId="0" borderId="3" xfId="0" applyNumberFormat="1" applyFont="1" applyFill="1" applyBorder="1"/>
    <xf numFmtId="164" fontId="2" fillId="0" borderId="3" xfId="0" applyNumberFormat="1" applyFont="1" applyFill="1" applyBorder="1"/>
    <xf numFmtId="0" fontId="2" fillId="0" borderId="13" xfId="0" applyFont="1" applyFill="1" applyBorder="1"/>
    <xf numFmtId="167" fontId="2" fillId="0" borderId="4" xfId="0" applyNumberFormat="1" applyFont="1" applyFill="1" applyBorder="1"/>
    <xf numFmtId="0" fontId="12" fillId="0" borderId="0" xfId="0" applyFont="1" applyFill="1"/>
    <xf numFmtId="0" fontId="5" fillId="0" borderId="14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67" fontId="5" fillId="0" borderId="1" xfId="0" applyNumberFormat="1" applyFont="1" applyFill="1" applyBorder="1"/>
    <xf numFmtId="0" fontId="5" fillId="0" borderId="1" xfId="0" applyFont="1" applyFill="1" applyBorder="1"/>
    <xf numFmtId="167" fontId="2" fillId="0" borderId="1" xfId="0" applyNumberFormat="1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0" xfId="0" applyFont="1" applyFill="1" applyAlignment="1">
      <alignment wrapText="1"/>
    </xf>
    <xf numFmtId="0" fontId="5" fillId="0" borderId="10" xfId="0" applyFont="1" applyFill="1" applyBorder="1" applyAlignment="1">
      <alignment horizontal="centerContinuous"/>
    </xf>
    <xf numFmtId="167" fontId="5" fillId="0" borderId="0" xfId="0" applyNumberFormat="1" applyFont="1" applyFill="1" applyAlignment="1">
      <alignment horizontal="centerContinuous"/>
    </xf>
    <xf numFmtId="166" fontId="8" fillId="0" borderId="0" xfId="0" applyNumberFormat="1" applyFont="1" applyFill="1"/>
    <xf numFmtId="169" fontId="8" fillId="0" borderId="0" xfId="0" applyNumberFormat="1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18" fillId="0" borderId="0" xfId="0" applyFont="1" applyFill="1"/>
    <xf numFmtId="0" fontId="2" fillId="0" borderId="0" xfId="0" quotePrefix="1" applyFont="1" applyFill="1" applyAlignment="1">
      <alignment horizontal="left" vertical="top" wrapText="1"/>
    </xf>
    <xf numFmtId="0" fontId="5" fillId="0" borderId="0" xfId="10" applyFont="1" applyFill="1" applyAlignment="1">
      <alignment horizontal="centerContinuous" vertical="center"/>
    </xf>
    <xf numFmtId="0" fontId="2" fillId="0" borderId="0" xfId="13" applyFont="1" applyFill="1"/>
    <xf numFmtId="0" fontId="2" fillId="0" borderId="0" xfId="13" applyFont="1" applyFill="1" applyAlignment="1">
      <alignment horizontal="center"/>
    </xf>
    <xf numFmtId="170" fontId="22" fillId="0" borderId="0" xfId="13" applyNumberFormat="1" applyFont="1" applyFill="1" applyAlignment="1">
      <alignment horizontal="center"/>
    </xf>
    <xf numFmtId="44" fontId="2" fillId="0" borderId="0" xfId="13" applyNumberFormat="1" applyFont="1" applyFill="1" applyAlignment="1">
      <alignment horizontal="right" vertical="center"/>
    </xf>
    <xf numFmtId="164" fontId="2" fillId="0" borderId="0" xfId="13" applyNumberFormat="1" applyFont="1" applyFill="1"/>
    <xf numFmtId="0" fontId="2" fillId="0" borderId="0" xfId="13" applyFont="1" applyFill="1" applyAlignment="1">
      <alignment horizontal="right" vertical="center"/>
    </xf>
    <xf numFmtId="164" fontId="9" fillId="0" borderId="0" xfId="13" applyNumberFormat="1" applyFont="1" applyFill="1"/>
    <xf numFmtId="44" fontId="9" fillId="0" borderId="0" xfId="13" applyNumberFormat="1" applyFont="1" applyFill="1" applyAlignment="1">
      <alignment horizontal="right"/>
    </xf>
    <xf numFmtId="44" fontId="24" fillId="0" borderId="0" xfId="13" applyNumberFormat="1" applyFont="1" applyFill="1" applyAlignment="1">
      <alignment horizontal="right"/>
    </xf>
    <xf numFmtId="0" fontId="2" fillId="0" borderId="0" xfId="13" applyFont="1" applyFill="1" applyAlignment="1">
      <alignment horizontal="centerContinuous" vertical="center"/>
    </xf>
    <xf numFmtId="44" fontId="2" fillId="0" borderId="0" xfId="13" applyNumberFormat="1" applyFont="1" applyFill="1" applyAlignment="1">
      <alignment horizontal="right"/>
    </xf>
    <xf numFmtId="41" fontId="9" fillId="0" borderId="0" xfId="13" applyNumberFormat="1" applyFont="1" applyFill="1"/>
    <xf numFmtId="0" fontId="9" fillId="0" borderId="0" xfId="13" applyFont="1" applyFill="1"/>
    <xf numFmtId="41" fontId="2" fillId="0" borderId="0" xfId="13" applyNumberFormat="1" applyFont="1" applyFill="1"/>
    <xf numFmtId="44" fontId="9" fillId="0" borderId="0" xfId="13" applyNumberFormat="1" applyFont="1" applyFill="1"/>
    <xf numFmtId="41" fontId="14" fillId="0" borderId="0" xfId="13" applyNumberFormat="1" applyFont="1" applyFill="1"/>
    <xf numFmtId="44" fontId="2" fillId="0" borderId="0" xfId="13" applyNumberFormat="1" applyFont="1" applyFill="1"/>
    <xf numFmtId="44" fontId="8" fillId="0" borderId="0" xfId="13" applyNumberFormat="1" applyFont="1" applyFill="1"/>
    <xf numFmtId="167" fontId="2" fillId="0" borderId="0" xfId="13" applyNumberFormat="1" applyFont="1" applyFill="1" applyAlignment="1">
      <alignment horizontal="right" vertical="center"/>
    </xf>
    <xf numFmtId="167" fontId="2" fillId="0" borderId="0" xfId="13" applyNumberFormat="1" applyFont="1" applyFill="1"/>
    <xf numFmtId="0" fontId="2" fillId="0" borderId="0" xfId="13" applyFont="1" applyFill="1" applyAlignment="1">
      <alignment horizontal="left" indent="1"/>
    </xf>
    <xf numFmtId="41" fontId="8" fillId="0" borderId="0" xfId="13" applyNumberFormat="1" applyFont="1" applyFill="1"/>
    <xf numFmtId="167" fontId="2" fillId="0" borderId="0" xfId="13" quotePrefix="1" applyNumberFormat="1" applyFont="1" applyFill="1" applyAlignment="1">
      <alignment horizontal="right" vertical="center"/>
    </xf>
    <xf numFmtId="0" fontId="2" fillId="0" borderId="0" xfId="13" quotePrefix="1" applyFont="1" applyFill="1" applyAlignment="1">
      <alignment horizontal="left" indent="1"/>
    </xf>
    <xf numFmtId="44" fontId="20" fillId="0" borderId="0" xfId="13" applyNumberFormat="1" applyFont="1" applyFill="1"/>
    <xf numFmtId="165" fontId="2" fillId="0" borderId="0" xfId="13" applyNumberFormat="1" applyFont="1" applyFill="1"/>
    <xf numFmtId="165" fontId="8" fillId="0" borderId="0" xfId="13" applyNumberFormat="1" applyFont="1" applyFill="1"/>
    <xf numFmtId="167" fontId="14" fillId="0" borderId="0" xfId="13" applyNumberFormat="1" applyFont="1" applyFill="1" applyAlignment="1">
      <alignment horizontal="right" vertical="center"/>
    </xf>
    <xf numFmtId="166" fontId="8" fillId="0" borderId="0" xfId="13" applyNumberFormat="1" applyFont="1" applyFill="1"/>
    <xf numFmtId="167" fontId="2" fillId="0" borderId="0" xfId="13" applyNumberFormat="1" applyFont="1" applyFill="1" applyAlignment="1">
      <alignment vertical="center"/>
    </xf>
    <xf numFmtId="0" fontId="2" fillId="0" borderId="0" xfId="13" applyFont="1" applyFill="1" applyAlignment="1">
      <alignment horizontal="left"/>
    </xf>
    <xf numFmtId="0" fontId="2" fillId="0" borderId="0" xfId="13" quotePrefix="1" applyFont="1" applyFill="1" applyAlignment="1">
      <alignment horizontal="right" vertical="center" wrapText="1"/>
    </xf>
    <xf numFmtId="0" fontId="2" fillId="0" borderId="0" xfId="13" quotePrefix="1" applyFont="1" applyFill="1" applyAlignment="1">
      <alignment horizontal="center"/>
    </xf>
    <xf numFmtId="0" fontId="2" fillId="0" borderId="0" xfId="13" applyFont="1" applyFill="1" applyAlignment="1">
      <alignment horizontal="center" wrapText="1"/>
    </xf>
    <xf numFmtId="0" fontId="2" fillId="0" borderId="0" xfId="13" quotePrefix="1" applyFont="1" applyFill="1" applyAlignment="1">
      <alignment horizontal="left"/>
    </xf>
    <xf numFmtId="0" fontId="2" fillId="0" borderId="0" xfId="13" quotePrefix="1" applyFont="1" applyFill="1" applyAlignment="1">
      <alignment horizontal="center" vertical="center" wrapText="1"/>
    </xf>
    <xf numFmtId="0" fontId="2" fillId="0" borderId="0" xfId="13" applyFont="1" applyFill="1" applyAlignment="1">
      <alignment vertical="center"/>
    </xf>
    <xf numFmtId="0" fontId="2" fillId="0" borderId="0" xfId="13" applyFont="1" applyFill="1" applyAlignment="1">
      <alignment horizontal="center" vertical="center"/>
    </xf>
    <xf numFmtId="0" fontId="2" fillId="0" borderId="6" xfId="13" quotePrefix="1" applyFont="1" applyFill="1" applyBorder="1" applyAlignment="1">
      <alignment horizontal="center" vertical="center"/>
    </xf>
    <xf numFmtId="0" fontId="2" fillId="0" borderId="6" xfId="13" applyFont="1" applyFill="1" applyBorder="1" applyAlignment="1">
      <alignment horizontal="center" vertical="center"/>
    </xf>
    <xf numFmtId="0" fontId="2" fillId="0" borderId="6" xfId="13" applyFont="1" applyFill="1" applyBorder="1" applyAlignment="1">
      <alignment horizontal="center"/>
    </xf>
    <xf numFmtId="0" fontId="5" fillId="0" borderId="0" xfId="13" applyFont="1" applyFill="1" applyAlignment="1">
      <alignment horizontal="center"/>
    </xf>
    <xf numFmtId="0" fontId="5" fillId="0" borderId="5" xfId="13" quotePrefix="1" applyFont="1" applyFill="1" applyBorder="1" applyAlignment="1">
      <alignment horizontal="center" wrapText="1"/>
    </xf>
    <xf numFmtId="0" fontId="5" fillId="0" borderId="5" xfId="13" applyFont="1" applyFill="1" applyBorder="1" applyAlignment="1">
      <alignment horizontal="center" wrapText="1"/>
    </xf>
    <xf numFmtId="0" fontId="5" fillId="0" borderId="0" xfId="13" applyFont="1" applyFill="1"/>
    <xf numFmtId="0" fontId="5" fillId="0" borderId="0" xfId="13" applyFont="1" applyFill="1" applyAlignment="1">
      <alignment horizontal="centerContinuous" vertical="center"/>
    </xf>
    <xf numFmtId="0" fontId="13" fillId="0" borderId="0" xfId="13" applyFont="1" applyFill="1" applyAlignment="1">
      <alignment horizontal="centerContinuous" vertical="center"/>
    </xf>
    <xf numFmtId="0" fontId="0" fillId="0" borderId="0" xfId="0" applyFill="1" applyAlignment="1">
      <alignment wrapText="1"/>
    </xf>
    <xf numFmtId="14" fontId="6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26" fillId="0" borderId="0" xfId="0" applyFont="1" applyFill="1"/>
    <xf numFmtId="44" fontId="9" fillId="0" borderId="0" xfId="0" applyNumberFormat="1" applyFont="1" applyFill="1"/>
    <xf numFmtId="167" fontId="5" fillId="0" borderId="5" xfId="0" quotePrefix="1" applyNumberFormat="1" applyFont="1" applyFill="1" applyBorder="1" applyAlignment="1">
      <alignment horizontal="centerContinuous" wrapText="1"/>
    </xf>
    <xf numFmtId="167" fontId="2" fillId="0" borderId="2" xfId="0" quotePrefix="1" applyNumberFormat="1" applyFont="1" applyFill="1" applyBorder="1" applyAlignment="1">
      <alignment horizontal="centerContinuous" wrapText="1"/>
    </xf>
    <xf numFmtId="167" fontId="2" fillId="0" borderId="2" xfId="0" applyNumberFormat="1" applyFont="1" applyFill="1" applyBorder="1" applyAlignment="1">
      <alignment horizontal="center" wrapText="1"/>
    </xf>
    <xf numFmtId="10" fontId="2" fillId="0" borderId="0" xfId="14" applyNumberFormat="1" applyFont="1" applyFill="1"/>
    <xf numFmtId="167" fontId="8" fillId="0" borderId="2" xfId="0" applyNumberFormat="1" applyFont="1" applyFill="1" applyBorder="1"/>
    <xf numFmtId="166" fontId="8" fillId="0" borderId="2" xfId="0" applyNumberFormat="1" applyFont="1" applyFill="1" applyBorder="1"/>
    <xf numFmtId="164" fontId="8" fillId="0" borderId="2" xfId="0" applyNumberFormat="1" applyFont="1" applyFill="1" applyBorder="1"/>
    <xf numFmtId="164" fontId="2" fillId="0" borderId="2" xfId="0" applyNumberFormat="1" applyFont="1" applyFill="1" applyBorder="1"/>
    <xf numFmtId="10" fontId="2" fillId="0" borderId="2" xfId="14" applyNumberFormat="1" applyFont="1" applyFill="1" applyBorder="1"/>
    <xf numFmtId="167" fontId="2" fillId="0" borderId="2" xfId="0" applyNumberFormat="1" applyFont="1" applyFill="1" applyBorder="1"/>
    <xf numFmtId="169" fontId="2" fillId="0" borderId="2" xfId="0" applyNumberFormat="1" applyFont="1" applyFill="1" applyBorder="1"/>
    <xf numFmtId="166" fontId="2" fillId="0" borderId="2" xfId="0" applyNumberFormat="1" applyFont="1" applyFill="1" applyBorder="1"/>
    <xf numFmtId="164" fontId="2" fillId="0" borderId="2" xfId="1" applyNumberFormat="1" applyFont="1" applyFill="1" applyBorder="1"/>
    <xf numFmtId="0" fontId="5" fillId="0" borderId="1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44" fontId="2" fillId="0" borderId="0" xfId="1" applyFont="1" applyFill="1"/>
    <xf numFmtId="0" fontId="2" fillId="0" borderId="0" xfId="0" applyFont="1" applyFill="1" applyBorder="1" applyAlignment="1">
      <alignment horizontal="left"/>
    </xf>
    <xf numFmtId="167" fontId="2" fillId="0" borderId="0" xfId="0" applyNumberFormat="1" applyFont="1" applyFill="1" applyBorder="1"/>
    <xf numFmtId="0" fontId="2" fillId="0" borderId="0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64" fontId="2" fillId="0" borderId="4" xfId="1" applyNumberFormat="1" applyFont="1" applyFill="1" applyBorder="1"/>
    <xf numFmtId="10" fontId="2" fillId="0" borderId="4" xfId="14" applyNumberFormat="1" applyFont="1" applyFill="1" applyBorder="1"/>
    <xf numFmtId="167" fontId="9" fillId="0" borderId="0" xfId="0" applyNumberFormat="1" applyFont="1" applyFill="1" applyBorder="1"/>
    <xf numFmtId="164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Continuous"/>
    </xf>
    <xf numFmtId="0" fontId="5" fillId="0" borderId="2" xfId="0" applyFont="1" applyFill="1" applyBorder="1" applyAlignment="1">
      <alignment horizontal="center" wrapText="1"/>
    </xf>
    <xf numFmtId="14" fontId="8" fillId="0" borderId="2" xfId="0" quotePrefix="1" applyNumberFormat="1" applyFont="1" applyFill="1" applyBorder="1" applyAlignment="1">
      <alignment horizontal="center" wrapText="1"/>
    </xf>
    <xf numFmtId="0" fontId="2" fillId="0" borderId="2" xfId="0" quotePrefix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 wrapText="1"/>
    </xf>
    <xf numFmtId="0" fontId="17" fillId="0" borderId="0" xfId="0" applyFont="1" applyFill="1" applyAlignment="1">
      <alignment horizontal="left" wrapText="1"/>
    </xf>
    <xf numFmtId="0" fontId="2" fillId="0" borderId="0" xfId="0" quotePrefix="1" applyFont="1" applyFill="1" applyAlignment="1">
      <alignment horizontal="center" wrapText="1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/>
    </xf>
    <xf numFmtId="166" fontId="8" fillId="0" borderId="0" xfId="0" applyNumberFormat="1" applyFont="1" applyFill="1" applyBorder="1"/>
    <xf numFmtId="0" fontId="7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 applyAlignment="1">
      <alignment horizontal="left"/>
    </xf>
    <xf numFmtId="166" fontId="15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15" fillId="0" borderId="0" xfId="0" quotePrefix="1" applyFont="1" applyFill="1" applyAlignment="1">
      <alignment horizontal="left"/>
    </xf>
    <xf numFmtId="166" fontId="15" fillId="0" borderId="4" xfId="0" applyNumberFormat="1" applyFont="1" applyFill="1" applyBorder="1"/>
    <xf numFmtId="0" fontId="16" fillId="0" borderId="0" xfId="0" applyFont="1" applyFill="1" applyAlignment="1">
      <alignment horizontal="left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44" fontId="15" fillId="0" borderId="2" xfId="0" applyNumberFormat="1" applyFont="1" applyFill="1" applyBorder="1"/>
    <xf numFmtId="44" fontId="15" fillId="0" borderId="0" xfId="0" applyNumberFormat="1" applyFont="1" applyFill="1"/>
    <xf numFmtId="0" fontId="2" fillId="0" borderId="0" xfId="0" applyFont="1" applyFill="1" applyAlignment="1">
      <alignment horizontal="left" vertical="center" indent="1"/>
    </xf>
    <xf numFmtId="0" fontId="15" fillId="0" borderId="0" xfId="0" quotePrefix="1" applyFont="1" applyFill="1" applyAlignment="1">
      <alignment horizontal="center"/>
    </xf>
    <xf numFmtId="0" fontId="2" fillId="0" borderId="0" xfId="10" applyFont="1" applyFill="1" applyAlignment="1">
      <alignment horizontal="centerContinuous" vertical="center"/>
    </xf>
    <xf numFmtId="0" fontId="2" fillId="0" borderId="0" xfId="10" applyFont="1" applyFill="1"/>
    <xf numFmtId="0" fontId="6" fillId="0" borderId="0" xfId="10" applyFont="1" applyFill="1" applyAlignment="1">
      <alignment horizontal="centerContinuous" vertical="center"/>
    </xf>
    <xf numFmtId="0" fontId="7" fillId="0" borderId="0" xfId="10" applyFont="1" applyFill="1" applyAlignment="1">
      <alignment horizontal="centerContinuous" vertical="center"/>
    </xf>
    <xf numFmtId="0" fontId="5" fillId="0" borderId="5" xfId="10" applyFont="1" applyFill="1" applyBorder="1" applyAlignment="1">
      <alignment horizontal="center" wrapText="1"/>
    </xf>
    <xf numFmtId="0" fontId="5" fillId="0" borderId="5" xfId="10" applyFont="1" applyFill="1" applyBorder="1" applyAlignment="1">
      <alignment horizontal="center"/>
    </xf>
    <xf numFmtId="0" fontId="5" fillId="0" borderId="5" xfId="10" applyFont="1" applyFill="1" applyBorder="1" applyAlignment="1">
      <alignment horizontal="centerContinuous" wrapText="1"/>
    </xf>
    <xf numFmtId="0" fontId="21" fillId="0" borderId="5" xfId="10" quotePrefix="1" applyFont="1" applyFill="1" applyBorder="1" applyAlignment="1">
      <alignment horizontal="center" wrapText="1"/>
    </xf>
    <xf numFmtId="0" fontId="2" fillId="0" borderId="0" xfId="10" applyFont="1" applyFill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wrapText="1"/>
    </xf>
    <xf numFmtId="44" fontId="20" fillId="0" borderId="0" xfId="10" applyNumberFormat="1" applyFont="1" applyFill="1"/>
    <xf numFmtId="167" fontId="2" fillId="0" borderId="0" xfId="10" applyNumberFormat="1" applyFont="1" applyFill="1"/>
    <xf numFmtId="0" fontId="2" fillId="0" borderId="0" xfId="10" applyFont="1" applyFill="1" applyAlignment="1">
      <alignment horizontal="center"/>
    </xf>
    <xf numFmtId="0" fontId="2" fillId="0" borderId="0" xfId="10" quotePrefix="1" applyFont="1" applyFill="1" applyAlignment="1">
      <alignment horizontal="left"/>
    </xf>
    <xf numFmtId="167" fontId="2" fillId="0" borderId="0" xfId="10" applyNumberFormat="1" applyFont="1" applyFill="1" applyAlignment="1">
      <alignment horizontal="center"/>
    </xf>
    <xf numFmtId="44" fontId="8" fillId="0" borderId="0" xfId="10" applyNumberFormat="1" applyFont="1" applyFill="1"/>
    <xf numFmtId="0" fontId="14" fillId="0" borderId="0" xfId="10" quotePrefix="1" applyFont="1" applyFill="1" applyAlignment="1">
      <alignment horizontal="center"/>
    </xf>
    <xf numFmtId="0" fontId="2" fillId="0" borderId="0" xfId="10" quotePrefix="1" applyFont="1" applyFill="1" applyAlignment="1">
      <alignment horizontal="center" wrapText="1"/>
    </xf>
    <xf numFmtId="0" fontId="14" fillId="0" borderId="0" xfId="10" applyFont="1" applyFill="1" applyAlignment="1">
      <alignment horizontal="center"/>
    </xf>
    <xf numFmtId="0" fontId="2" fillId="0" borderId="0" xfId="10" quotePrefix="1" applyFont="1" applyFill="1" applyAlignment="1">
      <alignment horizontal="center"/>
    </xf>
    <xf numFmtId="0" fontId="2" fillId="0" borderId="0" xfId="10" applyFont="1" applyFill="1" applyAlignment="1">
      <alignment horizontal="left"/>
    </xf>
    <xf numFmtId="167" fontId="2" fillId="0" borderId="0" xfId="10" quotePrefix="1" applyNumberFormat="1" applyFont="1" applyFill="1" applyAlignment="1">
      <alignment horizontal="center"/>
    </xf>
    <xf numFmtId="166" fontId="8" fillId="0" borderId="0" xfId="10" applyNumberFormat="1" applyFont="1" applyFill="1"/>
    <xf numFmtId="167" fontId="2" fillId="0" borderId="0" xfId="10" applyNumberFormat="1" applyFont="1" applyFill="1" applyAlignment="1">
      <alignment horizontal="left"/>
    </xf>
    <xf numFmtId="165" fontId="8" fillId="0" borderId="0" xfId="10" applyNumberFormat="1" applyFont="1" applyFill="1"/>
    <xf numFmtId="0" fontId="2" fillId="0" borderId="0" xfId="10" applyFont="1" applyFill="1" applyAlignment="1">
      <alignment vertical="top"/>
    </xf>
    <xf numFmtId="167" fontId="5" fillId="0" borderId="5" xfId="0" quotePrefix="1" applyNumberFormat="1" applyFont="1" applyFill="1" applyBorder="1" applyAlignment="1">
      <alignment horizontal="center" wrapText="1"/>
    </xf>
    <xf numFmtId="167" fontId="2" fillId="0" borderId="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Continuous" wrapText="1"/>
    </xf>
    <xf numFmtId="0" fontId="2" fillId="0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 indent="1"/>
    </xf>
    <xf numFmtId="0" fontId="8" fillId="0" borderId="0" xfId="0" applyFont="1" applyFill="1" applyAlignment="1">
      <alignment horizontal="left" indent="1"/>
    </xf>
    <xf numFmtId="0" fontId="9" fillId="0" borderId="0" xfId="13" applyFont="1" applyFill="1" applyBorder="1" applyAlignment="1">
      <alignment horizontal="center" vertical="center"/>
    </xf>
    <xf numFmtId="44" fontId="20" fillId="0" borderId="0" xfId="13" quotePrefix="1" applyNumberFormat="1" applyFont="1" applyFill="1" applyAlignment="1">
      <alignment horizontal="centerContinuous" vertical="center"/>
    </xf>
    <xf numFmtId="44" fontId="20" fillId="0" borderId="0" xfId="13" quotePrefix="1" applyNumberFormat="1" applyFont="1" applyFill="1" applyAlignment="1">
      <alignment horizontal="center" vertical="center"/>
    </xf>
    <xf numFmtId="44" fontId="20" fillId="0" borderId="0" xfId="13" quotePrefix="1" applyNumberFormat="1" applyFont="1" applyFill="1" applyAlignment="1">
      <alignment horizontal="centerContinuous"/>
    </xf>
    <xf numFmtId="44" fontId="27" fillId="0" borderId="0" xfId="13" applyNumberFormat="1" applyFont="1" applyFill="1" applyAlignment="1">
      <alignment horizontal="centerContinuous"/>
    </xf>
    <xf numFmtId="44" fontId="20" fillId="0" borderId="0" xfId="13" applyNumberFormat="1" applyFont="1" applyFill="1" applyAlignment="1">
      <alignment horizontal="center" wrapText="1"/>
    </xf>
    <xf numFmtId="44" fontId="27" fillId="0" borderId="0" xfId="13" applyNumberFormat="1" applyFont="1" applyFill="1" applyAlignment="1">
      <alignment horizontal="center"/>
    </xf>
    <xf numFmtId="44" fontId="8" fillId="0" borderId="0" xfId="13" applyNumberFormat="1" applyFont="1" applyFill="1" applyAlignment="1">
      <alignment horizontal="center" vertical="center"/>
    </xf>
    <xf numFmtId="10" fontId="9" fillId="0" borderId="0" xfId="13" applyNumberFormat="1" applyFont="1" applyFill="1"/>
    <xf numFmtId="44" fontId="2" fillId="0" borderId="0" xfId="13" applyNumberFormat="1" applyFont="1" applyFill="1" applyAlignment="1">
      <alignment horizontal="center" vertical="center"/>
    </xf>
    <xf numFmtId="0" fontId="2" fillId="0" borderId="0" xfId="13" quotePrefix="1" applyFont="1" applyFill="1"/>
    <xf numFmtId="10" fontId="2" fillId="0" borderId="0" xfId="13" quotePrefix="1" applyNumberFormat="1" applyFont="1" applyFill="1"/>
    <xf numFmtId="0" fontId="9" fillId="0" borderId="0" xfId="13" quotePrefix="1" applyFont="1" applyFill="1"/>
    <xf numFmtId="0" fontId="11" fillId="0" borderId="7" xfId="0" applyFont="1" applyFill="1" applyBorder="1" applyAlignment="1">
      <alignment horizontal="centerContinuous"/>
    </xf>
    <xf numFmtId="0" fontId="11" fillId="0" borderId="8" xfId="0" applyFont="1" applyFill="1" applyBorder="1" applyAlignment="1">
      <alignment horizontal="centerContinuous"/>
    </xf>
    <xf numFmtId="167" fontId="11" fillId="0" borderId="8" xfId="0" applyNumberFormat="1" applyFont="1" applyFill="1" applyBorder="1" applyAlignment="1">
      <alignment horizontal="centerContinuous"/>
    </xf>
    <xf numFmtId="0" fontId="11" fillId="0" borderId="9" xfId="0" applyFont="1" applyFill="1" applyBorder="1" applyAlignment="1">
      <alignment horizontal="centerContinuous"/>
    </xf>
    <xf numFmtId="0" fontId="11" fillId="0" borderId="10" xfId="0" applyFont="1" applyFill="1" applyBorder="1" applyAlignment="1">
      <alignment horizontal="centerContinuous"/>
    </xf>
    <xf numFmtId="167" fontId="11" fillId="0" borderId="0" xfId="0" applyNumberFormat="1" applyFont="1" applyFill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8" fillId="0" borderId="0" xfId="0" quotePrefix="1" applyFont="1" applyFill="1" applyAlignment="1">
      <alignment horizontal="left"/>
    </xf>
    <xf numFmtId="41" fontId="23" fillId="0" borderId="0" xfId="13" applyNumberFormat="1" applyFont="1" applyFill="1"/>
    <xf numFmtId="171" fontId="6" fillId="0" borderId="0" xfId="0" quotePrefix="1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44" fontId="21" fillId="0" borderId="5" xfId="13" quotePrefix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quotePrefix="1" applyFont="1" applyFill="1" applyBorder="1" applyAlignment="1">
      <alignment horizontal="center" wrapText="1"/>
    </xf>
    <xf numFmtId="0" fontId="2" fillId="0" borderId="0" xfId="0" quotePrefix="1" applyFont="1" applyFill="1" applyAlignment="1">
      <alignment horizontal="left" vertical="top" wrapText="1"/>
    </xf>
    <xf numFmtId="0" fontId="2" fillId="0" borderId="0" xfId="13" applyFont="1" applyFill="1" applyAlignment="1">
      <alignment horizontal="left" vertical="center" wrapText="1"/>
    </xf>
  </cellXfs>
  <cellStyles count="15">
    <cellStyle name="Comma 10" xfId="12"/>
    <cellStyle name="Comma 3" xfId="3"/>
    <cellStyle name="Currency" xfId="1" builtinId="4"/>
    <cellStyle name="Currency 10 2" xfId="6"/>
    <cellStyle name="Currency 2" xfId="5"/>
    <cellStyle name="Currency 2 12" xfId="7"/>
    <cellStyle name="Normal" xfId="0" builtinId="0"/>
    <cellStyle name="Normal 2 10" xfId="10"/>
    <cellStyle name="Normal 4" xfId="2"/>
    <cellStyle name="Normal 5" xfId="13"/>
    <cellStyle name="Normal 510" xfId="11"/>
    <cellStyle name="Percent" xfId="14" builtinId="5"/>
    <cellStyle name="Percent 2" xfId="4"/>
    <cellStyle name="Percent 2 3 3" xfId="8"/>
    <cellStyle name="Percent 3" xfId="9"/>
  </cellStyles>
  <dxfs count="0"/>
  <tableStyles count="0" defaultTableStyle="TableStyleMedium9" defaultPivotStyle="PivotStyleLight16"/>
  <colors>
    <mruColors>
      <color rgb="FF0000FF"/>
      <color rgb="FF00808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workbookViewId="0">
      <selection activeCell="A9" sqref="A9"/>
    </sheetView>
  </sheetViews>
  <sheetFormatPr defaultColWidth="6.42578125" defaultRowHeight="11.25" x14ac:dyDescent="0.2"/>
  <cols>
    <col min="1" max="1" width="6.140625" style="12" bestFit="1" customWidth="1"/>
    <col min="2" max="2" width="45.7109375" style="12" bestFit="1" customWidth="1"/>
    <col min="3" max="3" width="14.42578125" style="12" bestFit="1" customWidth="1"/>
    <col min="4" max="4" width="13.5703125" style="12" customWidth="1"/>
    <col min="5" max="5" width="14.5703125" style="12" customWidth="1"/>
    <col min="6" max="6" width="16.5703125" style="12" bestFit="1" customWidth="1"/>
    <col min="7" max="16384" width="6.42578125" style="12"/>
  </cols>
  <sheetData>
    <row r="1" spans="1:6" x14ac:dyDescent="0.2">
      <c r="A1" s="6" t="s">
        <v>92</v>
      </c>
      <c r="B1" s="6"/>
      <c r="C1" s="6"/>
      <c r="D1" s="6"/>
      <c r="E1" s="6"/>
    </row>
    <row r="2" spans="1:6" x14ac:dyDescent="0.2">
      <c r="A2" s="160" t="s">
        <v>173</v>
      </c>
      <c r="B2" s="160"/>
      <c r="C2" s="160"/>
      <c r="D2" s="160"/>
      <c r="E2" s="160"/>
    </row>
    <row r="3" spans="1:6" x14ac:dyDescent="0.2">
      <c r="A3" s="160" t="s">
        <v>93</v>
      </c>
      <c r="B3" s="6"/>
      <c r="C3" s="160"/>
      <c r="D3" s="160"/>
      <c r="E3" s="160"/>
      <c r="F3" s="11"/>
    </row>
    <row r="4" spans="1:6" s="11" customFormat="1" x14ac:dyDescent="0.2">
      <c r="A4" s="160" t="str">
        <f>"Effective "&amp;TEXT(Inputs!B1,"mmmm d, yyyy")&amp;" - "&amp;TEXT(Inputs!B2,"mmmm d, yyyy")</f>
        <v>Effective January 1, 2025 - December 31, 2025</v>
      </c>
      <c r="B4" s="6"/>
      <c r="C4" s="160"/>
      <c r="D4" s="160"/>
      <c r="E4" s="160"/>
    </row>
    <row r="5" spans="1:6" x14ac:dyDescent="0.2">
      <c r="A5" s="15"/>
      <c r="B5" s="15"/>
      <c r="C5" s="10"/>
      <c r="D5" s="10"/>
      <c r="E5" s="10"/>
    </row>
    <row r="6" spans="1:6" ht="13.5" customHeight="1" x14ac:dyDescent="0.2">
      <c r="A6" s="15"/>
      <c r="B6" s="15"/>
      <c r="C6" s="10"/>
      <c r="D6" s="10"/>
      <c r="E6" s="10"/>
    </row>
    <row r="7" spans="1:6" s="7" customFormat="1" ht="22.5" x14ac:dyDescent="0.2">
      <c r="A7" s="145" t="s">
        <v>1</v>
      </c>
      <c r="B7" s="145" t="s">
        <v>20</v>
      </c>
      <c r="C7" s="145" t="s">
        <v>91</v>
      </c>
      <c r="D7" s="5" t="s">
        <v>90</v>
      </c>
      <c r="E7" s="5" t="s">
        <v>89</v>
      </c>
      <c r="F7" s="145" t="s">
        <v>94</v>
      </c>
    </row>
    <row r="8" spans="1:6" s="7" customFormat="1" x14ac:dyDescent="0.2">
      <c r="A8" s="161"/>
      <c r="B8" s="161"/>
      <c r="C8" s="161"/>
      <c r="D8" s="162">
        <f>Inputs!B3</f>
        <v>45200</v>
      </c>
      <c r="E8" s="162" t="str">
        <f>Inputs!B1</f>
        <v>01/01/2025</v>
      </c>
      <c r="F8" s="163"/>
    </row>
    <row r="9" spans="1:6" s="7" customFormat="1" x14ac:dyDescent="0.2">
      <c r="A9" s="164"/>
      <c r="B9" s="147" t="s">
        <v>88</v>
      </c>
      <c r="C9" s="165" t="s">
        <v>87</v>
      </c>
      <c r="D9" s="165" t="s">
        <v>86</v>
      </c>
      <c r="E9" s="165" t="s">
        <v>85</v>
      </c>
      <c r="F9" s="165" t="s">
        <v>84</v>
      </c>
    </row>
    <row r="10" spans="1:6" s="7" customFormat="1" x14ac:dyDescent="0.2">
      <c r="A10" s="10">
        <v>1</v>
      </c>
      <c r="B10" s="166" t="s">
        <v>66</v>
      </c>
      <c r="C10" s="166"/>
      <c r="D10" s="167"/>
      <c r="E10" s="167"/>
    </row>
    <row r="11" spans="1:6" x14ac:dyDescent="0.2">
      <c r="A11" s="73">
        <f t="shared" ref="A11:A42" si="0">+A10+1</f>
        <v>2</v>
      </c>
      <c r="B11" s="168" t="s">
        <v>99</v>
      </c>
      <c r="C11" s="74" t="s">
        <v>185</v>
      </c>
      <c r="D11" s="136">
        <f>'Rate Impacts'!E8</f>
        <v>6.0700000000000001E-4</v>
      </c>
      <c r="E11" s="136">
        <f>'Rate Impacts'!F8</f>
        <v>7.7700000000000002E-4</v>
      </c>
      <c r="F11" s="169" t="s">
        <v>95</v>
      </c>
    </row>
    <row r="12" spans="1:6" x14ac:dyDescent="0.2">
      <c r="A12" s="73">
        <f t="shared" si="0"/>
        <v>3</v>
      </c>
      <c r="B12" s="168"/>
      <c r="C12" s="74"/>
      <c r="D12" s="70"/>
      <c r="E12" s="70"/>
    </row>
    <row r="13" spans="1:6" x14ac:dyDescent="0.2">
      <c r="A13" s="73">
        <f t="shared" si="0"/>
        <v>4</v>
      </c>
      <c r="B13" s="168" t="s">
        <v>83</v>
      </c>
      <c r="C13" s="74"/>
      <c r="D13" s="70"/>
      <c r="E13" s="70"/>
    </row>
    <row r="14" spans="1:6" x14ac:dyDescent="0.2">
      <c r="A14" s="73">
        <f t="shared" si="0"/>
        <v>5</v>
      </c>
      <c r="B14" s="168" t="s">
        <v>100</v>
      </c>
      <c r="C14" s="74" t="s">
        <v>186</v>
      </c>
      <c r="D14" s="170">
        <f>'Rate Impacts'!E10</f>
        <v>5.5900000000000004E-4</v>
      </c>
      <c r="E14" s="170">
        <f>'Rate Impacts'!F10</f>
        <v>7.3200000000000001E-4</v>
      </c>
      <c r="F14" s="10" t="str">
        <f>$F$11</f>
        <v>Sheet No. 129D-A</v>
      </c>
    </row>
    <row r="15" spans="1:6" x14ac:dyDescent="0.2">
      <c r="A15" s="73">
        <f t="shared" si="0"/>
        <v>6</v>
      </c>
      <c r="B15" s="168" t="s">
        <v>101</v>
      </c>
      <c r="C15" s="171" t="s">
        <v>82</v>
      </c>
      <c r="D15" s="170">
        <f>'Rate Impacts'!E11</f>
        <v>5.1999999999999995E-4</v>
      </c>
      <c r="E15" s="170">
        <f>'Rate Impacts'!F11</f>
        <v>6.69E-4</v>
      </c>
      <c r="F15" s="10" t="str">
        <f>$F$11</f>
        <v>Sheet No. 129D-A</v>
      </c>
    </row>
    <row r="16" spans="1:6" x14ac:dyDescent="0.2">
      <c r="A16" s="73">
        <f t="shared" si="0"/>
        <v>7</v>
      </c>
      <c r="B16" s="168" t="s">
        <v>102</v>
      </c>
      <c r="C16" s="74" t="s">
        <v>187</v>
      </c>
      <c r="D16" s="170">
        <f>'Rate Impacts'!E12</f>
        <v>4.7800000000000002E-4</v>
      </c>
      <c r="E16" s="170">
        <f>'Rate Impacts'!F12</f>
        <v>6.1600000000000001E-4</v>
      </c>
      <c r="F16" s="10" t="str">
        <f>$F$11</f>
        <v>Sheet No. 129D-A</v>
      </c>
    </row>
    <row r="17" spans="1:6" x14ac:dyDescent="0.2">
      <c r="A17" s="73">
        <f t="shared" si="0"/>
        <v>8</v>
      </c>
      <c r="B17" s="168" t="s">
        <v>103</v>
      </c>
      <c r="C17" s="74">
        <v>29</v>
      </c>
      <c r="D17" s="170">
        <f>'Rate Impacts'!E13</f>
        <v>4.9100000000000001E-4</v>
      </c>
      <c r="E17" s="170">
        <f>'Rate Impacts'!F13</f>
        <v>6.2500000000000001E-4</v>
      </c>
      <c r="F17" s="10" t="str">
        <f>$F$11</f>
        <v>Sheet No. 129D-A</v>
      </c>
    </row>
    <row r="18" spans="1:6" x14ac:dyDescent="0.2">
      <c r="A18" s="73">
        <f t="shared" si="0"/>
        <v>9</v>
      </c>
      <c r="B18" s="172" t="s">
        <v>21</v>
      </c>
      <c r="C18" s="75"/>
      <c r="D18" s="136"/>
      <c r="E18" s="136"/>
    </row>
    <row r="19" spans="1:6" x14ac:dyDescent="0.2">
      <c r="A19" s="73">
        <f t="shared" si="0"/>
        <v>10</v>
      </c>
      <c r="B19" s="172"/>
      <c r="C19" s="75"/>
      <c r="D19" s="70"/>
      <c r="E19" s="70"/>
    </row>
    <row r="20" spans="1:6" x14ac:dyDescent="0.2">
      <c r="A20" s="73">
        <f t="shared" si="0"/>
        <v>11</v>
      </c>
      <c r="B20" s="168" t="s">
        <v>81</v>
      </c>
      <c r="C20" s="74"/>
      <c r="D20" s="70"/>
      <c r="E20" s="70"/>
    </row>
    <row r="21" spans="1:6" x14ac:dyDescent="0.2">
      <c r="A21" s="73">
        <f t="shared" si="0"/>
        <v>12</v>
      </c>
      <c r="B21" s="168" t="s">
        <v>104</v>
      </c>
      <c r="C21" s="74" t="s">
        <v>188</v>
      </c>
      <c r="D21" s="170">
        <f>'Rate Impacts'!E16</f>
        <v>4.6799999999999999E-4</v>
      </c>
      <c r="E21" s="170">
        <f>'Rate Impacts'!F16</f>
        <v>6.0800000000000003E-4</v>
      </c>
      <c r="F21" s="10" t="str">
        <f>$F$11</f>
        <v>Sheet No. 129D-A</v>
      </c>
    </row>
    <row r="22" spans="1:6" x14ac:dyDescent="0.2">
      <c r="A22" s="73">
        <f t="shared" si="0"/>
        <v>13</v>
      </c>
      <c r="B22" s="168" t="s">
        <v>105</v>
      </c>
      <c r="C22" s="74">
        <v>35</v>
      </c>
      <c r="D22" s="170">
        <f>'Rate Impacts'!E17</f>
        <v>3.88E-4</v>
      </c>
      <c r="E22" s="170">
        <f>'Rate Impacts'!F17</f>
        <v>4.5899999999999999E-4</v>
      </c>
      <c r="F22" s="10" t="str">
        <f>$F$11</f>
        <v>Sheet No. 129D-A</v>
      </c>
    </row>
    <row r="23" spans="1:6" x14ac:dyDescent="0.2">
      <c r="A23" s="73">
        <f t="shared" si="0"/>
        <v>14</v>
      </c>
      <c r="B23" s="168" t="s">
        <v>106</v>
      </c>
      <c r="C23" s="74">
        <v>43</v>
      </c>
      <c r="D23" s="170">
        <f>'Rate Impacts'!E18</f>
        <v>4.7899999999999999E-4</v>
      </c>
      <c r="E23" s="170">
        <f>'Rate Impacts'!F18</f>
        <v>6.4899999999999995E-4</v>
      </c>
      <c r="F23" s="10" t="str">
        <f>$F$11</f>
        <v>Sheet No. 129D-A</v>
      </c>
    </row>
    <row r="24" spans="1:6" x14ac:dyDescent="0.2">
      <c r="A24" s="73">
        <f t="shared" si="0"/>
        <v>15</v>
      </c>
      <c r="B24" s="172" t="s">
        <v>22</v>
      </c>
      <c r="C24" s="75"/>
      <c r="D24" s="136"/>
      <c r="E24" s="136"/>
    </row>
    <row r="25" spans="1:6" x14ac:dyDescent="0.2">
      <c r="A25" s="73">
        <f t="shared" si="0"/>
        <v>16</v>
      </c>
      <c r="B25" s="172"/>
      <c r="C25" s="75"/>
      <c r="D25" s="70"/>
      <c r="E25" s="70"/>
    </row>
    <row r="26" spans="1:6" x14ac:dyDescent="0.2">
      <c r="A26" s="73">
        <f t="shared" si="0"/>
        <v>17</v>
      </c>
      <c r="B26" s="168" t="s">
        <v>80</v>
      </c>
      <c r="C26" s="74"/>
      <c r="D26" s="70"/>
      <c r="E26" s="70"/>
    </row>
    <row r="27" spans="1:6" x14ac:dyDescent="0.2">
      <c r="A27" s="73">
        <f t="shared" si="0"/>
        <v>18</v>
      </c>
      <c r="B27" s="168" t="s">
        <v>107</v>
      </c>
      <c r="C27" s="74">
        <v>46</v>
      </c>
      <c r="D27" s="170">
        <f>'Rate Impacts'!E21</f>
        <v>3.4499999999999998E-4</v>
      </c>
      <c r="E27" s="170">
        <f>'Rate Impacts'!F21</f>
        <v>4.6799999999999999E-4</v>
      </c>
      <c r="F27" s="10" t="str">
        <f>$F$11</f>
        <v>Sheet No. 129D-A</v>
      </c>
    </row>
    <row r="28" spans="1:6" x14ac:dyDescent="0.2">
      <c r="A28" s="73">
        <f t="shared" si="0"/>
        <v>19</v>
      </c>
      <c r="B28" s="168" t="s">
        <v>104</v>
      </c>
      <c r="C28" s="74">
        <v>49</v>
      </c>
      <c r="D28" s="170">
        <f>'Rate Impacts'!E22</f>
        <v>3.5599999999999998E-4</v>
      </c>
      <c r="E28" s="170">
        <f>'Rate Impacts'!F22</f>
        <v>4.75E-4</v>
      </c>
      <c r="F28" s="169" t="s">
        <v>96</v>
      </c>
    </row>
    <row r="29" spans="1:6" x14ac:dyDescent="0.2">
      <c r="A29" s="73">
        <f t="shared" si="0"/>
        <v>20</v>
      </c>
      <c r="B29" s="173" t="s">
        <v>23</v>
      </c>
      <c r="C29" s="75"/>
      <c r="D29" s="136"/>
      <c r="E29" s="136"/>
    </row>
    <row r="30" spans="1:6" x14ac:dyDescent="0.2">
      <c r="A30" s="73">
        <f t="shared" si="0"/>
        <v>21</v>
      </c>
      <c r="B30" s="168"/>
      <c r="C30" s="74"/>
      <c r="D30" s="70"/>
      <c r="E30" s="70"/>
    </row>
    <row r="31" spans="1:6" x14ac:dyDescent="0.2">
      <c r="A31" s="73">
        <f t="shared" si="0"/>
        <v>22</v>
      </c>
      <c r="B31" s="168" t="s">
        <v>108</v>
      </c>
      <c r="C31" s="74" t="s">
        <v>189</v>
      </c>
      <c r="D31" s="170">
        <f>'Rate Impacts'!E27</f>
        <v>2.3E-5</v>
      </c>
      <c r="E31" s="170">
        <f>'Rate Impacts'!F27</f>
        <v>3.4999999999999997E-5</v>
      </c>
      <c r="F31" s="10" t="str">
        <f>$F$28</f>
        <v>Sheet No. 129D-B</v>
      </c>
    </row>
    <row r="32" spans="1:6" x14ac:dyDescent="0.2">
      <c r="A32" s="73">
        <f t="shared" si="0"/>
        <v>23</v>
      </c>
      <c r="B32" s="168" t="s">
        <v>109</v>
      </c>
      <c r="C32" s="74" t="s">
        <v>190</v>
      </c>
      <c r="D32" s="70">
        <f>'Rate Impacts'!E29</f>
        <v>6.4999999999999994E-5</v>
      </c>
      <c r="E32" s="70">
        <f>'Rate Impacts'!F29</f>
        <v>7.8999999999999996E-5</v>
      </c>
      <c r="F32" s="10" t="str">
        <f>$F$28</f>
        <v>Sheet No. 129D-B</v>
      </c>
    </row>
    <row r="33" spans="1:6" x14ac:dyDescent="0.2">
      <c r="A33" s="73">
        <f t="shared" si="0"/>
        <v>24</v>
      </c>
      <c r="B33" s="168" t="s">
        <v>110</v>
      </c>
      <c r="C33" s="74" t="s">
        <v>191</v>
      </c>
      <c r="D33" s="174">
        <f>'Rate Impacts'!E25</f>
        <v>1.477E-3</v>
      </c>
      <c r="E33" s="174">
        <f>'Rate Impacts'!F25</f>
        <v>1.825E-3</v>
      </c>
      <c r="F33" s="169" t="s">
        <v>79</v>
      </c>
    </row>
    <row r="34" spans="1:6" x14ac:dyDescent="0.2">
      <c r="A34" s="73">
        <f t="shared" si="0"/>
        <v>25</v>
      </c>
      <c r="B34" s="175"/>
      <c r="C34" s="74"/>
      <c r="D34" s="70"/>
      <c r="E34" s="70"/>
    </row>
    <row r="35" spans="1:6" x14ac:dyDescent="0.2">
      <c r="A35" s="73">
        <f t="shared" si="0"/>
        <v>26</v>
      </c>
      <c r="B35" s="13" t="s">
        <v>59</v>
      </c>
      <c r="C35" s="75"/>
      <c r="D35" s="136"/>
      <c r="E35" s="136"/>
    </row>
    <row r="36" spans="1:6" x14ac:dyDescent="0.2">
      <c r="A36" s="73">
        <f t="shared" si="0"/>
        <v>27</v>
      </c>
      <c r="B36" s="175"/>
      <c r="C36" s="74"/>
      <c r="D36" s="70"/>
      <c r="E36" s="70"/>
    </row>
    <row r="37" spans="1:6" x14ac:dyDescent="0.2">
      <c r="A37" s="73">
        <f t="shared" si="0"/>
        <v>28</v>
      </c>
      <c r="B37" s="175" t="s">
        <v>11</v>
      </c>
      <c r="C37" s="74">
        <v>5</v>
      </c>
      <c r="D37" s="174" t="s">
        <v>78</v>
      </c>
      <c r="E37" s="174" t="s">
        <v>78</v>
      </c>
    </row>
    <row r="38" spans="1:6" x14ac:dyDescent="0.2">
      <c r="A38" s="73">
        <f t="shared" si="0"/>
        <v>29</v>
      </c>
      <c r="B38" s="175"/>
      <c r="C38" s="176"/>
      <c r="D38" s="174"/>
      <c r="E38" s="174"/>
    </row>
    <row r="39" spans="1:6" ht="12" thickBot="1" x14ac:dyDescent="0.25">
      <c r="A39" s="73">
        <f t="shared" si="0"/>
        <v>30</v>
      </c>
      <c r="B39" s="13" t="s">
        <v>12</v>
      </c>
      <c r="C39" s="177"/>
      <c r="D39" s="178"/>
      <c r="E39" s="178"/>
    </row>
    <row r="40" spans="1:6" ht="12" thickTop="1" x14ac:dyDescent="0.2">
      <c r="A40" s="73">
        <f t="shared" si="0"/>
        <v>31</v>
      </c>
      <c r="B40" s="10"/>
      <c r="C40" s="176"/>
      <c r="D40" s="174"/>
      <c r="E40" s="174"/>
    </row>
    <row r="41" spans="1:6" x14ac:dyDescent="0.2">
      <c r="A41" s="73">
        <f t="shared" si="0"/>
        <v>32</v>
      </c>
      <c r="B41" s="10"/>
      <c r="C41" s="176"/>
      <c r="D41" s="174"/>
      <c r="E41" s="174"/>
    </row>
    <row r="42" spans="1:6" x14ac:dyDescent="0.2">
      <c r="A42" s="73">
        <f t="shared" si="0"/>
        <v>33</v>
      </c>
      <c r="B42" s="166" t="s">
        <v>77</v>
      </c>
      <c r="C42" s="179"/>
      <c r="D42" s="180"/>
      <c r="E42" s="180"/>
    </row>
    <row r="43" spans="1:6" x14ac:dyDescent="0.2">
      <c r="A43" s="73">
        <f t="shared" ref="A43:A71" si="1">+A42+1</f>
        <v>34</v>
      </c>
      <c r="B43" s="175" t="str">
        <f>B11</f>
        <v>Residential</v>
      </c>
      <c r="C43" s="181" t="str">
        <f>C11</f>
        <v>7 (307) (317) (327)</v>
      </c>
      <c r="D43" s="182"/>
      <c r="E43" s="182"/>
    </row>
    <row r="44" spans="1:6" x14ac:dyDescent="0.2">
      <c r="A44" s="73">
        <f t="shared" si="1"/>
        <v>35</v>
      </c>
      <c r="B44" s="175"/>
      <c r="C44" s="181"/>
      <c r="D44" s="183"/>
      <c r="E44" s="183"/>
    </row>
    <row r="45" spans="1:6" x14ac:dyDescent="0.2">
      <c r="A45" s="73">
        <f t="shared" si="1"/>
        <v>36</v>
      </c>
      <c r="B45" s="175" t="str">
        <f t="shared" ref="B45:B50" si="2">B13</f>
        <v>Secondary Voltage:</v>
      </c>
      <c r="C45" s="181"/>
      <c r="D45" s="183"/>
      <c r="E45" s="183"/>
    </row>
    <row r="46" spans="1:6" x14ac:dyDescent="0.2">
      <c r="A46" s="73">
        <f t="shared" si="1"/>
        <v>37</v>
      </c>
      <c r="B46" s="184" t="str">
        <f t="shared" si="2"/>
        <v>General Service: Demand &lt;= 50 kW</v>
      </c>
      <c r="C46" s="181" t="str">
        <f>C14</f>
        <v>08 (24) (324)</v>
      </c>
      <c r="D46" s="183"/>
      <c r="E46" s="183"/>
    </row>
    <row r="47" spans="1:6" x14ac:dyDescent="0.2">
      <c r="A47" s="73">
        <f t="shared" si="1"/>
        <v>38</v>
      </c>
      <c r="B47" s="184" t="str">
        <f t="shared" si="2"/>
        <v>Small General Service: Demand &gt; 50 kW but &lt;= 350 kW</v>
      </c>
      <c r="C47" s="181" t="str">
        <f>C15</f>
        <v>7A (11) (25)</v>
      </c>
      <c r="D47" s="183"/>
      <c r="E47" s="183"/>
    </row>
    <row r="48" spans="1:6" x14ac:dyDescent="0.2">
      <c r="A48" s="73">
        <f t="shared" si="1"/>
        <v>39</v>
      </c>
      <c r="B48" s="184" t="str">
        <f t="shared" si="2"/>
        <v>Large General Service: Demand &gt; 350 kW</v>
      </c>
      <c r="C48" s="181" t="str">
        <f>C16</f>
        <v>12 (26) (26P)</v>
      </c>
      <c r="D48" s="183"/>
      <c r="E48" s="183"/>
    </row>
    <row r="49" spans="1:5" x14ac:dyDescent="0.2">
      <c r="A49" s="73">
        <f t="shared" si="1"/>
        <v>40</v>
      </c>
      <c r="B49" s="184" t="str">
        <f t="shared" si="2"/>
        <v>Irrigation &amp; Pumping Service: Demand &gt; 50 kW but &lt;= 350 kW</v>
      </c>
      <c r="C49" s="181">
        <f>C17</f>
        <v>29</v>
      </c>
      <c r="D49" s="183"/>
      <c r="E49" s="183"/>
    </row>
    <row r="50" spans="1:5" x14ac:dyDescent="0.2">
      <c r="A50" s="73">
        <f t="shared" si="1"/>
        <v>41</v>
      </c>
      <c r="B50" s="16" t="str">
        <f t="shared" si="2"/>
        <v>Total Secondary Voltage</v>
      </c>
      <c r="C50" s="185"/>
      <c r="D50" s="182"/>
      <c r="E50" s="182"/>
    </row>
    <row r="51" spans="1:5" x14ac:dyDescent="0.2">
      <c r="A51" s="73">
        <f t="shared" si="1"/>
        <v>42</v>
      </c>
      <c r="B51" s="16"/>
      <c r="C51" s="185"/>
      <c r="D51" s="183"/>
      <c r="E51" s="183"/>
    </row>
    <row r="52" spans="1:5" x14ac:dyDescent="0.2">
      <c r="A52" s="73">
        <f t="shared" si="1"/>
        <v>43</v>
      </c>
      <c r="B52" s="175" t="str">
        <f>B20</f>
        <v>Primary Voltage:</v>
      </c>
      <c r="C52" s="181"/>
      <c r="D52" s="183"/>
      <c r="E52" s="183"/>
    </row>
    <row r="53" spans="1:5" x14ac:dyDescent="0.2">
      <c r="A53" s="73">
        <f t="shared" si="1"/>
        <v>44</v>
      </c>
      <c r="B53" s="184" t="str">
        <f>B21</f>
        <v>General Service</v>
      </c>
      <c r="C53" s="181" t="str">
        <f>C21</f>
        <v>10 (31)</v>
      </c>
      <c r="D53" s="183"/>
      <c r="E53" s="183"/>
    </row>
    <row r="54" spans="1:5" x14ac:dyDescent="0.2">
      <c r="A54" s="73">
        <f t="shared" si="1"/>
        <v>45</v>
      </c>
      <c r="B54" s="184" t="str">
        <f>B22</f>
        <v>Irrigation &amp; Pumping Service</v>
      </c>
      <c r="C54" s="181">
        <f>C22</f>
        <v>35</v>
      </c>
      <c r="D54" s="183"/>
      <c r="E54" s="183"/>
    </row>
    <row r="55" spans="1:5" x14ac:dyDescent="0.2">
      <c r="A55" s="73">
        <f t="shared" si="1"/>
        <v>46</v>
      </c>
      <c r="B55" s="184" t="str">
        <f>B23</f>
        <v>All Electric Schools</v>
      </c>
      <c r="C55" s="181">
        <f>C23</f>
        <v>43</v>
      </c>
      <c r="D55" s="183"/>
      <c r="E55" s="183"/>
    </row>
    <row r="56" spans="1:5" x14ac:dyDescent="0.2">
      <c r="A56" s="73">
        <f t="shared" si="1"/>
        <v>47</v>
      </c>
      <c r="B56" s="16" t="str">
        <f>B24</f>
        <v>Total Primary Voltage</v>
      </c>
      <c r="C56" s="185"/>
      <c r="D56" s="182"/>
      <c r="E56" s="182"/>
    </row>
    <row r="57" spans="1:5" x14ac:dyDescent="0.2">
      <c r="A57" s="73">
        <f t="shared" si="1"/>
        <v>48</v>
      </c>
      <c r="B57" s="16"/>
      <c r="C57" s="185"/>
      <c r="D57" s="183"/>
      <c r="E57" s="183"/>
    </row>
    <row r="58" spans="1:5" x14ac:dyDescent="0.2">
      <c r="A58" s="73">
        <f t="shared" si="1"/>
        <v>49</v>
      </c>
      <c r="B58" s="175" t="str">
        <f>B26</f>
        <v>High Voltage:</v>
      </c>
      <c r="C58" s="181"/>
      <c r="D58" s="183"/>
      <c r="E58" s="183"/>
    </row>
    <row r="59" spans="1:5" x14ac:dyDescent="0.2">
      <c r="A59" s="73">
        <f t="shared" si="1"/>
        <v>50</v>
      </c>
      <c r="B59" s="184" t="str">
        <f>B27</f>
        <v>Interruptible Service</v>
      </c>
      <c r="C59" s="181">
        <f>C27</f>
        <v>46</v>
      </c>
      <c r="D59" s="183"/>
      <c r="E59" s="183"/>
    </row>
    <row r="60" spans="1:5" x14ac:dyDescent="0.2">
      <c r="A60" s="73">
        <f t="shared" si="1"/>
        <v>51</v>
      </c>
      <c r="B60" s="184" t="str">
        <f>B28</f>
        <v>General Service</v>
      </c>
      <c r="C60" s="181">
        <f>C28</f>
        <v>49</v>
      </c>
      <c r="D60" s="183"/>
      <c r="E60" s="183"/>
    </row>
    <row r="61" spans="1:5" x14ac:dyDescent="0.2">
      <c r="A61" s="73">
        <f t="shared" si="1"/>
        <v>52</v>
      </c>
      <c r="B61" s="13" t="str">
        <f>B29</f>
        <v>Total High Voltage</v>
      </c>
      <c r="C61" s="185"/>
      <c r="D61" s="182"/>
      <c r="E61" s="182"/>
    </row>
    <row r="62" spans="1:5" x14ac:dyDescent="0.2">
      <c r="A62" s="73">
        <f t="shared" si="1"/>
        <v>53</v>
      </c>
      <c r="B62" s="175"/>
      <c r="C62" s="181"/>
      <c r="D62" s="183"/>
      <c r="E62" s="183"/>
    </row>
    <row r="63" spans="1:5" x14ac:dyDescent="0.2">
      <c r="A63" s="73">
        <f t="shared" si="1"/>
        <v>54</v>
      </c>
      <c r="B63" s="16" t="str">
        <f t="shared" ref="B63:C65" si="3">B31</f>
        <v>Choice / Retail Wheeling</v>
      </c>
      <c r="C63" s="181" t="str">
        <f t="shared" si="3"/>
        <v>448 - 459</v>
      </c>
      <c r="D63" s="183"/>
      <c r="E63" s="183"/>
    </row>
    <row r="64" spans="1:5" x14ac:dyDescent="0.2">
      <c r="A64" s="73">
        <f t="shared" si="1"/>
        <v>55</v>
      </c>
      <c r="B64" s="175" t="str">
        <f t="shared" si="3"/>
        <v>Special Contracts</v>
      </c>
      <c r="C64" s="181" t="str">
        <f t="shared" si="3"/>
        <v>Special Contract</v>
      </c>
      <c r="D64" s="183"/>
      <c r="E64" s="183"/>
    </row>
    <row r="65" spans="1:12" x14ac:dyDescent="0.2">
      <c r="A65" s="73">
        <f t="shared" si="1"/>
        <v>56</v>
      </c>
      <c r="B65" s="175" t="str">
        <f t="shared" si="3"/>
        <v>Lighting</v>
      </c>
      <c r="C65" s="181" t="str">
        <f t="shared" si="3"/>
        <v>50 - 59</v>
      </c>
      <c r="D65" s="183"/>
      <c r="E65" s="183"/>
    </row>
    <row r="66" spans="1:12" x14ac:dyDescent="0.2">
      <c r="A66" s="73">
        <f t="shared" si="1"/>
        <v>57</v>
      </c>
      <c r="B66" s="175"/>
      <c r="C66" s="181"/>
      <c r="D66" s="183"/>
      <c r="E66" s="183"/>
    </row>
    <row r="67" spans="1:12" x14ac:dyDescent="0.2">
      <c r="A67" s="73">
        <f t="shared" si="1"/>
        <v>58</v>
      </c>
      <c r="B67" s="13" t="str">
        <f>B35</f>
        <v>Total Retail Sales</v>
      </c>
      <c r="C67" s="185"/>
      <c r="D67" s="182"/>
      <c r="E67" s="182"/>
    </row>
    <row r="68" spans="1:12" x14ac:dyDescent="0.2">
      <c r="A68" s="73">
        <f t="shared" si="1"/>
        <v>59</v>
      </c>
      <c r="B68" s="175"/>
      <c r="C68" s="181"/>
      <c r="D68" s="183"/>
      <c r="E68" s="183"/>
    </row>
    <row r="69" spans="1:12" x14ac:dyDescent="0.2">
      <c r="A69" s="73">
        <f t="shared" si="1"/>
        <v>60</v>
      </c>
      <c r="B69" s="175" t="str">
        <f>B37</f>
        <v>Firm Resale</v>
      </c>
      <c r="C69" s="181">
        <f>C37</f>
        <v>5</v>
      </c>
      <c r="D69" s="183"/>
      <c r="E69" s="183"/>
    </row>
    <row r="70" spans="1:12" x14ac:dyDescent="0.2">
      <c r="A70" s="73">
        <f t="shared" si="1"/>
        <v>61</v>
      </c>
      <c r="B70" s="175"/>
      <c r="C70" s="176"/>
      <c r="D70" s="174"/>
      <c r="E70" s="174"/>
    </row>
    <row r="71" spans="1:12" ht="12" thickBot="1" x14ac:dyDescent="0.25">
      <c r="A71" s="73">
        <f t="shared" si="1"/>
        <v>62</v>
      </c>
      <c r="B71" s="13" t="str">
        <f>B39</f>
        <v>Total Sales</v>
      </c>
      <c r="C71" s="177"/>
      <c r="D71" s="178"/>
      <c r="E71" s="178"/>
    </row>
    <row r="72" spans="1:12" ht="12" thickTop="1" x14ac:dyDescent="0.2">
      <c r="A72" s="73"/>
    </row>
    <row r="73" spans="1:12" x14ac:dyDescent="0.2">
      <c r="A73" s="73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</sheetData>
  <pageMargins left="0.7" right="0.7" top="0.75" bottom="0.75" header="0.3" footer="0.3"/>
  <pageSetup orientation="landscape" r:id="rId1"/>
  <headerFooter>
    <oddHeader>&amp;RElectric Schedule 120 Rate Design Workpapers
Page &amp;P of &amp;N</oddHeader>
    <oddFooter>&amp;L&amp;F
&amp;A&amp;R&amp;D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>
      <selection activeCell="B37" sqref="B37"/>
    </sheetView>
  </sheetViews>
  <sheetFormatPr defaultColWidth="8.85546875" defaultRowHeight="11.25" x14ac:dyDescent="0.2"/>
  <cols>
    <col min="1" max="1" width="6.7109375" style="187" bestFit="1" customWidth="1"/>
    <col min="2" max="2" width="30.5703125" style="187" customWidth="1"/>
    <col min="3" max="3" width="11.5703125" style="187" bestFit="1" customWidth="1"/>
    <col min="4" max="4" width="12.140625" style="187" customWidth="1"/>
    <col min="5" max="5" width="18.28515625" style="187" bestFit="1" customWidth="1"/>
    <col min="6" max="16384" width="8.85546875" style="187"/>
  </cols>
  <sheetData>
    <row r="1" spans="1:6" x14ac:dyDescent="0.2">
      <c r="A1" s="78" t="str">
        <f>'Sch 129D Rates'!A1</f>
        <v>PUGET SOUND ENERGY</v>
      </c>
      <c r="B1" s="78"/>
      <c r="C1" s="78"/>
      <c r="D1" s="186"/>
      <c r="E1" s="78"/>
    </row>
    <row r="2" spans="1:6" x14ac:dyDescent="0.2">
      <c r="A2" s="78" t="str">
        <f>'Sch 129D Rates'!A2</f>
        <v>Schedule 129D Bill Discount Rider Rate</v>
      </c>
      <c r="B2" s="78"/>
      <c r="C2" s="78"/>
      <c r="D2" s="186"/>
      <c r="E2" s="78"/>
    </row>
    <row r="3" spans="1:6" x14ac:dyDescent="0.2">
      <c r="A3" s="78" t="str">
        <f>'Sch 129D Rates'!A4</f>
        <v>Effective January 1, 2025 - December 31, 2025</v>
      </c>
      <c r="B3" s="78"/>
      <c r="C3" s="78"/>
      <c r="D3" s="186"/>
      <c r="E3" s="78"/>
    </row>
    <row r="4" spans="1:6" x14ac:dyDescent="0.2">
      <c r="A4" s="188" t="s">
        <v>142</v>
      </c>
      <c r="B4" s="188"/>
      <c r="C4" s="188"/>
      <c r="D4" s="189"/>
      <c r="E4" s="188"/>
    </row>
    <row r="5" spans="1:6" x14ac:dyDescent="0.2">
      <c r="A5" s="78" t="s">
        <v>19</v>
      </c>
      <c r="B5" s="78"/>
      <c r="C5" s="78"/>
      <c r="D5" s="186"/>
      <c r="E5" s="78"/>
    </row>
    <row r="6" spans="1:6" ht="22.5" x14ac:dyDescent="0.2">
      <c r="A6" s="190" t="s">
        <v>1</v>
      </c>
      <c r="B6" s="191" t="s">
        <v>141</v>
      </c>
      <c r="C6" s="192" t="s">
        <v>140</v>
      </c>
      <c r="D6" s="193" t="s">
        <v>89</v>
      </c>
      <c r="E6" s="190" t="s">
        <v>139</v>
      </c>
    </row>
    <row r="7" spans="1:6" x14ac:dyDescent="0.2">
      <c r="A7" s="194">
        <v>1</v>
      </c>
      <c r="B7" s="147" t="s">
        <v>88</v>
      </c>
      <c r="C7" s="165" t="s">
        <v>87</v>
      </c>
      <c r="D7" s="165" t="s">
        <v>86</v>
      </c>
      <c r="E7" s="165" t="s">
        <v>85</v>
      </c>
      <c r="F7" s="195"/>
    </row>
    <row r="8" spans="1:6" ht="13.5" x14ac:dyDescent="0.35">
      <c r="A8" s="194">
        <f t="shared" ref="A8:A39" si="0">A7+1</f>
        <v>2</v>
      </c>
      <c r="B8" s="196" t="s">
        <v>138</v>
      </c>
      <c r="C8" s="197"/>
      <c r="E8" s="198"/>
    </row>
    <row r="9" spans="1:6" x14ac:dyDescent="0.2">
      <c r="A9" s="194">
        <f t="shared" si="0"/>
        <v>3</v>
      </c>
      <c r="B9" s="199" t="s">
        <v>137</v>
      </c>
      <c r="C9" s="200">
        <v>22</v>
      </c>
      <c r="D9" s="201">
        <f>ROUND('Lighting RD'!F11,2)</f>
        <v>0.02</v>
      </c>
      <c r="E9" s="202" t="s">
        <v>96</v>
      </c>
    </row>
    <row r="10" spans="1:6" x14ac:dyDescent="0.2">
      <c r="A10" s="194">
        <f t="shared" si="0"/>
        <v>4</v>
      </c>
      <c r="B10" s="199"/>
      <c r="C10" s="203"/>
      <c r="D10" s="201"/>
      <c r="E10" s="204"/>
    </row>
    <row r="11" spans="1:6" x14ac:dyDescent="0.2">
      <c r="A11" s="194">
        <f t="shared" si="0"/>
        <v>5</v>
      </c>
      <c r="B11" s="199" t="s">
        <v>136</v>
      </c>
      <c r="C11" s="200">
        <v>100</v>
      </c>
      <c r="D11" s="201">
        <f>ROUND('Lighting RD'!F13,2)</f>
        <v>7.0000000000000007E-2</v>
      </c>
      <c r="E11" s="205" t="str">
        <f>$E$9</f>
        <v>Sheet No. 129D-B</v>
      </c>
    </row>
    <row r="12" spans="1:6" x14ac:dyDescent="0.2">
      <c r="A12" s="194">
        <f t="shared" si="0"/>
        <v>6</v>
      </c>
      <c r="B12" s="199" t="s">
        <v>136</v>
      </c>
      <c r="C12" s="200">
        <v>175</v>
      </c>
      <c r="D12" s="201">
        <f>ROUND('Lighting RD'!F14,2)</f>
        <v>0.12</v>
      </c>
      <c r="E12" s="205" t="str">
        <f>$E$9</f>
        <v>Sheet No. 129D-B</v>
      </c>
    </row>
    <row r="13" spans="1:6" x14ac:dyDescent="0.2">
      <c r="A13" s="194">
        <f t="shared" si="0"/>
        <v>7</v>
      </c>
      <c r="B13" s="199" t="s">
        <v>136</v>
      </c>
      <c r="C13" s="200">
        <v>400</v>
      </c>
      <c r="D13" s="201">
        <f>ROUND('Lighting RD'!F15,2)</f>
        <v>0.28000000000000003</v>
      </c>
      <c r="E13" s="205" t="str">
        <f>$E$9</f>
        <v>Sheet No. 129D-B</v>
      </c>
    </row>
    <row r="14" spans="1:6" x14ac:dyDescent="0.2">
      <c r="A14" s="194">
        <f t="shared" si="0"/>
        <v>8</v>
      </c>
      <c r="B14" s="199" t="s">
        <v>136</v>
      </c>
      <c r="C14" s="200">
        <v>700</v>
      </c>
      <c r="D14" s="201">
        <f>ROUND('Lighting RD'!F16,2)</f>
        <v>0.49</v>
      </c>
      <c r="E14" s="205" t="str">
        <f>$E$9</f>
        <v>Sheet No. 129D-B</v>
      </c>
    </row>
    <row r="15" spans="1:6" x14ac:dyDescent="0.2">
      <c r="A15" s="194">
        <f t="shared" si="0"/>
        <v>9</v>
      </c>
      <c r="B15" s="206"/>
      <c r="C15" s="198"/>
      <c r="D15" s="201"/>
      <c r="E15" s="204"/>
    </row>
    <row r="16" spans="1:6" ht="13.5" x14ac:dyDescent="0.35">
      <c r="A16" s="194">
        <f t="shared" si="0"/>
        <v>10</v>
      </c>
      <c r="B16" s="196" t="s">
        <v>135</v>
      </c>
      <c r="C16" s="198"/>
      <c r="D16" s="201"/>
      <c r="E16" s="204"/>
    </row>
    <row r="17" spans="1:5" x14ac:dyDescent="0.2">
      <c r="A17" s="194">
        <f t="shared" si="0"/>
        <v>11</v>
      </c>
      <c r="B17" s="199" t="s">
        <v>134</v>
      </c>
      <c r="C17" s="198" t="s">
        <v>68</v>
      </c>
      <c r="D17" s="201">
        <f>ROUND('Lighting RD'!F19,2)</f>
        <v>0.01</v>
      </c>
      <c r="E17" s="202" t="s">
        <v>158</v>
      </c>
    </row>
    <row r="18" spans="1:5" x14ac:dyDescent="0.2">
      <c r="A18" s="194">
        <f t="shared" si="0"/>
        <v>12</v>
      </c>
      <c r="B18" s="199" t="s">
        <v>134</v>
      </c>
      <c r="C18" s="207" t="s">
        <v>69</v>
      </c>
      <c r="D18" s="201">
        <f>ROUND('Lighting RD'!F20,2)</f>
        <v>0.03</v>
      </c>
      <c r="E18" s="205" t="str">
        <f t="shared" ref="E18:E26" si="1">$E$17</f>
        <v>Sheet No. 129D-C</v>
      </c>
    </row>
    <row r="19" spans="1:5" x14ac:dyDescent="0.2">
      <c r="A19" s="194">
        <f t="shared" si="0"/>
        <v>13</v>
      </c>
      <c r="B19" s="199" t="s">
        <v>134</v>
      </c>
      <c r="C19" s="200" t="s">
        <v>43</v>
      </c>
      <c r="D19" s="201">
        <f>ROUND('Lighting RD'!F21,2)</f>
        <v>0.05</v>
      </c>
      <c r="E19" s="205" t="str">
        <f t="shared" si="1"/>
        <v>Sheet No. 129D-C</v>
      </c>
    </row>
    <row r="20" spans="1:5" x14ac:dyDescent="0.2">
      <c r="A20" s="194">
        <f t="shared" si="0"/>
        <v>14</v>
      </c>
      <c r="B20" s="199" t="s">
        <v>134</v>
      </c>
      <c r="C20" s="200" t="s">
        <v>42</v>
      </c>
      <c r="D20" s="201">
        <f>ROUND('Lighting RD'!F22,2)</f>
        <v>7.0000000000000007E-2</v>
      </c>
      <c r="E20" s="205" t="str">
        <f t="shared" si="1"/>
        <v>Sheet No. 129D-C</v>
      </c>
    </row>
    <row r="21" spans="1:5" x14ac:dyDescent="0.2">
      <c r="A21" s="194">
        <f t="shared" si="0"/>
        <v>15</v>
      </c>
      <c r="B21" s="199" t="s">
        <v>134</v>
      </c>
      <c r="C21" s="200" t="s">
        <v>41</v>
      </c>
      <c r="D21" s="201">
        <f>ROUND('Lighting RD'!F23,2)</f>
        <v>0.09</v>
      </c>
      <c r="E21" s="205" t="str">
        <f t="shared" si="1"/>
        <v>Sheet No. 129D-C</v>
      </c>
    </row>
    <row r="22" spans="1:5" x14ac:dyDescent="0.2">
      <c r="A22" s="194">
        <f t="shared" si="0"/>
        <v>16</v>
      </c>
      <c r="B22" s="199" t="s">
        <v>134</v>
      </c>
      <c r="C22" s="200" t="s">
        <v>40</v>
      </c>
      <c r="D22" s="201">
        <f>ROUND('Lighting RD'!F24,2)</f>
        <v>0.11</v>
      </c>
      <c r="E22" s="205" t="str">
        <f t="shared" si="1"/>
        <v>Sheet No. 129D-C</v>
      </c>
    </row>
    <row r="23" spans="1:5" x14ac:dyDescent="0.2">
      <c r="A23" s="194">
        <f t="shared" si="0"/>
        <v>17</v>
      </c>
      <c r="B23" s="199" t="s">
        <v>134</v>
      </c>
      <c r="C23" s="200" t="s">
        <v>39</v>
      </c>
      <c r="D23" s="201">
        <f>ROUND('Lighting RD'!F25,2)</f>
        <v>0.14000000000000001</v>
      </c>
      <c r="E23" s="205" t="str">
        <f t="shared" si="1"/>
        <v>Sheet No. 129D-C</v>
      </c>
    </row>
    <row r="24" spans="1:5" x14ac:dyDescent="0.2">
      <c r="A24" s="194">
        <f t="shared" si="0"/>
        <v>18</v>
      </c>
      <c r="B24" s="199" t="s">
        <v>134</v>
      </c>
      <c r="C24" s="200" t="s">
        <v>38</v>
      </c>
      <c r="D24" s="201">
        <f>ROUND('Lighting RD'!F26,2)</f>
        <v>0.16</v>
      </c>
      <c r="E24" s="205" t="str">
        <f t="shared" si="1"/>
        <v>Sheet No. 129D-C</v>
      </c>
    </row>
    <row r="25" spans="1:5" x14ac:dyDescent="0.2">
      <c r="A25" s="194">
        <f t="shared" si="0"/>
        <v>19</v>
      </c>
      <c r="B25" s="199" t="s">
        <v>134</v>
      </c>
      <c r="C25" s="200" t="s">
        <v>37</v>
      </c>
      <c r="D25" s="201">
        <f>ROUND('Lighting RD'!F27,2)</f>
        <v>0.18</v>
      </c>
      <c r="E25" s="205" t="str">
        <f t="shared" si="1"/>
        <v>Sheet No. 129D-C</v>
      </c>
    </row>
    <row r="26" spans="1:5" x14ac:dyDescent="0.2">
      <c r="A26" s="194">
        <f t="shared" si="0"/>
        <v>20</v>
      </c>
      <c r="B26" s="199" t="s">
        <v>134</v>
      </c>
      <c r="C26" s="200" t="s">
        <v>36</v>
      </c>
      <c r="D26" s="201">
        <f>ROUND('Lighting RD'!F28,2)</f>
        <v>0.2</v>
      </c>
      <c r="E26" s="205" t="str">
        <f t="shared" si="1"/>
        <v>Sheet No. 129D-C</v>
      </c>
    </row>
    <row r="27" spans="1:5" x14ac:dyDescent="0.2">
      <c r="A27" s="194">
        <f t="shared" si="0"/>
        <v>21</v>
      </c>
      <c r="B27" s="199"/>
      <c r="C27" s="200"/>
      <c r="D27" s="201"/>
      <c r="E27" s="202"/>
    </row>
    <row r="28" spans="1:5" x14ac:dyDescent="0.2">
      <c r="A28" s="194">
        <f t="shared" si="0"/>
        <v>22</v>
      </c>
      <c r="B28" s="199" t="s">
        <v>133</v>
      </c>
      <c r="C28" s="200" t="s">
        <v>124</v>
      </c>
      <c r="D28" s="208">
        <f>ROUND('Lighting RD'!$F$29,6)</f>
        <v>1.825E-3</v>
      </c>
      <c r="E28" s="205" t="str">
        <f>$E$17</f>
        <v>Sheet No. 129D-C</v>
      </c>
    </row>
    <row r="29" spans="1:5" x14ac:dyDescent="0.2">
      <c r="A29" s="194">
        <f t="shared" si="0"/>
        <v>23</v>
      </c>
      <c r="B29" s="206"/>
      <c r="C29" s="198"/>
      <c r="D29" s="201"/>
      <c r="E29" s="204"/>
    </row>
    <row r="30" spans="1:5" ht="13.5" x14ac:dyDescent="0.35">
      <c r="A30" s="194">
        <f t="shared" si="0"/>
        <v>24</v>
      </c>
      <c r="B30" s="196" t="s">
        <v>132</v>
      </c>
      <c r="C30" s="198"/>
      <c r="D30" s="201"/>
      <c r="E30" s="204"/>
    </row>
    <row r="31" spans="1:5" x14ac:dyDescent="0.2">
      <c r="A31" s="194">
        <f t="shared" si="0"/>
        <v>25</v>
      </c>
      <c r="B31" s="199" t="s">
        <v>131</v>
      </c>
      <c r="C31" s="200">
        <v>50</v>
      </c>
      <c r="D31" s="201">
        <f>ROUND('Lighting RD'!F32,2)</f>
        <v>0.03</v>
      </c>
      <c r="E31" s="205" t="str">
        <f>E28</f>
        <v>Sheet No. 129D-C</v>
      </c>
    </row>
    <row r="32" spans="1:5" x14ac:dyDescent="0.2">
      <c r="A32" s="194">
        <f t="shared" si="0"/>
        <v>26</v>
      </c>
      <c r="B32" s="199" t="s">
        <v>131</v>
      </c>
      <c r="C32" s="200">
        <v>70</v>
      </c>
      <c r="D32" s="201">
        <f>ROUND('Lighting RD'!F33,2)</f>
        <v>0.05</v>
      </c>
      <c r="E32" s="205" t="str">
        <f t="shared" ref="E32:E38" si="2">$E$31</f>
        <v>Sheet No. 129D-C</v>
      </c>
    </row>
    <row r="33" spans="1:5" x14ac:dyDescent="0.2">
      <c r="A33" s="194">
        <f t="shared" si="0"/>
        <v>27</v>
      </c>
      <c r="B33" s="199" t="s">
        <v>131</v>
      </c>
      <c r="C33" s="200">
        <v>100</v>
      </c>
      <c r="D33" s="201">
        <f>ROUND('Lighting RD'!F34,2)</f>
        <v>7.0000000000000007E-2</v>
      </c>
      <c r="E33" s="205" t="str">
        <f t="shared" si="2"/>
        <v>Sheet No. 129D-C</v>
      </c>
    </row>
    <row r="34" spans="1:5" x14ac:dyDescent="0.2">
      <c r="A34" s="194">
        <f t="shared" si="0"/>
        <v>28</v>
      </c>
      <c r="B34" s="199" t="s">
        <v>131</v>
      </c>
      <c r="C34" s="200">
        <v>150</v>
      </c>
      <c r="D34" s="201">
        <f>ROUND('Lighting RD'!F35,2)</f>
        <v>0.1</v>
      </c>
      <c r="E34" s="205" t="str">
        <f t="shared" si="2"/>
        <v>Sheet No. 129D-C</v>
      </c>
    </row>
    <row r="35" spans="1:5" x14ac:dyDescent="0.2">
      <c r="A35" s="194">
        <f t="shared" si="0"/>
        <v>29</v>
      </c>
      <c r="B35" s="199" t="s">
        <v>131</v>
      </c>
      <c r="C35" s="200">
        <v>200</v>
      </c>
      <c r="D35" s="201">
        <f>ROUND('Lighting RD'!F36,2)</f>
        <v>0.14000000000000001</v>
      </c>
      <c r="E35" s="205" t="str">
        <f t="shared" si="2"/>
        <v>Sheet No. 129D-C</v>
      </c>
    </row>
    <row r="36" spans="1:5" x14ac:dyDescent="0.2">
      <c r="A36" s="194">
        <f t="shared" si="0"/>
        <v>30</v>
      </c>
      <c r="B36" s="199" t="s">
        <v>131</v>
      </c>
      <c r="C36" s="200">
        <v>250</v>
      </c>
      <c r="D36" s="201">
        <f>ROUND('Lighting RD'!F37,2)</f>
        <v>0.17</v>
      </c>
      <c r="E36" s="205" t="str">
        <f t="shared" si="2"/>
        <v>Sheet No. 129D-C</v>
      </c>
    </row>
    <row r="37" spans="1:5" x14ac:dyDescent="0.2">
      <c r="A37" s="194">
        <f t="shared" si="0"/>
        <v>31</v>
      </c>
      <c r="B37" s="199" t="s">
        <v>131</v>
      </c>
      <c r="C37" s="200">
        <v>310</v>
      </c>
      <c r="D37" s="201">
        <f>ROUND('Lighting RD'!F38,2)</f>
        <v>0.22</v>
      </c>
      <c r="E37" s="205" t="str">
        <f t="shared" si="2"/>
        <v>Sheet No. 129D-C</v>
      </c>
    </row>
    <row r="38" spans="1:5" x14ac:dyDescent="0.2">
      <c r="A38" s="194">
        <f t="shared" si="0"/>
        <v>32</v>
      </c>
      <c r="B38" s="199" t="s">
        <v>131</v>
      </c>
      <c r="C38" s="200">
        <v>400</v>
      </c>
      <c r="D38" s="201">
        <f>ROUND('Lighting RD'!F39,2)</f>
        <v>0.28000000000000003</v>
      </c>
      <c r="E38" s="205" t="str">
        <f t="shared" si="2"/>
        <v>Sheet No. 129D-C</v>
      </c>
    </row>
    <row r="39" spans="1:5" x14ac:dyDescent="0.2">
      <c r="A39" s="194">
        <f t="shared" si="0"/>
        <v>33</v>
      </c>
      <c r="B39" s="209"/>
      <c r="C39" s="200"/>
      <c r="D39" s="201"/>
      <c r="E39" s="204"/>
    </row>
    <row r="40" spans="1:5" x14ac:dyDescent="0.2">
      <c r="A40" s="194">
        <f t="shared" ref="A40:A71" si="3">A39+1</f>
        <v>34</v>
      </c>
      <c r="B40" s="199" t="s">
        <v>130</v>
      </c>
      <c r="C40" s="200">
        <v>70</v>
      </c>
      <c r="D40" s="201">
        <f>ROUND('Lighting RD'!F41,2)</f>
        <v>0.05</v>
      </c>
      <c r="E40" s="202" t="s">
        <v>159</v>
      </c>
    </row>
    <row r="41" spans="1:5" x14ac:dyDescent="0.2">
      <c r="A41" s="194">
        <f t="shared" si="3"/>
        <v>35</v>
      </c>
      <c r="B41" s="199" t="s">
        <v>130</v>
      </c>
      <c r="C41" s="200">
        <v>100</v>
      </c>
      <c r="D41" s="201">
        <f>ROUND('Lighting RD'!F42,2)</f>
        <v>7.0000000000000007E-2</v>
      </c>
      <c r="E41" s="205" t="str">
        <f t="shared" ref="E41:E46" si="4">$E$40</f>
        <v>Sheet No. 129D-D</v>
      </c>
    </row>
    <row r="42" spans="1:5" x14ac:dyDescent="0.2">
      <c r="A42" s="194">
        <f t="shared" si="3"/>
        <v>36</v>
      </c>
      <c r="B42" s="199" t="s">
        <v>130</v>
      </c>
      <c r="C42" s="200">
        <v>150</v>
      </c>
      <c r="D42" s="201">
        <f>ROUND('Lighting RD'!F43,2)</f>
        <v>0.1</v>
      </c>
      <c r="E42" s="205" t="str">
        <f t="shared" si="4"/>
        <v>Sheet No. 129D-D</v>
      </c>
    </row>
    <row r="43" spans="1:5" x14ac:dyDescent="0.2">
      <c r="A43" s="194">
        <f t="shared" si="3"/>
        <v>37</v>
      </c>
      <c r="B43" s="199" t="s">
        <v>130</v>
      </c>
      <c r="C43" s="200">
        <v>175</v>
      </c>
      <c r="D43" s="201">
        <f>ROUND('Lighting RD'!F44,2)</f>
        <v>0.12</v>
      </c>
      <c r="E43" s="205" t="str">
        <f t="shared" si="4"/>
        <v>Sheet No. 129D-D</v>
      </c>
    </row>
    <row r="44" spans="1:5" x14ac:dyDescent="0.2">
      <c r="A44" s="194">
        <f t="shared" si="3"/>
        <v>38</v>
      </c>
      <c r="B44" s="199" t="s">
        <v>130</v>
      </c>
      <c r="C44" s="200">
        <v>250</v>
      </c>
      <c r="D44" s="201">
        <f>ROUND('Lighting RD'!F45,2)</f>
        <v>0.17</v>
      </c>
      <c r="E44" s="205" t="str">
        <f t="shared" si="4"/>
        <v>Sheet No. 129D-D</v>
      </c>
    </row>
    <row r="45" spans="1:5" x14ac:dyDescent="0.2">
      <c r="A45" s="194">
        <f t="shared" si="3"/>
        <v>39</v>
      </c>
      <c r="B45" s="199" t="s">
        <v>130</v>
      </c>
      <c r="C45" s="200">
        <v>400</v>
      </c>
      <c r="D45" s="201">
        <f>ROUND('Lighting RD'!F46,2)</f>
        <v>0.28000000000000003</v>
      </c>
      <c r="E45" s="205" t="str">
        <f t="shared" si="4"/>
        <v>Sheet No. 129D-D</v>
      </c>
    </row>
    <row r="46" spans="1:5" x14ac:dyDescent="0.2">
      <c r="A46" s="194">
        <f t="shared" si="3"/>
        <v>40</v>
      </c>
      <c r="B46" s="199" t="s">
        <v>130</v>
      </c>
      <c r="C46" s="200">
        <v>1000</v>
      </c>
      <c r="D46" s="201">
        <f>ROUND('Lighting RD'!F47,2)</f>
        <v>0.69</v>
      </c>
      <c r="E46" s="205" t="str">
        <f t="shared" si="4"/>
        <v>Sheet No. 129D-D</v>
      </c>
    </row>
    <row r="47" spans="1:5" x14ac:dyDescent="0.2">
      <c r="A47" s="194">
        <f t="shared" si="3"/>
        <v>41</v>
      </c>
      <c r="B47" s="206"/>
      <c r="C47" s="198"/>
      <c r="D47" s="201"/>
      <c r="E47" s="204"/>
    </row>
    <row r="48" spans="1:5" ht="13.5" x14ac:dyDescent="0.35">
      <c r="A48" s="194">
        <f t="shared" si="3"/>
        <v>42</v>
      </c>
      <c r="B48" s="196" t="s">
        <v>129</v>
      </c>
      <c r="C48" s="198"/>
      <c r="D48" s="201"/>
      <c r="E48" s="204"/>
    </row>
    <row r="49" spans="1:5" x14ac:dyDescent="0.2">
      <c r="A49" s="194">
        <f t="shared" si="3"/>
        <v>43</v>
      </c>
      <c r="B49" s="199" t="s">
        <v>128</v>
      </c>
      <c r="C49" s="200">
        <v>50</v>
      </c>
      <c r="D49" s="201">
        <f>ROUND('Lighting RD'!F50,2)</f>
        <v>0.03</v>
      </c>
      <c r="E49" s="205" t="str">
        <f t="shared" ref="E49:E57" si="5">$E$40</f>
        <v>Sheet No. 129D-D</v>
      </c>
    </row>
    <row r="50" spans="1:5" x14ac:dyDescent="0.2">
      <c r="A50" s="194">
        <f t="shared" si="3"/>
        <v>44</v>
      </c>
      <c r="B50" s="199" t="s">
        <v>128</v>
      </c>
      <c r="C50" s="200">
        <v>70</v>
      </c>
      <c r="D50" s="201">
        <f>ROUND('Lighting RD'!F51,2)</f>
        <v>0.05</v>
      </c>
      <c r="E50" s="205" t="str">
        <f t="shared" si="5"/>
        <v>Sheet No. 129D-D</v>
      </c>
    </row>
    <row r="51" spans="1:5" x14ac:dyDescent="0.2">
      <c r="A51" s="194">
        <f t="shared" si="3"/>
        <v>45</v>
      </c>
      <c r="B51" s="199" t="s">
        <v>128</v>
      </c>
      <c r="C51" s="200">
        <v>100</v>
      </c>
      <c r="D51" s="201">
        <f>ROUND('Lighting RD'!F52,2)</f>
        <v>7.0000000000000007E-2</v>
      </c>
      <c r="E51" s="205" t="str">
        <f t="shared" si="5"/>
        <v>Sheet No. 129D-D</v>
      </c>
    </row>
    <row r="52" spans="1:5" x14ac:dyDescent="0.2">
      <c r="A52" s="194">
        <f t="shared" si="3"/>
        <v>46</v>
      </c>
      <c r="B52" s="199" t="s">
        <v>128</v>
      </c>
      <c r="C52" s="200">
        <v>150</v>
      </c>
      <c r="D52" s="201">
        <f>ROUND('Lighting RD'!F53,2)</f>
        <v>0.1</v>
      </c>
      <c r="E52" s="205" t="str">
        <f t="shared" si="5"/>
        <v>Sheet No. 129D-D</v>
      </c>
    </row>
    <row r="53" spans="1:5" x14ac:dyDescent="0.2">
      <c r="A53" s="194">
        <f t="shared" si="3"/>
        <v>47</v>
      </c>
      <c r="B53" s="199" t="s">
        <v>128</v>
      </c>
      <c r="C53" s="200">
        <v>200</v>
      </c>
      <c r="D53" s="201">
        <f>ROUND('Lighting RD'!F54,2)</f>
        <v>0.14000000000000001</v>
      </c>
      <c r="E53" s="205" t="str">
        <f t="shared" si="5"/>
        <v>Sheet No. 129D-D</v>
      </c>
    </row>
    <row r="54" spans="1:5" x14ac:dyDescent="0.2">
      <c r="A54" s="194">
        <f t="shared" si="3"/>
        <v>48</v>
      </c>
      <c r="B54" s="199" t="s">
        <v>128</v>
      </c>
      <c r="C54" s="200">
        <v>250</v>
      </c>
      <c r="D54" s="201">
        <f>ROUND('Lighting RD'!F55,2)</f>
        <v>0.17</v>
      </c>
      <c r="E54" s="205" t="str">
        <f t="shared" si="5"/>
        <v>Sheet No. 129D-D</v>
      </c>
    </row>
    <row r="55" spans="1:5" x14ac:dyDescent="0.2">
      <c r="A55" s="194">
        <f t="shared" si="3"/>
        <v>49</v>
      </c>
      <c r="B55" s="199" t="s">
        <v>128</v>
      </c>
      <c r="C55" s="200">
        <v>310</v>
      </c>
      <c r="D55" s="201">
        <f>ROUND('Lighting RD'!F56,2)</f>
        <v>0.22</v>
      </c>
      <c r="E55" s="205" t="str">
        <f t="shared" si="5"/>
        <v>Sheet No. 129D-D</v>
      </c>
    </row>
    <row r="56" spans="1:5" x14ac:dyDescent="0.2">
      <c r="A56" s="194">
        <f t="shared" si="3"/>
        <v>50</v>
      </c>
      <c r="B56" s="199" t="s">
        <v>128</v>
      </c>
      <c r="C56" s="200">
        <v>400</v>
      </c>
      <c r="D56" s="201">
        <f>ROUND('Lighting RD'!F57,2)</f>
        <v>0.28000000000000003</v>
      </c>
      <c r="E56" s="205" t="str">
        <f t="shared" si="5"/>
        <v>Sheet No. 129D-D</v>
      </c>
    </row>
    <row r="57" spans="1:5" x14ac:dyDescent="0.2">
      <c r="A57" s="194">
        <f t="shared" si="3"/>
        <v>51</v>
      </c>
      <c r="B57" s="199" t="s">
        <v>128</v>
      </c>
      <c r="C57" s="200">
        <v>1000</v>
      </c>
      <c r="D57" s="201">
        <f>ROUND('Lighting RD'!F58,2)</f>
        <v>0.69</v>
      </c>
      <c r="E57" s="205" t="str">
        <f t="shared" si="5"/>
        <v>Sheet No. 129D-D</v>
      </c>
    </row>
    <row r="58" spans="1:5" x14ac:dyDescent="0.2">
      <c r="A58" s="194">
        <f t="shared" si="3"/>
        <v>52</v>
      </c>
      <c r="B58" s="209"/>
      <c r="C58" s="200"/>
      <c r="D58" s="201"/>
      <c r="E58" s="204"/>
    </row>
    <row r="59" spans="1:5" x14ac:dyDescent="0.2">
      <c r="A59" s="194">
        <f t="shared" si="3"/>
        <v>53</v>
      </c>
      <c r="B59" s="199" t="s">
        <v>127</v>
      </c>
      <c r="C59" s="200">
        <v>70</v>
      </c>
      <c r="D59" s="201">
        <f>ROUND('Lighting RD'!F60,2)</f>
        <v>0.05</v>
      </c>
      <c r="E59" s="205" t="str">
        <f>E57</f>
        <v>Sheet No. 129D-D</v>
      </c>
    </row>
    <row r="60" spans="1:5" x14ac:dyDescent="0.2">
      <c r="A60" s="194">
        <f t="shared" si="3"/>
        <v>54</v>
      </c>
      <c r="B60" s="199" t="s">
        <v>127</v>
      </c>
      <c r="C60" s="200">
        <v>100</v>
      </c>
      <c r="D60" s="201">
        <f>ROUND('Lighting RD'!F61,2)</f>
        <v>7.0000000000000007E-2</v>
      </c>
      <c r="E60" s="205" t="str">
        <f>E59</f>
        <v>Sheet No. 129D-D</v>
      </c>
    </row>
    <row r="61" spans="1:5" x14ac:dyDescent="0.2">
      <c r="A61" s="194">
        <f t="shared" si="3"/>
        <v>55</v>
      </c>
      <c r="B61" s="199" t="s">
        <v>127</v>
      </c>
      <c r="C61" s="200">
        <v>150</v>
      </c>
      <c r="D61" s="201">
        <f>ROUND('Lighting RD'!F62,2)</f>
        <v>0.1</v>
      </c>
      <c r="E61" s="205" t="str">
        <f t="shared" ref="E61:E64" si="6">E60</f>
        <v>Sheet No. 129D-D</v>
      </c>
    </row>
    <row r="62" spans="1:5" x14ac:dyDescent="0.2">
      <c r="A62" s="194">
        <f t="shared" si="3"/>
        <v>56</v>
      </c>
      <c r="B62" s="199" t="s">
        <v>127</v>
      </c>
      <c r="C62" s="200">
        <v>175</v>
      </c>
      <c r="D62" s="201">
        <f>ROUND('Lighting RD'!F63,2)</f>
        <v>0.12</v>
      </c>
      <c r="E62" s="205" t="str">
        <f t="shared" si="6"/>
        <v>Sheet No. 129D-D</v>
      </c>
    </row>
    <row r="63" spans="1:5" x14ac:dyDescent="0.2">
      <c r="A63" s="194">
        <f t="shared" si="3"/>
        <v>57</v>
      </c>
      <c r="B63" s="199" t="s">
        <v>127</v>
      </c>
      <c r="C63" s="200">
        <v>250</v>
      </c>
      <c r="D63" s="201">
        <f>ROUND('Lighting RD'!F64,2)</f>
        <v>0.17</v>
      </c>
      <c r="E63" s="205" t="str">
        <f t="shared" si="6"/>
        <v>Sheet No. 129D-D</v>
      </c>
    </row>
    <row r="64" spans="1:5" x14ac:dyDescent="0.2">
      <c r="A64" s="194">
        <f t="shared" si="3"/>
        <v>58</v>
      </c>
      <c r="B64" s="199" t="s">
        <v>127</v>
      </c>
      <c r="C64" s="200">
        <v>400</v>
      </c>
      <c r="D64" s="201">
        <f>ROUND('Lighting RD'!F65,2)</f>
        <v>0.28000000000000003</v>
      </c>
      <c r="E64" s="205" t="str">
        <f t="shared" si="6"/>
        <v>Sheet No. 129D-D</v>
      </c>
    </row>
    <row r="65" spans="1:5" x14ac:dyDescent="0.2">
      <c r="A65" s="194">
        <f t="shared" si="3"/>
        <v>59</v>
      </c>
      <c r="B65" s="209"/>
      <c r="C65" s="200"/>
      <c r="D65" s="201"/>
      <c r="E65" s="204"/>
    </row>
    <row r="66" spans="1:5" x14ac:dyDescent="0.2">
      <c r="A66" s="194">
        <f t="shared" si="3"/>
        <v>60</v>
      </c>
      <c r="B66" s="199" t="s">
        <v>126</v>
      </c>
      <c r="C66" s="198" t="s">
        <v>68</v>
      </c>
      <c r="D66" s="201">
        <f>ROUND('Lighting RD'!F67,2)</f>
        <v>0.01</v>
      </c>
      <c r="E66" s="205" t="str">
        <f t="shared" ref="E66:E75" si="7">$E$17</f>
        <v>Sheet No. 129D-C</v>
      </c>
    </row>
    <row r="67" spans="1:5" x14ac:dyDescent="0.2">
      <c r="A67" s="194">
        <f t="shared" si="3"/>
        <v>61</v>
      </c>
      <c r="B67" s="199" t="s">
        <v>126</v>
      </c>
      <c r="C67" s="207" t="s">
        <v>69</v>
      </c>
      <c r="D67" s="201">
        <f>ROUND('Lighting RD'!F68,2)</f>
        <v>0.03</v>
      </c>
      <c r="E67" s="205" t="str">
        <f t="shared" si="7"/>
        <v>Sheet No. 129D-C</v>
      </c>
    </row>
    <row r="68" spans="1:5" x14ac:dyDescent="0.2">
      <c r="A68" s="194">
        <f t="shared" si="3"/>
        <v>62</v>
      </c>
      <c r="B68" s="199" t="s">
        <v>126</v>
      </c>
      <c r="C68" s="200" t="s">
        <v>43</v>
      </c>
      <c r="D68" s="201">
        <f>ROUND('Lighting RD'!F69,2)</f>
        <v>0.05</v>
      </c>
      <c r="E68" s="205" t="str">
        <f t="shared" si="7"/>
        <v>Sheet No. 129D-C</v>
      </c>
    </row>
    <row r="69" spans="1:5" x14ac:dyDescent="0.2">
      <c r="A69" s="194">
        <f t="shared" si="3"/>
        <v>63</v>
      </c>
      <c r="B69" s="199" t="s">
        <v>126</v>
      </c>
      <c r="C69" s="200" t="s">
        <v>42</v>
      </c>
      <c r="D69" s="201">
        <f>ROUND('Lighting RD'!F70,2)</f>
        <v>7.0000000000000007E-2</v>
      </c>
      <c r="E69" s="205" t="str">
        <f t="shared" si="7"/>
        <v>Sheet No. 129D-C</v>
      </c>
    </row>
    <row r="70" spans="1:5" x14ac:dyDescent="0.2">
      <c r="A70" s="194">
        <f t="shared" si="3"/>
        <v>64</v>
      </c>
      <c r="B70" s="199" t="s">
        <v>126</v>
      </c>
      <c r="C70" s="200" t="s">
        <v>41</v>
      </c>
      <c r="D70" s="201">
        <f>ROUND('Lighting RD'!F71,2)</f>
        <v>0.09</v>
      </c>
      <c r="E70" s="205" t="str">
        <f t="shared" si="7"/>
        <v>Sheet No. 129D-C</v>
      </c>
    </row>
    <row r="71" spans="1:5" x14ac:dyDescent="0.2">
      <c r="A71" s="194">
        <f t="shared" si="3"/>
        <v>65</v>
      </c>
      <c r="B71" s="199" t="s">
        <v>126</v>
      </c>
      <c r="C71" s="200" t="s">
        <v>40</v>
      </c>
      <c r="D71" s="201">
        <f>ROUND('Lighting RD'!F72,2)</f>
        <v>0.11</v>
      </c>
      <c r="E71" s="205" t="str">
        <f t="shared" si="7"/>
        <v>Sheet No. 129D-C</v>
      </c>
    </row>
    <row r="72" spans="1:5" x14ac:dyDescent="0.2">
      <c r="A72" s="194">
        <f t="shared" ref="A72:A103" si="8">A71+1</f>
        <v>66</v>
      </c>
      <c r="B72" s="199" t="s">
        <v>126</v>
      </c>
      <c r="C72" s="200" t="s">
        <v>39</v>
      </c>
      <c r="D72" s="201">
        <f>ROUND('Lighting RD'!F73,2)</f>
        <v>0.14000000000000001</v>
      </c>
      <c r="E72" s="205" t="str">
        <f t="shared" si="7"/>
        <v>Sheet No. 129D-C</v>
      </c>
    </row>
    <row r="73" spans="1:5" x14ac:dyDescent="0.2">
      <c r="A73" s="194">
        <f t="shared" si="8"/>
        <v>67</v>
      </c>
      <c r="B73" s="199" t="s">
        <v>126</v>
      </c>
      <c r="C73" s="200" t="s">
        <v>38</v>
      </c>
      <c r="D73" s="201">
        <f>ROUND('Lighting RD'!F74,2)</f>
        <v>0.16</v>
      </c>
      <c r="E73" s="205" t="str">
        <f t="shared" si="7"/>
        <v>Sheet No. 129D-C</v>
      </c>
    </row>
    <row r="74" spans="1:5" x14ac:dyDescent="0.2">
      <c r="A74" s="194">
        <f t="shared" si="8"/>
        <v>68</v>
      </c>
      <c r="B74" s="199" t="s">
        <v>126</v>
      </c>
      <c r="C74" s="200" t="s">
        <v>37</v>
      </c>
      <c r="D74" s="201">
        <f>ROUND('Lighting RD'!F75,2)</f>
        <v>0.18</v>
      </c>
      <c r="E74" s="205" t="str">
        <f t="shared" si="7"/>
        <v>Sheet No. 129D-C</v>
      </c>
    </row>
    <row r="75" spans="1:5" x14ac:dyDescent="0.2">
      <c r="A75" s="194">
        <f t="shared" si="8"/>
        <v>69</v>
      </c>
      <c r="B75" s="199" t="s">
        <v>126</v>
      </c>
      <c r="C75" s="200" t="s">
        <v>36</v>
      </c>
      <c r="D75" s="201">
        <f>ROUND('Lighting RD'!F76,2)</f>
        <v>0.2</v>
      </c>
      <c r="E75" s="205" t="str">
        <f t="shared" si="7"/>
        <v>Sheet No. 129D-C</v>
      </c>
    </row>
    <row r="76" spans="1:5" x14ac:dyDescent="0.2">
      <c r="A76" s="194">
        <f t="shared" si="8"/>
        <v>70</v>
      </c>
      <c r="B76" s="199"/>
      <c r="C76" s="200"/>
      <c r="D76" s="201"/>
      <c r="E76" s="202"/>
    </row>
    <row r="77" spans="1:5" x14ac:dyDescent="0.2">
      <c r="A77" s="194">
        <f t="shared" si="8"/>
        <v>71</v>
      </c>
      <c r="B77" s="199" t="s">
        <v>125</v>
      </c>
      <c r="C77" s="200" t="s">
        <v>124</v>
      </c>
      <c r="D77" s="208">
        <f>ROUND('Lighting RD'!$F$77,6)</f>
        <v>1.825E-3</v>
      </c>
      <c r="E77" s="205" t="str">
        <f>$E$17</f>
        <v>Sheet No. 129D-C</v>
      </c>
    </row>
    <row r="78" spans="1:5" x14ac:dyDescent="0.2">
      <c r="A78" s="194">
        <f t="shared" si="8"/>
        <v>72</v>
      </c>
      <c r="C78" s="200"/>
      <c r="D78" s="201"/>
      <c r="E78" s="204"/>
    </row>
    <row r="79" spans="1:5" ht="13.5" x14ac:dyDescent="0.35">
      <c r="A79" s="194">
        <f t="shared" si="8"/>
        <v>73</v>
      </c>
      <c r="B79" s="196" t="s">
        <v>123</v>
      </c>
      <c r="C79" s="198"/>
      <c r="D79" s="201"/>
      <c r="E79" s="204"/>
    </row>
    <row r="80" spans="1:5" x14ac:dyDescent="0.2">
      <c r="A80" s="194">
        <f t="shared" si="8"/>
        <v>74</v>
      </c>
      <c r="B80" s="199" t="s">
        <v>122</v>
      </c>
      <c r="C80" s="200">
        <v>50</v>
      </c>
      <c r="D80" s="201">
        <f>ROUND('Lighting RD'!F80,2)</f>
        <v>0.03</v>
      </c>
      <c r="E80" s="202" t="s">
        <v>160</v>
      </c>
    </row>
    <row r="81" spans="1:5" x14ac:dyDescent="0.2">
      <c r="A81" s="194">
        <f t="shared" si="8"/>
        <v>75</v>
      </c>
      <c r="B81" s="199" t="s">
        <v>122</v>
      </c>
      <c r="C81" s="200">
        <v>70</v>
      </c>
      <c r="D81" s="201">
        <f>ROUND('Lighting RD'!F81,2)</f>
        <v>0.05</v>
      </c>
      <c r="E81" s="205" t="str">
        <f>E80</f>
        <v>Sheet No. 129D-E</v>
      </c>
    </row>
    <row r="82" spans="1:5" x14ac:dyDescent="0.2">
      <c r="A82" s="194">
        <f t="shared" si="8"/>
        <v>76</v>
      </c>
      <c r="B82" s="199" t="s">
        <v>122</v>
      </c>
      <c r="C82" s="200">
        <v>100</v>
      </c>
      <c r="D82" s="201">
        <f>ROUND('Lighting RD'!F82,2)</f>
        <v>7.0000000000000007E-2</v>
      </c>
      <c r="E82" s="205" t="str">
        <f t="shared" ref="E82:E88" si="9">E81</f>
        <v>Sheet No. 129D-E</v>
      </c>
    </row>
    <row r="83" spans="1:5" x14ac:dyDescent="0.2">
      <c r="A83" s="194">
        <f t="shared" si="8"/>
        <v>77</v>
      </c>
      <c r="B83" s="199" t="s">
        <v>122</v>
      </c>
      <c r="C83" s="200">
        <v>150</v>
      </c>
      <c r="D83" s="201">
        <f>ROUND('Lighting RD'!F83,2)</f>
        <v>0.1</v>
      </c>
      <c r="E83" s="205" t="str">
        <f t="shared" si="9"/>
        <v>Sheet No. 129D-E</v>
      </c>
    </row>
    <row r="84" spans="1:5" x14ac:dyDescent="0.2">
      <c r="A84" s="194">
        <f t="shared" si="8"/>
        <v>78</v>
      </c>
      <c r="B84" s="199" t="s">
        <v>122</v>
      </c>
      <c r="C84" s="200">
        <v>200</v>
      </c>
      <c r="D84" s="201">
        <f>ROUND('Lighting RD'!F84,2)</f>
        <v>0.14000000000000001</v>
      </c>
      <c r="E84" s="205" t="str">
        <f t="shared" si="9"/>
        <v>Sheet No. 129D-E</v>
      </c>
    </row>
    <row r="85" spans="1:5" x14ac:dyDescent="0.2">
      <c r="A85" s="194">
        <f t="shared" si="8"/>
        <v>79</v>
      </c>
      <c r="B85" s="199" t="s">
        <v>122</v>
      </c>
      <c r="C85" s="200">
        <v>250</v>
      </c>
      <c r="D85" s="201">
        <f>ROUND('Lighting RD'!F85,2)</f>
        <v>0.17</v>
      </c>
      <c r="E85" s="205" t="str">
        <f t="shared" si="9"/>
        <v>Sheet No. 129D-E</v>
      </c>
    </row>
    <row r="86" spans="1:5" x14ac:dyDescent="0.2">
      <c r="A86" s="194">
        <f t="shared" si="8"/>
        <v>80</v>
      </c>
      <c r="B86" s="199" t="s">
        <v>122</v>
      </c>
      <c r="C86" s="200">
        <v>310</v>
      </c>
      <c r="D86" s="201">
        <f>ROUND('Lighting RD'!F86,2)</f>
        <v>0.22</v>
      </c>
      <c r="E86" s="205" t="str">
        <f t="shared" si="9"/>
        <v>Sheet No. 129D-E</v>
      </c>
    </row>
    <row r="87" spans="1:5" x14ac:dyDescent="0.2">
      <c r="A87" s="194">
        <f t="shared" si="8"/>
        <v>81</v>
      </c>
      <c r="B87" s="199" t="s">
        <v>122</v>
      </c>
      <c r="C87" s="200">
        <v>400</v>
      </c>
      <c r="D87" s="201">
        <f>ROUND('Lighting RD'!F87,2)</f>
        <v>0.28000000000000003</v>
      </c>
      <c r="E87" s="205" t="str">
        <f t="shared" si="9"/>
        <v>Sheet No. 129D-E</v>
      </c>
    </row>
    <row r="88" spans="1:5" x14ac:dyDescent="0.2">
      <c r="A88" s="194">
        <f t="shared" si="8"/>
        <v>82</v>
      </c>
      <c r="B88" s="199" t="s">
        <v>122</v>
      </c>
      <c r="C88" s="200">
        <v>1000</v>
      </c>
      <c r="D88" s="201">
        <f>ROUND('Lighting RD'!F88,2)</f>
        <v>0.69</v>
      </c>
      <c r="E88" s="205" t="str">
        <f t="shared" si="9"/>
        <v>Sheet No. 129D-E</v>
      </c>
    </row>
    <row r="89" spans="1:5" x14ac:dyDescent="0.2">
      <c r="A89" s="194">
        <f t="shared" si="8"/>
        <v>83</v>
      </c>
      <c r="B89" s="209"/>
      <c r="C89" s="200"/>
      <c r="D89" s="201"/>
      <c r="E89" s="204"/>
    </row>
    <row r="90" spans="1:5" x14ac:dyDescent="0.2">
      <c r="A90" s="194">
        <f t="shared" si="8"/>
        <v>84</v>
      </c>
      <c r="B90" s="199" t="s">
        <v>121</v>
      </c>
      <c r="C90" s="207" t="s">
        <v>71</v>
      </c>
      <c r="D90" s="201">
        <f>ROUND('Lighting RD'!F90,2)</f>
        <v>0.01</v>
      </c>
      <c r="E90" s="205" t="str">
        <f t="shared" ref="E90:E99" si="10">$E$17</f>
        <v>Sheet No. 129D-C</v>
      </c>
    </row>
    <row r="91" spans="1:5" x14ac:dyDescent="0.2">
      <c r="A91" s="194">
        <f t="shared" si="8"/>
        <v>85</v>
      </c>
      <c r="B91" s="199" t="s">
        <v>121</v>
      </c>
      <c r="C91" s="207" t="s">
        <v>44</v>
      </c>
      <c r="D91" s="201">
        <f>ROUND('Lighting RD'!F91,2)</f>
        <v>0.03</v>
      </c>
      <c r="E91" s="205" t="str">
        <f t="shared" si="10"/>
        <v>Sheet No. 129D-C</v>
      </c>
    </row>
    <row r="92" spans="1:5" x14ac:dyDescent="0.2">
      <c r="A92" s="194">
        <f t="shared" si="8"/>
        <v>86</v>
      </c>
      <c r="B92" s="199" t="s">
        <v>121</v>
      </c>
      <c r="C92" s="200" t="s">
        <v>43</v>
      </c>
      <c r="D92" s="201">
        <f>ROUND('Lighting RD'!F92,2)</f>
        <v>0.05</v>
      </c>
      <c r="E92" s="205" t="str">
        <f t="shared" si="10"/>
        <v>Sheet No. 129D-C</v>
      </c>
    </row>
    <row r="93" spans="1:5" x14ac:dyDescent="0.2">
      <c r="A93" s="194">
        <f t="shared" si="8"/>
        <v>87</v>
      </c>
      <c r="B93" s="199" t="s">
        <v>121</v>
      </c>
      <c r="C93" s="200" t="s">
        <v>42</v>
      </c>
      <c r="D93" s="201">
        <f>ROUND('Lighting RD'!F93,2)</f>
        <v>7.0000000000000007E-2</v>
      </c>
      <c r="E93" s="205" t="str">
        <f t="shared" si="10"/>
        <v>Sheet No. 129D-C</v>
      </c>
    </row>
    <row r="94" spans="1:5" x14ac:dyDescent="0.2">
      <c r="A94" s="194">
        <f t="shared" si="8"/>
        <v>88</v>
      </c>
      <c r="B94" s="199" t="s">
        <v>121</v>
      </c>
      <c r="C94" s="200" t="s">
        <v>41</v>
      </c>
      <c r="D94" s="201">
        <f>ROUND('Lighting RD'!F94,2)</f>
        <v>0.09</v>
      </c>
      <c r="E94" s="205" t="str">
        <f t="shared" si="10"/>
        <v>Sheet No. 129D-C</v>
      </c>
    </row>
    <row r="95" spans="1:5" x14ac:dyDescent="0.2">
      <c r="A95" s="194">
        <f t="shared" si="8"/>
        <v>89</v>
      </c>
      <c r="B95" s="199" t="s">
        <v>121</v>
      </c>
      <c r="C95" s="200" t="s">
        <v>40</v>
      </c>
      <c r="D95" s="201">
        <f>ROUND('Lighting RD'!F95,2)</f>
        <v>0.11</v>
      </c>
      <c r="E95" s="205" t="str">
        <f t="shared" si="10"/>
        <v>Sheet No. 129D-C</v>
      </c>
    </row>
    <row r="96" spans="1:5" x14ac:dyDescent="0.2">
      <c r="A96" s="194">
        <f t="shared" si="8"/>
        <v>90</v>
      </c>
      <c r="B96" s="199" t="s">
        <v>121</v>
      </c>
      <c r="C96" s="200" t="s">
        <v>39</v>
      </c>
      <c r="D96" s="201">
        <f>ROUND('Lighting RD'!F96,2)</f>
        <v>0.14000000000000001</v>
      </c>
      <c r="E96" s="205" t="str">
        <f t="shared" si="10"/>
        <v>Sheet No. 129D-C</v>
      </c>
    </row>
    <row r="97" spans="1:5" x14ac:dyDescent="0.2">
      <c r="A97" s="194">
        <f t="shared" si="8"/>
        <v>91</v>
      </c>
      <c r="B97" s="199" t="s">
        <v>121</v>
      </c>
      <c r="C97" s="200" t="s">
        <v>38</v>
      </c>
      <c r="D97" s="201">
        <f>ROUND('Lighting RD'!F97,2)</f>
        <v>0.16</v>
      </c>
      <c r="E97" s="205" t="str">
        <f t="shared" si="10"/>
        <v>Sheet No. 129D-C</v>
      </c>
    </row>
    <row r="98" spans="1:5" x14ac:dyDescent="0.2">
      <c r="A98" s="194">
        <f t="shared" si="8"/>
        <v>92</v>
      </c>
      <c r="B98" s="199" t="s">
        <v>121</v>
      </c>
      <c r="C98" s="200" t="s">
        <v>37</v>
      </c>
      <c r="D98" s="201">
        <f>ROUND('Lighting RD'!F98,2)</f>
        <v>0.18</v>
      </c>
      <c r="E98" s="205" t="str">
        <f t="shared" si="10"/>
        <v>Sheet No. 129D-C</v>
      </c>
    </row>
    <row r="99" spans="1:5" x14ac:dyDescent="0.2">
      <c r="A99" s="194">
        <f t="shared" si="8"/>
        <v>93</v>
      </c>
      <c r="B99" s="199" t="s">
        <v>121</v>
      </c>
      <c r="C99" s="200" t="s">
        <v>36</v>
      </c>
      <c r="D99" s="201">
        <f>ROUND('Lighting RD'!F99,2)</f>
        <v>0.2</v>
      </c>
      <c r="E99" s="205" t="str">
        <f t="shared" si="10"/>
        <v>Sheet No. 129D-C</v>
      </c>
    </row>
    <row r="100" spans="1:5" x14ac:dyDescent="0.2">
      <c r="A100" s="194">
        <f t="shared" si="8"/>
        <v>94</v>
      </c>
      <c r="B100" s="209"/>
      <c r="C100" s="200"/>
      <c r="D100" s="201"/>
      <c r="E100" s="204"/>
    </row>
    <row r="101" spans="1:5" ht="13.5" x14ac:dyDescent="0.35">
      <c r="A101" s="194">
        <f t="shared" si="8"/>
        <v>95</v>
      </c>
      <c r="B101" s="196" t="s">
        <v>120</v>
      </c>
      <c r="C101" s="200"/>
      <c r="D101" s="201"/>
      <c r="E101" s="204"/>
    </row>
    <row r="102" spans="1:5" x14ac:dyDescent="0.2">
      <c r="A102" s="194">
        <f t="shared" si="8"/>
        <v>96</v>
      </c>
      <c r="B102" s="199" t="s">
        <v>119</v>
      </c>
      <c r="C102" s="200">
        <v>70</v>
      </c>
      <c r="D102" s="201">
        <f>ROUND('Lighting RD'!F102,2)</f>
        <v>0.05</v>
      </c>
      <c r="E102" s="202" t="s">
        <v>160</v>
      </c>
    </row>
    <row r="103" spans="1:5" x14ac:dyDescent="0.2">
      <c r="A103" s="194">
        <f t="shared" si="8"/>
        <v>97</v>
      </c>
      <c r="B103" s="199" t="s">
        <v>119</v>
      </c>
      <c r="C103" s="200">
        <v>100</v>
      </c>
      <c r="D103" s="201">
        <f>ROUND('Lighting RD'!F103,2)</f>
        <v>7.0000000000000007E-2</v>
      </c>
      <c r="E103" s="205" t="str">
        <f>$E$102</f>
        <v>Sheet No. 129D-E</v>
      </c>
    </row>
    <row r="104" spans="1:5" x14ac:dyDescent="0.2">
      <c r="A104" s="194">
        <f t="shared" ref="A104:A135" si="11">A103+1</f>
        <v>98</v>
      </c>
      <c r="B104" s="199" t="s">
        <v>119</v>
      </c>
      <c r="C104" s="200">
        <v>150</v>
      </c>
      <c r="D104" s="201">
        <f>ROUND('Lighting RD'!F104,2)</f>
        <v>0.1</v>
      </c>
      <c r="E104" s="205" t="str">
        <f>$E$102</f>
        <v>Sheet No. 129D-E</v>
      </c>
    </row>
    <row r="105" spans="1:5" x14ac:dyDescent="0.2">
      <c r="A105" s="194">
        <f t="shared" si="11"/>
        <v>99</v>
      </c>
      <c r="B105" s="199" t="s">
        <v>119</v>
      </c>
      <c r="C105" s="200">
        <v>200</v>
      </c>
      <c r="D105" s="201">
        <f>ROUND('Lighting RD'!F105,2)</f>
        <v>0.14000000000000001</v>
      </c>
      <c r="E105" s="205" t="str">
        <f>$E$102</f>
        <v>Sheet No. 129D-E</v>
      </c>
    </row>
    <row r="106" spans="1:5" x14ac:dyDescent="0.2">
      <c r="A106" s="194">
        <f t="shared" si="11"/>
        <v>100</v>
      </c>
      <c r="B106" s="199" t="s">
        <v>119</v>
      </c>
      <c r="C106" s="200">
        <v>250</v>
      </c>
      <c r="D106" s="201">
        <f>ROUND('Lighting RD'!F106,2)</f>
        <v>0.17</v>
      </c>
      <c r="E106" s="205" t="str">
        <f>$E$102</f>
        <v>Sheet No. 129D-E</v>
      </c>
    </row>
    <row r="107" spans="1:5" x14ac:dyDescent="0.2">
      <c r="A107" s="194">
        <f t="shared" si="11"/>
        <v>101</v>
      </c>
      <c r="B107" s="199" t="s">
        <v>119</v>
      </c>
      <c r="C107" s="200">
        <v>400</v>
      </c>
      <c r="D107" s="201">
        <f>ROUND('Lighting RD'!F107,2)</f>
        <v>0.28000000000000003</v>
      </c>
      <c r="E107" s="205" t="str">
        <f>$E$102</f>
        <v>Sheet No. 129D-E</v>
      </c>
    </row>
    <row r="108" spans="1:5" x14ac:dyDescent="0.2">
      <c r="A108" s="194">
        <f t="shared" si="11"/>
        <v>102</v>
      </c>
      <c r="B108" s="209"/>
      <c r="C108" s="200"/>
      <c r="D108" s="201"/>
      <c r="E108" s="204"/>
    </row>
    <row r="109" spans="1:5" x14ac:dyDescent="0.2">
      <c r="A109" s="194">
        <f t="shared" si="11"/>
        <v>103</v>
      </c>
      <c r="B109" s="199" t="s">
        <v>118</v>
      </c>
      <c r="C109" s="200">
        <v>250</v>
      </c>
      <c r="D109" s="201">
        <f>ROUND('Lighting RD'!F109,2)</f>
        <v>0.17</v>
      </c>
      <c r="E109" s="205" t="str">
        <f>$E$102</f>
        <v>Sheet No. 129D-E</v>
      </c>
    </row>
    <row r="110" spans="1:5" x14ac:dyDescent="0.2">
      <c r="A110" s="194">
        <f t="shared" si="11"/>
        <v>104</v>
      </c>
      <c r="B110" s="209"/>
      <c r="C110" s="200"/>
      <c r="D110" s="201"/>
      <c r="E110" s="204"/>
    </row>
    <row r="111" spans="1:5" x14ac:dyDescent="0.2">
      <c r="A111" s="194">
        <f t="shared" si="11"/>
        <v>105</v>
      </c>
      <c r="B111" s="199" t="s">
        <v>117</v>
      </c>
      <c r="C111" s="198" t="s">
        <v>68</v>
      </c>
      <c r="D111" s="201">
        <f>ROUND('Lighting RD'!F111,2)</f>
        <v>0.01</v>
      </c>
      <c r="E111" s="202" t="s">
        <v>161</v>
      </c>
    </row>
    <row r="112" spans="1:5" x14ac:dyDescent="0.2">
      <c r="A112" s="194">
        <f t="shared" si="11"/>
        <v>106</v>
      </c>
      <c r="B112" s="199" t="s">
        <v>117</v>
      </c>
      <c r="C112" s="207" t="s">
        <v>44</v>
      </c>
      <c r="D112" s="201">
        <f>ROUND('Lighting RD'!F112,2)</f>
        <v>0.03</v>
      </c>
      <c r="E112" s="205" t="str">
        <f>E111</f>
        <v>Sheet No. 129D-F</v>
      </c>
    </row>
    <row r="113" spans="1:5" x14ac:dyDescent="0.2">
      <c r="A113" s="194">
        <f t="shared" si="11"/>
        <v>107</v>
      </c>
      <c r="B113" s="199" t="s">
        <v>117</v>
      </c>
      <c r="C113" s="200" t="s">
        <v>43</v>
      </c>
      <c r="D113" s="201">
        <f>ROUND('Lighting RD'!F113,2)</f>
        <v>0.05</v>
      </c>
      <c r="E113" s="205" t="str">
        <f t="shared" ref="E113:E120" si="12">E112</f>
        <v>Sheet No. 129D-F</v>
      </c>
    </row>
    <row r="114" spans="1:5" x14ac:dyDescent="0.2">
      <c r="A114" s="194">
        <f t="shared" si="11"/>
        <v>108</v>
      </c>
      <c r="B114" s="199" t="s">
        <v>117</v>
      </c>
      <c r="C114" s="200" t="s">
        <v>42</v>
      </c>
      <c r="D114" s="201">
        <f>ROUND('Lighting RD'!F114,2)</f>
        <v>7.0000000000000007E-2</v>
      </c>
      <c r="E114" s="205" t="str">
        <f t="shared" si="12"/>
        <v>Sheet No. 129D-F</v>
      </c>
    </row>
    <row r="115" spans="1:5" x14ac:dyDescent="0.2">
      <c r="A115" s="194">
        <f t="shared" si="11"/>
        <v>109</v>
      </c>
      <c r="B115" s="199" t="s">
        <v>117</v>
      </c>
      <c r="C115" s="200" t="s">
        <v>41</v>
      </c>
      <c r="D115" s="201">
        <f>ROUND('Lighting RD'!F115,2)</f>
        <v>0.09</v>
      </c>
      <c r="E115" s="205" t="str">
        <f t="shared" si="12"/>
        <v>Sheet No. 129D-F</v>
      </c>
    </row>
    <row r="116" spans="1:5" x14ac:dyDescent="0.2">
      <c r="A116" s="194">
        <f t="shared" si="11"/>
        <v>110</v>
      </c>
      <c r="B116" s="199" t="s">
        <v>117</v>
      </c>
      <c r="C116" s="200" t="s">
        <v>40</v>
      </c>
      <c r="D116" s="201">
        <f>ROUND('Lighting RD'!F116,2)</f>
        <v>0.11</v>
      </c>
      <c r="E116" s="205" t="str">
        <f t="shared" si="12"/>
        <v>Sheet No. 129D-F</v>
      </c>
    </row>
    <row r="117" spans="1:5" x14ac:dyDescent="0.2">
      <c r="A117" s="194">
        <f t="shared" si="11"/>
        <v>111</v>
      </c>
      <c r="B117" s="199" t="s">
        <v>117</v>
      </c>
      <c r="C117" s="200" t="s">
        <v>39</v>
      </c>
      <c r="D117" s="201">
        <f>ROUND('Lighting RD'!F117,2)</f>
        <v>0.14000000000000001</v>
      </c>
      <c r="E117" s="205" t="str">
        <f t="shared" si="12"/>
        <v>Sheet No. 129D-F</v>
      </c>
    </row>
    <row r="118" spans="1:5" x14ac:dyDescent="0.2">
      <c r="A118" s="194">
        <f t="shared" si="11"/>
        <v>112</v>
      </c>
      <c r="B118" s="199" t="s">
        <v>117</v>
      </c>
      <c r="C118" s="200" t="s">
        <v>38</v>
      </c>
      <c r="D118" s="201">
        <f>ROUND('Lighting RD'!F118,2)</f>
        <v>0.16</v>
      </c>
      <c r="E118" s="205" t="str">
        <f t="shared" si="12"/>
        <v>Sheet No. 129D-F</v>
      </c>
    </row>
    <row r="119" spans="1:5" x14ac:dyDescent="0.2">
      <c r="A119" s="194">
        <f t="shared" si="11"/>
        <v>113</v>
      </c>
      <c r="B119" s="199" t="s">
        <v>117</v>
      </c>
      <c r="C119" s="200" t="s">
        <v>37</v>
      </c>
      <c r="D119" s="201">
        <f>ROUND('Lighting RD'!F119,2)</f>
        <v>0.18</v>
      </c>
      <c r="E119" s="205" t="str">
        <f t="shared" si="12"/>
        <v>Sheet No. 129D-F</v>
      </c>
    </row>
    <row r="120" spans="1:5" x14ac:dyDescent="0.2">
      <c r="A120" s="194">
        <f t="shared" si="11"/>
        <v>114</v>
      </c>
      <c r="B120" s="199" t="s">
        <v>117</v>
      </c>
      <c r="C120" s="200" t="s">
        <v>36</v>
      </c>
      <c r="D120" s="201">
        <f>ROUND('Lighting RD'!F120,2)</f>
        <v>0.2</v>
      </c>
      <c r="E120" s="205" t="str">
        <f t="shared" si="12"/>
        <v>Sheet No. 129D-F</v>
      </c>
    </row>
    <row r="121" spans="1:5" x14ac:dyDescent="0.2">
      <c r="A121" s="194">
        <f t="shared" si="11"/>
        <v>115</v>
      </c>
      <c r="B121" s="209"/>
      <c r="C121" s="200"/>
      <c r="D121" s="201"/>
      <c r="E121" s="204"/>
    </row>
    <row r="122" spans="1:5" ht="13.5" x14ac:dyDescent="0.35">
      <c r="A122" s="194">
        <f t="shared" si="11"/>
        <v>116</v>
      </c>
      <c r="B122" s="196" t="s">
        <v>28</v>
      </c>
      <c r="C122" s="200"/>
      <c r="D122" s="201"/>
      <c r="E122" s="204"/>
    </row>
    <row r="123" spans="1:5" x14ac:dyDescent="0.2">
      <c r="A123" s="194">
        <f t="shared" si="11"/>
        <v>117</v>
      </c>
      <c r="B123" s="199" t="s">
        <v>27</v>
      </c>
      <c r="C123" s="200" t="s">
        <v>116</v>
      </c>
      <c r="D123" s="210">
        <f>ROUND('Lighting RD'!$F$123,5)</f>
        <v>1.2999999999999999E-3</v>
      </c>
      <c r="E123" s="202" t="s">
        <v>161</v>
      </c>
    </row>
    <row r="124" spans="1:5" x14ac:dyDescent="0.2">
      <c r="A124" s="194">
        <f t="shared" si="11"/>
        <v>118</v>
      </c>
      <c r="B124" s="209"/>
      <c r="C124" s="200"/>
      <c r="D124" s="201"/>
      <c r="E124" s="204"/>
    </row>
    <row r="125" spans="1:5" ht="13.5" x14ac:dyDescent="0.35">
      <c r="A125" s="194">
        <f t="shared" si="11"/>
        <v>119</v>
      </c>
      <c r="B125" s="196" t="s">
        <v>49</v>
      </c>
      <c r="C125" s="200"/>
      <c r="D125" s="201"/>
      <c r="E125" s="204"/>
    </row>
    <row r="126" spans="1:5" x14ac:dyDescent="0.2">
      <c r="A126" s="194">
        <f t="shared" si="11"/>
        <v>120</v>
      </c>
      <c r="B126" s="199" t="s">
        <v>115</v>
      </c>
      <c r="C126" s="200">
        <v>70</v>
      </c>
      <c r="D126" s="201">
        <f>ROUND('Lighting RD'!F126,2)</f>
        <v>0.05</v>
      </c>
      <c r="E126" s="205" t="str">
        <f>E123</f>
        <v>Sheet No. 129D-F</v>
      </c>
    </row>
    <row r="127" spans="1:5" x14ac:dyDescent="0.2">
      <c r="A127" s="194">
        <f t="shared" si="11"/>
        <v>121</v>
      </c>
      <c r="B127" s="199" t="s">
        <v>115</v>
      </c>
      <c r="C127" s="200">
        <v>100</v>
      </c>
      <c r="D127" s="201">
        <f>ROUND('Lighting RD'!F127,2)</f>
        <v>7.0000000000000007E-2</v>
      </c>
      <c r="E127" s="205" t="str">
        <f>$E$126</f>
        <v>Sheet No. 129D-F</v>
      </c>
    </row>
    <row r="128" spans="1:5" x14ac:dyDescent="0.2">
      <c r="A128" s="194">
        <f t="shared" si="11"/>
        <v>122</v>
      </c>
      <c r="B128" s="199" t="s">
        <v>115</v>
      </c>
      <c r="C128" s="200">
        <v>150</v>
      </c>
      <c r="D128" s="201">
        <f>ROUND('Lighting RD'!F128,2)</f>
        <v>0.1</v>
      </c>
      <c r="E128" s="205" t="str">
        <f>$E$126</f>
        <v>Sheet No. 129D-F</v>
      </c>
    </row>
    <row r="129" spans="1:5" x14ac:dyDescent="0.2">
      <c r="A129" s="194">
        <f t="shared" si="11"/>
        <v>123</v>
      </c>
      <c r="B129" s="199" t="s">
        <v>115</v>
      </c>
      <c r="C129" s="200">
        <v>200</v>
      </c>
      <c r="D129" s="201">
        <f>ROUND('Lighting RD'!F129,2)</f>
        <v>0.14000000000000001</v>
      </c>
      <c r="E129" s="205" t="str">
        <f>$E$126</f>
        <v>Sheet No. 129D-F</v>
      </c>
    </row>
    <row r="130" spans="1:5" x14ac:dyDescent="0.2">
      <c r="A130" s="194">
        <f t="shared" si="11"/>
        <v>124</v>
      </c>
      <c r="B130" s="199" t="s">
        <v>115</v>
      </c>
      <c r="C130" s="200">
        <v>250</v>
      </c>
      <c r="D130" s="201">
        <f>ROUND('Lighting RD'!F130,2)</f>
        <v>0.17</v>
      </c>
      <c r="E130" s="205" t="str">
        <f>$E$126</f>
        <v>Sheet No. 129D-F</v>
      </c>
    </row>
    <row r="131" spans="1:5" x14ac:dyDescent="0.2">
      <c r="A131" s="194">
        <f t="shared" si="11"/>
        <v>125</v>
      </c>
      <c r="B131" s="199" t="s">
        <v>115</v>
      </c>
      <c r="C131" s="200">
        <v>400</v>
      </c>
      <c r="D131" s="201">
        <f>ROUND('Lighting RD'!F131,2)</f>
        <v>0.28000000000000003</v>
      </c>
      <c r="E131" s="205" t="str">
        <f>$E$126</f>
        <v>Sheet No. 129D-F</v>
      </c>
    </row>
    <row r="132" spans="1:5" x14ac:dyDescent="0.2">
      <c r="A132" s="194">
        <f t="shared" si="11"/>
        <v>126</v>
      </c>
      <c r="B132" s="209"/>
      <c r="C132" s="200"/>
      <c r="D132" s="201"/>
      <c r="E132" s="204"/>
    </row>
    <row r="133" spans="1:5" x14ac:dyDescent="0.2">
      <c r="A133" s="194">
        <f t="shared" si="11"/>
        <v>127</v>
      </c>
      <c r="B133" s="199" t="s">
        <v>114</v>
      </c>
      <c r="C133" s="200">
        <v>100</v>
      </c>
      <c r="D133" s="201">
        <f>ROUND('Lighting RD'!F133,2)</f>
        <v>7.0000000000000007E-2</v>
      </c>
      <c r="E133" s="202" t="s">
        <v>162</v>
      </c>
    </row>
    <row r="134" spans="1:5" x14ac:dyDescent="0.2">
      <c r="A134" s="194">
        <f t="shared" si="11"/>
        <v>128</v>
      </c>
      <c r="B134" s="199" t="s">
        <v>114</v>
      </c>
      <c r="C134" s="200">
        <v>150</v>
      </c>
      <c r="D134" s="201">
        <f>ROUND('Lighting RD'!F134,2)</f>
        <v>0.1</v>
      </c>
      <c r="E134" s="205" t="str">
        <f>E133</f>
        <v>Sheet No. 129D-G</v>
      </c>
    </row>
    <row r="135" spans="1:5" x14ac:dyDescent="0.2">
      <c r="A135" s="194">
        <f t="shared" si="11"/>
        <v>129</v>
      </c>
      <c r="B135" s="199" t="s">
        <v>114</v>
      </c>
      <c r="C135" s="200">
        <v>200</v>
      </c>
      <c r="D135" s="201">
        <f>ROUND('Lighting RD'!F135,2)</f>
        <v>0.14000000000000001</v>
      </c>
      <c r="E135" s="205" t="str">
        <f t="shared" ref="E135:E137" si="13">E134</f>
        <v>Sheet No. 129D-G</v>
      </c>
    </row>
    <row r="136" spans="1:5" x14ac:dyDescent="0.2">
      <c r="A136" s="194">
        <f t="shared" ref="A136:A162" si="14">A135+1</f>
        <v>130</v>
      </c>
      <c r="B136" s="199" t="s">
        <v>114</v>
      </c>
      <c r="C136" s="200">
        <v>250</v>
      </c>
      <c r="D136" s="201">
        <f>ROUND('Lighting RD'!F136,2)</f>
        <v>0.17</v>
      </c>
      <c r="E136" s="205" t="str">
        <f t="shared" si="13"/>
        <v>Sheet No. 129D-G</v>
      </c>
    </row>
    <row r="137" spans="1:5" x14ac:dyDescent="0.2">
      <c r="A137" s="194">
        <f t="shared" si="14"/>
        <v>131</v>
      </c>
      <c r="B137" s="199" t="s">
        <v>114</v>
      </c>
      <c r="C137" s="200">
        <v>400</v>
      </c>
      <c r="D137" s="201">
        <f>ROUND('Lighting RD'!F137,2)</f>
        <v>0.28000000000000003</v>
      </c>
      <c r="E137" s="205" t="str">
        <f t="shared" si="13"/>
        <v>Sheet No. 129D-G</v>
      </c>
    </row>
    <row r="138" spans="1:5" x14ac:dyDescent="0.2">
      <c r="A138" s="194">
        <f t="shared" si="14"/>
        <v>132</v>
      </c>
      <c r="B138" s="209"/>
      <c r="C138" s="200"/>
      <c r="D138" s="201"/>
      <c r="E138" s="204"/>
    </row>
    <row r="139" spans="1:5" x14ac:dyDescent="0.2">
      <c r="A139" s="194">
        <f t="shared" si="14"/>
        <v>133</v>
      </c>
      <c r="B139" s="199" t="s">
        <v>113</v>
      </c>
      <c r="C139" s="200">
        <v>175</v>
      </c>
      <c r="D139" s="201">
        <f>ROUND('Lighting RD'!F139,2)</f>
        <v>0.12</v>
      </c>
      <c r="E139" s="205" t="str">
        <f>E137</f>
        <v>Sheet No. 129D-G</v>
      </c>
    </row>
    <row r="140" spans="1:5" x14ac:dyDescent="0.2">
      <c r="A140" s="194">
        <f t="shared" si="14"/>
        <v>134</v>
      </c>
      <c r="B140" s="199" t="s">
        <v>113</v>
      </c>
      <c r="C140" s="200">
        <v>250</v>
      </c>
      <c r="D140" s="201">
        <f>ROUND('Lighting RD'!F140,2)</f>
        <v>0.17</v>
      </c>
      <c r="E140" s="205" t="str">
        <f>E139</f>
        <v>Sheet No. 129D-G</v>
      </c>
    </row>
    <row r="141" spans="1:5" x14ac:dyDescent="0.2">
      <c r="A141" s="194">
        <f t="shared" si="14"/>
        <v>135</v>
      </c>
      <c r="B141" s="199" t="s">
        <v>113</v>
      </c>
      <c r="C141" s="200">
        <v>400</v>
      </c>
      <c r="D141" s="201">
        <f>ROUND('Lighting RD'!F141,2)</f>
        <v>0.28000000000000003</v>
      </c>
      <c r="E141" s="205" t="str">
        <f t="shared" ref="E141:E142" si="15">E140</f>
        <v>Sheet No. 129D-G</v>
      </c>
    </row>
    <row r="142" spans="1:5" x14ac:dyDescent="0.2">
      <c r="A142" s="194">
        <f t="shared" si="14"/>
        <v>136</v>
      </c>
      <c r="B142" s="199" t="s">
        <v>113</v>
      </c>
      <c r="C142" s="200">
        <v>1000</v>
      </c>
      <c r="D142" s="201">
        <f>ROUND('Lighting RD'!F142,2)</f>
        <v>0.7</v>
      </c>
      <c r="E142" s="205" t="str">
        <f t="shared" si="15"/>
        <v>Sheet No. 129D-G</v>
      </c>
    </row>
    <row r="143" spans="1:5" x14ac:dyDescent="0.2">
      <c r="A143" s="194">
        <f t="shared" si="14"/>
        <v>137</v>
      </c>
      <c r="B143" s="209"/>
      <c r="C143" s="200"/>
      <c r="D143" s="201"/>
      <c r="E143" s="204"/>
    </row>
    <row r="144" spans="1:5" x14ac:dyDescent="0.2">
      <c r="A144" s="194">
        <f t="shared" si="14"/>
        <v>138</v>
      </c>
      <c r="B144" s="199" t="s">
        <v>112</v>
      </c>
      <c r="C144" s="200">
        <v>250</v>
      </c>
      <c r="D144" s="201">
        <f>ROUND('Lighting RD'!F144,2)</f>
        <v>0.17</v>
      </c>
      <c r="E144" s="205" t="str">
        <f>E142</f>
        <v>Sheet No. 129D-G</v>
      </c>
    </row>
    <row r="145" spans="1:5" x14ac:dyDescent="0.2">
      <c r="A145" s="194">
        <f t="shared" si="14"/>
        <v>139</v>
      </c>
      <c r="B145" s="199" t="s">
        <v>112</v>
      </c>
      <c r="C145" s="200">
        <v>400</v>
      </c>
      <c r="D145" s="201">
        <f>ROUND('Lighting RD'!F145,2)</f>
        <v>0.28000000000000003</v>
      </c>
      <c r="E145" s="205" t="str">
        <f>E144</f>
        <v>Sheet No. 129D-G</v>
      </c>
    </row>
    <row r="146" spans="1:5" x14ac:dyDescent="0.2">
      <c r="A146" s="194">
        <f t="shared" si="14"/>
        <v>140</v>
      </c>
      <c r="B146" s="209"/>
      <c r="C146" s="200"/>
      <c r="D146" s="201"/>
      <c r="E146" s="204"/>
    </row>
    <row r="147" spans="1:5" x14ac:dyDescent="0.2">
      <c r="A147" s="194">
        <f t="shared" si="14"/>
        <v>141</v>
      </c>
      <c r="B147" s="199" t="s">
        <v>111</v>
      </c>
      <c r="C147" s="198" t="s">
        <v>68</v>
      </c>
      <c r="D147" s="201">
        <f>ROUND('Lighting RD'!F147,2)</f>
        <v>0.01</v>
      </c>
      <c r="E147" s="202" t="s">
        <v>163</v>
      </c>
    </row>
    <row r="148" spans="1:5" x14ac:dyDescent="0.2">
      <c r="A148" s="194">
        <f t="shared" si="14"/>
        <v>142</v>
      </c>
      <c r="B148" s="199" t="s">
        <v>111</v>
      </c>
      <c r="C148" s="207" t="s">
        <v>69</v>
      </c>
      <c r="D148" s="201">
        <f>ROUND('Lighting RD'!F148,2)</f>
        <v>0.03</v>
      </c>
      <c r="E148" s="205" t="str">
        <f t="shared" ref="E148:E162" si="16">$E$147</f>
        <v>Sheet No. 129D-H</v>
      </c>
    </row>
    <row r="149" spans="1:5" x14ac:dyDescent="0.2">
      <c r="A149" s="194">
        <f t="shared" si="14"/>
        <v>143</v>
      </c>
      <c r="B149" s="199" t="s">
        <v>111</v>
      </c>
      <c r="C149" s="200" t="s">
        <v>43</v>
      </c>
      <c r="D149" s="201">
        <f>ROUND('Lighting RD'!F149,2)</f>
        <v>0.05</v>
      </c>
      <c r="E149" s="205" t="str">
        <f t="shared" si="16"/>
        <v>Sheet No. 129D-H</v>
      </c>
    </row>
    <row r="150" spans="1:5" x14ac:dyDescent="0.2">
      <c r="A150" s="194">
        <f t="shared" si="14"/>
        <v>144</v>
      </c>
      <c r="B150" s="199" t="s">
        <v>111</v>
      </c>
      <c r="C150" s="200" t="s">
        <v>42</v>
      </c>
      <c r="D150" s="201">
        <f>ROUND('Lighting RD'!F150,2)</f>
        <v>7.0000000000000007E-2</v>
      </c>
      <c r="E150" s="205" t="str">
        <f t="shared" si="16"/>
        <v>Sheet No. 129D-H</v>
      </c>
    </row>
    <row r="151" spans="1:5" x14ac:dyDescent="0.2">
      <c r="A151" s="194">
        <f t="shared" si="14"/>
        <v>145</v>
      </c>
      <c r="B151" s="199" t="s">
        <v>111</v>
      </c>
      <c r="C151" s="200" t="s">
        <v>41</v>
      </c>
      <c r="D151" s="201">
        <f>ROUND('Lighting RD'!F151,2)</f>
        <v>0.09</v>
      </c>
      <c r="E151" s="205" t="str">
        <f t="shared" si="16"/>
        <v>Sheet No. 129D-H</v>
      </c>
    </row>
    <row r="152" spans="1:5" x14ac:dyDescent="0.2">
      <c r="A152" s="194">
        <f t="shared" si="14"/>
        <v>146</v>
      </c>
      <c r="B152" s="199" t="s">
        <v>111</v>
      </c>
      <c r="C152" s="200" t="s">
        <v>40</v>
      </c>
      <c r="D152" s="201">
        <f>ROUND('Lighting RD'!F152,2)</f>
        <v>0.11</v>
      </c>
      <c r="E152" s="205" t="str">
        <f t="shared" si="16"/>
        <v>Sheet No. 129D-H</v>
      </c>
    </row>
    <row r="153" spans="1:5" x14ac:dyDescent="0.2">
      <c r="A153" s="194">
        <f t="shared" si="14"/>
        <v>147</v>
      </c>
      <c r="B153" s="199" t="s">
        <v>111</v>
      </c>
      <c r="C153" s="200" t="s">
        <v>39</v>
      </c>
      <c r="D153" s="201">
        <f>ROUND('Lighting RD'!F153,2)</f>
        <v>0.14000000000000001</v>
      </c>
      <c r="E153" s="205" t="str">
        <f t="shared" si="16"/>
        <v>Sheet No. 129D-H</v>
      </c>
    </row>
    <row r="154" spans="1:5" x14ac:dyDescent="0.2">
      <c r="A154" s="194">
        <f t="shared" si="14"/>
        <v>148</v>
      </c>
      <c r="B154" s="199" t="s">
        <v>111</v>
      </c>
      <c r="C154" s="200" t="s">
        <v>38</v>
      </c>
      <c r="D154" s="201">
        <f>ROUND('Lighting RD'!F154,2)</f>
        <v>0.16</v>
      </c>
      <c r="E154" s="205" t="str">
        <f t="shared" si="16"/>
        <v>Sheet No. 129D-H</v>
      </c>
    </row>
    <row r="155" spans="1:5" x14ac:dyDescent="0.2">
      <c r="A155" s="194">
        <f t="shared" si="14"/>
        <v>149</v>
      </c>
      <c r="B155" s="199" t="s">
        <v>111</v>
      </c>
      <c r="C155" s="200" t="s">
        <v>37</v>
      </c>
      <c r="D155" s="201">
        <f>ROUND('Lighting RD'!F155,2)</f>
        <v>0.18</v>
      </c>
      <c r="E155" s="205" t="str">
        <f t="shared" si="16"/>
        <v>Sheet No. 129D-H</v>
      </c>
    </row>
    <row r="156" spans="1:5" x14ac:dyDescent="0.2">
      <c r="A156" s="194">
        <f t="shared" si="14"/>
        <v>150</v>
      </c>
      <c r="B156" s="199" t="s">
        <v>111</v>
      </c>
      <c r="C156" s="200" t="s">
        <v>36</v>
      </c>
      <c r="D156" s="201">
        <f>ROUND('Lighting RD'!F156,2)</f>
        <v>0.2</v>
      </c>
      <c r="E156" s="205" t="str">
        <f t="shared" si="16"/>
        <v>Sheet No. 129D-H</v>
      </c>
    </row>
    <row r="157" spans="1:5" x14ac:dyDescent="0.2">
      <c r="A157" s="194">
        <f t="shared" si="14"/>
        <v>151</v>
      </c>
      <c r="B157" s="199" t="s">
        <v>111</v>
      </c>
      <c r="C157" s="200" t="s">
        <v>35</v>
      </c>
      <c r="D157" s="201">
        <f>ROUND('Lighting RD'!F157,2)</f>
        <v>0.24</v>
      </c>
      <c r="E157" s="205" t="str">
        <f t="shared" si="16"/>
        <v>Sheet No. 129D-H</v>
      </c>
    </row>
    <row r="158" spans="1:5" x14ac:dyDescent="0.2">
      <c r="A158" s="194">
        <f t="shared" si="14"/>
        <v>152</v>
      </c>
      <c r="B158" s="199" t="s">
        <v>111</v>
      </c>
      <c r="C158" s="200" t="s">
        <v>34</v>
      </c>
      <c r="D158" s="201">
        <f>ROUND('Lighting RD'!F158,2)</f>
        <v>0.31</v>
      </c>
      <c r="E158" s="205" t="str">
        <f t="shared" si="16"/>
        <v>Sheet No. 129D-H</v>
      </c>
    </row>
    <row r="159" spans="1:5" x14ac:dyDescent="0.2">
      <c r="A159" s="194">
        <f t="shared" si="14"/>
        <v>153</v>
      </c>
      <c r="B159" s="199" t="s">
        <v>111</v>
      </c>
      <c r="C159" s="200" t="s">
        <v>33</v>
      </c>
      <c r="D159" s="201">
        <f>ROUND('Lighting RD'!F159,2)</f>
        <v>0.38</v>
      </c>
      <c r="E159" s="205" t="str">
        <f t="shared" si="16"/>
        <v>Sheet No. 129D-H</v>
      </c>
    </row>
    <row r="160" spans="1:5" x14ac:dyDescent="0.2">
      <c r="A160" s="194">
        <f t="shared" si="14"/>
        <v>154</v>
      </c>
      <c r="B160" s="199" t="s">
        <v>111</v>
      </c>
      <c r="C160" s="200" t="s">
        <v>32</v>
      </c>
      <c r="D160" s="201">
        <f>ROUND('Lighting RD'!F160,2)</f>
        <v>0.45</v>
      </c>
      <c r="E160" s="205" t="str">
        <f t="shared" si="16"/>
        <v>Sheet No. 129D-H</v>
      </c>
    </row>
    <row r="161" spans="1:13" x14ac:dyDescent="0.2">
      <c r="A161" s="194">
        <f t="shared" si="14"/>
        <v>155</v>
      </c>
      <c r="B161" s="199" t="s">
        <v>111</v>
      </c>
      <c r="C161" s="200" t="s">
        <v>31</v>
      </c>
      <c r="D161" s="201">
        <f>ROUND('Lighting RD'!F161,2)</f>
        <v>0.52</v>
      </c>
      <c r="E161" s="205" t="str">
        <f t="shared" si="16"/>
        <v>Sheet No. 129D-H</v>
      </c>
    </row>
    <row r="162" spans="1:13" x14ac:dyDescent="0.2">
      <c r="A162" s="194">
        <f t="shared" si="14"/>
        <v>156</v>
      </c>
      <c r="B162" s="199" t="s">
        <v>111</v>
      </c>
      <c r="C162" s="200" t="s">
        <v>29</v>
      </c>
      <c r="D162" s="201">
        <f>ROUND('Lighting RD'!F162,2)</f>
        <v>0.59</v>
      </c>
      <c r="E162" s="205" t="str">
        <f t="shared" si="16"/>
        <v>Sheet No. 129D-H</v>
      </c>
    </row>
    <row r="163" spans="1:13" x14ac:dyDescent="0.2">
      <c r="A163" s="194"/>
    </row>
    <row r="164" spans="1:13" x14ac:dyDescent="0.2">
      <c r="A164" s="194"/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</row>
  </sheetData>
  <pageMargins left="0.7" right="0.7" top="0.75" bottom="0.75" header="0.3" footer="0.3"/>
  <pageSetup orientation="portrait" r:id="rId1"/>
  <headerFooter>
    <oddHeader>&amp;RElectric Schedule 120 Rate Design Workpapers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5"/>
  <sheetViews>
    <sheetView workbookViewId="0">
      <selection activeCell="I31" sqref="I31"/>
    </sheetView>
  </sheetViews>
  <sheetFormatPr defaultColWidth="9.140625" defaultRowHeight="11.25" x14ac:dyDescent="0.2"/>
  <cols>
    <col min="1" max="1" width="5.7109375" style="12" customWidth="1"/>
    <col min="2" max="2" width="45.7109375" style="12" bestFit="1" customWidth="1"/>
    <col min="3" max="3" width="14.42578125" style="10" bestFit="1" customWidth="1"/>
    <col min="4" max="4" width="15.42578125" style="37" customWidth="1"/>
    <col min="5" max="5" width="10.5703125" style="37" customWidth="1"/>
    <col min="6" max="6" width="11.140625" style="12" customWidth="1"/>
    <col min="7" max="7" width="14" style="12" customWidth="1"/>
    <col min="8" max="8" width="15" style="12" customWidth="1"/>
    <col min="9" max="9" width="11.85546875" style="37" customWidth="1"/>
    <col min="10" max="10" width="7.7109375" style="37" customWidth="1"/>
    <col min="11" max="11" width="9.5703125" style="19" bestFit="1" customWidth="1"/>
    <col min="12" max="12" width="9.85546875" style="12" bestFit="1" customWidth="1"/>
    <col min="13" max="13" width="12" style="12" bestFit="1" customWidth="1"/>
    <col min="14" max="14" width="6.85546875" style="12" bestFit="1" customWidth="1"/>
    <col min="15" max="16" width="14" style="12" bestFit="1" customWidth="1"/>
    <col min="17" max="16384" width="9.140625" style="12"/>
  </cols>
  <sheetData>
    <row r="1" spans="1:15" s="7" customFormat="1" x14ac:dyDescent="0.2">
      <c r="A1" s="245" t="str">
        <f>'Sch 129D Rates'!A2</f>
        <v>Schedule 129D Bill Discount Rider Rate</v>
      </c>
      <c r="B1" s="246"/>
      <c r="C1" s="246"/>
      <c r="D1" s="246"/>
      <c r="E1" s="246"/>
      <c r="F1" s="246"/>
      <c r="G1" s="246"/>
      <c r="H1" s="246"/>
      <c r="I1" s="246"/>
      <c r="J1" s="246"/>
      <c r="K1" s="129"/>
    </row>
    <row r="2" spans="1:15" s="7" customFormat="1" x14ac:dyDescent="0.2">
      <c r="A2" s="247" t="s">
        <v>13</v>
      </c>
      <c r="B2" s="248"/>
      <c r="C2" s="248"/>
      <c r="D2" s="248"/>
      <c r="E2" s="248"/>
      <c r="F2" s="248"/>
      <c r="G2" s="248"/>
      <c r="H2" s="248"/>
      <c r="I2" s="248"/>
      <c r="J2" s="248"/>
      <c r="K2" s="129"/>
    </row>
    <row r="3" spans="1:15" s="7" customFormat="1" x14ac:dyDescent="0.2">
      <c r="A3" s="247" t="str">
        <f>"For the Twelve Months Ended "&amp;TEXT(Inputs!B2,"mmmm d, yyyy")</f>
        <v>For the Twelve Months Ended December 31, 2025</v>
      </c>
      <c r="B3" s="248"/>
      <c r="C3" s="248"/>
      <c r="D3" s="248"/>
      <c r="E3" s="248"/>
      <c r="F3" s="248"/>
      <c r="G3" s="248"/>
      <c r="H3" s="248"/>
      <c r="I3" s="248"/>
      <c r="J3" s="248"/>
      <c r="K3" s="129"/>
    </row>
    <row r="4" spans="1:15" s="7" customFormat="1" x14ac:dyDescent="0.2">
      <c r="A4" s="68"/>
      <c r="B4" s="6"/>
      <c r="C4" s="6"/>
      <c r="D4" s="69"/>
      <c r="E4" s="69"/>
      <c r="F4" s="6"/>
      <c r="G4" s="6"/>
      <c r="H4" s="6"/>
      <c r="I4" s="69"/>
      <c r="J4" s="69"/>
      <c r="K4" s="129"/>
    </row>
    <row r="5" spans="1:15" s="8" customFormat="1" ht="45" x14ac:dyDescent="0.2">
      <c r="A5" s="144" t="s">
        <v>1</v>
      </c>
      <c r="B5" s="145" t="s">
        <v>14</v>
      </c>
      <c r="C5" s="145" t="s">
        <v>0</v>
      </c>
      <c r="D5" s="212" t="str">
        <f>Inputs!B4&amp;" Forecast Delivered kWh "&amp;TEXT(Inputs!B1,"MM/DD/YY")&amp;" through "&amp;TEXT(Inputs!B2,"MM/DD/YY")</f>
        <v>F2024 Forecast Delivered kWh 01/01/25 through 12/31/25</v>
      </c>
      <c r="E5" s="5" t="s">
        <v>182</v>
      </c>
      <c r="F5" s="5" t="s">
        <v>174</v>
      </c>
      <c r="G5" s="131" t="s">
        <v>175</v>
      </c>
      <c r="H5" s="212" t="s">
        <v>176</v>
      </c>
      <c r="I5" s="249" t="s">
        <v>177</v>
      </c>
      <c r="J5" s="249"/>
      <c r="K5" s="128" t="s">
        <v>184</v>
      </c>
    </row>
    <row r="6" spans="1:15" s="9" customFormat="1" x14ac:dyDescent="0.2">
      <c r="A6" s="146"/>
      <c r="B6" s="147"/>
      <c r="C6" s="147"/>
      <c r="D6" s="213" t="s">
        <v>88</v>
      </c>
      <c r="E6" s="214" t="s">
        <v>87</v>
      </c>
      <c r="F6" s="215" t="s">
        <v>86</v>
      </c>
      <c r="G6" s="132" t="s">
        <v>85</v>
      </c>
      <c r="H6" s="133" t="s">
        <v>178</v>
      </c>
      <c r="I6" s="147" t="s">
        <v>179</v>
      </c>
      <c r="J6" s="147" t="s">
        <v>180</v>
      </c>
      <c r="K6" s="128"/>
    </row>
    <row r="7" spans="1:15" x14ac:dyDescent="0.2">
      <c r="A7" s="39"/>
      <c r="O7" s="37"/>
    </row>
    <row r="8" spans="1:15" x14ac:dyDescent="0.2">
      <c r="A8" s="39">
        <v>1</v>
      </c>
      <c r="B8" s="216" t="str">
        <f>'Sch 129D Rates'!B11</f>
        <v>Residential</v>
      </c>
      <c r="C8" s="74" t="str">
        <f>'Sch 129D Rates'!C11</f>
        <v>7 (307) (317) (327)</v>
      </c>
      <c r="D8" s="135">
        <f>+'Rate Spread and Design'!D7</f>
        <v>11319130621.398149</v>
      </c>
      <c r="E8" s="136">
        <v>6.0700000000000001E-4</v>
      </c>
      <c r="F8" s="136">
        <f>ROUND(+'Rate Spread and Design'!F7,6)</f>
        <v>7.7700000000000002E-4</v>
      </c>
      <c r="G8" s="137">
        <v>1642575640.1241922</v>
      </c>
      <c r="H8" s="138">
        <f>G8+D8*(F8-E8)</f>
        <v>1644499892.3298299</v>
      </c>
      <c r="I8" s="138">
        <f>H8-G8</f>
        <v>1924252.2056376934</v>
      </c>
      <c r="J8" s="139">
        <f>I8/G8</f>
        <v>1.1714846845605261E-3</v>
      </c>
      <c r="K8" s="130">
        <f>F8-ROUND('Rate Spread and Design'!F7,6)</f>
        <v>0</v>
      </c>
      <c r="M8" s="149"/>
      <c r="O8" s="37"/>
    </row>
    <row r="9" spans="1:15" x14ac:dyDescent="0.2">
      <c r="A9" s="39">
        <f>+A8+1</f>
        <v>2</v>
      </c>
      <c r="B9" s="13"/>
      <c r="D9" s="40"/>
      <c r="E9" s="41"/>
      <c r="F9" s="44"/>
      <c r="G9" s="44"/>
      <c r="H9" s="42"/>
      <c r="I9" s="14"/>
      <c r="J9" s="14"/>
      <c r="K9" s="130">
        <f>F9-ROUND('Rate Spread and Design'!F8,6)</f>
        <v>0</v>
      </c>
      <c r="M9" s="149"/>
      <c r="O9" s="37"/>
    </row>
    <row r="10" spans="1:15" x14ac:dyDescent="0.2">
      <c r="A10" s="39">
        <f t="shared" ref="A10:A42" si="0">+A9+1</f>
        <v>3</v>
      </c>
      <c r="B10" s="217" t="str">
        <f>'Sch 129D Rates'!B14</f>
        <v>General Service: Demand &lt;= 50 kW</v>
      </c>
      <c r="C10" s="74" t="str">
        <f>'Sch 129D Rates'!C14</f>
        <v>08 (24) (324)</v>
      </c>
      <c r="D10" s="40">
        <f>+'Rate Spread and Design'!D9</f>
        <v>2693210047.3914232</v>
      </c>
      <c r="E10" s="70">
        <v>5.5900000000000004E-4</v>
      </c>
      <c r="F10" s="70">
        <f>ROUND(+'Rate Spread and Design'!F9,6)</f>
        <v>7.3200000000000001E-4</v>
      </c>
      <c r="G10" s="41">
        <v>383411809.18099695</v>
      </c>
      <c r="H10" s="14">
        <f>G10+D10*(F10-E10)</f>
        <v>383877734.51919568</v>
      </c>
      <c r="I10" s="14">
        <f>H10-G10</f>
        <v>465925.33819872141</v>
      </c>
      <c r="J10" s="134">
        <f>I10/G10</f>
        <v>1.2152086269694743E-3</v>
      </c>
      <c r="K10" s="130">
        <f>F10-ROUND('Rate Spread and Design'!F9,6)</f>
        <v>0</v>
      </c>
      <c r="M10" s="149"/>
      <c r="O10" s="37"/>
    </row>
    <row r="11" spans="1:15" x14ac:dyDescent="0.2">
      <c r="A11" s="39">
        <f t="shared" si="0"/>
        <v>4</v>
      </c>
      <c r="B11" s="217" t="str">
        <f>'Sch 129D Rates'!B15</f>
        <v>Small General Service: Demand &gt; 50 kW but &lt;= 350 kW</v>
      </c>
      <c r="C11" s="74" t="str">
        <f>'Sch 129D Rates'!C15</f>
        <v>7A (11) (25)</v>
      </c>
      <c r="D11" s="40">
        <f>+'Rate Spread and Design'!D10</f>
        <v>2971751015.5674863</v>
      </c>
      <c r="E11" s="70">
        <v>5.1999999999999995E-4</v>
      </c>
      <c r="F11" s="70">
        <f>ROUND(+'Rate Spread and Design'!F10,6)</f>
        <v>6.69E-4</v>
      </c>
      <c r="G11" s="41">
        <v>396039264.11994725</v>
      </c>
      <c r="H11" s="14">
        <f>G11+D11*(F11-E11)</f>
        <v>396482055.02126682</v>
      </c>
      <c r="I11" s="14">
        <f>H11-G11</f>
        <v>442790.90131956339</v>
      </c>
      <c r="J11" s="134">
        <f>I11/G11</f>
        <v>1.1180479852256685E-3</v>
      </c>
      <c r="K11" s="130">
        <f>F11-ROUND('Rate Spread and Design'!F10,6)</f>
        <v>0</v>
      </c>
      <c r="M11" s="149"/>
      <c r="O11" s="37"/>
    </row>
    <row r="12" spans="1:15" x14ac:dyDescent="0.2">
      <c r="A12" s="39">
        <f t="shared" si="0"/>
        <v>5</v>
      </c>
      <c r="B12" s="217" t="str">
        <f>'Sch 129D Rates'!B16</f>
        <v>Large General Service: Demand &gt; 350 kW</v>
      </c>
      <c r="C12" s="74" t="str">
        <f>'Sch 129D Rates'!C16</f>
        <v>12 (26) (26P)</v>
      </c>
      <c r="D12" s="40">
        <f>+'Rate Spread and Design'!D11</f>
        <v>2037371160.2613628</v>
      </c>
      <c r="E12" s="70">
        <v>4.7800000000000002E-4</v>
      </c>
      <c r="F12" s="70">
        <f>ROUND(+'Rate Spread and Design'!F11,6)</f>
        <v>6.1600000000000001E-4</v>
      </c>
      <c r="G12" s="41">
        <v>248391681.73746395</v>
      </c>
      <c r="H12" s="14">
        <f>G12+D12*(F12-E12)</f>
        <v>248672838.95758003</v>
      </c>
      <c r="I12" s="14">
        <f>H12-G12</f>
        <v>281157.22011607885</v>
      </c>
      <c r="J12" s="134">
        <f>I12/G12</f>
        <v>1.1319107715259411E-3</v>
      </c>
      <c r="K12" s="130">
        <f>F12-ROUND('Rate Spread and Design'!F11,6)</f>
        <v>0</v>
      </c>
      <c r="M12" s="149"/>
      <c r="O12" s="37"/>
    </row>
    <row r="13" spans="1:15" x14ac:dyDescent="0.2">
      <c r="A13" s="39">
        <f t="shared" si="0"/>
        <v>6</v>
      </c>
      <c r="B13" s="217" t="str">
        <f>'Sch 129D Rates'!B17</f>
        <v>Irrigation &amp; Pumping Service: Demand &gt; 50 kW but &lt;= 350 kW</v>
      </c>
      <c r="C13" s="74">
        <f>'Sch 129D Rates'!C17</f>
        <v>29</v>
      </c>
      <c r="D13" s="40">
        <f>+'Rate Spread and Design'!D12</f>
        <v>14436685.877551533</v>
      </c>
      <c r="E13" s="70">
        <v>4.9100000000000001E-4</v>
      </c>
      <c r="F13" s="70">
        <f>ROUND(+'Rate Spread and Design'!F12,6)</f>
        <v>6.2500000000000001E-4</v>
      </c>
      <c r="G13" s="41">
        <v>1754980.8617207329</v>
      </c>
      <c r="H13" s="14">
        <f>G13+D13*(F13-E13)</f>
        <v>1756915.3776283248</v>
      </c>
      <c r="I13" s="14">
        <f>H13-G13</f>
        <v>1934.5159075919073</v>
      </c>
      <c r="J13" s="134">
        <f>I13/G13</f>
        <v>1.1023002870214453E-3</v>
      </c>
      <c r="K13" s="130">
        <f>F13-ROUND('Rate Spread and Design'!F12,6)</f>
        <v>0</v>
      </c>
      <c r="M13" s="149"/>
      <c r="O13" s="37"/>
    </row>
    <row r="14" spans="1:15" x14ac:dyDescent="0.2">
      <c r="A14" s="39">
        <f t="shared" si="0"/>
        <v>7</v>
      </c>
      <c r="B14" s="217" t="str">
        <f>'Sch 129D Rates'!B18</f>
        <v>Total Secondary Voltage</v>
      </c>
      <c r="D14" s="140">
        <f>SUM(D10:D13)</f>
        <v>7716768909.0978241</v>
      </c>
      <c r="E14" s="138"/>
      <c r="F14" s="141"/>
      <c r="G14" s="143">
        <f>SUM(G10:G13)</f>
        <v>1029597735.9001288</v>
      </c>
      <c r="H14" s="143">
        <f t="shared" ref="H14:I14" si="1">SUM(H10:H13)</f>
        <v>1030789543.8756709</v>
      </c>
      <c r="I14" s="143">
        <f t="shared" si="1"/>
        <v>1191807.9755419556</v>
      </c>
      <c r="J14" s="139">
        <f>IF(G14=0,"n/a",+I14/G14)</f>
        <v>1.1575471992467173E-3</v>
      </c>
      <c r="K14" s="130"/>
      <c r="M14" s="149"/>
      <c r="O14" s="37"/>
    </row>
    <row r="15" spans="1:15" x14ac:dyDescent="0.2">
      <c r="A15" s="39">
        <f t="shared" si="0"/>
        <v>8</v>
      </c>
      <c r="B15" s="13"/>
      <c r="E15" s="14"/>
      <c r="F15" s="42"/>
      <c r="G15" s="44"/>
      <c r="H15" s="42"/>
      <c r="I15" s="14"/>
      <c r="J15" s="14"/>
      <c r="K15" s="130"/>
      <c r="M15" s="149"/>
      <c r="O15" s="37"/>
    </row>
    <row r="16" spans="1:15" x14ac:dyDescent="0.2">
      <c r="A16" s="39">
        <f t="shared" si="0"/>
        <v>9</v>
      </c>
      <c r="B16" s="218" t="str">
        <f>'Sch 129D Rates'!B21</f>
        <v>General Service</v>
      </c>
      <c r="C16" s="74" t="str">
        <f>'Sch 129D Rates'!C21</f>
        <v>10 (31)</v>
      </c>
      <c r="D16" s="40">
        <f>+'Rate Spread and Design'!D15</f>
        <v>1378502364.5436404</v>
      </c>
      <c r="E16" s="70">
        <v>4.6799999999999999E-4</v>
      </c>
      <c r="F16" s="70">
        <f>ROUND(+'Rate Spread and Design'!F15,6)</f>
        <v>6.0800000000000003E-4</v>
      </c>
      <c r="G16" s="41">
        <v>162575865.43602517</v>
      </c>
      <c r="H16" s="14">
        <f>G16+D16*(F16-E16)</f>
        <v>162768855.76706129</v>
      </c>
      <c r="I16" s="14">
        <f>H16-G16</f>
        <v>192990.33103612065</v>
      </c>
      <c r="J16" s="134">
        <f>I16/G16</f>
        <v>1.1870786018485862E-3</v>
      </c>
      <c r="K16" s="130">
        <f>F16-ROUND('Rate Spread and Design'!F15,6)</f>
        <v>0</v>
      </c>
      <c r="M16" s="149"/>
      <c r="O16" s="37"/>
    </row>
    <row r="17" spans="1:15" x14ac:dyDescent="0.2">
      <c r="A17" s="39">
        <f t="shared" si="0"/>
        <v>10</v>
      </c>
      <c r="B17" s="218" t="str">
        <f>'Sch 129D Rates'!B22</f>
        <v>Irrigation &amp; Pumping Service</v>
      </c>
      <c r="C17" s="74">
        <f>'Sch 129D Rates'!C22</f>
        <v>35</v>
      </c>
      <c r="D17" s="40">
        <f>+'Rate Spread and Design'!D16</f>
        <v>5934926.6636967957</v>
      </c>
      <c r="E17" s="70">
        <v>3.88E-4</v>
      </c>
      <c r="F17" s="70">
        <f>ROUND(+'Rate Spread and Design'!F16,6)</f>
        <v>4.5899999999999999E-4</v>
      </c>
      <c r="G17" s="41">
        <v>568549.99044456286</v>
      </c>
      <c r="H17" s="14">
        <f>G17+D17*(F17-E17)</f>
        <v>568971.37023768539</v>
      </c>
      <c r="I17" s="14">
        <f>H17-G17</f>
        <v>421.37979312252719</v>
      </c>
      <c r="J17" s="134">
        <f>I17/G17</f>
        <v>7.411481843365088E-4</v>
      </c>
      <c r="K17" s="130">
        <f>F17-ROUND('Rate Spread and Design'!F16,6)</f>
        <v>0</v>
      </c>
      <c r="M17" s="149"/>
      <c r="O17" s="37"/>
    </row>
    <row r="18" spans="1:15" x14ac:dyDescent="0.2">
      <c r="A18" s="39">
        <f t="shared" si="0"/>
        <v>11</v>
      </c>
      <c r="B18" s="218" t="str">
        <f>'Sch 129D Rates'!B23</f>
        <v>All Electric Schools</v>
      </c>
      <c r="C18" s="74">
        <f>'Sch 129D Rates'!C23</f>
        <v>43</v>
      </c>
      <c r="D18" s="40">
        <f>+'Rate Spread and Design'!D17</f>
        <v>109828264.79087074</v>
      </c>
      <c r="E18" s="70">
        <v>4.7899999999999999E-4</v>
      </c>
      <c r="F18" s="70">
        <f>ROUND(+'Rate Spread and Design'!F17,6)</f>
        <v>6.4899999999999995E-4</v>
      </c>
      <c r="G18" s="41">
        <v>13034472.310765376</v>
      </c>
      <c r="H18" s="14">
        <f>G18+D18*(F18-E18)</f>
        <v>13053143.115779825</v>
      </c>
      <c r="I18" s="14">
        <f>H18-G18</f>
        <v>18670.80501444824</v>
      </c>
      <c r="J18" s="134">
        <f>I18/G18</f>
        <v>1.4324174058836067E-3</v>
      </c>
      <c r="K18" s="130">
        <f>F18-ROUND('Rate Spread and Design'!F17,6)</f>
        <v>0</v>
      </c>
      <c r="M18" s="149"/>
      <c r="O18" s="37"/>
    </row>
    <row r="19" spans="1:15" x14ac:dyDescent="0.2">
      <c r="A19" s="39">
        <f t="shared" si="0"/>
        <v>12</v>
      </c>
      <c r="B19" s="218" t="str">
        <f>'Sch 129D Rates'!B24</f>
        <v>Total Primary Voltage</v>
      </c>
      <c r="D19" s="140">
        <f>SUM(D16:D18)</f>
        <v>1494265555.9982078</v>
      </c>
      <c r="E19" s="138"/>
      <c r="F19" s="142"/>
      <c r="G19" s="143">
        <f>SUM(G16:G18)</f>
        <v>176178887.73723513</v>
      </c>
      <c r="H19" s="143">
        <f t="shared" ref="H19:I19" si="2">SUM(H16:H18)</f>
        <v>176390970.25307879</v>
      </c>
      <c r="I19" s="143">
        <f t="shared" si="2"/>
        <v>212082.51584369142</v>
      </c>
      <c r="J19" s="139">
        <f>IF(G19=0,"n/a",+I19/G19)</f>
        <v>1.2037907524992742E-3</v>
      </c>
      <c r="K19" s="130"/>
      <c r="M19" s="149"/>
      <c r="O19" s="37"/>
    </row>
    <row r="20" spans="1:15" x14ac:dyDescent="0.2">
      <c r="A20" s="39">
        <f t="shared" si="0"/>
        <v>13</v>
      </c>
      <c r="B20" s="16"/>
      <c r="E20" s="14"/>
      <c r="F20" s="42"/>
      <c r="G20" s="44"/>
      <c r="H20" s="42"/>
      <c r="I20" s="14"/>
      <c r="J20" s="14"/>
      <c r="K20" s="130"/>
      <c r="M20" s="149"/>
      <c r="O20" s="37"/>
    </row>
    <row r="21" spans="1:15" x14ac:dyDescent="0.2">
      <c r="A21" s="39">
        <f t="shared" si="0"/>
        <v>14</v>
      </c>
      <c r="B21" s="218" t="str">
        <f>'Sch 129D Rates'!B27</f>
        <v>Interruptible Service</v>
      </c>
      <c r="C21" s="74">
        <f>'Sch 129D Rates'!C27</f>
        <v>46</v>
      </c>
      <c r="D21" s="40">
        <f>+'Rate Spread and Design'!D20</f>
        <v>93576444.299349248</v>
      </c>
      <c r="E21" s="70">
        <v>3.4499999999999998E-4</v>
      </c>
      <c r="F21" s="70">
        <f>ROUND(+'Rate Spread and Design'!F20,6)</f>
        <v>4.6799999999999999E-4</v>
      </c>
      <c r="G21" s="41">
        <v>8632954.8083425947</v>
      </c>
      <c r="H21" s="14">
        <f>G21+D21*(F21-E21)</f>
        <v>8644464.7109914143</v>
      </c>
      <c r="I21" s="14">
        <f>H21-G21</f>
        <v>11509.90264881961</v>
      </c>
      <c r="J21" s="134">
        <f>I21/G21</f>
        <v>1.3332518128899309E-3</v>
      </c>
      <c r="K21" s="130">
        <f>F21-ROUND('Rate Spread and Design'!F20,6)</f>
        <v>0</v>
      </c>
      <c r="M21" s="149"/>
      <c r="O21" s="37"/>
    </row>
    <row r="22" spans="1:15" x14ac:dyDescent="0.2">
      <c r="A22" s="39">
        <f t="shared" si="0"/>
        <v>15</v>
      </c>
      <c r="B22" s="218" t="str">
        <f>'Sch 129D Rates'!B28</f>
        <v>General Service</v>
      </c>
      <c r="C22" s="74">
        <f>'Sch 129D Rates'!C28</f>
        <v>49</v>
      </c>
      <c r="D22" s="40">
        <f>+'Rate Spread and Design'!D21</f>
        <v>530780105.2278645</v>
      </c>
      <c r="E22" s="70">
        <v>3.5599999999999998E-4</v>
      </c>
      <c r="F22" s="70">
        <f>ROUND(+'Rate Spread and Design'!F21,6)</f>
        <v>4.75E-4</v>
      </c>
      <c r="G22" s="41">
        <v>51266328.677455448</v>
      </c>
      <c r="H22" s="14">
        <f>G22+D22*(F22-E22)</f>
        <v>51329491.509977564</v>
      </c>
      <c r="I22" s="14">
        <f>H22-G22</f>
        <v>63162.832522116601</v>
      </c>
      <c r="J22" s="134">
        <f>I22/G22</f>
        <v>1.2320529702742823E-3</v>
      </c>
      <c r="K22" s="130">
        <f>F22-ROUND('Rate Spread and Design'!F21,6)</f>
        <v>0</v>
      </c>
      <c r="M22" s="149"/>
      <c r="O22" s="37"/>
    </row>
    <row r="23" spans="1:15" x14ac:dyDescent="0.2">
      <c r="A23" s="39">
        <f t="shared" si="0"/>
        <v>16</v>
      </c>
      <c r="B23" s="218" t="str">
        <f>'Sch 129D Rates'!B29</f>
        <v>Total High Voltage</v>
      </c>
      <c r="D23" s="140">
        <f>SUM(D21:D22)</f>
        <v>624356549.52721381</v>
      </c>
      <c r="E23" s="138"/>
      <c r="F23" s="142"/>
      <c r="G23" s="143">
        <f>SUM(G21:G22)</f>
        <v>59899283.485798046</v>
      </c>
      <c r="H23" s="143">
        <f t="shared" ref="H23:I23" si="3">SUM(H21:H22)</f>
        <v>59973956.220968977</v>
      </c>
      <c r="I23" s="143">
        <f t="shared" si="3"/>
        <v>74672.735170936212</v>
      </c>
      <c r="J23" s="139">
        <f>IF(G23=0,"n/a",+I23/G23)</f>
        <v>1.2466382037548231E-3</v>
      </c>
      <c r="K23" s="130"/>
      <c r="M23" s="149"/>
      <c r="O23" s="37"/>
    </row>
    <row r="24" spans="1:15" x14ac:dyDescent="0.2">
      <c r="A24" s="39">
        <f t="shared" si="0"/>
        <v>17</v>
      </c>
      <c r="B24" s="13"/>
      <c r="E24" s="14"/>
      <c r="F24" s="42"/>
      <c r="G24" s="44"/>
      <c r="H24" s="42"/>
      <c r="K24" s="130"/>
      <c r="M24" s="149"/>
      <c r="O24" s="37"/>
    </row>
    <row r="25" spans="1:15" x14ac:dyDescent="0.2">
      <c r="A25" s="39">
        <f t="shared" si="0"/>
        <v>18</v>
      </c>
      <c r="B25" s="216" t="str">
        <f>'Sch 129D Rates'!B33&amp;" (1)"</f>
        <v>Lighting (1)</v>
      </c>
      <c r="C25" s="75" t="str">
        <f>'Sch 129D Rates'!C33</f>
        <v>50 - 59</v>
      </c>
      <c r="D25" s="135">
        <f>+'Rate Spread and Design'!D24</f>
        <v>64491873.674880393</v>
      </c>
      <c r="E25" s="136">
        <v>1.477E-3</v>
      </c>
      <c r="F25" s="136">
        <f>ROUND(+'Rate Spread and Design'!F24,6)</f>
        <v>1.825E-3</v>
      </c>
      <c r="G25" s="137">
        <v>22561829.701769948</v>
      </c>
      <c r="H25" s="138">
        <f>G25+D25*(F25-E25)</f>
        <v>22584272.873808805</v>
      </c>
      <c r="I25" s="138">
        <f>H25-G25</f>
        <v>22443.172038856894</v>
      </c>
      <c r="J25" s="139">
        <f>I25/G25</f>
        <v>9.9474077836409934E-4</v>
      </c>
      <c r="K25" s="130">
        <f>F25-ROUND('Rate Spread and Design'!F24,6)</f>
        <v>0</v>
      </c>
      <c r="M25" s="149"/>
      <c r="O25" s="37"/>
    </row>
    <row r="26" spans="1:15" x14ac:dyDescent="0.2">
      <c r="A26" s="39">
        <f t="shared" si="0"/>
        <v>19</v>
      </c>
      <c r="B26" s="13"/>
      <c r="D26" s="40"/>
      <c r="E26" s="41"/>
      <c r="F26" s="42"/>
      <c r="G26" s="11"/>
      <c r="H26" s="42"/>
      <c r="I26" s="14"/>
      <c r="J26" s="14"/>
      <c r="K26" s="130"/>
      <c r="M26" s="149"/>
      <c r="O26" s="37"/>
    </row>
    <row r="27" spans="1:15" x14ac:dyDescent="0.2">
      <c r="A27" s="39">
        <f t="shared" si="0"/>
        <v>20</v>
      </c>
      <c r="B27" s="216" t="str">
        <f>'Sch 129D Rates'!B31</f>
        <v>Choice / Retail Wheeling</v>
      </c>
      <c r="C27" s="75" t="str">
        <f>'Sch 129D Rates'!C31</f>
        <v>448 - 459</v>
      </c>
      <c r="D27" s="135">
        <f>+'Rate Spread and Design'!D26</f>
        <v>1954312680.3583896</v>
      </c>
      <c r="E27" s="136">
        <v>2.3E-5</v>
      </c>
      <c r="F27" s="136">
        <f>ROUND(+'Rate Spread and Design'!F26,6)</f>
        <v>3.4999999999999997E-5</v>
      </c>
      <c r="G27" s="137">
        <v>12709106.378682548</v>
      </c>
      <c r="H27" s="138">
        <f>G27+D27*(F27-E27)</f>
        <v>12732558.130846849</v>
      </c>
      <c r="I27" s="138">
        <f>H27-G27</f>
        <v>23451.752164300531</v>
      </c>
      <c r="J27" s="139">
        <f>I27/G27</f>
        <v>1.8452715293686595E-3</v>
      </c>
      <c r="K27" s="130">
        <f>F27-ROUND('Rate Spread and Design'!F26,6)</f>
        <v>0</v>
      </c>
      <c r="M27" s="149"/>
      <c r="O27" s="37"/>
    </row>
    <row r="28" spans="1:15" x14ac:dyDescent="0.2">
      <c r="A28" s="39">
        <f t="shared" si="0"/>
        <v>21</v>
      </c>
      <c r="B28" s="13"/>
      <c r="D28" s="40"/>
      <c r="E28" s="41"/>
      <c r="F28" s="44"/>
      <c r="G28" s="71"/>
      <c r="H28" s="42"/>
      <c r="I28" s="14"/>
      <c r="J28" s="14"/>
      <c r="K28" s="130"/>
      <c r="M28" s="149"/>
      <c r="O28" s="37"/>
    </row>
    <row r="29" spans="1:15" x14ac:dyDescent="0.2">
      <c r="A29" s="39">
        <f t="shared" si="0"/>
        <v>22</v>
      </c>
      <c r="B29" s="216" t="str">
        <f>'Sch 129D Rates'!B32</f>
        <v>Special Contracts</v>
      </c>
      <c r="C29" s="75" t="str">
        <f>'Sch 129D Rates'!C32</f>
        <v>Special Contract</v>
      </c>
      <c r="D29" s="135">
        <f>+'Rate Spread and Design'!D28</f>
        <v>319873933.30400002</v>
      </c>
      <c r="E29" s="136">
        <v>6.4999999999999994E-5</v>
      </c>
      <c r="F29" s="136">
        <f>ROUND(+'Rate Spread and Design'!F28,6)</f>
        <v>7.8999999999999996E-5</v>
      </c>
      <c r="G29" s="137">
        <v>6474248.41007296</v>
      </c>
      <c r="H29" s="138">
        <f>G29+D29*(F29-E29)</f>
        <v>6478726.6451392155</v>
      </c>
      <c r="I29" s="138">
        <f>H29-G29</f>
        <v>4478.2350662555546</v>
      </c>
      <c r="J29" s="139">
        <f>I29/G29</f>
        <v>6.9169960474301418E-4</v>
      </c>
      <c r="K29" s="130">
        <f>F29-ROUND('Rate Spread and Design'!F28,6)</f>
        <v>0</v>
      </c>
      <c r="M29" s="149"/>
      <c r="O29" s="37"/>
    </row>
    <row r="30" spans="1:15" x14ac:dyDescent="0.2">
      <c r="A30" s="39">
        <f t="shared" si="0"/>
        <v>23</v>
      </c>
      <c r="B30" s="13"/>
      <c r="E30" s="14"/>
      <c r="F30" s="44"/>
      <c r="G30" s="44"/>
      <c r="H30" s="42" t="s">
        <v>19</v>
      </c>
      <c r="I30" s="14"/>
      <c r="J30" s="14"/>
      <c r="K30" s="130"/>
    </row>
    <row r="31" spans="1:15" ht="12" thickBot="1" x14ac:dyDescent="0.25">
      <c r="A31" s="39">
        <f t="shared" si="0"/>
        <v>24</v>
      </c>
      <c r="B31" s="153" t="s">
        <v>10</v>
      </c>
      <c r="C31" s="154"/>
      <c r="D31" s="57">
        <f>SUM(D8,D14,D19,D23,D25,D27,D29)</f>
        <v>23493200123.358665</v>
      </c>
      <c r="E31" s="155"/>
      <c r="F31" s="49"/>
      <c r="G31" s="155">
        <f>SUM(G8,G14,G19,G23,G25,G27,G29)</f>
        <v>2949996731.7378793</v>
      </c>
      <c r="H31" s="155">
        <f>SUM(H8,H14,H19,H23,H25,H27,H29)</f>
        <v>2953449920.3293438</v>
      </c>
      <c r="I31" s="155">
        <f>SUM(I8,I14,I19,I23,I25,I27,I29)</f>
        <v>3453188.5914636897</v>
      </c>
      <c r="J31" s="156">
        <f>I31/G31</f>
        <v>1.1705737007475848E-3</v>
      </c>
      <c r="K31" s="130"/>
      <c r="O31" s="37"/>
    </row>
    <row r="32" spans="1:15" ht="12" thickTop="1" x14ac:dyDescent="0.2">
      <c r="A32" s="39">
        <f t="shared" si="0"/>
        <v>25</v>
      </c>
      <c r="B32" s="150"/>
      <c r="C32" s="159" t="s">
        <v>184</v>
      </c>
      <c r="D32" s="157">
        <v>0</v>
      </c>
      <c r="E32" s="151"/>
      <c r="F32" s="152"/>
      <c r="G32" s="158">
        <v>0</v>
      </c>
      <c r="H32" s="152"/>
      <c r="I32" s="151"/>
      <c r="J32" s="151"/>
      <c r="K32" s="130"/>
    </row>
    <row r="33" spans="1:13" x14ac:dyDescent="0.2">
      <c r="A33" s="39">
        <f t="shared" si="0"/>
        <v>26</v>
      </c>
      <c r="B33" s="13"/>
    </row>
    <row r="34" spans="1:13" ht="13.5" customHeight="1" x14ac:dyDescent="0.2">
      <c r="A34" s="39">
        <f t="shared" si="0"/>
        <v>27</v>
      </c>
      <c r="B34" s="244" t="s">
        <v>164</v>
      </c>
      <c r="C34" s="244"/>
      <c r="D34" s="244"/>
      <c r="E34" s="244"/>
      <c r="F34" s="244"/>
      <c r="G34" s="244"/>
      <c r="H34" s="244"/>
      <c r="I34" s="244"/>
      <c r="J34" s="244"/>
      <c r="K34" s="219"/>
    </row>
    <row r="35" spans="1:13" ht="13.5" x14ac:dyDescent="0.35">
      <c r="A35" s="39">
        <f t="shared" si="0"/>
        <v>28</v>
      </c>
      <c r="B35" s="220"/>
      <c r="C35" s="220" t="s">
        <v>165</v>
      </c>
      <c r="D35" s="220"/>
      <c r="E35" s="220"/>
      <c r="F35" s="220"/>
      <c r="G35" s="220"/>
      <c r="H35" s="221"/>
      <c r="I35" s="222"/>
      <c r="J35" s="222"/>
      <c r="K35" s="223"/>
    </row>
    <row r="36" spans="1:13" ht="27" x14ac:dyDescent="0.35">
      <c r="A36" s="39">
        <f t="shared" si="0"/>
        <v>29</v>
      </c>
      <c r="B36" s="123"/>
      <c r="C36" s="224" t="s">
        <v>166</v>
      </c>
      <c r="D36" s="224" t="s">
        <v>167</v>
      </c>
      <c r="E36" s="224" t="s">
        <v>168</v>
      </c>
      <c r="F36" s="224" t="s">
        <v>169</v>
      </c>
      <c r="G36" s="224" t="s">
        <v>170</v>
      </c>
      <c r="H36" s="224"/>
      <c r="I36" s="224"/>
      <c r="J36" s="224"/>
      <c r="K36" s="225"/>
    </row>
    <row r="37" spans="1:13" x14ac:dyDescent="0.2">
      <c r="A37" s="39">
        <f t="shared" si="0"/>
        <v>30</v>
      </c>
      <c r="B37" s="84" t="s">
        <v>171</v>
      </c>
      <c r="C37" s="226">
        <v>7.49</v>
      </c>
      <c r="D37" s="226">
        <v>53.66</v>
      </c>
      <c r="E37" s="226">
        <v>21.77</v>
      </c>
      <c r="F37" s="226">
        <v>31.03</v>
      </c>
      <c r="G37" s="95">
        <f>SUM(C37:F37)</f>
        <v>113.95</v>
      </c>
      <c r="H37" s="95"/>
      <c r="I37" s="96"/>
      <c r="J37" s="96"/>
      <c r="K37" s="227"/>
    </row>
    <row r="38" spans="1:13" x14ac:dyDescent="0.2">
      <c r="A38" s="39">
        <f t="shared" si="0"/>
        <v>31</v>
      </c>
      <c r="B38" s="84" t="s">
        <v>172</v>
      </c>
      <c r="C38" s="228">
        <f>C37</f>
        <v>7.49</v>
      </c>
      <c r="D38" s="228">
        <f>D37</f>
        <v>53.66</v>
      </c>
      <c r="E38" s="228">
        <f>E37</f>
        <v>21.77</v>
      </c>
      <c r="F38" s="228">
        <f>F37+(800*(F8-E8))</f>
        <v>31.166</v>
      </c>
      <c r="G38" s="95">
        <f>SUM(C38:F38)</f>
        <v>114.086</v>
      </c>
      <c r="H38" s="95"/>
      <c r="I38" s="96"/>
      <c r="J38" s="96"/>
      <c r="K38" s="227"/>
    </row>
    <row r="39" spans="1:13" x14ac:dyDescent="0.2">
      <c r="A39" s="39">
        <f t="shared" si="0"/>
        <v>32</v>
      </c>
      <c r="B39" s="84"/>
      <c r="C39" s="226"/>
      <c r="D39" s="226"/>
      <c r="E39" s="226"/>
      <c r="F39" s="226"/>
      <c r="G39" s="95">
        <f>G38-G37</f>
        <v>0.13599999999999568</v>
      </c>
      <c r="H39" s="95"/>
      <c r="I39" s="96"/>
      <c r="J39" s="96"/>
      <c r="K39" s="227"/>
    </row>
    <row r="40" spans="1:13" x14ac:dyDescent="0.2">
      <c r="A40" s="39">
        <f t="shared" si="0"/>
        <v>33</v>
      </c>
      <c r="B40" s="79"/>
      <c r="C40" s="79"/>
      <c r="D40" s="80"/>
      <c r="E40" s="229"/>
      <c r="F40" s="229"/>
      <c r="G40" s="230">
        <f>G39/G37</f>
        <v>1.193505923650686E-3</v>
      </c>
      <c r="H40" s="229"/>
      <c r="I40" s="229"/>
      <c r="J40" s="98"/>
      <c r="K40" s="231"/>
    </row>
    <row r="41" spans="1:13" x14ac:dyDescent="0.2">
      <c r="A41" s="39">
        <f t="shared" si="0"/>
        <v>34</v>
      </c>
      <c r="B41" s="243" t="s">
        <v>181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</row>
    <row r="42" spans="1:13" ht="11.25" customHeight="1" x14ac:dyDescent="0.2">
      <c r="A42" s="39">
        <f t="shared" si="0"/>
        <v>35</v>
      </c>
      <c r="B42" s="243" t="s">
        <v>183</v>
      </c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</row>
    <row r="43" spans="1:13" ht="11.25" customHeight="1" x14ac:dyDescent="0.2">
      <c r="A43" s="10"/>
      <c r="B43" s="126"/>
      <c r="C43" s="126"/>
      <c r="D43" s="126"/>
      <c r="E43" s="126"/>
      <c r="F43" s="126"/>
      <c r="G43" s="126"/>
      <c r="H43" s="126"/>
      <c r="I43" s="126"/>
      <c r="J43" s="126"/>
    </row>
    <row r="44" spans="1:13" ht="11.25" customHeight="1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3" x14ac:dyDescent="0.2">
      <c r="A45" s="13"/>
      <c r="B45" s="77"/>
      <c r="C45" s="77"/>
      <c r="D45" s="77"/>
      <c r="E45" s="77"/>
      <c r="F45" s="77"/>
      <c r="G45" s="77"/>
      <c r="H45" s="77"/>
      <c r="I45" s="77"/>
      <c r="J45" s="77"/>
    </row>
    <row r="46" spans="1:13" x14ac:dyDescent="0.2">
      <c r="A46" s="13"/>
      <c r="B46" s="13"/>
    </row>
    <row r="47" spans="1:13" x14ac:dyDescent="0.2">
      <c r="A47" s="13"/>
      <c r="B47" s="13"/>
    </row>
    <row r="48" spans="1:13" x14ac:dyDescent="0.2">
      <c r="A48" s="13"/>
      <c r="B48" s="13"/>
    </row>
    <row r="49" spans="1:2" x14ac:dyDescent="0.2">
      <c r="A49" s="13"/>
      <c r="B49" s="13"/>
    </row>
    <row r="50" spans="1:2" x14ac:dyDescent="0.2">
      <c r="A50" s="13"/>
      <c r="B50" s="13"/>
    </row>
    <row r="51" spans="1:2" x14ac:dyDescent="0.2">
      <c r="A51" s="13"/>
      <c r="B51" s="13"/>
    </row>
    <row r="52" spans="1:2" x14ac:dyDescent="0.2">
      <c r="A52" s="13"/>
      <c r="B52" s="13"/>
    </row>
    <row r="53" spans="1:2" x14ac:dyDescent="0.2">
      <c r="A53" s="13"/>
      <c r="B53" s="13"/>
    </row>
    <row r="54" spans="1:2" x14ac:dyDescent="0.2">
      <c r="A54" s="13"/>
      <c r="B54" s="13"/>
    </row>
    <row r="55" spans="1:2" x14ac:dyDescent="0.2">
      <c r="A55" s="13"/>
      <c r="B55" s="13"/>
    </row>
    <row r="56" spans="1:2" x14ac:dyDescent="0.2">
      <c r="A56" s="13"/>
      <c r="B56" s="13"/>
    </row>
    <row r="57" spans="1:2" x14ac:dyDescent="0.2">
      <c r="A57" s="13"/>
      <c r="B57" s="13"/>
    </row>
    <row r="58" spans="1:2" x14ac:dyDescent="0.2">
      <c r="A58" s="13"/>
      <c r="B58" s="13"/>
    </row>
    <row r="59" spans="1:2" x14ac:dyDescent="0.2">
      <c r="A59" s="13"/>
      <c r="B59" s="13"/>
    </row>
    <row r="60" spans="1:2" x14ac:dyDescent="0.2">
      <c r="A60" s="13"/>
      <c r="B60" s="13"/>
    </row>
    <row r="61" spans="1:2" x14ac:dyDescent="0.2">
      <c r="A61" s="13"/>
      <c r="B61" s="13"/>
    </row>
    <row r="62" spans="1:2" x14ac:dyDescent="0.2">
      <c r="A62" s="13"/>
      <c r="B62" s="13"/>
    </row>
    <row r="63" spans="1:2" x14ac:dyDescent="0.2">
      <c r="A63" s="13"/>
      <c r="B63" s="13"/>
    </row>
    <row r="64" spans="1:2" x14ac:dyDescent="0.2">
      <c r="A64" s="13"/>
      <c r="B64" s="13"/>
    </row>
    <row r="65" spans="1:2" x14ac:dyDescent="0.2">
      <c r="A65" s="13"/>
      <c r="B65" s="13"/>
    </row>
    <row r="66" spans="1:2" x14ac:dyDescent="0.2">
      <c r="A66" s="13"/>
      <c r="B66" s="13"/>
    </row>
    <row r="67" spans="1:2" x14ac:dyDescent="0.2">
      <c r="A67" s="13"/>
      <c r="B67" s="13"/>
    </row>
    <row r="68" spans="1:2" x14ac:dyDescent="0.2">
      <c r="A68" s="13"/>
      <c r="B68" s="13"/>
    </row>
    <row r="69" spans="1:2" x14ac:dyDescent="0.2">
      <c r="A69" s="13"/>
      <c r="B69" s="13"/>
    </row>
    <row r="70" spans="1:2" x14ac:dyDescent="0.2">
      <c r="A70" s="13"/>
      <c r="B70" s="13"/>
    </row>
    <row r="71" spans="1:2" x14ac:dyDescent="0.2">
      <c r="A71" s="13"/>
      <c r="B71" s="13"/>
    </row>
    <row r="72" spans="1:2" x14ac:dyDescent="0.2">
      <c r="A72" s="13"/>
      <c r="B72" s="13"/>
    </row>
    <row r="73" spans="1:2" x14ac:dyDescent="0.2">
      <c r="A73" s="13"/>
      <c r="B73" s="13"/>
    </row>
    <row r="74" spans="1:2" x14ac:dyDescent="0.2">
      <c r="A74" s="13"/>
      <c r="B74" s="13"/>
    </row>
    <row r="75" spans="1:2" x14ac:dyDescent="0.2">
      <c r="A75" s="13"/>
      <c r="B75" s="13"/>
    </row>
    <row r="76" spans="1:2" x14ac:dyDescent="0.2">
      <c r="A76" s="13"/>
      <c r="B76" s="13"/>
    </row>
    <row r="77" spans="1:2" x14ac:dyDescent="0.2">
      <c r="A77" s="13"/>
      <c r="B77" s="13"/>
    </row>
    <row r="78" spans="1:2" x14ac:dyDescent="0.2">
      <c r="A78" s="13"/>
      <c r="B78" s="13"/>
    </row>
    <row r="79" spans="1:2" x14ac:dyDescent="0.2">
      <c r="A79" s="13"/>
      <c r="B79" s="13"/>
    </row>
    <row r="80" spans="1:2" x14ac:dyDescent="0.2">
      <c r="A80" s="13"/>
      <c r="B80" s="13"/>
    </row>
    <row r="81" spans="1:2" x14ac:dyDescent="0.2">
      <c r="A81" s="13"/>
      <c r="B81" s="13"/>
    </row>
    <row r="82" spans="1:2" x14ac:dyDescent="0.2">
      <c r="A82" s="13"/>
      <c r="B82" s="13"/>
    </row>
    <row r="83" spans="1:2" x14ac:dyDescent="0.2">
      <c r="A83" s="13"/>
      <c r="B83" s="13"/>
    </row>
    <row r="84" spans="1:2" x14ac:dyDescent="0.2">
      <c r="A84" s="13"/>
      <c r="B84" s="13"/>
    </row>
    <row r="85" spans="1:2" x14ac:dyDescent="0.2">
      <c r="A85" s="13"/>
      <c r="B85" s="13"/>
    </row>
    <row r="86" spans="1:2" x14ac:dyDescent="0.2">
      <c r="A86" s="13"/>
      <c r="B86" s="13"/>
    </row>
    <row r="87" spans="1:2" x14ac:dyDescent="0.2">
      <c r="A87" s="13"/>
      <c r="B87" s="13"/>
    </row>
    <row r="88" spans="1:2" x14ac:dyDescent="0.2">
      <c r="A88" s="13"/>
      <c r="B88" s="13"/>
    </row>
    <row r="89" spans="1:2" x14ac:dyDescent="0.2">
      <c r="A89" s="13"/>
      <c r="B89" s="13"/>
    </row>
    <row r="90" spans="1:2" x14ac:dyDescent="0.2">
      <c r="A90" s="13"/>
      <c r="B90" s="13"/>
    </row>
    <row r="91" spans="1:2" x14ac:dyDescent="0.2">
      <c r="A91" s="13"/>
      <c r="B91" s="13"/>
    </row>
    <row r="92" spans="1:2" x14ac:dyDescent="0.2">
      <c r="A92" s="13"/>
      <c r="B92" s="13"/>
    </row>
    <row r="93" spans="1:2" x14ac:dyDescent="0.2">
      <c r="A93" s="13"/>
      <c r="B93" s="13"/>
    </row>
    <row r="94" spans="1:2" x14ac:dyDescent="0.2">
      <c r="A94" s="13"/>
      <c r="B94" s="13"/>
    </row>
    <row r="95" spans="1:2" x14ac:dyDescent="0.2">
      <c r="A95" s="13"/>
      <c r="B95" s="13"/>
    </row>
    <row r="96" spans="1:2" x14ac:dyDescent="0.2">
      <c r="A96" s="13"/>
      <c r="B96" s="13"/>
    </row>
    <row r="97" spans="1:2" x14ac:dyDescent="0.2">
      <c r="A97" s="13"/>
      <c r="B97" s="13"/>
    </row>
    <row r="98" spans="1:2" x14ac:dyDescent="0.2">
      <c r="A98" s="13"/>
      <c r="B98" s="13"/>
    </row>
    <row r="99" spans="1:2" x14ac:dyDescent="0.2">
      <c r="A99" s="13"/>
      <c r="B99" s="13"/>
    </row>
    <row r="100" spans="1:2" x14ac:dyDescent="0.2">
      <c r="A100" s="13"/>
      <c r="B100" s="13"/>
    </row>
    <row r="101" spans="1:2" x14ac:dyDescent="0.2">
      <c r="A101" s="13"/>
      <c r="B101" s="13"/>
    </row>
    <row r="102" spans="1:2" x14ac:dyDescent="0.2">
      <c r="A102" s="13"/>
      <c r="B102" s="13"/>
    </row>
    <row r="103" spans="1:2" x14ac:dyDescent="0.2">
      <c r="A103" s="13"/>
      <c r="B103" s="13"/>
    </row>
    <row r="104" spans="1:2" x14ac:dyDescent="0.2">
      <c r="A104" s="13"/>
      <c r="B104" s="13"/>
    </row>
    <row r="105" spans="1:2" x14ac:dyDescent="0.2">
      <c r="A105" s="13"/>
      <c r="B105" s="13"/>
    </row>
    <row r="106" spans="1:2" x14ac:dyDescent="0.2">
      <c r="A106" s="13"/>
      <c r="B106" s="13"/>
    </row>
    <row r="107" spans="1:2" x14ac:dyDescent="0.2">
      <c r="A107" s="13"/>
      <c r="B107" s="13"/>
    </row>
    <row r="108" spans="1:2" x14ac:dyDescent="0.2">
      <c r="A108" s="13"/>
      <c r="B108" s="13"/>
    </row>
    <row r="109" spans="1:2" x14ac:dyDescent="0.2">
      <c r="A109" s="13"/>
      <c r="B109" s="13"/>
    </row>
    <row r="110" spans="1:2" x14ac:dyDescent="0.2">
      <c r="A110" s="13"/>
      <c r="B110" s="13"/>
    </row>
    <row r="111" spans="1:2" x14ac:dyDescent="0.2">
      <c r="A111" s="13"/>
      <c r="B111" s="13"/>
    </row>
    <row r="112" spans="1:2" x14ac:dyDescent="0.2">
      <c r="A112" s="13"/>
      <c r="B112" s="13"/>
    </row>
    <row r="113" spans="1:2" x14ac:dyDescent="0.2">
      <c r="A113" s="13"/>
      <c r="B113" s="13"/>
    </row>
    <row r="114" spans="1:2" x14ac:dyDescent="0.2">
      <c r="A114" s="13"/>
      <c r="B114" s="13"/>
    </row>
    <row r="115" spans="1:2" x14ac:dyDescent="0.2">
      <c r="A115" s="13"/>
      <c r="B115" s="13"/>
    </row>
    <row r="116" spans="1:2" x14ac:dyDescent="0.2">
      <c r="A116" s="13"/>
      <c r="B116" s="13"/>
    </row>
    <row r="117" spans="1:2" x14ac:dyDescent="0.2">
      <c r="A117" s="13"/>
      <c r="B117" s="13"/>
    </row>
    <row r="118" spans="1:2" x14ac:dyDescent="0.2">
      <c r="A118" s="13"/>
      <c r="B118" s="13"/>
    </row>
    <row r="119" spans="1:2" x14ac:dyDescent="0.2">
      <c r="A119" s="13"/>
      <c r="B119" s="13"/>
    </row>
    <row r="120" spans="1:2" x14ac:dyDescent="0.2">
      <c r="A120" s="13"/>
      <c r="B120" s="13"/>
    </row>
    <row r="121" spans="1:2" x14ac:dyDescent="0.2">
      <c r="A121" s="13"/>
      <c r="B121" s="13"/>
    </row>
    <row r="122" spans="1:2" x14ac:dyDescent="0.2">
      <c r="A122" s="13"/>
      <c r="B122" s="13"/>
    </row>
    <row r="123" spans="1:2" x14ac:dyDescent="0.2">
      <c r="A123" s="13"/>
      <c r="B123" s="13"/>
    </row>
    <row r="124" spans="1:2" x14ac:dyDescent="0.2">
      <c r="A124" s="13"/>
      <c r="B124" s="13"/>
    </row>
    <row r="125" spans="1:2" x14ac:dyDescent="0.2">
      <c r="A125" s="13"/>
      <c r="B125" s="13"/>
    </row>
    <row r="126" spans="1:2" x14ac:dyDescent="0.2">
      <c r="A126" s="13"/>
      <c r="B126" s="13"/>
    </row>
    <row r="127" spans="1:2" x14ac:dyDescent="0.2">
      <c r="A127" s="13"/>
      <c r="B127" s="13"/>
    </row>
    <row r="128" spans="1:2" x14ac:dyDescent="0.2">
      <c r="A128" s="13"/>
      <c r="B128" s="13"/>
    </row>
    <row r="129" spans="1:2" x14ac:dyDescent="0.2">
      <c r="A129" s="13"/>
      <c r="B129" s="13"/>
    </row>
    <row r="130" spans="1:2" x14ac:dyDescent="0.2">
      <c r="A130" s="13"/>
      <c r="B130" s="13"/>
    </row>
    <row r="131" spans="1:2" x14ac:dyDescent="0.2">
      <c r="A131" s="13"/>
      <c r="B131" s="13"/>
    </row>
    <row r="132" spans="1:2" x14ac:dyDescent="0.2">
      <c r="A132" s="13"/>
      <c r="B132" s="13"/>
    </row>
    <row r="133" spans="1:2" x14ac:dyDescent="0.2">
      <c r="A133" s="13"/>
      <c r="B133" s="13"/>
    </row>
    <row r="134" spans="1:2" x14ac:dyDescent="0.2">
      <c r="A134" s="13"/>
      <c r="B134" s="13"/>
    </row>
    <row r="135" spans="1:2" x14ac:dyDescent="0.2">
      <c r="A135" s="13"/>
      <c r="B135" s="13"/>
    </row>
    <row r="136" spans="1:2" x14ac:dyDescent="0.2">
      <c r="A136" s="13"/>
      <c r="B136" s="13"/>
    </row>
    <row r="137" spans="1:2" x14ac:dyDescent="0.2">
      <c r="A137" s="13"/>
      <c r="B137" s="13"/>
    </row>
    <row r="138" spans="1:2" x14ac:dyDescent="0.2">
      <c r="A138" s="13"/>
      <c r="B138" s="13"/>
    </row>
    <row r="139" spans="1:2" x14ac:dyDescent="0.2">
      <c r="A139" s="13"/>
      <c r="B139" s="13"/>
    </row>
    <row r="140" spans="1:2" x14ac:dyDescent="0.2">
      <c r="A140" s="13"/>
      <c r="B140" s="13"/>
    </row>
    <row r="141" spans="1:2" x14ac:dyDescent="0.2">
      <c r="A141" s="13"/>
      <c r="B141" s="13"/>
    </row>
    <row r="142" spans="1:2" x14ac:dyDescent="0.2">
      <c r="A142" s="13"/>
      <c r="B142" s="13"/>
    </row>
    <row r="143" spans="1:2" x14ac:dyDescent="0.2">
      <c r="A143" s="13"/>
      <c r="B143" s="13"/>
    </row>
    <row r="144" spans="1:2" x14ac:dyDescent="0.2">
      <c r="A144" s="13"/>
      <c r="B144" s="13"/>
    </row>
    <row r="145" spans="1:2" x14ac:dyDescent="0.2">
      <c r="A145" s="13"/>
      <c r="B145" s="13"/>
    </row>
    <row r="146" spans="1:2" x14ac:dyDescent="0.2">
      <c r="A146" s="13"/>
      <c r="B146" s="13"/>
    </row>
    <row r="147" spans="1:2" x14ac:dyDescent="0.2">
      <c r="A147" s="13"/>
      <c r="B147" s="13"/>
    </row>
    <row r="148" spans="1:2" x14ac:dyDescent="0.2">
      <c r="A148" s="13"/>
      <c r="B148" s="13"/>
    </row>
    <row r="149" spans="1:2" x14ac:dyDescent="0.2">
      <c r="A149" s="13"/>
      <c r="B149" s="13"/>
    </row>
    <row r="150" spans="1:2" x14ac:dyDescent="0.2">
      <c r="A150" s="13"/>
      <c r="B150" s="13"/>
    </row>
    <row r="151" spans="1:2" x14ac:dyDescent="0.2">
      <c r="A151" s="13"/>
      <c r="B151" s="13"/>
    </row>
    <row r="152" spans="1:2" x14ac:dyDescent="0.2">
      <c r="A152" s="13"/>
      <c r="B152" s="13"/>
    </row>
    <row r="153" spans="1:2" x14ac:dyDescent="0.2">
      <c r="A153" s="13"/>
      <c r="B153" s="13"/>
    </row>
    <row r="154" spans="1:2" x14ac:dyDescent="0.2">
      <c r="A154" s="13"/>
      <c r="B154" s="13"/>
    </row>
    <row r="155" spans="1:2" x14ac:dyDescent="0.2">
      <c r="A155" s="13"/>
      <c r="B155" s="13"/>
    </row>
    <row r="156" spans="1:2" x14ac:dyDescent="0.2">
      <c r="A156" s="13"/>
      <c r="B156" s="13"/>
    </row>
    <row r="157" spans="1:2" x14ac:dyDescent="0.2">
      <c r="A157" s="13"/>
      <c r="B157" s="13"/>
    </row>
    <row r="158" spans="1:2" x14ac:dyDescent="0.2">
      <c r="A158" s="13"/>
      <c r="B158" s="13"/>
    </row>
    <row r="159" spans="1:2" x14ac:dyDescent="0.2">
      <c r="A159" s="13"/>
      <c r="B159" s="13"/>
    </row>
    <row r="160" spans="1:2" x14ac:dyDescent="0.2">
      <c r="A160" s="13"/>
      <c r="B160" s="13"/>
    </row>
    <row r="161" spans="1:2" x14ac:dyDescent="0.2">
      <c r="A161" s="13"/>
      <c r="B161" s="13"/>
    </row>
    <row r="162" spans="1:2" x14ac:dyDescent="0.2">
      <c r="A162" s="13"/>
      <c r="B162" s="13"/>
    </row>
    <row r="163" spans="1:2" x14ac:dyDescent="0.2">
      <c r="A163" s="13"/>
      <c r="B163" s="13"/>
    </row>
    <row r="164" spans="1:2" x14ac:dyDescent="0.2">
      <c r="A164" s="13"/>
      <c r="B164" s="13"/>
    </row>
    <row r="165" spans="1:2" x14ac:dyDescent="0.2">
      <c r="A165" s="13"/>
      <c r="B165" s="13"/>
    </row>
    <row r="166" spans="1:2" x14ac:dyDescent="0.2">
      <c r="A166" s="13"/>
      <c r="B166" s="13"/>
    </row>
    <row r="167" spans="1:2" x14ac:dyDescent="0.2">
      <c r="A167" s="13"/>
      <c r="B167" s="13"/>
    </row>
    <row r="168" spans="1:2" x14ac:dyDescent="0.2">
      <c r="A168" s="13"/>
      <c r="B168" s="13"/>
    </row>
    <row r="169" spans="1:2" x14ac:dyDescent="0.2">
      <c r="A169" s="13"/>
      <c r="B169" s="13"/>
    </row>
    <row r="170" spans="1:2" x14ac:dyDescent="0.2">
      <c r="A170" s="13"/>
      <c r="B170" s="13"/>
    </row>
    <row r="171" spans="1:2" x14ac:dyDescent="0.2">
      <c r="A171" s="13"/>
      <c r="B171" s="13"/>
    </row>
    <row r="172" spans="1:2" x14ac:dyDescent="0.2">
      <c r="A172" s="13"/>
      <c r="B172" s="13"/>
    </row>
    <row r="173" spans="1:2" x14ac:dyDescent="0.2">
      <c r="A173" s="13"/>
      <c r="B173" s="13"/>
    </row>
    <row r="174" spans="1:2" x14ac:dyDescent="0.2">
      <c r="A174" s="13"/>
      <c r="B174" s="13"/>
    </row>
    <row r="175" spans="1:2" x14ac:dyDescent="0.2">
      <c r="A175" s="13"/>
      <c r="B175" s="13"/>
    </row>
    <row r="176" spans="1:2" x14ac:dyDescent="0.2">
      <c r="A176" s="13"/>
      <c r="B176" s="13"/>
    </row>
    <row r="177" spans="1:2" x14ac:dyDescent="0.2">
      <c r="A177" s="13"/>
      <c r="B177" s="13"/>
    </row>
    <row r="178" spans="1:2" x14ac:dyDescent="0.2">
      <c r="A178" s="13"/>
      <c r="B178" s="13"/>
    </row>
    <row r="179" spans="1:2" x14ac:dyDescent="0.2">
      <c r="A179" s="13"/>
      <c r="B179" s="13"/>
    </row>
    <row r="180" spans="1:2" x14ac:dyDescent="0.2">
      <c r="A180" s="13"/>
      <c r="B180" s="13"/>
    </row>
    <row r="181" spans="1:2" x14ac:dyDescent="0.2">
      <c r="A181" s="13"/>
      <c r="B181" s="13"/>
    </row>
    <row r="182" spans="1:2" x14ac:dyDescent="0.2">
      <c r="A182" s="13"/>
      <c r="B182" s="13"/>
    </row>
    <row r="183" spans="1:2" x14ac:dyDescent="0.2">
      <c r="A183" s="13"/>
      <c r="B183" s="13"/>
    </row>
    <row r="184" spans="1:2" x14ac:dyDescent="0.2">
      <c r="A184" s="13"/>
      <c r="B184" s="13"/>
    </row>
    <row r="185" spans="1:2" x14ac:dyDescent="0.2">
      <c r="A185" s="13"/>
      <c r="B185" s="13"/>
    </row>
  </sheetData>
  <mergeCells count="7">
    <mergeCell ref="B41:M41"/>
    <mergeCell ref="B42:M42"/>
    <mergeCell ref="B34:J34"/>
    <mergeCell ref="A1:J1"/>
    <mergeCell ref="A2:J2"/>
    <mergeCell ref="A3:J3"/>
    <mergeCell ref="I5:J5"/>
  </mergeCells>
  <phoneticPr fontId="2" type="noConversion"/>
  <printOptions horizontalCentered="1"/>
  <pageMargins left="0.7" right="0.7" top="0.75" bottom="0.75" header="0.3" footer="0.3"/>
  <pageSetup scale="72" orientation="landscape" r:id="rId1"/>
  <headerFooter alignWithMargins="0">
    <oddHeader>&amp;C2021 Low Income Program Workpapers</oddHeader>
    <oddFooter>&amp;L&amp;F
&amp;A&amp;CPage # &amp;P of &amp;N&amp;R&amp;D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B37" sqref="B37"/>
    </sheetView>
  </sheetViews>
  <sheetFormatPr defaultColWidth="9.140625" defaultRowHeight="11.25" x14ac:dyDescent="0.2"/>
  <cols>
    <col min="1" max="1" width="4.42578125" style="12" bestFit="1" customWidth="1"/>
    <col min="2" max="2" width="45.28515625" style="12" customWidth="1"/>
    <col min="3" max="3" width="14.42578125" style="10" bestFit="1" customWidth="1"/>
    <col min="4" max="4" width="13.85546875" style="37" bestFit="1" customWidth="1"/>
    <col min="5" max="5" width="16.42578125" style="37" bestFit="1" customWidth="1"/>
    <col min="6" max="6" width="15.140625" style="12" bestFit="1" customWidth="1"/>
    <col min="7" max="7" width="12.5703125" style="37" bestFit="1" customWidth="1"/>
    <col min="8" max="8" width="12.5703125" style="12" bestFit="1" customWidth="1"/>
    <col min="9" max="9" width="10.42578125" style="12" bestFit="1" customWidth="1"/>
    <col min="10" max="10" width="9.42578125" style="12" bestFit="1" customWidth="1"/>
    <col min="11" max="16384" width="9.140625" style="12"/>
  </cols>
  <sheetData>
    <row r="1" spans="1:10" s="21" customFormat="1" x14ac:dyDescent="0.2">
      <c r="A1" s="232" t="str">
        <f>+'Rate Impacts'!A1</f>
        <v>Schedule 129D Bill Discount Rider Rate</v>
      </c>
      <c r="B1" s="233"/>
      <c r="C1" s="233"/>
      <c r="D1" s="234"/>
      <c r="E1" s="234"/>
      <c r="F1" s="233"/>
      <c r="G1" s="234"/>
      <c r="H1" s="233"/>
      <c r="I1" s="235"/>
    </row>
    <row r="2" spans="1:10" s="21" customFormat="1" x14ac:dyDescent="0.2">
      <c r="A2" s="236" t="str">
        <f>+'Rate Impacts'!A3</f>
        <v>For the Twelve Months Ended December 31, 2025</v>
      </c>
      <c r="B2" s="160"/>
      <c r="C2" s="160"/>
      <c r="D2" s="237"/>
      <c r="E2" s="237"/>
      <c r="F2" s="160"/>
      <c r="G2" s="237"/>
      <c r="H2" s="160"/>
      <c r="I2" s="238"/>
    </row>
    <row r="3" spans="1:10" s="7" customFormat="1" x14ac:dyDescent="0.2">
      <c r="A3" s="22"/>
      <c r="C3" s="148"/>
      <c r="D3" s="23"/>
      <c r="E3" s="23"/>
      <c r="G3" s="23"/>
      <c r="I3" s="24"/>
    </row>
    <row r="4" spans="1:10" s="8" customFormat="1" ht="68.25" thickBot="1" x14ac:dyDescent="0.25">
      <c r="A4" s="25" t="s">
        <v>1</v>
      </c>
      <c r="B4" s="26" t="s">
        <v>14</v>
      </c>
      <c r="C4" s="26" t="s">
        <v>0</v>
      </c>
      <c r="D4" s="27" t="str">
        <f>+'Rate Impacts'!D5</f>
        <v>F2024 Forecast Delivered kWh 01/01/25 through 12/31/25</v>
      </c>
      <c r="E4" s="28" t="str">
        <f>"Forecast Delivered Applicable Base Revenue "&amp;TEXT(Inputs!B1,"mmmm d, yyyy")&amp;" through "&amp;TEXT(Inputs!B2,"mmmm d, yyyy")&amp;" (Note 1)"</f>
        <v>Forecast Delivered Applicable Base Revenue January 1, 2025 through December 31, 2025 (Note 1)</v>
      </c>
      <c r="F4" s="29" t="str">
        <f>"Proposed Equal % "&amp;TEXT(Inputs!B1,"YYYY")&amp;" Bill Discount Rider (Ex. Special Contract)"</f>
        <v>Proposed Equal % 2025 Bill Discount Rider (Ex. Special Contract)</v>
      </c>
      <c r="G4" s="28" t="str">
        <f>"$ Including Proposed "&amp;TEXT(Inputs!B1,"YYYY")&amp;" Bill Discount"</f>
        <v>$ Including Proposed 2025 Bill Discount</v>
      </c>
      <c r="H4" s="29" t="str">
        <f>"Proposed "&amp;TEXT(Inputs!B1,"YYYY")&amp;" Bill Discount $"</f>
        <v>Proposed 2025 Bill Discount $</v>
      </c>
      <c r="I4" s="30" t="s">
        <v>24</v>
      </c>
      <c r="J4" s="128"/>
    </row>
    <row r="5" spans="1:10" s="9" customFormat="1" ht="23.25" thickBot="1" x14ac:dyDescent="0.25">
      <c r="A5" s="31"/>
      <c r="B5" s="32"/>
      <c r="C5" s="32"/>
      <c r="D5" s="33" t="s">
        <v>5</v>
      </c>
      <c r="E5" s="33" t="s">
        <v>6</v>
      </c>
      <c r="F5" s="34" t="s">
        <v>25</v>
      </c>
      <c r="G5" s="32" t="s">
        <v>15</v>
      </c>
      <c r="H5" s="33" t="s">
        <v>16</v>
      </c>
      <c r="I5" s="35" t="s">
        <v>17</v>
      </c>
    </row>
    <row r="6" spans="1:10" x14ac:dyDescent="0.2">
      <c r="A6" s="36"/>
      <c r="I6" s="38"/>
    </row>
    <row r="7" spans="1:10" x14ac:dyDescent="0.2">
      <c r="A7" s="39">
        <v>1</v>
      </c>
      <c r="B7" s="216" t="str">
        <f>'Sch 129D Rates'!B11</f>
        <v>Residential</v>
      </c>
      <c r="C7" s="74" t="str">
        <f>'Sch 129D Rates'!C11</f>
        <v>7 (307) (317) (327)</v>
      </c>
      <c r="D7" s="40">
        <v>11319130621.398149</v>
      </c>
      <c r="E7" s="41">
        <v>1203495244.1895368</v>
      </c>
      <c r="F7" s="42">
        <f>(IF(D7&gt;0,E7*$E$38/D7,0))</f>
        <v>7.7745187718589648E-4</v>
      </c>
      <c r="G7" s="14">
        <f>+H7+E7</f>
        <v>1212295323.5392551</v>
      </c>
      <c r="H7" s="14">
        <f>+F7*D7</f>
        <v>8800079.3497183546</v>
      </c>
      <c r="I7" s="43">
        <f>IF(E7&gt;0,+H7/E7,0)</f>
        <v>7.3121014746049488E-3</v>
      </c>
      <c r="J7" s="42"/>
    </row>
    <row r="8" spans="1:10" x14ac:dyDescent="0.2">
      <c r="A8" s="39">
        <f t="shared" ref="A8:A38" si="0">+A7+1</f>
        <v>2</v>
      </c>
      <c r="B8" s="13"/>
      <c r="D8" s="40"/>
      <c r="E8" s="41"/>
      <c r="F8" s="44"/>
      <c r="G8" s="14"/>
      <c r="H8" s="14"/>
      <c r="I8" s="43"/>
    </row>
    <row r="9" spans="1:10" x14ac:dyDescent="0.2">
      <c r="A9" s="39">
        <f t="shared" si="0"/>
        <v>3</v>
      </c>
      <c r="B9" s="217" t="str">
        <f>'Sch 129D Rates'!B14</f>
        <v>General Service: Demand &lt;= 50 kW</v>
      </c>
      <c r="C9" s="74" t="str">
        <f>'Sch 129D Rates'!C14</f>
        <v>08 (24) (324)</v>
      </c>
      <c r="D9" s="40">
        <v>2693210047.3914232</v>
      </c>
      <c r="E9" s="41">
        <v>269724986.24625105</v>
      </c>
      <c r="F9" s="42">
        <f>(IF(D9&gt;0,E9*$E$38/D9,0))</f>
        <v>7.3230696268168562E-4</v>
      </c>
      <c r="G9" s="14">
        <f>+H9+E9</f>
        <v>271697242.71592003</v>
      </c>
      <c r="H9" s="14">
        <f>+F9*D9</f>
        <v>1972256.4696690117</v>
      </c>
      <c r="I9" s="43">
        <f>IF(E9&gt;0,+H9/E9,0)</f>
        <v>7.3121014746049479E-3</v>
      </c>
    </row>
    <row r="10" spans="1:10" x14ac:dyDescent="0.2">
      <c r="A10" s="39">
        <f t="shared" si="0"/>
        <v>4</v>
      </c>
      <c r="B10" s="217" t="str">
        <f>'Sch 129D Rates'!B15</f>
        <v>Small General Service: Demand &gt; 50 kW but &lt;= 350 kW</v>
      </c>
      <c r="C10" s="74" t="str">
        <f>'Sch 129D Rates'!C15</f>
        <v>7A (11) (25)</v>
      </c>
      <c r="D10" s="40">
        <v>2971751015.5674863</v>
      </c>
      <c r="E10" s="41">
        <v>271733941.1124754</v>
      </c>
      <c r="F10" s="42">
        <f>(IF(D10&gt;0,E10*$E$38/D10,0))</f>
        <v>6.6861124673640187E-4</v>
      </c>
      <c r="G10" s="14">
        <f>+H10+E10</f>
        <v>273720887.26398414</v>
      </c>
      <c r="H10" s="14">
        <f>+F10*D10</f>
        <v>1986946.1515087455</v>
      </c>
      <c r="I10" s="43">
        <f>IF(E10&gt;0,+H10/E10,0)</f>
        <v>7.3121014746049479E-3</v>
      </c>
    </row>
    <row r="11" spans="1:10" x14ac:dyDescent="0.2">
      <c r="A11" s="39">
        <f t="shared" si="0"/>
        <v>5</v>
      </c>
      <c r="B11" s="217" t="str">
        <f>'Sch 129D Rates'!B16</f>
        <v>Large General Service: Demand &gt; 350 kW</v>
      </c>
      <c r="C11" s="74" t="str">
        <f>'Sch 129D Rates'!C16</f>
        <v>12 (26) (26P)</v>
      </c>
      <c r="D11" s="40">
        <v>2037371160.2613628</v>
      </c>
      <c r="E11" s="41">
        <v>171609810.19997486</v>
      </c>
      <c r="F11" s="42">
        <f>(IF(D11&gt;0,E11*$E$38/D11,0))</f>
        <v>6.1590561930744943E-4</v>
      </c>
      <c r="G11" s="14">
        <f>+H11+E11</f>
        <v>172864638.54619476</v>
      </c>
      <c r="H11" s="14">
        <f>+F11*D11</f>
        <v>1254828.3462199115</v>
      </c>
      <c r="I11" s="43">
        <f>IF(E11&gt;0,+H11/E11,0)</f>
        <v>7.3121014746049479E-3</v>
      </c>
    </row>
    <row r="12" spans="1:10" x14ac:dyDescent="0.2">
      <c r="A12" s="39">
        <f t="shared" si="0"/>
        <v>6</v>
      </c>
      <c r="B12" s="217" t="str">
        <f>'Sch 129D Rates'!B17</f>
        <v>Irrigation &amp; Pumping Service: Demand &gt; 50 kW but &lt;= 350 kW</v>
      </c>
      <c r="C12" s="74">
        <f>'Sch 129D Rates'!C17</f>
        <v>29</v>
      </c>
      <c r="D12" s="40">
        <v>14436685.877551533</v>
      </c>
      <c r="E12" s="41">
        <v>1233167.2709745744</v>
      </c>
      <c r="F12" s="42">
        <f>(IF(D12&gt;0,E12*$E$38/D12,0))</f>
        <v>6.2459239585928002E-4</v>
      </c>
      <c r="G12" s="14">
        <f>+H12+E12</f>
        <v>1242184.315195102</v>
      </c>
      <c r="H12" s="14">
        <f>+F12*D12</f>
        <v>9017.044220527745</v>
      </c>
      <c r="I12" s="43">
        <f>IF(E12&gt;0,+H12/E12,0)</f>
        <v>7.3121014746049479E-3</v>
      </c>
    </row>
    <row r="13" spans="1:10" x14ac:dyDescent="0.2">
      <c r="A13" s="39">
        <f t="shared" si="0"/>
        <v>7</v>
      </c>
      <c r="B13" s="13" t="s">
        <v>7</v>
      </c>
      <c r="D13" s="45">
        <f>SUM(D9:D12)</f>
        <v>7716768909.0978241</v>
      </c>
      <c r="E13" s="18">
        <f>SUM(E9:E12)</f>
        <v>714301904.82967591</v>
      </c>
      <c r="F13" s="46">
        <f>+H13/D13</f>
        <v>6.768439061924466E-4</v>
      </c>
      <c r="G13" s="18">
        <f>SUM(G9:G12)</f>
        <v>719524952.84129405</v>
      </c>
      <c r="H13" s="18">
        <f>SUM(H9:H12)</f>
        <v>5223048.011618196</v>
      </c>
      <c r="I13" s="47">
        <f>IF(E13&gt;0,+H13/E13,0)</f>
        <v>7.312101474604947E-3</v>
      </c>
    </row>
    <row r="14" spans="1:10" x14ac:dyDescent="0.2">
      <c r="A14" s="39">
        <f t="shared" si="0"/>
        <v>8</v>
      </c>
      <c r="B14" s="13"/>
      <c r="E14" s="14"/>
      <c r="F14" s="44"/>
      <c r="G14" s="14"/>
      <c r="H14" s="14"/>
      <c r="I14" s="43"/>
    </row>
    <row r="15" spans="1:10" x14ac:dyDescent="0.2">
      <c r="A15" s="39">
        <f t="shared" si="0"/>
        <v>9</v>
      </c>
      <c r="B15" s="217" t="str">
        <f>'Sch 129D Rates'!B21</f>
        <v>General Service</v>
      </c>
      <c r="C15" s="74" t="str">
        <f>'Sch 129D Rates'!C21</f>
        <v>10 (31)</v>
      </c>
      <c r="D15" s="40">
        <v>1378502364.5436404</v>
      </c>
      <c r="E15" s="41">
        <v>114538382.96756653</v>
      </c>
      <c r="F15" s="42">
        <f>(IF(D15&gt;0,E15*$E$38/D15,0))</f>
        <v>6.0755519942345048E-4</v>
      </c>
      <c r="G15" s="14">
        <f>+H15+E15</f>
        <v>115375899.24656254</v>
      </c>
      <c r="H15" s="14">
        <f>+F15*D15</f>
        <v>837516.2789960095</v>
      </c>
      <c r="I15" s="43">
        <f>IF(E15&gt;0,+H15/E15,0)</f>
        <v>7.3121014746049479E-3</v>
      </c>
    </row>
    <row r="16" spans="1:10" x14ac:dyDescent="0.2">
      <c r="A16" s="39">
        <f t="shared" si="0"/>
        <v>10</v>
      </c>
      <c r="B16" s="217" t="str">
        <f>'Sch 129D Rates'!B22</f>
        <v>Irrigation &amp; Pumping Service</v>
      </c>
      <c r="C16" s="74">
        <f>'Sch 129D Rates'!C22</f>
        <v>35</v>
      </c>
      <c r="D16" s="40">
        <v>5934926.6636967957</v>
      </c>
      <c r="E16" s="41">
        <v>372725.26433348615</v>
      </c>
      <c r="F16" s="42">
        <f>(IF(D16&gt;0,E16*$E$38/D16,0))</f>
        <v>4.5921459680813991E-4</v>
      </c>
      <c r="G16" s="14">
        <f>+H16+E16</f>
        <v>375450.66928844154</v>
      </c>
      <c r="H16" s="14">
        <f>+F16*D16</f>
        <v>2725.4049549554029</v>
      </c>
      <c r="I16" s="43">
        <f>IF(E16&gt;0,+H16/E16,0)</f>
        <v>7.312101474604947E-3</v>
      </c>
    </row>
    <row r="17" spans="1:9" x14ac:dyDescent="0.2">
      <c r="A17" s="39">
        <f t="shared" si="0"/>
        <v>11</v>
      </c>
      <c r="B17" s="217" t="str">
        <f>'Sch 129D Rates'!B23</f>
        <v>All Electric Schools</v>
      </c>
      <c r="C17" s="74">
        <f>'Sch 129D Rates'!C23</f>
        <v>43</v>
      </c>
      <c r="D17" s="40">
        <v>109828264.79087074</v>
      </c>
      <c r="E17" s="41">
        <v>9743853.8239812627</v>
      </c>
      <c r="F17" s="42">
        <f>(IF(D17&gt;0,E17*$E$38/D17,0))</f>
        <v>6.4872233072547642E-4</v>
      </c>
      <c r="G17" s="14">
        <f>+H17+E17</f>
        <v>9815101.8718959317</v>
      </c>
      <c r="H17" s="14">
        <f>+F17*D17</f>
        <v>71248.047914668452</v>
      </c>
      <c r="I17" s="43">
        <f>IF(E17&gt;0,+H17/E17,0)</f>
        <v>7.3121014746049479E-3</v>
      </c>
    </row>
    <row r="18" spans="1:9" x14ac:dyDescent="0.2">
      <c r="A18" s="39">
        <f t="shared" si="0"/>
        <v>12</v>
      </c>
      <c r="B18" s="16" t="s">
        <v>8</v>
      </c>
      <c r="D18" s="45">
        <f>SUM(D15:D17)</f>
        <v>1494265555.9982078</v>
      </c>
      <c r="E18" s="18">
        <f>SUM(E15:E17)</f>
        <v>124654962.05588129</v>
      </c>
      <c r="F18" s="46">
        <f>+H18/D18</f>
        <v>6.0999179711181584E-4</v>
      </c>
      <c r="G18" s="18">
        <f>SUM(G15:G17)</f>
        <v>125566451.78774691</v>
      </c>
      <c r="H18" s="18">
        <f>SUM(H15:H17)</f>
        <v>911489.7318656334</v>
      </c>
      <c r="I18" s="47">
        <f>IF(E18&gt;0,+H18/E18,0)</f>
        <v>7.3121014746049479E-3</v>
      </c>
    </row>
    <row r="19" spans="1:9" x14ac:dyDescent="0.2">
      <c r="A19" s="39">
        <f t="shared" si="0"/>
        <v>13</v>
      </c>
      <c r="B19" s="16"/>
      <c r="E19" s="14"/>
      <c r="F19" s="44"/>
      <c r="G19" s="14"/>
      <c r="H19" s="14"/>
      <c r="I19" s="43"/>
    </row>
    <row r="20" spans="1:9" x14ac:dyDescent="0.2">
      <c r="A20" s="39">
        <f t="shared" si="0"/>
        <v>14</v>
      </c>
      <c r="B20" s="218" t="str">
        <f>'Sch 129D Rates'!B27</f>
        <v>Interruptible Service</v>
      </c>
      <c r="C20" s="74">
        <f>'Sch 129D Rates'!C27</f>
        <v>46</v>
      </c>
      <c r="D20" s="40">
        <v>93576444.299349248</v>
      </c>
      <c r="E20" s="41">
        <v>5986365.8711622693</v>
      </c>
      <c r="F20" s="42">
        <f>(IF(D20&gt;0,E20*$E$38/D20,0))</f>
        <v>4.6777706763490229E-4</v>
      </c>
      <c r="G20" s="14">
        <f>+H20+E20</f>
        <v>6030138.7858763197</v>
      </c>
      <c r="H20" s="14">
        <f>+F20*D20</f>
        <v>43772.914714050363</v>
      </c>
      <c r="I20" s="43">
        <f>IF(E20&gt;0,+H20/E20,0)</f>
        <v>7.3121014746049479E-3</v>
      </c>
    </row>
    <row r="21" spans="1:9" x14ac:dyDescent="0.2">
      <c r="A21" s="39">
        <f t="shared" si="0"/>
        <v>15</v>
      </c>
      <c r="B21" s="218" t="str">
        <f>'Sch 129D Rates'!B28</f>
        <v>General Service</v>
      </c>
      <c r="C21" s="74">
        <f>'Sch 129D Rates'!C28</f>
        <v>49</v>
      </c>
      <c r="D21" s="40">
        <v>530780105.2278645</v>
      </c>
      <c r="E21" s="41">
        <v>34447098.049183175</v>
      </c>
      <c r="F21" s="42">
        <f>(IF(D21&gt;0,E21*$E$38/D21,0))</f>
        <v>4.7454807360038651E-4</v>
      </c>
      <c r="G21" s="14">
        <f>+H21+E21</f>
        <v>34698978.725624472</v>
      </c>
      <c r="H21" s="14">
        <f>+F21*D21</f>
        <v>251880.67644129353</v>
      </c>
      <c r="I21" s="43">
        <f>IF(E21&gt;0,+H21/E21,0)</f>
        <v>7.3121014746049479E-3</v>
      </c>
    </row>
    <row r="22" spans="1:9" x14ac:dyDescent="0.2">
      <c r="A22" s="39">
        <f t="shared" si="0"/>
        <v>16</v>
      </c>
      <c r="B22" s="13" t="s">
        <v>9</v>
      </c>
      <c r="D22" s="45">
        <f>SUM(D20:D21)</f>
        <v>624356549.52721381</v>
      </c>
      <c r="E22" s="18">
        <f>SUM(E20:E21)</f>
        <v>40433463.920345441</v>
      </c>
      <c r="F22" s="46">
        <f>+H22/D22</f>
        <v>4.7353325816670605E-4</v>
      </c>
      <c r="G22" s="45">
        <f>SUM(G20:G21)</f>
        <v>40729117.511500791</v>
      </c>
      <c r="H22" s="18">
        <f>SUM(H20:H21)</f>
        <v>295653.59115534392</v>
      </c>
      <c r="I22" s="47">
        <f>IF(E22&gt;0,+H22/E22,0)</f>
        <v>7.3121014746049496E-3</v>
      </c>
    </row>
    <row r="23" spans="1:9" x14ac:dyDescent="0.2">
      <c r="A23" s="39">
        <f t="shared" si="0"/>
        <v>17</v>
      </c>
      <c r="B23" s="13"/>
      <c r="E23" s="14"/>
      <c r="F23" s="44"/>
      <c r="G23" s="14"/>
      <c r="H23" s="14"/>
      <c r="I23" s="43"/>
    </row>
    <row r="24" spans="1:9" x14ac:dyDescent="0.2">
      <c r="A24" s="39">
        <f t="shared" si="0"/>
        <v>18</v>
      </c>
      <c r="B24" s="216" t="str">
        <f>'Sch 129D Rates'!B33</f>
        <v>Lighting</v>
      </c>
      <c r="C24" s="74" t="str">
        <f>'Sch 129D Rates'!C33</f>
        <v>50 - 59</v>
      </c>
      <c r="D24" s="40">
        <v>64491873.674880393</v>
      </c>
      <c r="E24" s="41">
        <v>16093624.616198028</v>
      </c>
      <c r="F24" s="42">
        <f>(IF(D24&gt;0,E24*$E$38/D24,0))</f>
        <v>1.8246983624802917E-3</v>
      </c>
      <c r="G24" s="14">
        <f>+H24+E24</f>
        <v>16211302.832485868</v>
      </c>
      <c r="H24" s="14">
        <f>+F24*D24</f>
        <v>117678.21628784008</v>
      </c>
      <c r="I24" s="43">
        <f>IF(E24&gt;0,+H24/E24,0)</f>
        <v>7.3121014746049479E-3</v>
      </c>
    </row>
    <row r="25" spans="1:9" x14ac:dyDescent="0.2">
      <c r="A25" s="39">
        <f t="shared" si="0"/>
        <v>19</v>
      </c>
      <c r="B25" s="13"/>
      <c r="C25" s="15"/>
      <c r="D25" s="40"/>
      <c r="E25" s="41"/>
      <c r="F25" s="44"/>
      <c r="G25" s="14"/>
      <c r="H25" s="14"/>
      <c r="I25" s="43"/>
    </row>
    <row r="26" spans="1:9" x14ac:dyDescent="0.2">
      <c r="A26" s="39">
        <f t="shared" si="0"/>
        <v>20</v>
      </c>
      <c r="B26" s="216" t="str">
        <f>'Sch 129D Rates'!B31</f>
        <v>Choice / Retail Wheeling</v>
      </c>
      <c r="C26" s="74" t="str">
        <f>'Sch 129D Rates'!C31</f>
        <v>448 - 459</v>
      </c>
      <c r="D26" s="40">
        <v>1954312680.3583896</v>
      </c>
      <c r="E26" s="41">
        <v>9454964.7475738898</v>
      </c>
      <c r="F26" s="42">
        <f>(IF(D26&gt;0,E26*$E$38/D26,0))</f>
        <v>3.537594693413874E-5</v>
      </c>
      <c r="G26" s="14">
        <f>+H26+E26</f>
        <v>9524100.4092469625</v>
      </c>
      <c r="H26" s="14">
        <f>+F26*D26</f>
        <v>69135.661673072842</v>
      </c>
      <c r="I26" s="43">
        <f>IF(E26&gt;0,+H26/E26,0)</f>
        <v>7.3121014746049479E-3</v>
      </c>
    </row>
    <row r="27" spans="1:9" x14ac:dyDescent="0.2">
      <c r="A27" s="39">
        <f t="shared" si="0"/>
        <v>21</v>
      </c>
      <c r="B27" s="13"/>
      <c r="E27" s="14"/>
      <c r="G27" s="14"/>
      <c r="H27" s="14"/>
      <c r="I27" s="38"/>
    </row>
    <row r="28" spans="1:9" x14ac:dyDescent="0.2">
      <c r="A28" s="39">
        <f t="shared" si="0"/>
        <v>22</v>
      </c>
      <c r="B28" s="239" t="str">
        <f>'Sch 129D Rates'!B32</f>
        <v>Special Contracts</v>
      </c>
      <c r="C28" s="74" t="str">
        <f>'Sch 129D Rates'!C32</f>
        <v>Special Contract</v>
      </c>
      <c r="D28" s="40">
        <v>319873933.30400002</v>
      </c>
      <c r="E28" s="41">
        <v>3467753.3109486643</v>
      </c>
      <c r="F28" s="42">
        <f>(IF(D28&gt;0,E28*$E$38/D28,0))</f>
        <v>7.9270492086192234E-5</v>
      </c>
      <c r="G28" s="14">
        <f>+H28+E28</f>
        <v>3493109.8750472181</v>
      </c>
      <c r="H28" s="14">
        <f>+F28*D28</f>
        <v>25356.564098553918</v>
      </c>
      <c r="I28" s="48">
        <f>IF(E28&gt;0,+H28/E28,0)</f>
        <v>7.3121014746049479E-3</v>
      </c>
    </row>
    <row r="29" spans="1:9" ht="12" thickBot="1" x14ac:dyDescent="0.25">
      <c r="A29" s="39">
        <f t="shared" si="0"/>
        <v>23</v>
      </c>
      <c r="B29" s="16" t="s">
        <v>59</v>
      </c>
      <c r="D29" s="4">
        <f>SUM(D7,D13,D18,D22,D24,D26,D28)</f>
        <v>23493200123.358665</v>
      </c>
      <c r="E29" s="3">
        <f>SUM(E7,E13,E18,E22,E24,E26,E28)</f>
        <v>2111901917.6701601</v>
      </c>
      <c r="F29" s="49">
        <f>+H29/D29</f>
        <v>6.5731535275447581E-4</v>
      </c>
      <c r="G29" s="3">
        <f>SUM(G7,G13,G18,G22,G24,G26,G28)</f>
        <v>2127344358.796577</v>
      </c>
      <c r="H29" s="3">
        <f>SUM(H7,H13,H18,H22,H24,H26,H28)</f>
        <v>15442441.126416996</v>
      </c>
      <c r="I29" s="50">
        <f>IF(E29&gt;0,+H29/E29,0)</f>
        <v>7.3121014746049488E-3</v>
      </c>
    </row>
    <row r="30" spans="1:9" ht="12.75" thickTop="1" thickBot="1" x14ac:dyDescent="0.25">
      <c r="A30" s="51">
        <f t="shared" si="0"/>
        <v>24</v>
      </c>
      <c r="B30" s="52"/>
      <c r="C30" s="53"/>
      <c r="D30" s="54"/>
      <c r="E30" s="54"/>
      <c r="F30" s="52"/>
      <c r="G30" s="54"/>
      <c r="H30" s="55"/>
      <c r="I30" s="56"/>
    </row>
    <row r="31" spans="1:9" x14ac:dyDescent="0.2">
      <c r="A31" s="10">
        <f t="shared" si="0"/>
        <v>25</v>
      </c>
      <c r="H31" s="19" t="s">
        <v>75</v>
      </c>
    </row>
    <row r="32" spans="1:9" x14ac:dyDescent="0.2">
      <c r="A32" s="10">
        <f t="shared" si="0"/>
        <v>26</v>
      </c>
      <c r="B32" s="12" t="s">
        <v>11</v>
      </c>
      <c r="D32" s="40">
        <v>7578921.5862422688</v>
      </c>
      <c r="E32" s="41">
        <v>589905.36166516703</v>
      </c>
      <c r="H32" s="20">
        <f>E35-H29</f>
        <v>0</v>
      </c>
    </row>
    <row r="33" spans="1:9" ht="12" thickBot="1" x14ac:dyDescent="0.25">
      <c r="A33" s="10">
        <f t="shared" si="0"/>
        <v>27</v>
      </c>
      <c r="B33" s="12" t="s">
        <v>12</v>
      </c>
      <c r="D33" s="57">
        <f>+D32+D29</f>
        <v>23500779044.944908</v>
      </c>
      <c r="E33" s="17">
        <f>+E32+E29</f>
        <v>2112491823.0318253</v>
      </c>
    </row>
    <row r="34" spans="1:9" ht="12" thickTop="1" x14ac:dyDescent="0.2">
      <c r="A34" s="10">
        <f t="shared" si="0"/>
        <v>28</v>
      </c>
      <c r="E34" s="2"/>
    </row>
    <row r="35" spans="1:9" x14ac:dyDescent="0.2">
      <c r="A35" s="10">
        <f t="shared" si="0"/>
        <v>29</v>
      </c>
      <c r="B35" s="16" t="s">
        <v>72</v>
      </c>
      <c r="E35" s="41">
        <v>15442441.126416994</v>
      </c>
      <c r="F35" s="76"/>
    </row>
    <row r="36" spans="1:9" x14ac:dyDescent="0.2">
      <c r="A36" s="10">
        <f t="shared" si="0"/>
        <v>30</v>
      </c>
      <c r="B36" s="12" t="s">
        <v>74</v>
      </c>
      <c r="E36" s="2">
        <f>E29</f>
        <v>2111901917.6701601</v>
      </c>
      <c r="F36" s="58"/>
    </row>
    <row r="37" spans="1:9" ht="12" thickBot="1" x14ac:dyDescent="0.25">
      <c r="A37" s="10">
        <f t="shared" si="0"/>
        <v>31</v>
      </c>
    </row>
    <row r="38" spans="1:9" ht="12" thickBot="1" x14ac:dyDescent="0.25">
      <c r="A38" s="59">
        <f t="shared" si="0"/>
        <v>32</v>
      </c>
      <c r="B38" s="60" t="s">
        <v>73</v>
      </c>
      <c r="C38" s="61"/>
      <c r="D38" s="62"/>
      <c r="E38" s="1">
        <f>E35/E36</f>
        <v>7.3121014746049479E-3</v>
      </c>
      <c r="F38" s="63" t="s">
        <v>18</v>
      </c>
      <c r="G38" s="64"/>
      <c r="H38" s="65"/>
      <c r="I38" s="66"/>
    </row>
    <row r="41" spans="1:9" s="67" customFormat="1" x14ac:dyDescent="0.2">
      <c r="A41" s="250" t="s">
        <v>98</v>
      </c>
      <c r="B41" s="250"/>
      <c r="C41" s="250"/>
      <c r="D41" s="250"/>
      <c r="E41" s="250"/>
      <c r="F41" s="250"/>
      <c r="G41" s="250"/>
      <c r="H41" s="250"/>
      <c r="I41" s="250"/>
    </row>
  </sheetData>
  <mergeCells count="1">
    <mergeCell ref="A41:I41"/>
  </mergeCells>
  <printOptions horizontalCentered="1"/>
  <pageMargins left="0.7" right="0.7" top="0.75" bottom="0.75" header="0.3" footer="0.3"/>
  <pageSetup scale="86" orientation="landscape" r:id="rId1"/>
  <headerFooter alignWithMargins="0">
    <oddHeader>&amp;C2021 Low Income Program Workpapers</oddHeader>
    <oddFooter>&amp;L&amp;F
&amp;A&amp;CPage# &amp;P of &amp;N&amp;R&amp;D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opLeftCell="A139" workbookViewId="0">
      <selection activeCell="B37" sqref="B37"/>
    </sheetView>
  </sheetViews>
  <sheetFormatPr defaultColWidth="8.85546875" defaultRowHeight="11.25" x14ac:dyDescent="0.2"/>
  <cols>
    <col min="1" max="1" width="6.7109375" style="79" bestFit="1" customWidth="1"/>
    <col min="2" max="2" width="20.140625" style="79" customWidth="1"/>
    <col min="3" max="3" width="16.42578125" style="79" customWidth="1"/>
    <col min="4" max="4" width="16.7109375" style="79" customWidth="1"/>
    <col min="5" max="5" width="15.85546875" style="79" bestFit="1" customWidth="1"/>
    <col min="6" max="6" width="11.42578125" style="79" customWidth="1"/>
    <col min="7" max="7" width="11.5703125" style="79" customWidth="1"/>
    <col min="8" max="8" width="12.28515625" style="79" customWidth="1"/>
    <col min="9" max="9" width="1.28515625" style="79" customWidth="1"/>
    <col min="10" max="16384" width="8.85546875" style="79"/>
  </cols>
  <sheetData>
    <row r="1" spans="1:11" s="123" customFormat="1" x14ac:dyDescent="0.2">
      <c r="A1" s="124" t="s">
        <v>92</v>
      </c>
      <c r="B1" s="124"/>
      <c r="C1" s="124"/>
      <c r="D1" s="124"/>
      <c r="E1" s="124"/>
      <c r="F1" s="124"/>
      <c r="G1" s="124"/>
      <c r="H1" s="124"/>
    </row>
    <row r="2" spans="1:11" s="123" customFormat="1" x14ac:dyDescent="0.2">
      <c r="A2" s="124" t="str">
        <f>'Sch 129D Rates'!A2</f>
        <v>Schedule 129D Bill Discount Rider Rate</v>
      </c>
      <c r="B2" s="124"/>
      <c r="C2" s="124"/>
      <c r="D2" s="124"/>
      <c r="E2" s="124"/>
      <c r="F2" s="124"/>
      <c r="G2" s="124"/>
      <c r="H2" s="124"/>
    </row>
    <row r="3" spans="1:11" s="123" customFormat="1" x14ac:dyDescent="0.2">
      <c r="A3" s="124" t="str">
        <f>Inputs!B4 &amp; " Forecasted Rate-Year Ended " &amp; TEXT(Inputs!B2, "mmmm dd, yyyy")</f>
        <v>F2024 Forecasted Rate-Year Ended December 31, 2025</v>
      </c>
      <c r="B3" s="124"/>
      <c r="C3" s="124"/>
      <c r="D3" s="124"/>
      <c r="E3" s="124"/>
      <c r="F3" s="124"/>
      <c r="G3" s="124"/>
      <c r="H3" s="124"/>
    </row>
    <row r="4" spans="1:11" s="123" customFormat="1" x14ac:dyDescent="0.2">
      <c r="A4" s="124" t="str">
        <f xml:space="preserve"> "Proposed Rate Effective " &amp; TEXT(Inputs!B1, "mmmm dd, yyyy")</f>
        <v>Proposed Rate Effective January 01, 2025</v>
      </c>
      <c r="B4" s="124"/>
      <c r="C4" s="124"/>
      <c r="D4" s="124"/>
      <c r="E4" s="124"/>
      <c r="F4" s="124"/>
      <c r="G4" s="124"/>
      <c r="H4" s="124"/>
    </row>
    <row r="5" spans="1:11" s="123" customFormat="1" x14ac:dyDescent="0.2">
      <c r="A5" s="125" t="s">
        <v>157</v>
      </c>
      <c r="B5" s="124"/>
      <c r="C5" s="124"/>
      <c r="D5" s="124"/>
      <c r="E5" s="124"/>
      <c r="F5" s="124"/>
      <c r="G5" s="124"/>
      <c r="H5" s="124"/>
    </row>
    <row r="6" spans="1:11" s="123" customFormat="1" x14ac:dyDescent="0.2">
      <c r="A6" s="120"/>
    </row>
    <row r="7" spans="1:11" s="120" customFormat="1" ht="45" x14ac:dyDescent="0.2">
      <c r="A7" s="122" t="s">
        <v>1</v>
      </c>
      <c r="B7" s="122" t="s">
        <v>0</v>
      </c>
      <c r="C7" s="122" t="s">
        <v>2</v>
      </c>
      <c r="D7" s="122" t="s">
        <v>58</v>
      </c>
      <c r="E7" s="121" t="s">
        <v>156</v>
      </c>
      <c r="F7" s="121" t="s">
        <v>155</v>
      </c>
      <c r="G7" s="121" t="s">
        <v>154</v>
      </c>
      <c r="H7" s="121" t="s">
        <v>153</v>
      </c>
    </row>
    <row r="8" spans="1:11" s="116" customFormat="1" x14ac:dyDescent="0.2">
      <c r="A8" s="119"/>
      <c r="B8" s="118" t="s">
        <v>88</v>
      </c>
      <c r="C8" s="118" t="s">
        <v>87</v>
      </c>
      <c r="D8" s="117" t="s">
        <v>86</v>
      </c>
      <c r="E8" s="117" t="s">
        <v>85</v>
      </c>
      <c r="F8" s="117" t="s">
        <v>152</v>
      </c>
      <c r="G8" s="117" t="s">
        <v>84</v>
      </c>
      <c r="H8" s="117" t="s">
        <v>151</v>
      </c>
    </row>
    <row r="9" spans="1:11" x14ac:dyDescent="0.2">
      <c r="A9" s="80">
        <v>1</v>
      </c>
      <c r="B9" s="80"/>
      <c r="C9" s="80"/>
      <c r="D9" s="111"/>
      <c r="F9" s="114"/>
      <c r="G9" s="115"/>
      <c r="H9" s="114"/>
    </row>
    <row r="10" spans="1:11" ht="13.5" x14ac:dyDescent="0.35">
      <c r="A10" s="80">
        <f t="shared" ref="A10:A41" si="0">+A9+1</f>
        <v>2</v>
      </c>
      <c r="B10" s="103" t="s">
        <v>138</v>
      </c>
    </row>
    <row r="11" spans="1:11" x14ac:dyDescent="0.2">
      <c r="A11" s="80">
        <f t="shared" si="0"/>
        <v>3</v>
      </c>
      <c r="B11" s="102" t="s">
        <v>57</v>
      </c>
      <c r="C11" s="113" t="s">
        <v>56</v>
      </c>
      <c r="D11" s="110">
        <v>22</v>
      </c>
      <c r="E11" s="96">
        <v>0.5</v>
      </c>
      <c r="F11" s="95">
        <f>E11*$H$168</f>
        <v>1.5262546799160484E-2</v>
      </c>
      <c r="G11" s="100">
        <v>649</v>
      </c>
      <c r="H11" s="83">
        <f>F11*G11</f>
        <v>9.9053928726551543</v>
      </c>
      <c r="J11" s="93"/>
      <c r="K11" s="92"/>
    </row>
    <row r="12" spans="1:11" x14ac:dyDescent="0.2">
      <c r="A12" s="80">
        <f t="shared" si="0"/>
        <v>4</v>
      </c>
      <c r="B12" s="112"/>
      <c r="C12" s="111"/>
      <c r="D12" s="110"/>
      <c r="E12" s="96"/>
      <c r="F12" s="95"/>
      <c r="G12" s="100"/>
      <c r="H12" s="98"/>
      <c r="J12" s="93"/>
      <c r="K12" s="92"/>
    </row>
    <row r="13" spans="1:11" x14ac:dyDescent="0.2">
      <c r="A13" s="80">
        <f t="shared" si="0"/>
        <v>5</v>
      </c>
      <c r="B13" s="102" t="s">
        <v>67</v>
      </c>
      <c r="C13" s="98" t="s">
        <v>3</v>
      </c>
      <c r="D13" s="97">
        <v>100</v>
      </c>
      <c r="E13" s="96">
        <v>2.2799999999999998</v>
      </c>
      <c r="F13" s="95">
        <f>E13*$H$168</f>
        <v>6.9597213404171798E-2</v>
      </c>
      <c r="G13" s="100">
        <v>33</v>
      </c>
      <c r="H13" s="83">
        <f>F13*G13</f>
        <v>2.2967080423376691</v>
      </c>
      <c r="J13" s="93"/>
      <c r="K13" s="92"/>
    </row>
    <row r="14" spans="1:11" x14ac:dyDescent="0.2">
      <c r="A14" s="80">
        <f t="shared" si="0"/>
        <v>6</v>
      </c>
      <c r="B14" s="102" t="str">
        <f>+B13</f>
        <v>50E</v>
      </c>
      <c r="C14" s="98" t="s">
        <v>3</v>
      </c>
      <c r="D14" s="97">
        <v>175</v>
      </c>
      <c r="E14" s="96">
        <v>3.98</v>
      </c>
      <c r="F14" s="95">
        <f>E14*$H$168</f>
        <v>0.12148987252131746</v>
      </c>
      <c r="G14" s="100">
        <v>240</v>
      </c>
      <c r="H14" s="83">
        <f>F14*G14</f>
        <v>29.157569405116192</v>
      </c>
      <c r="J14" s="93"/>
      <c r="K14" s="92"/>
    </row>
    <row r="15" spans="1:11" x14ac:dyDescent="0.2">
      <c r="A15" s="80">
        <f t="shared" si="0"/>
        <v>7</v>
      </c>
      <c r="B15" s="102" t="str">
        <f>+B14</f>
        <v>50E</v>
      </c>
      <c r="C15" s="98" t="s">
        <v>3</v>
      </c>
      <c r="D15" s="97">
        <v>400</v>
      </c>
      <c r="E15" s="96">
        <v>9.1</v>
      </c>
      <c r="F15" s="95">
        <f>E15*$H$168</f>
        <v>0.27777835174472082</v>
      </c>
      <c r="G15" s="100">
        <v>229</v>
      </c>
      <c r="H15" s="83">
        <f>F15*G15</f>
        <v>63.611242549541068</v>
      </c>
      <c r="J15" s="93"/>
      <c r="K15" s="92"/>
    </row>
    <row r="16" spans="1:11" x14ac:dyDescent="0.2">
      <c r="A16" s="80">
        <f t="shared" si="0"/>
        <v>8</v>
      </c>
      <c r="B16" s="102" t="str">
        <f>+B15</f>
        <v>50E</v>
      </c>
      <c r="C16" s="98" t="s">
        <v>3</v>
      </c>
      <c r="D16" s="97">
        <v>700</v>
      </c>
      <c r="E16" s="96">
        <v>15.93</v>
      </c>
      <c r="F16" s="95">
        <f>E16*$H$168</f>
        <v>0.486264741021253</v>
      </c>
      <c r="G16" s="94">
        <v>0</v>
      </c>
      <c r="H16" s="83">
        <f>F16*G16</f>
        <v>0</v>
      </c>
      <c r="J16" s="93"/>
      <c r="K16" s="92"/>
    </row>
    <row r="17" spans="1:11" x14ac:dyDescent="0.2">
      <c r="A17" s="80">
        <f t="shared" si="0"/>
        <v>9</v>
      </c>
      <c r="D17" s="84"/>
      <c r="E17" s="96"/>
      <c r="F17" s="95"/>
      <c r="G17" s="100"/>
      <c r="H17" s="98"/>
      <c r="J17" s="93"/>
      <c r="K17" s="92"/>
    </row>
    <row r="18" spans="1:11" ht="13.5" x14ac:dyDescent="0.35">
      <c r="A18" s="80">
        <f t="shared" si="0"/>
        <v>10</v>
      </c>
      <c r="B18" s="103" t="s">
        <v>55</v>
      </c>
      <c r="D18" s="84"/>
      <c r="E18" s="96"/>
      <c r="F18" s="95"/>
      <c r="G18" s="100"/>
      <c r="H18" s="98"/>
      <c r="J18" s="93"/>
      <c r="K18" s="92"/>
    </row>
    <row r="19" spans="1:11" x14ac:dyDescent="0.2">
      <c r="A19" s="80">
        <f t="shared" si="0"/>
        <v>11</v>
      </c>
      <c r="B19" s="102" t="s">
        <v>54</v>
      </c>
      <c r="C19" s="98" t="s">
        <v>30</v>
      </c>
      <c r="D19" s="84" t="s">
        <v>68</v>
      </c>
      <c r="E19" s="96">
        <v>0.33999999999999997</v>
      </c>
      <c r="F19" s="95">
        <f t="shared" ref="F19:F28" si="1">E19*$H$168</f>
        <v>1.0378531823429129E-2</v>
      </c>
      <c r="G19" s="100">
        <v>408</v>
      </c>
      <c r="H19" s="83">
        <f t="shared" ref="H19:H29" si="2">F19*G19</f>
        <v>4.2344409839590842</v>
      </c>
      <c r="J19" s="93"/>
      <c r="K19" s="92"/>
    </row>
    <row r="20" spans="1:11" x14ac:dyDescent="0.2">
      <c r="A20" s="80">
        <f t="shared" si="0"/>
        <v>12</v>
      </c>
      <c r="B20" s="102" t="s">
        <v>54</v>
      </c>
      <c r="C20" s="98" t="s">
        <v>30</v>
      </c>
      <c r="D20" s="101" t="s">
        <v>69</v>
      </c>
      <c r="E20" s="96">
        <v>1.02</v>
      </c>
      <c r="F20" s="95">
        <f t="shared" si="1"/>
        <v>3.1135595470287387E-2</v>
      </c>
      <c r="G20" s="100">
        <v>62884</v>
      </c>
      <c r="H20" s="83">
        <f t="shared" si="2"/>
        <v>1957.9307855535521</v>
      </c>
      <c r="J20" s="93"/>
      <c r="K20" s="92"/>
    </row>
    <row r="21" spans="1:11" x14ac:dyDescent="0.2">
      <c r="A21" s="80">
        <f t="shared" si="0"/>
        <v>13</v>
      </c>
      <c r="B21" s="102" t="s">
        <v>54</v>
      </c>
      <c r="C21" s="98" t="s">
        <v>30</v>
      </c>
      <c r="D21" s="97" t="s">
        <v>43</v>
      </c>
      <c r="E21" s="96">
        <v>1.7</v>
      </c>
      <c r="F21" s="95">
        <f t="shared" si="1"/>
        <v>5.1892659117145648E-2</v>
      </c>
      <c r="G21" s="100">
        <v>35897</v>
      </c>
      <c r="H21" s="83">
        <f t="shared" si="2"/>
        <v>1862.7907843281773</v>
      </c>
      <c r="J21" s="93"/>
      <c r="K21" s="92"/>
    </row>
    <row r="22" spans="1:11" x14ac:dyDescent="0.2">
      <c r="A22" s="80">
        <f t="shared" si="0"/>
        <v>14</v>
      </c>
      <c r="B22" s="102" t="s">
        <v>54</v>
      </c>
      <c r="C22" s="98" t="s">
        <v>30</v>
      </c>
      <c r="D22" s="97" t="s">
        <v>42</v>
      </c>
      <c r="E22" s="96">
        <v>2.38</v>
      </c>
      <c r="F22" s="95">
        <f t="shared" si="1"/>
        <v>7.2649722764003902E-2</v>
      </c>
      <c r="G22" s="100">
        <v>15040</v>
      </c>
      <c r="H22" s="83">
        <f t="shared" si="2"/>
        <v>1092.6518303706187</v>
      </c>
      <c r="J22" s="93"/>
      <c r="K22" s="92"/>
    </row>
    <row r="23" spans="1:11" x14ac:dyDescent="0.2">
      <c r="A23" s="80">
        <f t="shared" si="0"/>
        <v>15</v>
      </c>
      <c r="B23" s="102" t="s">
        <v>54</v>
      </c>
      <c r="C23" s="98" t="s">
        <v>30</v>
      </c>
      <c r="D23" s="97" t="s">
        <v>41</v>
      </c>
      <c r="E23" s="96">
        <v>3.0700000000000003</v>
      </c>
      <c r="F23" s="95">
        <f t="shared" si="1"/>
        <v>9.3712037346845384E-2</v>
      </c>
      <c r="G23" s="100">
        <v>7113</v>
      </c>
      <c r="H23" s="83">
        <f t="shared" si="2"/>
        <v>666.57372164811125</v>
      </c>
      <c r="J23" s="93"/>
      <c r="K23" s="92"/>
    </row>
    <row r="24" spans="1:11" x14ac:dyDescent="0.2">
      <c r="A24" s="80">
        <f t="shared" si="0"/>
        <v>16</v>
      </c>
      <c r="B24" s="102" t="s">
        <v>54</v>
      </c>
      <c r="C24" s="98" t="s">
        <v>30</v>
      </c>
      <c r="D24" s="97" t="s">
        <v>40</v>
      </c>
      <c r="E24" s="96">
        <v>3.75</v>
      </c>
      <c r="F24" s="95">
        <f t="shared" si="1"/>
        <v>0.11446910099370364</v>
      </c>
      <c r="G24" s="100">
        <v>905</v>
      </c>
      <c r="H24" s="83">
        <f t="shared" si="2"/>
        <v>103.59453639930179</v>
      </c>
      <c r="J24" s="93"/>
      <c r="K24" s="92"/>
    </row>
    <row r="25" spans="1:11" x14ac:dyDescent="0.2">
      <c r="A25" s="80">
        <f t="shared" si="0"/>
        <v>17</v>
      </c>
      <c r="B25" s="102" t="s">
        <v>54</v>
      </c>
      <c r="C25" s="98" t="s">
        <v>30</v>
      </c>
      <c r="D25" s="97" t="s">
        <v>39</v>
      </c>
      <c r="E25" s="96">
        <v>4.43</v>
      </c>
      <c r="F25" s="95">
        <f t="shared" si="1"/>
        <v>0.13522616464056189</v>
      </c>
      <c r="G25" s="100">
        <v>2319</v>
      </c>
      <c r="H25" s="83">
        <f t="shared" si="2"/>
        <v>313.58947580146304</v>
      </c>
      <c r="J25" s="93"/>
      <c r="K25" s="92"/>
    </row>
    <row r="26" spans="1:11" x14ac:dyDescent="0.2">
      <c r="A26" s="80">
        <f t="shared" si="0"/>
        <v>18</v>
      </c>
      <c r="B26" s="102" t="s">
        <v>54</v>
      </c>
      <c r="C26" s="98" t="s">
        <v>30</v>
      </c>
      <c r="D26" s="97" t="s">
        <v>38</v>
      </c>
      <c r="E26" s="96">
        <v>5.12</v>
      </c>
      <c r="F26" s="95">
        <f t="shared" si="1"/>
        <v>0.15628847922340336</v>
      </c>
      <c r="G26" s="100">
        <v>959</v>
      </c>
      <c r="H26" s="83">
        <f t="shared" si="2"/>
        <v>149.88065157524383</v>
      </c>
      <c r="J26" s="93"/>
      <c r="K26" s="92"/>
    </row>
    <row r="27" spans="1:11" x14ac:dyDescent="0.2">
      <c r="A27" s="80">
        <f t="shared" si="0"/>
        <v>19</v>
      </c>
      <c r="B27" s="102" t="s">
        <v>54</v>
      </c>
      <c r="C27" s="98" t="s">
        <v>30</v>
      </c>
      <c r="D27" s="97" t="s">
        <v>37</v>
      </c>
      <c r="E27" s="96">
        <v>5.8</v>
      </c>
      <c r="F27" s="95">
        <f t="shared" si="1"/>
        <v>0.17704554287026161</v>
      </c>
      <c r="G27" s="100">
        <v>74</v>
      </c>
      <c r="H27" s="83">
        <f t="shared" si="2"/>
        <v>13.10137017239936</v>
      </c>
      <c r="J27" s="93"/>
      <c r="K27" s="92"/>
    </row>
    <row r="28" spans="1:11" x14ac:dyDescent="0.2">
      <c r="A28" s="80">
        <f t="shared" si="0"/>
        <v>20</v>
      </c>
      <c r="B28" s="102" t="s">
        <v>54</v>
      </c>
      <c r="C28" s="98" t="s">
        <v>30</v>
      </c>
      <c r="D28" s="97" t="s">
        <v>36</v>
      </c>
      <c r="E28" s="96">
        <v>6.48</v>
      </c>
      <c r="F28" s="95">
        <f t="shared" si="1"/>
        <v>0.19780260651711989</v>
      </c>
      <c r="G28" s="100">
        <v>947</v>
      </c>
      <c r="H28" s="83">
        <f t="shared" si="2"/>
        <v>187.31906837171255</v>
      </c>
      <c r="J28" s="93"/>
      <c r="K28" s="92"/>
    </row>
    <row r="29" spans="1:11" x14ac:dyDescent="0.2">
      <c r="A29" s="80">
        <f t="shared" si="0"/>
        <v>21</v>
      </c>
      <c r="B29" s="102" t="s">
        <v>150</v>
      </c>
      <c r="C29" s="98" t="s">
        <v>64</v>
      </c>
      <c r="D29" s="108" t="s">
        <v>65</v>
      </c>
      <c r="E29" s="107">
        <v>6.4988000000000004E-2</v>
      </c>
      <c r="F29" s="107">
        <f>'Rate Spread and Design'!F24</f>
        <v>1.8246983624802917E-3</v>
      </c>
      <c r="G29" s="100">
        <v>152499</v>
      </c>
      <c r="H29" s="83">
        <f t="shared" si="2"/>
        <v>278.26467557988201</v>
      </c>
      <c r="J29" s="93"/>
      <c r="K29" s="92"/>
    </row>
    <row r="30" spans="1:11" x14ac:dyDescent="0.2">
      <c r="A30" s="80">
        <f t="shared" si="0"/>
        <v>22</v>
      </c>
      <c r="D30" s="84"/>
      <c r="E30" s="96"/>
      <c r="F30" s="95"/>
      <c r="G30" s="100"/>
      <c r="H30" s="98"/>
      <c r="J30" s="93"/>
      <c r="K30" s="92"/>
    </row>
    <row r="31" spans="1:11" ht="13.5" x14ac:dyDescent="0.35">
      <c r="A31" s="80">
        <f t="shared" si="0"/>
        <v>23</v>
      </c>
      <c r="B31" s="103" t="s">
        <v>132</v>
      </c>
      <c r="D31" s="84"/>
      <c r="E31" s="96"/>
      <c r="F31" s="95"/>
      <c r="G31" s="100"/>
      <c r="H31" s="98"/>
      <c r="J31" s="93"/>
      <c r="K31" s="92"/>
    </row>
    <row r="32" spans="1:11" x14ac:dyDescent="0.2">
      <c r="A32" s="80">
        <f t="shared" si="0"/>
        <v>24</v>
      </c>
      <c r="B32" s="102" t="s">
        <v>53</v>
      </c>
      <c r="C32" s="98" t="s">
        <v>4</v>
      </c>
      <c r="D32" s="97">
        <v>50</v>
      </c>
      <c r="E32" s="96">
        <v>1.1299999999999999</v>
      </c>
      <c r="F32" s="95">
        <f t="shared" ref="F32:F39" si="3">E32*$H$168</f>
        <v>3.4493355766102692E-2</v>
      </c>
      <c r="G32" s="94">
        <v>0</v>
      </c>
      <c r="H32" s="83">
        <f t="shared" ref="H32:H39" si="4">F32*G32</f>
        <v>0</v>
      </c>
      <c r="J32" s="93"/>
      <c r="K32" s="92"/>
    </row>
    <row r="33" spans="1:11" x14ac:dyDescent="0.2">
      <c r="A33" s="80">
        <f t="shared" si="0"/>
        <v>25</v>
      </c>
      <c r="B33" s="102" t="str">
        <f t="shared" ref="B33:B39" si="5">+B32</f>
        <v xml:space="preserve">52E </v>
      </c>
      <c r="C33" s="98" t="s">
        <v>4</v>
      </c>
      <c r="D33" s="97">
        <v>70</v>
      </c>
      <c r="E33" s="96">
        <v>1.6</v>
      </c>
      <c r="F33" s="95">
        <f t="shared" si="3"/>
        <v>4.8840149757313552E-2</v>
      </c>
      <c r="G33" s="100">
        <v>7987</v>
      </c>
      <c r="H33" s="83">
        <f t="shared" si="4"/>
        <v>390.08627611166332</v>
      </c>
      <c r="J33" s="93"/>
      <c r="K33" s="92"/>
    </row>
    <row r="34" spans="1:11" x14ac:dyDescent="0.2">
      <c r="A34" s="80">
        <f t="shared" si="0"/>
        <v>26</v>
      </c>
      <c r="B34" s="102" t="str">
        <f t="shared" si="5"/>
        <v xml:space="preserve">52E </v>
      </c>
      <c r="C34" s="98" t="s">
        <v>4</v>
      </c>
      <c r="D34" s="97">
        <v>100</v>
      </c>
      <c r="E34" s="96">
        <v>2.2799999999999998</v>
      </c>
      <c r="F34" s="95">
        <f t="shared" si="3"/>
        <v>6.9597213404171798E-2</v>
      </c>
      <c r="G34" s="100">
        <v>112813</v>
      </c>
      <c r="H34" s="83">
        <f t="shared" si="4"/>
        <v>7851.4704357648334</v>
      </c>
      <c r="J34" s="93"/>
      <c r="K34" s="92"/>
    </row>
    <row r="35" spans="1:11" x14ac:dyDescent="0.2">
      <c r="A35" s="80">
        <f t="shared" si="0"/>
        <v>27</v>
      </c>
      <c r="B35" s="102" t="str">
        <f t="shared" si="5"/>
        <v xml:space="preserve">52E </v>
      </c>
      <c r="C35" s="98" t="s">
        <v>4</v>
      </c>
      <c r="D35" s="97">
        <v>150</v>
      </c>
      <c r="E35" s="96">
        <v>3.41</v>
      </c>
      <c r="F35" s="95">
        <f t="shared" si="3"/>
        <v>0.10409056917027451</v>
      </c>
      <c r="G35" s="100">
        <v>52631</v>
      </c>
      <c r="H35" s="83">
        <f t="shared" si="4"/>
        <v>5478.3907460007176</v>
      </c>
      <c r="J35" s="93"/>
      <c r="K35" s="92"/>
    </row>
    <row r="36" spans="1:11" x14ac:dyDescent="0.2">
      <c r="A36" s="80">
        <f t="shared" si="0"/>
        <v>28</v>
      </c>
      <c r="B36" s="102" t="str">
        <f t="shared" si="5"/>
        <v xml:space="preserve">52E </v>
      </c>
      <c r="C36" s="98" t="s">
        <v>4</v>
      </c>
      <c r="D36" s="97">
        <v>200</v>
      </c>
      <c r="E36" s="96">
        <v>4.55</v>
      </c>
      <c r="F36" s="95">
        <f t="shared" si="3"/>
        <v>0.13888917587236041</v>
      </c>
      <c r="G36" s="100">
        <v>10988</v>
      </c>
      <c r="H36" s="83">
        <f t="shared" si="4"/>
        <v>1526.1142644854963</v>
      </c>
      <c r="J36" s="93"/>
      <c r="K36" s="92"/>
    </row>
    <row r="37" spans="1:11" x14ac:dyDescent="0.2">
      <c r="A37" s="80">
        <f t="shared" si="0"/>
        <v>29</v>
      </c>
      <c r="B37" s="102" t="str">
        <f t="shared" si="5"/>
        <v xml:space="preserve">52E </v>
      </c>
      <c r="C37" s="98" t="s">
        <v>4</v>
      </c>
      <c r="D37" s="97">
        <v>250</v>
      </c>
      <c r="E37" s="96">
        <v>5.68</v>
      </c>
      <c r="F37" s="95">
        <f t="shared" si="3"/>
        <v>0.17338253163846309</v>
      </c>
      <c r="G37" s="100">
        <v>16314</v>
      </c>
      <c r="H37" s="83">
        <f t="shared" si="4"/>
        <v>2828.562621149887</v>
      </c>
      <c r="J37" s="93"/>
      <c r="K37" s="92"/>
    </row>
    <row r="38" spans="1:11" x14ac:dyDescent="0.2">
      <c r="A38" s="80">
        <f t="shared" si="0"/>
        <v>30</v>
      </c>
      <c r="B38" s="102" t="str">
        <f t="shared" si="5"/>
        <v xml:space="preserve">52E </v>
      </c>
      <c r="C38" s="98" t="s">
        <v>4</v>
      </c>
      <c r="D38" s="97">
        <v>310</v>
      </c>
      <c r="E38" s="96">
        <v>7.05</v>
      </c>
      <c r="F38" s="95">
        <f t="shared" si="3"/>
        <v>0.21520190986816282</v>
      </c>
      <c r="G38" s="100">
        <v>1679</v>
      </c>
      <c r="H38" s="83">
        <f t="shared" si="4"/>
        <v>361.32400666864538</v>
      </c>
      <c r="J38" s="93"/>
      <c r="K38" s="92"/>
    </row>
    <row r="39" spans="1:11" x14ac:dyDescent="0.2">
      <c r="A39" s="80">
        <f t="shared" si="0"/>
        <v>31</v>
      </c>
      <c r="B39" s="102" t="str">
        <f t="shared" si="5"/>
        <v xml:space="preserve">52E </v>
      </c>
      <c r="C39" s="98" t="s">
        <v>4</v>
      </c>
      <c r="D39" s="97">
        <v>400</v>
      </c>
      <c r="E39" s="96">
        <v>9.1</v>
      </c>
      <c r="F39" s="95">
        <f t="shared" si="3"/>
        <v>0.27777835174472082</v>
      </c>
      <c r="G39" s="100">
        <v>6867</v>
      </c>
      <c r="H39" s="83">
        <f t="shared" si="4"/>
        <v>1907.5039414309979</v>
      </c>
      <c r="J39" s="93"/>
      <c r="K39" s="92"/>
    </row>
    <row r="40" spans="1:11" x14ac:dyDescent="0.2">
      <c r="A40" s="80">
        <f t="shared" si="0"/>
        <v>32</v>
      </c>
      <c r="B40" s="109"/>
      <c r="C40" s="98"/>
      <c r="D40" s="97"/>
      <c r="E40" s="96"/>
      <c r="F40" s="95"/>
      <c r="G40" s="100"/>
      <c r="H40" s="98"/>
      <c r="J40" s="93"/>
      <c r="K40" s="92"/>
    </row>
    <row r="41" spans="1:11" x14ac:dyDescent="0.2">
      <c r="A41" s="80">
        <f t="shared" si="0"/>
        <v>33</v>
      </c>
      <c r="B41" s="102" t="str">
        <f>+B36</f>
        <v xml:space="preserve">52E </v>
      </c>
      <c r="C41" s="98" t="s">
        <v>46</v>
      </c>
      <c r="D41" s="97">
        <v>70</v>
      </c>
      <c r="E41" s="96">
        <v>1.6</v>
      </c>
      <c r="F41" s="95">
        <f t="shared" ref="F41:F47" si="6">E41*$H$168</f>
        <v>4.8840149757313552E-2</v>
      </c>
      <c r="G41" s="100">
        <v>838</v>
      </c>
      <c r="H41" s="83">
        <f t="shared" ref="H41:H47" si="7">F41*G41</f>
        <v>40.928045496628755</v>
      </c>
      <c r="J41" s="93"/>
      <c r="K41" s="92"/>
    </row>
    <row r="42" spans="1:11" x14ac:dyDescent="0.2">
      <c r="A42" s="80">
        <f t="shared" ref="A42:A73" si="8">+A41+1</f>
        <v>34</v>
      </c>
      <c r="B42" s="102" t="str">
        <f>+B37</f>
        <v xml:space="preserve">52E </v>
      </c>
      <c r="C42" s="98" t="s">
        <v>46</v>
      </c>
      <c r="D42" s="97">
        <v>100</v>
      </c>
      <c r="E42" s="96">
        <v>2.2799999999999998</v>
      </c>
      <c r="F42" s="95">
        <f t="shared" si="6"/>
        <v>6.9597213404171798E-2</v>
      </c>
      <c r="G42" s="100">
        <v>50</v>
      </c>
      <c r="H42" s="83">
        <f t="shared" si="7"/>
        <v>3.4798606702085899</v>
      </c>
      <c r="J42" s="93"/>
      <c r="K42" s="92"/>
    </row>
    <row r="43" spans="1:11" x14ac:dyDescent="0.2">
      <c r="A43" s="80">
        <f t="shared" si="8"/>
        <v>35</v>
      </c>
      <c r="B43" s="102" t="str">
        <f>+B38</f>
        <v xml:space="preserve">52E </v>
      </c>
      <c r="C43" s="98" t="s">
        <v>46</v>
      </c>
      <c r="D43" s="97">
        <v>150</v>
      </c>
      <c r="E43" s="96">
        <v>3.41</v>
      </c>
      <c r="F43" s="95">
        <f t="shared" si="6"/>
        <v>0.10409056917027451</v>
      </c>
      <c r="G43" s="100">
        <v>2364</v>
      </c>
      <c r="H43" s="83">
        <f t="shared" si="7"/>
        <v>246.07010551852895</v>
      </c>
      <c r="J43" s="93"/>
      <c r="K43" s="92"/>
    </row>
    <row r="44" spans="1:11" x14ac:dyDescent="0.2">
      <c r="A44" s="80">
        <f t="shared" si="8"/>
        <v>36</v>
      </c>
      <c r="B44" s="102" t="str">
        <f>+B39</f>
        <v xml:space="preserve">52E </v>
      </c>
      <c r="C44" s="98" t="s">
        <v>46</v>
      </c>
      <c r="D44" s="97">
        <v>175</v>
      </c>
      <c r="E44" s="96">
        <v>3.98</v>
      </c>
      <c r="F44" s="95">
        <f t="shared" si="6"/>
        <v>0.12148987252131746</v>
      </c>
      <c r="G44" s="100">
        <v>2450</v>
      </c>
      <c r="H44" s="83">
        <f t="shared" si="7"/>
        <v>297.65018767722779</v>
      </c>
      <c r="J44" s="93"/>
      <c r="K44" s="92"/>
    </row>
    <row r="45" spans="1:11" x14ac:dyDescent="0.2">
      <c r="A45" s="80">
        <f t="shared" si="8"/>
        <v>37</v>
      </c>
      <c r="B45" s="102" t="str">
        <f t="shared" ref="B45:C47" si="9">+B44</f>
        <v xml:space="preserve">52E </v>
      </c>
      <c r="C45" s="98" t="str">
        <f t="shared" si="9"/>
        <v>Metal Halide</v>
      </c>
      <c r="D45" s="97">
        <v>250</v>
      </c>
      <c r="E45" s="96">
        <v>5.68</v>
      </c>
      <c r="F45" s="95">
        <f t="shared" si="6"/>
        <v>0.17338253163846309</v>
      </c>
      <c r="G45" s="100">
        <v>404</v>
      </c>
      <c r="H45" s="83">
        <f t="shared" si="7"/>
        <v>70.046542781939095</v>
      </c>
      <c r="J45" s="93"/>
      <c r="K45" s="92"/>
    </row>
    <row r="46" spans="1:11" x14ac:dyDescent="0.2">
      <c r="A46" s="80">
        <f t="shared" si="8"/>
        <v>38</v>
      </c>
      <c r="B46" s="102" t="str">
        <f t="shared" si="9"/>
        <v xml:space="preserve">52E </v>
      </c>
      <c r="C46" s="98" t="str">
        <f t="shared" si="9"/>
        <v>Metal Halide</v>
      </c>
      <c r="D46" s="97">
        <v>400</v>
      </c>
      <c r="E46" s="96">
        <v>9.1</v>
      </c>
      <c r="F46" s="95">
        <f t="shared" si="6"/>
        <v>0.27777835174472082</v>
      </c>
      <c r="G46" s="100">
        <v>684</v>
      </c>
      <c r="H46" s="83">
        <f t="shared" si="7"/>
        <v>190.00039259338905</v>
      </c>
      <c r="J46" s="93"/>
      <c r="K46" s="92"/>
    </row>
    <row r="47" spans="1:11" x14ac:dyDescent="0.2">
      <c r="A47" s="80">
        <f t="shared" si="8"/>
        <v>39</v>
      </c>
      <c r="B47" s="102" t="str">
        <f t="shared" si="9"/>
        <v xml:space="preserve">52E </v>
      </c>
      <c r="C47" s="98" t="str">
        <f t="shared" si="9"/>
        <v>Metal Halide</v>
      </c>
      <c r="D47" s="97">
        <v>1000</v>
      </c>
      <c r="E47" s="96">
        <v>22.74</v>
      </c>
      <c r="F47" s="95">
        <f t="shared" si="6"/>
        <v>0.69414062842581881</v>
      </c>
      <c r="G47" s="100">
        <v>216</v>
      </c>
      <c r="H47" s="83">
        <f t="shared" si="7"/>
        <v>149.93437573997687</v>
      </c>
      <c r="J47" s="93"/>
      <c r="K47" s="92"/>
    </row>
    <row r="48" spans="1:11" x14ac:dyDescent="0.2">
      <c r="A48" s="80">
        <f t="shared" si="8"/>
        <v>40</v>
      </c>
      <c r="D48" s="84"/>
      <c r="E48" s="96"/>
      <c r="F48" s="95"/>
      <c r="G48" s="100"/>
      <c r="H48" s="98"/>
      <c r="J48" s="93"/>
      <c r="K48" s="92"/>
    </row>
    <row r="49" spans="1:11" ht="13.5" x14ac:dyDescent="0.35">
      <c r="A49" s="80">
        <f t="shared" si="8"/>
        <v>41</v>
      </c>
      <c r="B49" s="103" t="s">
        <v>129</v>
      </c>
      <c r="D49" s="84"/>
      <c r="E49" s="96"/>
      <c r="F49" s="95"/>
      <c r="G49" s="100"/>
      <c r="H49" s="98"/>
      <c r="J49" s="93"/>
      <c r="K49" s="92"/>
    </row>
    <row r="50" spans="1:11" x14ac:dyDescent="0.2">
      <c r="A50" s="80">
        <f t="shared" si="8"/>
        <v>42</v>
      </c>
      <c r="B50" s="102" t="s">
        <v>70</v>
      </c>
      <c r="C50" s="98" t="s">
        <v>4</v>
      </c>
      <c r="D50" s="97">
        <v>50</v>
      </c>
      <c r="E50" s="96">
        <v>1.1299999999999999</v>
      </c>
      <c r="F50" s="95">
        <f t="shared" ref="F50:F58" si="10">E50*$H$168</f>
        <v>3.4493355766102692E-2</v>
      </c>
      <c r="G50" s="100">
        <v>0</v>
      </c>
      <c r="H50" s="83">
        <f t="shared" ref="H50:H58" si="11">F50*G50</f>
        <v>0</v>
      </c>
      <c r="J50" s="93"/>
      <c r="K50" s="92"/>
    </row>
    <row r="51" spans="1:11" x14ac:dyDescent="0.2">
      <c r="A51" s="80">
        <f t="shared" si="8"/>
        <v>43</v>
      </c>
      <c r="B51" s="102" t="str">
        <f t="shared" ref="B51:B58" si="12">+B50</f>
        <v>53E</v>
      </c>
      <c r="C51" s="98" t="s">
        <v>4</v>
      </c>
      <c r="D51" s="97">
        <v>70</v>
      </c>
      <c r="E51" s="96">
        <v>1.6</v>
      </c>
      <c r="F51" s="95">
        <f t="shared" si="10"/>
        <v>4.8840149757313552E-2</v>
      </c>
      <c r="G51" s="100">
        <v>42559</v>
      </c>
      <c r="H51" s="83">
        <f t="shared" si="11"/>
        <v>2078.5879335215072</v>
      </c>
      <c r="J51" s="93"/>
      <c r="K51" s="92"/>
    </row>
    <row r="52" spans="1:11" x14ac:dyDescent="0.2">
      <c r="A52" s="80">
        <f t="shared" si="8"/>
        <v>44</v>
      </c>
      <c r="B52" s="102" t="str">
        <f t="shared" si="12"/>
        <v>53E</v>
      </c>
      <c r="C52" s="98" t="s">
        <v>4</v>
      </c>
      <c r="D52" s="97">
        <v>100</v>
      </c>
      <c r="E52" s="96">
        <v>2.2799999999999998</v>
      </c>
      <c r="F52" s="95">
        <f t="shared" si="10"/>
        <v>6.9597213404171798E-2</v>
      </c>
      <c r="G52" s="100">
        <v>325021</v>
      </c>
      <c r="H52" s="83">
        <f t="shared" si="11"/>
        <v>22620.555897837323</v>
      </c>
      <c r="J52" s="93"/>
      <c r="K52" s="92"/>
    </row>
    <row r="53" spans="1:11" x14ac:dyDescent="0.2">
      <c r="A53" s="80">
        <f t="shared" si="8"/>
        <v>45</v>
      </c>
      <c r="B53" s="102" t="str">
        <f t="shared" si="12"/>
        <v>53E</v>
      </c>
      <c r="C53" s="98" t="s">
        <v>4</v>
      </c>
      <c r="D53" s="97">
        <v>150</v>
      </c>
      <c r="E53" s="96">
        <v>3.41</v>
      </c>
      <c r="F53" s="95">
        <f t="shared" si="10"/>
        <v>0.10409056917027451</v>
      </c>
      <c r="G53" s="100">
        <v>39168</v>
      </c>
      <c r="H53" s="83">
        <f t="shared" si="11"/>
        <v>4077.0194132613119</v>
      </c>
      <c r="J53" s="93"/>
      <c r="K53" s="92"/>
    </row>
    <row r="54" spans="1:11" x14ac:dyDescent="0.2">
      <c r="A54" s="80">
        <f t="shared" si="8"/>
        <v>46</v>
      </c>
      <c r="B54" s="102" t="str">
        <f t="shared" si="12"/>
        <v>53E</v>
      </c>
      <c r="C54" s="98" t="s">
        <v>4</v>
      </c>
      <c r="D54" s="97">
        <v>200</v>
      </c>
      <c r="E54" s="96">
        <v>4.55</v>
      </c>
      <c r="F54" s="95">
        <f t="shared" si="10"/>
        <v>0.13888917587236041</v>
      </c>
      <c r="G54" s="100">
        <v>52444</v>
      </c>
      <c r="H54" s="83">
        <f t="shared" si="11"/>
        <v>7283.9039394500696</v>
      </c>
      <c r="J54" s="93"/>
      <c r="K54" s="92"/>
    </row>
    <row r="55" spans="1:11" x14ac:dyDescent="0.2">
      <c r="A55" s="80">
        <f t="shared" si="8"/>
        <v>47</v>
      </c>
      <c r="B55" s="102" t="str">
        <f t="shared" si="12"/>
        <v>53E</v>
      </c>
      <c r="C55" s="98" t="s">
        <v>4</v>
      </c>
      <c r="D55" s="97">
        <v>250</v>
      </c>
      <c r="E55" s="96">
        <v>5.68</v>
      </c>
      <c r="F55" s="95">
        <f t="shared" si="10"/>
        <v>0.17338253163846309</v>
      </c>
      <c r="G55" s="100">
        <v>20979</v>
      </c>
      <c r="H55" s="83">
        <f t="shared" si="11"/>
        <v>3637.3921312433172</v>
      </c>
      <c r="J55" s="93"/>
      <c r="K55" s="92"/>
    </row>
    <row r="56" spans="1:11" x14ac:dyDescent="0.2">
      <c r="A56" s="80">
        <f t="shared" si="8"/>
        <v>48</v>
      </c>
      <c r="B56" s="102" t="str">
        <f t="shared" si="12"/>
        <v>53E</v>
      </c>
      <c r="C56" s="98" t="s">
        <v>4</v>
      </c>
      <c r="D56" s="97">
        <v>310</v>
      </c>
      <c r="E56" s="96">
        <v>7.05</v>
      </c>
      <c r="F56" s="95">
        <f t="shared" si="10"/>
        <v>0.21520190986816282</v>
      </c>
      <c r="G56" s="100">
        <v>235</v>
      </c>
      <c r="H56" s="83">
        <f t="shared" si="11"/>
        <v>50.572448819018263</v>
      </c>
      <c r="J56" s="93"/>
      <c r="K56" s="92"/>
    </row>
    <row r="57" spans="1:11" x14ac:dyDescent="0.2">
      <c r="A57" s="80">
        <f t="shared" si="8"/>
        <v>49</v>
      </c>
      <c r="B57" s="102" t="str">
        <f t="shared" si="12"/>
        <v>53E</v>
      </c>
      <c r="C57" s="98" t="s">
        <v>4</v>
      </c>
      <c r="D57" s="97">
        <v>400</v>
      </c>
      <c r="E57" s="96">
        <v>9.1</v>
      </c>
      <c r="F57" s="95">
        <f t="shared" si="10"/>
        <v>0.27777835174472082</v>
      </c>
      <c r="G57" s="100">
        <v>14431</v>
      </c>
      <c r="H57" s="83">
        <f t="shared" si="11"/>
        <v>4008.6193940280659</v>
      </c>
      <c r="J57" s="93"/>
      <c r="K57" s="92"/>
    </row>
    <row r="58" spans="1:11" x14ac:dyDescent="0.2">
      <c r="A58" s="80">
        <f t="shared" si="8"/>
        <v>50</v>
      </c>
      <c r="B58" s="102" t="str">
        <f t="shared" si="12"/>
        <v>53E</v>
      </c>
      <c r="C58" s="98" t="s">
        <v>4</v>
      </c>
      <c r="D58" s="97">
        <v>1000</v>
      </c>
      <c r="E58" s="96">
        <v>22.74</v>
      </c>
      <c r="F58" s="95">
        <f t="shared" si="10"/>
        <v>0.69414062842581881</v>
      </c>
      <c r="G58" s="100">
        <v>0</v>
      </c>
      <c r="H58" s="83">
        <f t="shared" si="11"/>
        <v>0</v>
      </c>
      <c r="J58" s="93"/>
      <c r="K58" s="92"/>
    </row>
    <row r="59" spans="1:11" x14ac:dyDescent="0.2">
      <c r="A59" s="80">
        <f t="shared" si="8"/>
        <v>51</v>
      </c>
      <c r="B59" s="102"/>
      <c r="C59" s="98"/>
      <c r="D59" s="97"/>
      <c r="E59" s="96"/>
      <c r="F59" s="95"/>
      <c r="G59" s="100"/>
      <c r="H59" s="98"/>
      <c r="J59" s="93"/>
      <c r="K59" s="92"/>
    </row>
    <row r="60" spans="1:11" x14ac:dyDescent="0.2">
      <c r="A60" s="80">
        <f t="shared" si="8"/>
        <v>52</v>
      </c>
      <c r="B60" s="102" t="str">
        <f>+B58</f>
        <v>53E</v>
      </c>
      <c r="C60" s="98" t="s">
        <v>46</v>
      </c>
      <c r="D60" s="97">
        <v>70</v>
      </c>
      <c r="E60" s="96">
        <v>1.6</v>
      </c>
      <c r="F60" s="95">
        <f t="shared" ref="F60:F65" si="13">E60*$H$168</f>
        <v>4.8840149757313552E-2</v>
      </c>
      <c r="G60" s="94">
        <v>0</v>
      </c>
      <c r="H60" s="83">
        <f t="shared" ref="H60:H65" si="14">F60*G60</f>
        <v>0</v>
      </c>
      <c r="J60" s="93"/>
      <c r="K60" s="92"/>
    </row>
    <row r="61" spans="1:11" x14ac:dyDescent="0.2">
      <c r="A61" s="80">
        <f t="shared" si="8"/>
        <v>53</v>
      </c>
      <c r="B61" s="102" t="str">
        <f>+B60</f>
        <v>53E</v>
      </c>
      <c r="C61" s="98" t="s">
        <v>46</v>
      </c>
      <c r="D61" s="97">
        <v>100</v>
      </c>
      <c r="E61" s="96">
        <v>2.2799999999999998</v>
      </c>
      <c r="F61" s="95">
        <f t="shared" si="13"/>
        <v>6.9597213404171798E-2</v>
      </c>
      <c r="G61" s="94">
        <v>0</v>
      </c>
      <c r="H61" s="83">
        <f t="shared" si="14"/>
        <v>0</v>
      </c>
      <c r="J61" s="93"/>
      <c r="K61" s="92"/>
    </row>
    <row r="62" spans="1:11" x14ac:dyDescent="0.2">
      <c r="A62" s="80">
        <f t="shared" si="8"/>
        <v>54</v>
      </c>
      <c r="B62" s="102" t="str">
        <f>+B61</f>
        <v>53E</v>
      </c>
      <c r="C62" s="98" t="s">
        <v>46</v>
      </c>
      <c r="D62" s="97">
        <v>150</v>
      </c>
      <c r="E62" s="96">
        <v>3.41</v>
      </c>
      <c r="F62" s="95">
        <f t="shared" si="13"/>
        <v>0.10409056917027451</v>
      </c>
      <c r="G62" s="94">
        <v>0</v>
      </c>
      <c r="H62" s="83">
        <f t="shared" si="14"/>
        <v>0</v>
      </c>
      <c r="J62" s="93"/>
      <c r="K62" s="92"/>
    </row>
    <row r="63" spans="1:11" x14ac:dyDescent="0.2">
      <c r="A63" s="80">
        <f t="shared" si="8"/>
        <v>55</v>
      </c>
      <c r="B63" s="102" t="str">
        <f>+B62</f>
        <v>53E</v>
      </c>
      <c r="C63" s="98" t="s">
        <v>46</v>
      </c>
      <c r="D63" s="97">
        <v>175</v>
      </c>
      <c r="E63" s="96">
        <v>3.98</v>
      </c>
      <c r="F63" s="95">
        <f t="shared" si="13"/>
        <v>0.12148987252131746</v>
      </c>
      <c r="G63" s="100">
        <v>48</v>
      </c>
      <c r="H63" s="83">
        <f t="shared" si="14"/>
        <v>5.8315138810232376</v>
      </c>
      <c r="J63" s="93"/>
      <c r="K63" s="92"/>
    </row>
    <row r="64" spans="1:11" x14ac:dyDescent="0.2">
      <c r="A64" s="80">
        <f t="shared" si="8"/>
        <v>56</v>
      </c>
      <c r="B64" s="102" t="str">
        <f>+B63</f>
        <v>53E</v>
      </c>
      <c r="C64" s="98" t="s">
        <v>46</v>
      </c>
      <c r="D64" s="97">
        <v>250</v>
      </c>
      <c r="E64" s="96">
        <v>5.68</v>
      </c>
      <c r="F64" s="95">
        <f t="shared" si="13"/>
        <v>0.17338253163846309</v>
      </c>
      <c r="G64" s="94">
        <v>0</v>
      </c>
      <c r="H64" s="83">
        <f t="shared" si="14"/>
        <v>0</v>
      </c>
      <c r="J64" s="93"/>
      <c r="K64" s="92"/>
    </row>
    <row r="65" spans="1:11" x14ac:dyDescent="0.2">
      <c r="A65" s="80">
        <f t="shared" si="8"/>
        <v>57</v>
      </c>
      <c r="B65" s="102" t="str">
        <f>+B64</f>
        <v>53E</v>
      </c>
      <c r="C65" s="98" t="s">
        <v>46</v>
      </c>
      <c r="D65" s="97">
        <v>400</v>
      </c>
      <c r="E65" s="96">
        <v>9.1</v>
      </c>
      <c r="F65" s="95">
        <f t="shared" si="13"/>
        <v>0.27777835174472082</v>
      </c>
      <c r="G65" s="94">
        <v>0</v>
      </c>
      <c r="H65" s="83">
        <f t="shared" si="14"/>
        <v>0</v>
      </c>
      <c r="J65" s="93"/>
      <c r="K65" s="92"/>
    </row>
    <row r="66" spans="1:11" x14ac:dyDescent="0.2">
      <c r="A66" s="80">
        <f t="shared" si="8"/>
        <v>58</v>
      </c>
      <c r="B66" s="102"/>
      <c r="C66" s="98"/>
      <c r="D66" s="97"/>
      <c r="E66" s="96"/>
      <c r="F66" s="95"/>
      <c r="G66" s="100"/>
      <c r="H66" s="98"/>
      <c r="J66" s="93"/>
      <c r="K66" s="92"/>
    </row>
    <row r="67" spans="1:11" x14ac:dyDescent="0.2">
      <c r="A67" s="80">
        <f t="shared" si="8"/>
        <v>59</v>
      </c>
      <c r="B67" s="102" t="str">
        <f>+B64</f>
        <v>53E</v>
      </c>
      <c r="C67" s="98" t="s">
        <v>30</v>
      </c>
      <c r="D67" s="84" t="s">
        <v>68</v>
      </c>
      <c r="E67" s="96">
        <v>0.33999999999999997</v>
      </c>
      <c r="F67" s="95">
        <f t="shared" ref="F67:F76" si="15">E67*$H$168</f>
        <v>1.0378531823429129E-2</v>
      </c>
      <c r="G67" s="100">
        <v>1595</v>
      </c>
      <c r="H67" s="83">
        <f t="shared" ref="H67:H77" si="16">F67*G67</f>
        <v>16.553758258369459</v>
      </c>
      <c r="J67" s="93"/>
      <c r="K67" s="92"/>
    </row>
    <row r="68" spans="1:11" x14ac:dyDescent="0.2">
      <c r="A68" s="80">
        <f t="shared" si="8"/>
        <v>60</v>
      </c>
      <c r="B68" s="102" t="str">
        <f>+B65</f>
        <v>53E</v>
      </c>
      <c r="C68" s="98" t="s">
        <v>30</v>
      </c>
      <c r="D68" s="101" t="s">
        <v>69</v>
      </c>
      <c r="E68" s="96">
        <v>1.02</v>
      </c>
      <c r="F68" s="95">
        <f t="shared" si="15"/>
        <v>3.1135595470287387E-2</v>
      </c>
      <c r="G68" s="100">
        <v>230234</v>
      </c>
      <c r="H68" s="83">
        <f t="shared" si="16"/>
        <v>7168.472687506146</v>
      </c>
      <c r="J68" s="93"/>
      <c r="K68" s="92"/>
    </row>
    <row r="69" spans="1:11" x14ac:dyDescent="0.2">
      <c r="A69" s="80">
        <f t="shared" si="8"/>
        <v>61</v>
      </c>
      <c r="B69" s="102" t="str">
        <f t="shared" ref="B69:B76" si="17">B68</f>
        <v>53E</v>
      </c>
      <c r="C69" s="98" t="s">
        <v>30</v>
      </c>
      <c r="D69" s="97" t="s">
        <v>43</v>
      </c>
      <c r="E69" s="96">
        <v>1.7</v>
      </c>
      <c r="F69" s="95">
        <f t="shared" si="15"/>
        <v>5.1892659117145648E-2</v>
      </c>
      <c r="G69" s="100">
        <v>14998</v>
      </c>
      <c r="H69" s="83">
        <f t="shared" si="16"/>
        <v>778.28610143895048</v>
      </c>
      <c r="J69" s="93"/>
      <c r="K69" s="92"/>
    </row>
    <row r="70" spans="1:11" x14ac:dyDescent="0.2">
      <c r="A70" s="80">
        <f t="shared" si="8"/>
        <v>62</v>
      </c>
      <c r="B70" s="102" t="str">
        <f t="shared" si="17"/>
        <v>53E</v>
      </c>
      <c r="C70" s="98" t="s">
        <v>30</v>
      </c>
      <c r="D70" s="97" t="s">
        <v>42</v>
      </c>
      <c r="E70" s="96">
        <v>2.38</v>
      </c>
      <c r="F70" s="95">
        <f t="shared" si="15"/>
        <v>7.2649722764003902E-2</v>
      </c>
      <c r="G70" s="100">
        <v>34477</v>
      </c>
      <c r="H70" s="83">
        <f t="shared" si="16"/>
        <v>2504.7444917345624</v>
      </c>
      <c r="J70" s="93"/>
      <c r="K70" s="92"/>
    </row>
    <row r="71" spans="1:11" x14ac:dyDescent="0.2">
      <c r="A71" s="80">
        <f t="shared" si="8"/>
        <v>63</v>
      </c>
      <c r="B71" s="102" t="str">
        <f t="shared" si="17"/>
        <v>53E</v>
      </c>
      <c r="C71" s="98" t="s">
        <v>30</v>
      </c>
      <c r="D71" s="97" t="s">
        <v>41</v>
      </c>
      <c r="E71" s="96">
        <v>3.0700000000000003</v>
      </c>
      <c r="F71" s="95">
        <f t="shared" si="15"/>
        <v>9.3712037346845384E-2</v>
      </c>
      <c r="G71" s="100">
        <v>21256</v>
      </c>
      <c r="H71" s="83">
        <f t="shared" si="16"/>
        <v>1991.9430658445456</v>
      </c>
      <c r="J71" s="93"/>
      <c r="K71" s="92"/>
    </row>
    <row r="72" spans="1:11" x14ac:dyDescent="0.2">
      <c r="A72" s="80">
        <f t="shared" si="8"/>
        <v>64</v>
      </c>
      <c r="B72" s="102" t="str">
        <f t="shared" si="17"/>
        <v>53E</v>
      </c>
      <c r="C72" s="98" t="s">
        <v>30</v>
      </c>
      <c r="D72" s="97" t="s">
        <v>40</v>
      </c>
      <c r="E72" s="96">
        <v>3.75</v>
      </c>
      <c r="F72" s="95">
        <f t="shared" si="15"/>
        <v>0.11446910099370364</v>
      </c>
      <c r="G72" s="100">
        <v>17354</v>
      </c>
      <c r="H72" s="83">
        <f t="shared" si="16"/>
        <v>1986.496778644733</v>
      </c>
      <c r="J72" s="93"/>
      <c r="K72" s="92"/>
    </row>
    <row r="73" spans="1:11" x14ac:dyDescent="0.2">
      <c r="A73" s="80">
        <f t="shared" si="8"/>
        <v>65</v>
      </c>
      <c r="B73" s="102" t="str">
        <f t="shared" si="17"/>
        <v>53E</v>
      </c>
      <c r="C73" s="98" t="s">
        <v>30</v>
      </c>
      <c r="D73" s="97" t="s">
        <v>39</v>
      </c>
      <c r="E73" s="96">
        <v>4.43</v>
      </c>
      <c r="F73" s="95">
        <f t="shared" si="15"/>
        <v>0.13522616464056189</v>
      </c>
      <c r="G73" s="100">
        <v>5552</v>
      </c>
      <c r="H73" s="83">
        <f t="shared" si="16"/>
        <v>750.77566608439963</v>
      </c>
      <c r="J73" s="93"/>
      <c r="K73" s="92"/>
    </row>
    <row r="74" spans="1:11" x14ac:dyDescent="0.2">
      <c r="A74" s="80">
        <f t="shared" ref="A74:A105" si="18">+A73+1</f>
        <v>66</v>
      </c>
      <c r="B74" s="102" t="str">
        <f t="shared" si="17"/>
        <v>53E</v>
      </c>
      <c r="C74" s="98" t="s">
        <v>30</v>
      </c>
      <c r="D74" s="97" t="s">
        <v>38</v>
      </c>
      <c r="E74" s="96">
        <v>5.12</v>
      </c>
      <c r="F74" s="95">
        <f t="shared" si="15"/>
        <v>0.15628847922340336</v>
      </c>
      <c r="G74" s="100">
        <v>778</v>
      </c>
      <c r="H74" s="83">
        <f t="shared" si="16"/>
        <v>121.59243683580782</v>
      </c>
      <c r="J74" s="93"/>
      <c r="K74" s="92"/>
    </row>
    <row r="75" spans="1:11" x14ac:dyDescent="0.2">
      <c r="A75" s="80">
        <f t="shared" si="18"/>
        <v>67</v>
      </c>
      <c r="B75" s="102" t="str">
        <f t="shared" si="17"/>
        <v>53E</v>
      </c>
      <c r="C75" s="98" t="s">
        <v>30</v>
      </c>
      <c r="D75" s="97" t="s">
        <v>37</v>
      </c>
      <c r="E75" s="96">
        <v>5.8</v>
      </c>
      <c r="F75" s="95">
        <f t="shared" si="15"/>
        <v>0.17704554287026161</v>
      </c>
      <c r="G75" s="100">
        <v>290</v>
      </c>
      <c r="H75" s="83">
        <f t="shared" si="16"/>
        <v>51.34320743237587</v>
      </c>
      <c r="J75" s="93"/>
      <c r="K75" s="92"/>
    </row>
    <row r="76" spans="1:11" x14ac:dyDescent="0.2">
      <c r="A76" s="80">
        <f t="shared" si="18"/>
        <v>68</v>
      </c>
      <c r="B76" s="102" t="str">
        <f t="shared" si="17"/>
        <v>53E</v>
      </c>
      <c r="C76" s="98" t="s">
        <v>30</v>
      </c>
      <c r="D76" s="97" t="s">
        <v>36</v>
      </c>
      <c r="E76" s="96">
        <v>6.48</v>
      </c>
      <c r="F76" s="95">
        <f t="shared" si="15"/>
        <v>0.19780260651711989</v>
      </c>
      <c r="G76" s="100">
        <v>1790</v>
      </c>
      <c r="H76" s="83">
        <f t="shared" si="16"/>
        <v>354.06666566564462</v>
      </c>
      <c r="J76" s="93"/>
      <c r="K76" s="92"/>
    </row>
    <row r="77" spans="1:11" x14ac:dyDescent="0.2">
      <c r="A77" s="80">
        <f t="shared" si="18"/>
        <v>69</v>
      </c>
      <c r="B77" s="102" t="s">
        <v>149</v>
      </c>
      <c r="C77" s="98" t="s">
        <v>64</v>
      </c>
      <c r="D77" s="108" t="s">
        <v>65</v>
      </c>
      <c r="E77" s="107">
        <v>6.4988000000000004E-2</v>
      </c>
      <c r="F77" s="107">
        <f>'Rate Spread and Design'!F24</f>
        <v>1.8246983624802917E-3</v>
      </c>
      <c r="G77" s="100">
        <v>2016760</v>
      </c>
      <c r="H77" s="83">
        <f t="shared" si="16"/>
        <v>3679.9786695157532</v>
      </c>
      <c r="J77" s="93"/>
      <c r="K77" s="92"/>
    </row>
    <row r="78" spans="1:11" x14ac:dyDescent="0.2">
      <c r="A78" s="80">
        <f t="shared" si="18"/>
        <v>70</v>
      </c>
      <c r="B78" s="99"/>
      <c r="C78" s="98"/>
      <c r="D78" s="97"/>
      <c r="E78" s="96"/>
      <c r="F78" s="95"/>
      <c r="G78" s="100"/>
      <c r="H78" s="98"/>
      <c r="J78" s="93"/>
      <c r="K78" s="92"/>
    </row>
    <row r="79" spans="1:11" ht="13.5" x14ac:dyDescent="0.35">
      <c r="A79" s="80">
        <f t="shared" si="18"/>
        <v>71</v>
      </c>
      <c r="B79" s="103" t="s">
        <v>123</v>
      </c>
      <c r="D79" s="84"/>
      <c r="E79" s="96"/>
      <c r="F79" s="95"/>
      <c r="G79" s="100"/>
      <c r="H79" s="98"/>
      <c r="J79" s="93"/>
      <c r="K79" s="92"/>
    </row>
    <row r="80" spans="1:11" x14ac:dyDescent="0.2">
      <c r="A80" s="80">
        <f t="shared" si="18"/>
        <v>72</v>
      </c>
      <c r="B80" s="102" t="s">
        <v>52</v>
      </c>
      <c r="C80" s="98" t="s">
        <v>4</v>
      </c>
      <c r="D80" s="97">
        <v>50</v>
      </c>
      <c r="E80" s="96">
        <v>1.1299999999999999</v>
      </c>
      <c r="F80" s="95">
        <f t="shared" ref="F80:F88" si="19">E80*$H$168</f>
        <v>3.4493355766102692E-2</v>
      </c>
      <c r="G80" s="100">
        <v>422</v>
      </c>
      <c r="H80" s="83">
        <f t="shared" ref="H80:H88" si="20">F80*G80</f>
        <v>14.556196133295336</v>
      </c>
      <c r="J80" s="93"/>
      <c r="K80" s="92"/>
    </row>
    <row r="81" spans="1:11" x14ac:dyDescent="0.2">
      <c r="A81" s="80">
        <f t="shared" si="18"/>
        <v>73</v>
      </c>
      <c r="B81" s="102" t="str">
        <f t="shared" ref="B81:B88" si="21">+B80</f>
        <v>54E</v>
      </c>
      <c r="C81" s="98" t="s">
        <v>4</v>
      </c>
      <c r="D81" s="97">
        <v>70</v>
      </c>
      <c r="E81" s="96">
        <v>1.6</v>
      </c>
      <c r="F81" s="95">
        <f t="shared" si="19"/>
        <v>4.8840149757313552E-2</v>
      </c>
      <c r="G81" s="100">
        <v>1778</v>
      </c>
      <c r="H81" s="83">
        <f t="shared" si="20"/>
        <v>86.837786268503493</v>
      </c>
      <c r="J81" s="93"/>
      <c r="K81" s="92"/>
    </row>
    <row r="82" spans="1:11" x14ac:dyDescent="0.2">
      <c r="A82" s="80">
        <f t="shared" si="18"/>
        <v>74</v>
      </c>
      <c r="B82" s="102" t="str">
        <f t="shared" si="21"/>
        <v>54E</v>
      </c>
      <c r="C82" s="98" t="s">
        <v>4</v>
      </c>
      <c r="D82" s="97">
        <v>100</v>
      </c>
      <c r="E82" s="96">
        <v>2.2799999999999998</v>
      </c>
      <c r="F82" s="95">
        <f t="shared" si="19"/>
        <v>6.9597213404171798E-2</v>
      </c>
      <c r="G82" s="100">
        <v>9944</v>
      </c>
      <c r="H82" s="83">
        <f t="shared" si="20"/>
        <v>692.07469009108434</v>
      </c>
      <c r="J82" s="93"/>
      <c r="K82" s="92"/>
    </row>
    <row r="83" spans="1:11" x14ac:dyDescent="0.2">
      <c r="A83" s="80">
        <f t="shared" si="18"/>
        <v>75</v>
      </c>
      <c r="B83" s="102" t="str">
        <f t="shared" si="21"/>
        <v>54E</v>
      </c>
      <c r="C83" s="98" t="s">
        <v>4</v>
      </c>
      <c r="D83" s="97">
        <v>150</v>
      </c>
      <c r="E83" s="96">
        <v>3.41</v>
      </c>
      <c r="F83" s="95">
        <f t="shared" si="19"/>
        <v>0.10409056917027451</v>
      </c>
      <c r="G83" s="100">
        <v>3449</v>
      </c>
      <c r="H83" s="83">
        <f t="shared" si="20"/>
        <v>359.0083730682768</v>
      </c>
      <c r="J83" s="93"/>
      <c r="K83" s="92"/>
    </row>
    <row r="84" spans="1:11" x14ac:dyDescent="0.2">
      <c r="A84" s="80">
        <f t="shared" si="18"/>
        <v>76</v>
      </c>
      <c r="B84" s="102" t="str">
        <f t="shared" si="21"/>
        <v>54E</v>
      </c>
      <c r="C84" s="98" t="s">
        <v>4</v>
      </c>
      <c r="D84" s="97">
        <v>200</v>
      </c>
      <c r="E84" s="96">
        <v>4.55</v>
      </c>
      <c r="F84" s="95">
        <f t="shared" si="19"/>
        <v>0.13888917587236041</v>
      </c>
      <c r="G84" s="100">
        <v>3300</v>
      </c>
      <c r="H84" s="83">
        <f t="shared" si="20"/>
        <v>458.33428037878934</v>
      </c>
      <c r="J84" s="93"/>
      <c r="K84" s="92"/>
    </row>
    <row r="85" spans="1:11" x14ac:dyDescent="0.2">
      <c r="A85" s="80">
        <f t="shared" si="18"/>
        <v>77</v>
      </c>
      <c r="B85" s="102" t="str">
        <f t="shared" si="21"/>
        <v>54E</v>
      </c>
      <c r="C85" s="98" t="s">
        <v>4</v>
      </c>
      <c r="D85" s="97">
        <v>250</v>
      </c>
      <c r="E85" s="96">
        <v>5.68</v>
      </c>
      <c r="F85" s="95">
        <f t="shared" si="19"/>
        <v>0.17338253163846309</v>
      </c>
      <c r="G85" s="100">
        <v>3581</v>
      </c>
      <c r="H85" s="83">
        <f t="shared" si="20"/>
        <v>620.88284579733636</v>
      </c>
      <c r="J85" s="93"/>
      <c r="K85" s="92"/>
    </row>
    <row r="86" spans="1:11" x14ac:dyDescent="0.2">
      <c r="A86" s="80">
        <f t="shared" si="18"/>
        <v>78</v>
      </c>
      <c r="B86" s="102" t="str">
        <f t="shared" si="21"/>
        <v>54E</v>
      </c>
      <c r="C86" s="98" t="s">
        <v>4</v>
      </c>
      <c r="D86" s="97">
        <v>310</v>
      </c>
      <c r="E86" s="96">
        <v>7.05</v>
      </c>
      <c r="F86" s="95">
        <f t="shared" si="19"/>
        <v>0.21520190986816282</v>
      </c>
      <c r="G86" s="100">
        <v>670</v>
      </c>
      <c r="H86" s="83">
        <f t="shared" si="20"/>
        <v>144.18527961166907</v>
      </c>
      <c r="J86" s="93"/>
      <c r="K86" s="92"/>
    </row>
    <row r="87" spans="1:11" x14ac:dyDescent="0.2">
      <c r="A87" s="80">
        <f t="shared" si="18"/>
        <v>79</v>
      </c>
      <c r="B87" s="102" t="str">
        <f t="shared" si="21"/>
        <v>54E</v>
      </c>
      <c r="C87" s="98" t="s">
        <v>4</v>
      </c>
      <c r="D87" s="97">
        <v>400</v>
      </c>
      <c r="E87" s="96">
        <v>9.1</v>
      </c>
      <c r="F87" s="95">
        <f t="shared" si="19"/>
        <v>0.27777835174472082</v>
      </c>
      <c r="G87" s="100">
        <v>6770</v>
      </c>
      <c r="H87" s="83">
        <f t="shared" si="20"/>
        <v>1880.5594413117599</v>
      </c>
      <c r="J87" s="93"/>
      <c r="K87" s="92"/>
    </row>
    <row r="88" spans="1:11" x14ac:dyDescent="0.2">
      <c r="A88" s="80">
        <f t="shared" si="18"/>
        <v>80</v>
      </c>
      <c r="B88" s="102" t="str">
        <f t="shared" si="21"/>
        <v>54E</v>
      </c>
      <c r="C88" s="98" t="s">
        <v>4</v>
      </c>
      <c r="D88" s="97">
        <v>1000</v>
      </c>
      <c r="E88" s="96">
        <v>22.74</v>
      </c>
      <c r="F88" s="95">
        <f t="shared" si="19"/>
        <v>0.69414062842581881</v>
      </c>
      <c r="G88" s="100">
        <v>0</v>
      </c>
      <c r="H88" s="83">
        <f t="shared" si="20"/>
        <v>0</v>
      </c>
      <c r="J88" s="93"/>
      <c r="K88" s="92"/>
    </row>
    <row r="89" spans="1:11" x14ac:dyDescent="0.2">
      <c r="A89" s="80">
        <f t="shared" si="18"/>
        <v>81</v>
      </c>
      <c r="B89" s="99"/>
      <c r="C89" s="98"/>
      <c r="D89" s="97"/>
      <c r="E89" s="96"/>
      <c r="F89" s="95"/>
      <c r="G89" s="100"/>
      <c r="H89" s="98"/>
      <c r="J89" s="93"/>
      <c r="K89" s="92"/>
    </row>
    <row r="90" spans="1:11" x14ac:dyDescent="0.2">
      <c r="A90" s="80">
        <f t="shared" si="18"/>
        <v>82</v>
      </c>
      <c r="B90" s="102" t="str">
        <f>+B87</f>
        <v>54E</v>
      </c>
      <c r="C90" s="98" t="s">
        <v>30</v>
      </c>
      <c r="D90" s="101" t="s">
        <v>71</v>
      </c>
      <c r="E90" s="96">
        <v>0.33999999999999997</v>
      </c>
      <c r="F90" s="95">
        <f t="shared" ref="F90:F99" si="22">E90*$H$168</f>
        <v>1.0378531823429129E-2</v>
      </c>
      <c r="G90" s="100">
        <v>2764</v>
      </c>
      <c r="H90" s="83">
        <f t="shared" ref="H90:H99" si="23">F90*G90</f>
        <v>28.686261959958113</v>
      </c>
      <c r="J90" s="93"/>
      <c r="K90" s="92"/>
    </row>
    <row r="91" spans="1:11" x14ac:dyDescent="0.2">
      <c r="A91" s="80">
        <f t="shared" si="18"/>
        <v>83</v>
      </c>
      <c r="B91" s="102" t="str">
        <f>+B88</f>
        <v>54E</v>
      </c>
      <c r="C91" s="98" t="s">
        <v>30</v>
      </c>
      <c r="D91" s="101" t="s">
        <v>44</v>
      </c>
      <c r="E91" s="96">
        <v>1.02</v>
      </c>
      <c r="F91" s="95">
        <f t="shared" si="22"/>
        <v>3.1135595470287387E-2</v>
      </c>
      <c r="G91" s="100">
        <v>31614</v>
      </c>
      <c r="H91" s="83">
        <f t="shared" si="23"/>
        <v>984.32071519766544</v>
      </c>
      <c r="J91" s="93"/>
      <c r="K91" s="92"/>
    </row>
    <row r="92" spans="1:11" x14ac:dyDescent="0.2">
      <c r="A92" s="80">
        <f t="shared" si="18"/>
        <v>84</v>
      </c>
      <c r="B92" s="102" t="str">
        <f t="shared" ref="B92:B99" si="24">+B91</f>
        <v>54E</v>
      </c>
      <c r="C92" s="98" t="s">
        <v>30</v>
      </c>
      <c r="D92" s="97" t="s">
        <v>43</v>
      </c>
      <c r="E92" s="96">
        <v>1.7</v>
      </c>
      <c r="F92" s="95">
        <f t="shared" si="22"/>
        <v>5.1892659117145648E-2</v>
      </c>
      <c r="G92" s="100">
        <v>2651</v>
      </c>
      <c r="H92" s="83">
        <f t="shared" si="23"/>
        <v>137.5674393195531</v>
      </c>
      <c r="J92" s="93"/>
      <c r="K92" s="92"/>
    </row>
    <row r="93" spans="1:11" x14ac:dyDescent="0.2">
      <c r="A93" s="80">
        <f t="shared" si="18"/>
        <v>85</v>
      </c>
      <c r="B93" s="102" t="str">
        <f t="shared" si="24"/>
        <v>54E</v>
      </c>
      <c r="C93" s="98" t="s">
        <v>30</v>
      </c>
      <c r="D93" s="97" t="s">
        <v>42</v>
      </c>
      <c r="E93" s="96">
        <v>2.38</v>
      </c>
      <c r="F93" s="95">
        <f t="shared" si="22"/>
        <v>7.2649722764003902E-2</v>
      </c>
      <c r="G93" s="100">
        <v>35407</v>
      </c>
      <c r="H93" s="83">
        <f t="shared" si="23"/>
        <v>2572.3087339050862</v>
      </c>
      <c r="J93" s="93"/>
      <c r="K93" s="92"/>
    </row>
    <row r="94" spans="1:11" x14ac:dyDescent="0.2">
      <c r="A94" s="80">
        <f t="shared" si="18"/>
        <v>86</v>
      </c>
      <c r="B94" s="102" t="str">
        <f t="shared" si="24"/>
        <v>54E</v>
      </c>
      <c r="C94" s="98" t="s">
        <v>30</v>
      </c>
      <c r="D94" s="97" t="s">
        <v>41</v>
      </c>
      <c r="E94" s="96">
        <v>3.0700000000000003</v>
      </c>
      <c r="F94" s="95">
        <f t="shared" si="22"/>
        <v>9.3712037346845384E-2</v>
      </c>
      <c r="G94" s="100">
        <v>12747</v>
      </c>
      <c r="H94" s="83">
        <f t="shared" si="23"/>
        <v>1194.5473400602382</v>
      </c>
      <c r="J94" s="93"/>
      <c r="K94" s="92"/>
    </row>
    <row r="95" spans="1:11" x14ac:dyDescent="0.2">
      <c r="A95" s="80">
        <f t="shared" si="18"/>
        <v>87</v>
      </c>
      <c r="B95" s="102" t="str">
        <f t="shared" si="24"/>
        <v>54E</v>
      </c>
      <c r="C95" s="98" t="s">
        <v>30</v>
      </c>
      <c r="D95" s="97" t="s">
        <v>40</v>
      </c>
      <c r="E95" s="96">
        <v>3.75</v>
      </c>
      <c r="F95" s="95">
        <f t="shared" si="22"/>
        <v>0.11446910099370364</v>
      </c>
      <c r="G95" s="100">
        <v>5352</v>
      </c>
      <c r="H95" s="83">
        <f t="shared" si="23"/>
        <v>612.63862851830186</v>
      </c>
      <c r="J95" s="93"/>
      <c r="K95" s="92"/>
    </row>
    <row r="96" spans="1:11" x14ac:dyDescent="0.2">
      <c r="A96" s="80">
        <f t="shared" si="18"/>
        <v>88</v>
      </c>
      <c r="B96" s="102" t="str">
        <f t="shared" si="24"/>
        <v>54E</v>
      </c>
      <c r="C96" s="98" t="s">
        <v>30</v>
      </c>
      <c r="D96" s="97" t="s">
        <v>39</v>
      </c>
      <c r="E96" s="96">
        <v>4.43</v>
      </c>
      <c r="F96" s="95">
        <f t="shared" si="22"/>
        <v>0.13522616464056189</v>
      </c>
      <c r="G96" s="100">
        <v>1866</v>
      </c>
      <c r="H96" s="83">
        <f t="shared" si="23"/>
        <v>252.33202321928849</v>
      </c>
      <c r="J96" s="93"/>
      <c r="K96" s="92"/>
    </row>
    <row r="97" spans="1:11" x14ac:dyDescent="0.2">
      <c r="A97" s="80">
        <f t="shared" si="18"/>
        <v>89</v>
      </c>
      <c r="B97" s="102" t="str">
        <f t="shared" si="24"/>
        <v>54E</v>
      </c>
      <c r="C97" s="98" t="s">
        <v>30</v>
      </c>
      <c r="D97" s="97" t="s">
        <v>38</v>
      </c>
      <c r="E97" s="96">
        <v>5.12</v>
      </c>
      <c r="F97" s="95">
        <f t="shared" si="22"/>
        <v>0.15628847922340336</v>
      </c>
      <c r="G97" s="100">
        <v>468</v>
      </c>
      <c r="H97" s="83">
        <f t="shared" si="23"/>
        <v>73.143008276552777</v>
      </c>
      <c r="J97" s="93"/>
      <c r="K97" s="92"/>
    </row>
    <row r="98" spans="1:11" x14ac:dyDescent="0.2">
      <c r="A98" s="80">
        <f t="shared" si="18"/>
        <v>90</v>
      </c>
      <c r="B98" s="102" t="str">
        <f t="shared" si="24"/>
        <v>54E</v>
      </c>
      <c r="C98" s="98" t="s">
        <v>30</v>
      </c>
      <c r="D98" s="97" t="s">
        <v>37</v>
      </c>
      <c r="E98" s="96">
        <v>5.8</v>
      </c>
      <c r="F98" s="95">
        <f t="shared" si="22"/>
        <v>0.17704554287026161</v>
      </c>
      <c r="G98" s="100">
        <v>47</v>
      </c>
      <c r="H98" s="83">
        <f t="shared" si="23"/>
        <v>8.3211405149022966</v>
      </c>
      <c r="J98" s="93"/>
      <c r="K98" s="92"/>
    </row>
    <row r="99" spans="1:11" x14ac:dyDescent="0.2">
      <c r="A99" s="80">
        <f t="shared" si="18"/>
        <v>91</v>
      </c>
      <c r="B99" s="102" t="str">
        <f t="shared" si="24"/>
        <v>54E</v>
      </c>
      <c r="C99" s="98" t="s">
        <v>30</v>
      </c>
      <c r="D99" s="97" t="s">
        <v>36</v>
      </c>
      <c r="E99" s="96">
        <v>6.48</v>
      </c>
      <c r="F99" s="95">
        <f t="shared" si="22"/>
        <v>0.19780260651711989</v>
      </c>
      <c r="G99" s="94">
        <v>0</v>
      </c>
      <c r="H99" s="83">
        <f t="shared" si="23"/>
        <v>0</v>
      </c>
      <c r="J99" s="93"/>
      <c r="K99" s="92"/>
    </row>
    <row r="100" spans="1:11" x14ac:dyDescent="0.2">
      <c r="A100" s="80">
        <f t="shared" si="18"/>
        <v>92</v>
      </c>
      <c r="B100" s="99"/>
      <c r="C100" s="98"/>
      <c r="D100" s="97"/>
      <c r="E100" s="96"/>
      <c r="F100" s="95"/>
      <c r="G100" s="100"/>
      <c r="H100" s="98"/>
      <c r="J100" s="93"/>
      <c r="K100" s="92"/>
    </row>
    <row r="101" spans="1:11" ht="13.5" x14ac:dyDescent="0.35">
      <c r="A101" s="80">
        <f t="shared" si="18"/>
        <v>93</v>
      </c>
      <c r="B101" s="103" t="s">
        <v>51</v>
      </c>
      <c r="C101" s="98"/>
      <c r="D101" s="97"/>
      <c r="E101" s="96"/>
      <c r="F101" s="95"/>
      <c r="G101" s="100"/>
      <c r="H101" s="98"/>
      <c r="J101" s="93"/>
      <c r="K101" s="92"/>
    </row>
    <row r="102" spans="1:11" x14ac:dyDescent="0.2">
      <c r="A102" s="80">
        <f t="shared" si="18"/>
        <v>94</v>
      </c>
      <c r="B102" s="102" t="s">
        <v>50</v>
      </c>
      <c r="C102" s="98" t="s">
        <v>4</v>
      </c>
      <c r="D102" s="97">
        <v>70</v>
      </c>
      <c r="E102" s="96">
        <v>1.6</v>
      </c>
      <c r="F102" s="95">
        <f t="shared" ref="F102:F107" si="25">E102*$H$168</f>
        <v>4.8840149757313552E-2</v>
      </c>
      <c r="G102" s="100">
        <v>163</v>
      </c>
      <c r="H102" s="83">
        <f t="shared" ref="H102:H107" si="26">F102*G102</f>
        <v>7.9609444104421092</v>
      </c>
      <c r="J102" s="93"/>
      <c r="K102" s="92"/>
    </row>
    <row r="103" spans="1:11" x14ac:dyDescent="0.2">
      <c r="A103" s="80">
        <f t="shared" si="18"/>
        <v>95</v>
      </c>
      <c r="B103" s="99" t="str">
        <f>+B102</f>
        <v>55E &amp; 56E</v>
      </c>
      <c r="C103" s="98" t="s">
        <v>4</v>
      </c>
      <c r="D103" s="97">
        <v>100</v>
      </c>
      <c r="E103" s="96">
        <v>2.2799999999999998</v>
      </c>
      <c r="F103" s="95">
        <f t="shared" si="25"/>
        <v>6.9597213404171798E-2</v>
      </c>
      <c r="G103" s="100">
        <v>40180</v>
      </c>
      <c r="H103" s="83">
        <f t="shared" si="26"/>
        <v>2796.4160345796226</v>
      </c>
      <c r="J103" s="93"/>
      <c r="K103" s="92"/>
    </row>
    <row r="104" spans="1:11" x14ac:dyDescent="0.2">
      <c r="A104" s="80">
        <f t="shared" si="18"/>
        <v>96</v>
      </c>
      <c r="B104" s="99" t="str">
        <f>+B103</f>
        <v>55E &amp; 56E</v>
      </c>
      <c r="C104" s="98" t="s">
        <v>4</v>
      </c>
      <c r="D104" s="97">
        <v>150</v>
      </c>
      <c r="E104" s="96">
        <v>3.42</v>
      </c>
      <c r="F104" s="95">
        <f t="shared" si="25"/>
        <v>0.10439582010625771</v>
      </c>
      <c r="G104" s="100">
        <v>5432</v>
      </c>
      <c r="H104" s="83">
        <f t="shared" si="26"/>
        <v>567.07809481719187</v>
      </c>
      <c r="J104" s="93"/>
      <c r="K104" s="92"/>
    </row>
    <row r="105" spans="1:11" x14ac:dyDescent="0.2">
      <c r="A105" s="80">
        <f t="shared" si="18"/>
        <v>97</v>
      </c>
      <c r="B105" s="99" t="str">
        <f>+B104</f>
        <v>55E &amp; 56E</v>
      </c>
      <c r="C105" s="98" t="s">
        <v>4</v>
      </c>
      <c r="D105" s="97">
        <v>200</v>
      </c>
      <c r="E105" s="96">
        <v>4.5599999999999996</v>
      </c>
      <c r="F105" s="95">
        <f t="shared" si="25"/>
        <v>0.1391944268083436</v>
      </c>
      <c r="G105" s="100">
        <v>11220</v>
      </c>
      <c r="H105" s="83">
        <f t="shared" si="26"/>
        <v>1561.7614687896153</v>
      </c>
      <c r="J105" s="93"/>
      <c r="K105" s="92"/>
    </row>
    <row r="106" spans="1:11" x14ac:dyDescent="0.2">
      <c r="A106" s="80">
        <f t="shared" ref="A106:A137" si="27">+A105+1</f>
        <v>98</v>
      </c>
      <c r="B106" s="99" t="str">
        <f>+B105</f>
        <v>55E &amp; 56E</v>
      </c>
      <c r="C106" s="98" t="s">
        <v>4</v>
      </c>
      <c r="D106" s="97">
        <v>250</v>
      </c>
      <c r="E106" s="96">
        <v>5.6999999999999993</v>
      </c>
      <c r="F106" s="95">
        <f t="shared" si="25"/>
        <v>0.1739930335104295</v>
      </c>
      <c r="G106" s="100">
        <v>1183</v>
      </c>
      <c r="H106" s="83">
        <f t="shared" si="26"/>
        <v>205.83375864283809</v>
      </c>
      <c r="J106" s="93"/>
      <c r="K106" s="92"/>
    </row>
    <row r="107" spans="1:11" x14ac:dyDescent="0.2">
      <c r="A107" s="80">
        <f t="shared" si="27"/>
        <v>99</v>
      </c>
      <c r="B107" s="99" t="str">
        <f>+B106</f>
        <v>55E &amp; 56E</v>
      </c>
      <c r="C107" s="98" t="s">
        <v>4</v>
      </c>
      <c r="D107" s="97">
        <v>400</v>
      </c>
      <c r="E107" s="96">
        <v>9.1199999999999992</v>
      </c>
      <c r="F107" s="95">
        <f t="shared" si="25"/>
        <v>0.27838885361668719</v>
      </c>
      <c r="G107" s="100">
        <v>414</v>
      </c>
      <c r="H107" s="83">
        <f t="shared" si="26"/>
        <v>115.25298539730849</v>
      </c>
      <c r="J107" s="93"/>
      <c r="K107" s="92"/>
    </row>
    <row r="108" spans="1:11" x14ac:dyDescent="0.2">
      <c r="A108" s="80">
        <f t="shared" si="27"/>
        <v>100</v>
      </c>
      <c r="B108" s="99"/>
      <c r="C108" s="98"/>
      <c r="D108" s="97"/>
      <c r="E108" s="96"/>
      <c r="F108" s="95"/>
      <c r="G108" s="100"/>
      <c r="H108" s="98"/>
      <c r="J108" s="93"/>
      <c r="K108" s="92"/>
    </row>
    <row r="109" spans="1:11" x14ac:dyDescent="0.2">
      <c r="A109" s="80">
        <f t="shared" si="27"/>
        <v>101</v>
      </c>
      <c r="B109" s="99" t="str">
        <f>+B107</f>
        <v>55E &amp; 56E</v>
      </c>
      <c r="C109" s="98" t="s">
        <v>46</v>
      </c>
      <c r="D109" s="97">
        <v>250</v>
      </c>
      <c r="E109" s="96">
        <v>5.6999999999999993</v>
      </c>
      <c r="F109" s="95">
        <f>E109*$H$168</f>
        <v>0.1739930335104295</v>
      </c>
      <c r="G109" s="100">
        <v>80</v>
      </c>
      <c r="H109" s="83">
        <f>F109*G109</f>
        <v>13.91944268083436</v>
      </c>
      <c r="J109" s="93"/>
      <c r="K109" s="92"/>
    </row>
    <row r="110" spans="1:11" x14ac:dyDescent="0.2">
      <c r="A110" s="80">
        <f t="shared" si="27"/>
        <v>102</v>
      </c>
      <c r="B110" s="99"/>
      <c r="C110" s="98"/>
      <c r="D110" s="97"/>
      <c r="E110" s="96"/>
      <c r="F110" s="95"/>
      <c r="G110" s="100"/>
      <c r="H110" s="98"/>
      <c r="J110" s="93"/>
      <c r="K110" s="92"/>
    </row>
    <row r="111" spans="1:11" x14ac:dyDescent="0.2">
      <c r="A111" s="80">
        <f t="shared" si="27"/>
        <v>103</v>
      </c>
      <c r="B111" s="99" t="s">
        <v>50</v>
      </c>
      <c r="C111" s="98" t="s">
        <v>30</v>
      </c>
      <c r="D111" s="84" t="s">
        <v>68</v>
      </c>
      <c r="E111" s="96">
        <v>0.35</v>
      </c>
      <c r="F111" s="95">
        <f t="shared" ref="F111:F120" si="28">E111*$H$168</f>
        <v>1.0683782759412338E-2</v>
      </c>
      <c r="G111" s="100">
        <v>41</v>
      </c>
      <c r="H111" s="83">
        <f t="shared" ref="H111:H120" si="29">F111*G111</f>
        <v>0.43803509313590583</v>
      </c>
      <c r="J111" s="93"/>
      <c r="K111" s="92"/>
    </row>
    <row r="112" spans="1:11" x14ac:dyDescent="0.2">
      <c r="A112" s="80">
        <f t="shared" si="27"/>
        <v>104</v>
      </c>
      <c r="B112" s="99" t="s">
        <v>50</v>
      </c>
      <c r="C112" s="98" t="s">
        <v>30</v>
      </c>
      <c r="D112" s="101" t="s">
        <v>44</v>
      </c>
      <c r="E112" s="96">
        <v>1.03</v>
      </c>
      <c r="F112" s="95">
        <f t="shared" si="28"/>
        <v>3.1440846406270602E-2</v>
      </c>
      <c r="G112" s="100">
        <v>9512</v>
      </c>
      <c r="H112" s="83">
        <f t="shared" si="29"/>
        <v>299.06533101644595</v>
      </c>
      <c r="J112" s="93"/>
      <c r="K112" s="92"/>
    </row>
    <row r="113" spans="1:11" x14ac:dyDescent="0.2">
      <c r="A113" s="80">
        <f t="shared" si="27"/>
        <v>105</v>
      </c>
      <c r="B113" s="99" t="s">
        <v>50</v>
      </c>
      <c r="C113" s="98" t="s">
        <v>30</v>
      </c>
      <c r="D113" s="97" t="s">
        <v>43</v>
      </c>
      <c r="E113" s="96">
        <v>1.71</v>
      </c>
      <c r="F113" s="95">
        <f t="shared" si="28"/>
        <v>5.2197910053128856E-2</v>
      </c>
      <c r="G113" s="100">
        <v>404</v>
      </c>
      <c r="H113" s="83">
        <f t="shared" si="29"/>
        <v>21.087955661464058</v>
      </c>
      <c r="J113" s="93"/>
      <c r="K113" s="92"/>
    </row>
    <row r="114" spans="1:11" x14ac:dyDescent="0.2">
      <c r="A114" s="80">
        <f t="shared" si="27"/>
        <v>106</v>
      </c>
      <c r="B114" s="99" t="s">
        <v>50</v>
      </c>
      <c r="C114" s="98" t="s">
        <v>30</v>
      </c>
      <c r="D114" s="97" t="s">
        <v>42</v>
      </c>
      <c r="E114" s="96">
        <v>2.39</v>
      </c>
      <c r="F114" s="95">
        <f t="shared" si="28"/>
        <v>7.2954973699987116E-2</v>
      </c>
      <c r="G114" s="100">
        <v>2079</v>
      </c>
      <c r="H114" s="83">
        <f t="shared" si="29"/>
        <v>151.67339032227321</v>
      </c>
      <c r="J114" s="93"/>
      <c r="K114" s="92"/>
    </row>
    <row r="115" spans="1:11" x14ac:dyDescent="0.2">
      <c r="A115" s="80">
        <f t="shared" si="27"/>
        <v>107</v>
      </c>
      <c r="B115" s="99" t="s">
        <v>50</v>
      </c>
      <c r="C115" s="98" t="s">
        <v>30</v>
      </c>
      <c r="D115" s="97" t="s">
        <v>41</v>
      </c>
      <c r="E115" s="96">
        <v>3.08</v>
      </c>
      <c r="F115" s="95">
        <f t="shared" si="28"/>
        <v>9.4017288282828584E-2</v>
      </c>
      <c r="G115" s="100">
        <v>0</v>
      </c>
      <c r="H115" s="83">
        <f t="shared" si="29"/>
        <v>0</v>
      </c>
      <c r="J115" s="93"/>
      <c r="K115" s="92"/>
    </row>
    <row r="116" spans="1:11" x14ac:dyDescent="0.2">
      <c r="A116" s="80">
        <f t="shared" si="27"/>
        <v>108</v>
      </c>
      <c r="B116" s="99" t="s">
        <v>50</v>
      </c>
      <c r="C116" s="98" t="s">
        <v>30</v>
      </c>
      <c r="D116" s="97" t="s">
        <v>40</v>
      </c>
      <c r="E116" s="96">
        <v>3.76</v>
      </c>
      <c r="F116" s="95">
        <f t="shared" si="28"/>
        <v>0.11477435192968684</v>
      </c>
      <c r="G116" s="100">
        <v>0</v>
      </c>
      <c r="H116" s="83">
        <f t="shared" si="29"/>
        <v>0</v>
      </c>
      <c r="J116" s="93"/>
      <c r="K116" s="92"/>
    </row>
    <row r="117" spans="1:11" x14ac:dyDescent="0.2">
      <c r="A117" s="80">
        <f t="shared" si="27"/>
        <v>109</v>
      </c>
      <c r="B117" s="99" t="s">
        <v>50</v>
      </c>
      <c r="C117" s="98" t="s">
        <v>30</v>
      </c>
      <c r="D117" s="97" t="s">
        <v>39</v>
      </c>
      <c r="E117" s="96">
        <v>4.4400000000000004</v>
      </c>
      <c r="F117" s="95">
        <f t="shared" si="28"/>
        <v>0.13553141557654511</v>
      </c>
      <c r="G117" s="100">
        <v>0</v>
      </c>
      <c r="H117" s="83">
        <f t="shared" si="29"/>
        <v>0</v>
      </c>
      <c r="J117" s="93"/>
      <c r="K117" s="92"/>
    </row>
    <row r="118" spans="1:11" x14ac:dyDescent="0.2">
      <c r="A118" s="80">
        <f t="shared" si="27"/>
        <v>110</v>
      </c>
      <c r="B118" s="99" t="s">
        <v>50</v>
      </c>
      <c r="C118" s="98" t="s">
        <v>30</v>
      </c>
      <c r="D118" s="97" t="s">
        <v>38</v>
      </c>
      <c r="E118" s="96">
        <v>5.13</v>
      </c>
      <c r="F118" s="95">
        <f t="shared" si="28"/>
        <v>0.15659373015938657</v>
      </c>
      <c r="G118" s="100">
        <v>0</v>
      </c>
      <c r="H118" s="83">
        <f t="shared" si="29"/>
        <v>0</v>
      </c>
      <c r="J118" s="93"/>
      <c r="K118" s="92"/>
    </row>
    <row r="119" spans="1:11" x14ac:dyDescent="0.2">
      <c r="A119" s="80">
        <f t="shared" si="27"/>
        <v>111</v>
      </c>
      <c r="B119" s="99" t="s">
        <v>50</v>
      </c>
      <c r="C119" s="98" t="s">
        <v>30</v>
      </c>
      <c r="D119" s="97" t="s">
        <v>37</v>
      </c>
      <c r="E119" s="96">
        <v>5.8100000000000005</v>
      </c>
      <c r="F119" s="95">
        <f t="shared" si="28"/>
        <v>0.17735079380624486</v>
      </c>
      <c r="G119" s="100">
        <v>0</v>
      </c>
      <c r="H119" s="83">
        <f t="shared" si="29"/>
        <v>0</v>
      </c>
      <c r="J119" s="93"/>
      <c r="K119" s="92"/>
    </row>
    <row r="120" spans="1:11" x14ac:dyDescent="0.2">
      <c r="A120" s="80">
        <f t="shared" si="27"/>
        <v>112</v>
      </c>
      <c r="B120" s="99" t="s">
        <v>50</v>
      </c>
      <c r="C120" s="98" t="s">
        <v>30</v>
      </c>
      <c r="D120" s="97" t="s">
        <v>36</v>
      </c>
      <c r="E120" s="96">
        <v>6.5</v>
      </c>
      <c r="F120" s="95">
        <f t="shared" si="28"/>
        <v>0.1984131083890863</v>
      </c>
      <c r="G120" s="100">
        <v>0</v>
      </c>
      <c r="H120" s="83">
        <f t="shared" si="29"/>
        <v>0</v>
      </c>
      <c r="J120" s="93"/>
      <c r="K120" s="92"/>
    </row>
    <row r="121" spans="1:11" x14ac:dyDescent="0.2">
      <c r="A121" s="80">
        <f t="shared" si="27"/>
        <v>113</v>
      </c>
      <c r="B121" s="99"/>
      <c r="C121" s="98"/>
      <c r="D121" s="97"/>
      <c r="E121" s="96"/>
      <c r="F121" s="95"/>
      <c r="G121" s="100"/>
      <c r="H121" s="98"/>
      <c r="J121" s="93"/>
      <c r="K121" s="92"/>
    </row>
    <row r="122" spans="1:11" ht="13.5" x14ac:dyDescent="0.35">
      <c r="A122" s="80">
        <f t="shared" si="27"/>
        <v>114</v>
      </c>
      <c r="B122" s="103" t="s">
        <v>28</v>
      </c>
      <c r="C122" s="98"/>
      <c r="D122" s="97"/>
      <c r="E122" s="96"/>
      <c r="F122" s="95"/>
      <c r="G122" s="100"/>
      <c r="H122" s="98"/>
      <c r="J122" s="93"/>
      <c r="K122" s="92"/>
    </row>
    <row r="123" spans="1:11" x14ac:dyDescent="0.2">
      <c r="A123" s="80">
        <f t="shared" si="27"/>
        <v>115</v>
      </c>
      <c r="B123" s="99" t="s">
        <v>27</v>
      </c>
      <c r="C123" s="98" t="s">
        <v>26</v>
      </c>
      <c r="D123" s="106">
        <v>0</v>
      </c>
      <c r="E123" s="105">
        <v>4.2689999999999999E-2</v>
      </c>
      <c r="F123" s="104">
        <f>E123*$H$168</f>
        <v>1.3031162457123222E-3</v>
      </c>
      <c r="G123" s="100">
        <v>5266504</v>
      </c>
      <c r="H123" s="83">
        <f>F123*G123</f>
        <v>6862.8669205089282</v>
      </c>
      <c r="J123" s="93"/>
      <c r="K123" s="92"/>
    </row>
    <row r="124" spans="1:11" x14ac:dyDescent="0.2">
      <c r="A124" s="80">
        <f t="shared" si="27"/>
        <v>116</v>
      </c>
      <c r="B124" s="99"/>
      <c r="C124" s="98"/>
      <c r="D124" s="97"/>
      <c r="E124" s="96"/>
      <c r="F124" s="95"/>
      <c r="G124" s="100"/>
      <c r="H124" s="98"/>
      <c r="J124" s="93"/>
      <c r="K124" s="92"/>
    </row>
    <row r="125" spans="1:11" ht="13.5" x14ac:dyDescent="0.35">
      <c r="A125" s="80">
        <f t="shared" si="27"/>
        <v>117</v>
      </c>
      <c r="B125" s="103" t="s">
        <v>49</v>
      </c>
      <c r="C125" s="98"/>
      <c r="D125" s="97"/>
      <c r="E125" s="96"/>
      <c r="F125" s="95"/>
      <c r="G125" s="100"/>
      <c r="H125" s="98"/>
      <c r="J125" s="93"/>
      <c r="K125" s="92"/>
    </row>
    <row r="126" spans="1:11" x14ac:dyDescent="0.2">
      <c r="A126" s="80">
        <f t="shared" si="27"/>
        <v>118</v>
      </c>
      <c r="B126" s="102" t="s">
        <v>48</v>
      </c>
      <c r="C126" s="98" t="s">
        <v>4</v>
      </c>
      <c r="D126" s="97">
        <v>70</v>
      </c>
      <c r="E126" s="96">
        <v>1.6</v>
      </c>
      <c r="F126" s="95">
        <f t="shared" ref="F126:F131" si="30">E126*$H$168</f>
        <v>4.8840149757313552E-2</v>
      </c>
      <c r="G126" s="100">
        <v>584</v>
      </c>
      <c r="H126" s="83">
        <f t="shared" ref="H126:H131" si="31">F126*G126</f>
        <v>28.522647458271113</v>
      </c>
      <c r="J126" s="93"/>
      <c r="K126" s="92"/>
    </row>
    <row r="127" spans="1:11" x14ac:dyDescent="0.2">
      <c r="A127" s="80">
        <f t="shared" si="27"/>
        <v>119</v>
      </c>
      <c r="B127" s="99" t="str">
        <f>+B126</f>
        <v>58E &amp; 59E - Directional</v>
      </c>
      <c r="C127" s="98" t="s">
        <v>4</v>
      </c>
      <c r="D127" s="97">
        <v>100</v>
      </c>
      <c r="E127" s="96">
        <v>2.2799999999999998</v>
      </c>
      <c r="F127" s="95">
        <f t="shared" si="30"/>
        <v>6.9597213404171798E-2</v>
      </c>
      <c r="G127" s="100">
        <v>119</v>
      </c>
      <c r="H127" s="83">
        <f t="shared" si="31"/>
        <v>8.2820683950964433</v>
      </c>
      <c r="J127" s="93"/>
      <c r="K127" s="92"/>
    </row>
    <row r="128" spans="1:11" x14ac:dyDescent="0.2">
      <c r="A128" s="80">
        <f t="shared" si="27"/>
        <v>120</v>
      </c>
      <c r="B128" s="99" t="str">
        <f>+B127</f>
        <v>58E &amp; 59E - Directional</v>
      </c>
      <c r="C128" s="98" t="s">
        <v>4</v>
      </c>
      <c r="D128" s="97">
        <v>150</v>
      </c>
      <c r="E128" s="96">
        <v>3.42</v>
      </c>
      <c r="F128" s="95">
        <f t="shared" si="30"/>
        <v>0.10439582010625771</v>
      </c>
      <c r="G128" s="100">
        <v>1635</v>
      </c>
      <c r="H128" s="83">
        <f t="shared" si="31"/>
        <v>170.68716587373135</v>
      </c>
      <c r="J128" s="93"/>
      <c r="K128" s="92"/>
    </row>
    <row r="129" spans="1:11" x14ac:dyDescent="0.2">
      <c r="A129" s="80">
        <f t="shared" si="27"/>
        <v>121</v>
      </c>
      <c r="B129" s="99" t="str">
        <f>+B128</f>
        <v>58E &amp; 59E - Directional</v>
      </c>
      <c r="C129" s="98" t="s">
        <v>4</v>
      </c>
      <c r="D129" s="97">
        <v>200</v>
      </c>
      <c r="E129" s="96">
        <v>4.5599999999999996</v>
      </c>
      <c r="F129" s="95">
        <f t="shared" si="30"/>
        <v>0.1391944268083436</v>
      </c>
      <c r="G129" s="100">
        <v>2918</v>
      </c>
      <c r="H129" s="83">
        <f t="shared" si="31"/>
        <v>406.16933742674661</v>
      </c>
      <c r="J129" s="93"/>
      <c r="K129" s="92"/>
    </row>
    <row r="130" spans="1:11" x14ac:dyDescent="0.2">
      <c r="A130" s="80">
        <f t="shared" si="27"/>
        <v>122</v>
      </c>
      <c r="B130" s="99" t="str">
        <f>+B129</f>
        <v>58E &amp; 59E - Directional</v>
      </c>
      <c r="C130" s="98" t="s">
        <v>4</v>
      </c>
      <c r="D130" s="97">
        <v>250</v>
      </c>
      <c r="E130" s="96">
        <v>5.6999999999999993</v>
      </c>
      <c r="F130" s="95">
        <f t="shared" si="30"/>
        <v>0.1739930335104295</v>
      </c>
      <c r="G130" s="100">
        <v>441</v>
      </c>
      <c r="H130" s="83">
        <f t="shared" si="31"/>
        <v>76.730927778099414</v>
      </c>
      <c r="J130" s="93"/>
      <c r="K130" s="92"/>
    </row>
    <row r="131" spans="1:11" x14ac:dyDescent="0.2">
      <c r="A131" s="80">
        <f t="shared" si="27"/>
        <v>123</v>
      </c>
      <c r="B131" s="99" t="str">
        <f>+B130</f>
        <v>58E &amp; 59E - Directional</v>
      </c>
      <c r="C131" s="98" t="s">
        <v>4</v>
      </c>
      <c r="D131" s="97">
        <v>400</v>
      </c>
      <c r="E131" s="96">
        <v>9.1199999999999992</v>
      </c>
      <c r="F131" s="95">
        <f t="shared" si="30"/>
        <v>0.27838885361668719</v>
      </c>
      <c r="G131" s="100">
        <v>3843</v>
      </c>
      <c r="H131" s="83">
        <f t="shared" si="31"/>
        <v>1069.8483644489288</v>
      </c>
      <c r="J131" s="93"/>
      <c r="K131" s="92"/>
    </row>
    <row r="132" spans="1:11" x14ac:dyDescent="0.2">
      <c r="A132" s="80">
        <f t="shared" si="27"/>
        <v>124</v>
      </c>
      <c r="B132" s="99"/>
      <c r="C132" s="98"/>
      <c r="D132" s="97"/>
      <c r="E132" s="96"/>
      <c r="F132" s="95"/>
      <c r="G132" s="100"/>
      <c r="H132" s="98"/>
      <c r="J132" s="93"/>
      <c r="K132" s="92"/>
    </row>
    <row r="133" spans="1:11" x14ac:dyDescent="0.2">
      <c r="A133" s="80">
        <f t="shared" si="27"/>
        <v>125</v>
      </c>
      <c r="B133" s="102" t="s">
        <v>47</v>
      </c>
      <c r="C133" s="98" t="s">
        <v>4</v>
      </c>
      <c r="D133" s="97">
        <v>100</v>
      </c>
      <c r="E133" s="96">
        <v>2.2799999999999998</v>
      </c>
      <c r="F133" s="95">
        <f>E133*$H$168</f>
        <v>6.9597213404171798E-2</v>
      </c>
      <c r="G133" s="94">
        <v>0</v>
      </c>
      <c r="H133" s="83">
        <f>F133*G133</f>
        <v>0</v>
      </c>
      <c r="J133" s="93"/>
      <c r="K133" s="92"/>
    </row>
    <row r="134" spans="1:11" x14ac:dyDescent="0.2">
      <c r="A134" s="80">
        <f t="shared" si="27"/>
        <v>126</v>
      </c>
      <c r="B134" s="99" t="str">
        <f>B133</f>
        <v>58E &amp; 59E - Horizontal</v>
      </c>
      <c r="C134" s="98" t="s">
        <v>4</v>
      </c>
      <c r="D134" s="97">
        <v>150</v>
      </c>
      <c r="E134" s="96">
        <v>3.42</v>
      </c>
      <c r="F134" s="95">
        <f>E134*$H$168</f>
        <v>0.10439582010625771</v>
      </c>
      <c r="G134" s="100">
        <v>163</v>
      </c>
      <c r="H134" s="83">
        <f>F134*G134</f>
        <v>17.016518677320008</v>
      </c>
      <c r="J134" s="93"/>
      <c r="K134" s="92"/>
    </row>
    <row r="135" spans="1:11" x14ac:dyDescent="0.2">
      <c r="A135" s="80">
        <f t="shared" si="27"/>
        <v>127</v>
      </c>
      <c r="B135" s="99" t="str">
        <f>B134</f>
        <v>58E &amp; 59E - Horizontal</v>
      </c>
      <c r="C135" s="98" t="s">
        <v>4</v>
      </c>
      <c r="D135" s="97">
        <v>200</v>
      </c>
      <c r="E135" s="96">
        <v>4.5599999999999996</v>
      </c>
      <c r="F135" s="95">
        <f>E135*$H$168</f>
        <v>0.1391944268083436</v>
      </c>
      <c r="G135" s="100">
        <v>82</v>
      </c>
      <c r="H135" s="83">
        <f>F135*G135</f>
        <v>11.413942998284174</v>
      </c>
      <c r="J135" s="93"/>
      <c r="K135" s="92"/>
    </row>
    <row r="136" spans="1:11" x14ac:dyDescent="0.2">
      <c r="A136" s="80">
        <f t="shared" si="27"/>
        <v>128</v>
      </c>
      <c r="B136" s="99" t="str">
        <f>B135</f>
        <v>58E &amp; 59E - Horizontal</v>
      </c>
      <c r="C136" s="98" t="s">
        <v>4</v>
      </c>
      <c r="D136" s="97">
        <v>250</v>
      </c>
      <c r="E136" s="96">
        <v>5.6999999999999993</v>
      </c>
      <c r="F136" s="95">
        <f>E136*$H$168</f>
        <v>0.1739930335104295</v>
      </c>
      <c r="G136" s="100">
        <v>358</v>
      </c>
      <c r="H136" s="83">
        <f>F136*G136</f>
        <v>62.289505996733759</v>
      </c>
      <c r="J136" s="93"/>
      <c r="K136" s="92"/>
    </row>
    <row r="137" spans="1:11" x14ac:dyDescent="0.2">
      <c r="A137" s="80">
        <f t="shared" si="27"/>
        <v>129</v>
      </c>
      <c r="B137" s="99" t="str">
        <f>B136</f>
        <v>58E &amp; 59E - Horizontal</v>
      </c>
      <c r="C137" s="98" t="s">
        <v>4</v>
      </c>
      <c r="D137" s="97">
        <v>400</v>
      </c>
      <c r="E137" s="96">
        <v>9.1199999999999992</v>
      </c>
      <c r="F137" s="95">
        <f>E137*$H$168</f>
        <v>0.27838885361668719</v>
      </c>
      <c r="G137" s="100">
        <v>523</v>
      </c>
      <c r="H137" s="83">
        <f>F137*G137</f>
        <v>145.5973704415274</v>
      </c>
      <c r="J137" s="93"/>
      <c r="K137" s="92"/>
    </row>
    <row r="138" spans="1:11" x14ac:dyDescent="0.2">
      <c r="A138" s="80">
        <f t="shared" ref="A138:A171" si="32">+A137+1</f>
        <v>130</v>
      </c>
      <c r="B138" s="99"/>
      <c r="C138" s="98"/>
      <c r="D138" s="97"/>
      <c r="E138" s="96"/>
      <c r="F138" s="95"/>
      <c r="G138" s="100"/>
      <c r="H138" s="98"/>
      <c r="J138" s="93"/>
      <c r="K138" s="92"/>
    </row>
    <row r="139" spans="1:11" x14ac:dyDescent="0.2">
      <c r="A139" s="80">
        <f t="shared" si="32"/>
        <v>131</v>
      </c>
      <c r="B139" s="99" t="str">
        <f>B127</f>
        <v>58E &amp; 59E - Directional</v>
      </c>
      <c r="C139" s="98" t="s">
        <v>46</v>
      </c>
      <c r="D139" s="97">
        <v>175</v>
      </c>
      <c r="E139" s="96">
        <v>3.9899999999999998</v>
      </c>
      <c r="F139" s="95">
        <f>E139*$H$168</f>
        <v>0.12179512345730066</v>
      </c>
      <c r="G139" s="100">
        <v>36</v>
      </c>
      <c r="H139" s="83">
        <f>F139*G139</f>
        <v>4.3846244444628235</v>
      </c>
      <c r="J139" s="93"/>
      <c r="K139" s="92"/>
    </row>
    <row r="140" spans="1:11" x14ac:dyDescent="0.2">
      <c r="A140" s="80">
        <f t="shared" si="32"/>
        <v>132</v>
      </c>
      <c r="B140" s="99" t="str">
        <f>B139</f>
        <v>58E &amp; 59E - Directional</v>
      </c>
      <c r="C140" s="98" t="s">
        <v>46</v>
      </c>
      <c r="D140" s="97">
        <v>250</v>
      </c>
      <c r="E140" s="96">
        <v>5.6999999999999993</v>
      </c>
      <c r="F140" s="95">
        <f>E140*$H$168</f>
        <v>0.1739930335104295</v>
      </c>
      <c r="G140" s="100">
        <v>173</v>
      </c>
      <c r="H140" s="83">
        <f>F140*G140</f>
        <v>30.100794797304303</v>
      </c>
      <c r="J140" s="93"/>
      <c r="K140" s="92"/>
    </row>
    <row r="141" spans="1:11" x14ac:dyDescent="0.2">
      <c r="A141" s="80">
        <f t="shared" si="32"/>
        <v>133</v>
      </c>
      <c r="B141" s="99" t="str">
        <f>B140</f>
        <v>58E &amp; 59E - Directional</v>
      </c>
      <c r="C141" s="98" t="s">
        <v>46</v>
      </c>
      <c r="D141" s="97">
        <v>400</v>
      </c>
      <c r="E141" s="96">
        <v>9.1199999999999992</v>
      </c>
      <c r="F141" s="95">
        <f>E141*$H$168</f>
        <v>0.27838885361668719</v>
      </c>
      <c r="G141" s="100">
        <v>907</v>
      </c>
      <c r="H141" s="83">
        <f>F141*G141</f>
        <v>252.49869023033528</v>
      </c>
      <c r="J141" s="93"/>
      <c r="K141" s="92"/>
    </row>
    <row r="142" spans="1:11" x14ac:dyDescent="0.2">
      <c r="A142" s="80">
        <f t="shared" si="32"/>
        <v>134</v>
      </c>
      <c r="B142" s="99" t="str">
        <f>B141</f>
        <v>58E &amp; 59E - Directional</v>
      </c>
      <c r="C142" s="98" t="s">
        <v>46</v>
      </c>
      <c r="D142" s="97">
        <v>1000</v>
      </c>
      <c r="E142" s="96">
        <v>22.79</v>
      </c>
      <c r="F142" s="95">
        <f>E142*$H$168</f>
        <v>0.69566688310573488</v>
      </c>
      <c r="G142" s="100">
        <v>1361</v>
      </c>
      <c r="H142" s="83">
        <f>F142*G142</f>
        <v>946.80262790690517</v>
      </c>
      <c r="J142" s="93"/>
      <c r="K142" s="92"/>
    </row>
    <row r="143" spans="1:11" x14ac:dyDescent="0.2">
      <c r="A143" s="80">
        <f t="shared" si="32"/>
        <v>135</v>
      </c>
      <c r="B143" s="99"/>
      <c r="C143" s="98"/>
      <c r="D143" s="97"/>
      <c r="E143" s="96"/>
      <c r="F143" s="95"/>
      <c r="G143" s="100"/>
      <c r="H143" s="98"/>
      <c r="J143" s="93"/>
      <c r="K143" s="92"/>
    </row>
    <row r="144" spans="1:11" x14ac:dyDescent="0.2">
      <c r="A144" s="80">
        <f t="shared" si="32"/>
        <v>136</v>
      </c>
      <c r="B144" s="99" t="str">
        <f>B133</f>
        <v>58E &amp; 59E - Horizontal</v>
      </c>
      <c r="C144" s="98" t="s">
        <v>46</v>
      </c>
      <c r="D144" s="97">
        <v>250</v>
      </c>
      <c r="E144" s="96">
        <v>5.6999999999999993</v>
      </c>
      <c r="F144" s="95">
        <f>E144*$H$168</f>
        <v>0.1739930335104295</v>
      </c>
      <c r="G144" s="100">
        <v>43</v>
      </c>
      <c r="H144" s="83">
        <f>F144*G144</f>
        <v>7.481700440948468</v>
      </c>
      <c r="J144" s="93"/>
      <c r="K144" s="92"/>
    </row>
    <row r="145" spans="1:11" x14ac:dyDescent="0.2">
      <c r="A145" s="80">
        <f t="shared" si="32"/>
        <v>137</v>
      </c>
      <c r="B145" s="99" t="str">
        <f>B144</f>
        <v>58E &amp; 59E - Horizontal</v>
      </c>
      <c r="C145" s="98" t="s">
        <v>46</v>
      </c>
      <c r="D145" s="97">
        <v>400</v>
      </c>
      <c r="E145" s="96">
        <v>9.1199999999999992</v>
      </c>
      <c r="F145" s="95">
        <f>E145*$H$168</f>
        <v>0.27838885361668719</v>
      </c>
      <c r="G145" s="100">
        <v>455</v>
      </c>
      <c r="H145" s="83">
        <f>F145*G145</f>
        <v>126.66692839559268</v>
      </c>
      <c r="J145" s="93"/>
      <c r="K145" s="92"/>
    </row>
    <row r="146" spans="1:11" x14ac:dyDescent="0.2">
      <c r="A146" s="80">
        <f t="shared" si="32"/>
        <v>138</v>
      </c>
      <c r="B146" s="99"/>
      <c r="C146" s="98"/>
      <c r="D146" s="97"/>
      <c r="E146" s="96"/>
      <c r="F146" s="95"/>
      <c r="G146" s="100"/>
      <c r="H146" s="98"/>
      <c r="J146" s="93"/>
      <c r="K146" s="92"/>
    </row>
    <row r="147" spans="1:11" x14ac:dyDescent="0.2">
      <c r="A147" s="80">
        <f t="shared" si="32"/>
        <v>139</v>
      </c>
      <c r="B147" s="99" t="s">
        <v>45</v>
      </c>
      <c r="C147" s="98" t="s">
        <v>30</v>
      </c>
      <c r="D147" s="84" t="s">
        <v>68</v>
      </c>
      <c r="E147" s="96">
        <v>0.35</v>
      </c>
      <c r="F147" s="95">
        <f t="shared" ref="F147:F162" si="33">E147*$H$168</f>
        <v>1.0683782759412338E-2</v>
      </c>
      <c r="G147" s="94">
        <v>0</v>
      </c>
      <c r="H147" s="83">
        <f t="shared" ref="H147:H162" si="34">F147*G147</f>
        <v>0</v>
      </c>
      <c r="J147" s="93"/>
      <c r="K147" s="92"/>
    </row>
    <row r="148" spans="1:11" x14ac:dyDescent="0.2">
      <c r="A148" s="80">
        <f t="shared" si="32"/>
        <v>140</v>
      </c>
      <c r="B148" s="99" t="s">
        <v>45</v>
      </c>
      <c r="C148" s="98" t="s">
        <v>30</v>
      </c>
      <c r="D148" s="101" t="s">
        <v>69</v>
      </c>
      <c r="E148" s="96">
        <v>1.03</v>
      </c>
      <c r="F148" s="95">
        <f t="shared" si="33"/>
        <v>3.1440846406270602E-2</v>
      </c>
      <c r="G148" s="100">
        <v>81</v>
      </c>
      <c r="H148" s="83">
        <f t="shared" si="34"/>
        <v>2.5467085589079188</v>
      </c>
      <c r="J148" s="93"/>
      <c r="K148" s="92"/>
    </row>
    <row r="149" spans="1:11" x14ac:dyDescent="0.2">
      <c r="A149" s="80">
        <f t="shared" si="32"/>
        <v>141</v>
      </c>
      <c r="B149" s="99" t="str">
        <f t="shared" ref="B149:B162" si="35">B148</f>
        <v>58E &amp; 59E</v>
      </c>
      <c r="C149" s="98" t="s">
        <v>30</v>
      </c>
      <c r="D149" s="97" t="s">
        <v>43</v>
      </c>
      <c r="E149" s="96">
        <v>1.71</v>
      </c>
      <c r="F149" s="95">
        <f t="shared" si="33"/>
        <v>5.2197910053128856E-2</v>
      </c>
      <c r="G149" s="100">
        <v>843</v>
      </c>
      <c r="H149" s="83">
        <f t="shared" si="34"/>
        <v>44.002838174787627</v>
      </c>
      <c r="J149" s="93"/>
      <c r="K149" s="92"/>
    </row>
    <row r="150" spans="1:11" x14ac:dyDescent="0.2">
      <c r="A150" s="80">
        <f t="shared" si="32"/>
        <v>142</v>
      </c>
      <c r="B150" s="99" t="str">
        <f t="shared" si="35"/>
        <v>58E &amp; 59E</v>
      </c>
      <c r="C150" s="98" t="s">
        <v>30</v>
      </c>
      <c r="D150" s="97" t="s">
        <v>42</v>
      </c>
      <c r="E150" s="96">
        <v>2.39</v>
      </c>
      <c r="F150" s="95">
        <f t="shared" si="33"/>
        <v>7.2954973699987116E-2</v>
      </c>
      <c r="G150" s="100">
        <v>190</v>
      </c>
      <c r="H150" s="83">
        <f t="shared" si="34"/>
        <v>13.861445002997552</v>
      </c>
      <c r="J150" s="93"/>
      <c r="K150" s="92"/>
    </row>
    <row r="151" spans="1:11" x14ac:dyDescent="0.2">
      <c r="A151" s="80">
        <f t="shared" si="32"/>
        <v>143</v>
      </c>
      <c r="B151" s="99" t="str">
        <f t="shared" si="35"/>
        <v>58E &amp; 59E</v>
      </c>
      <c r="C151" s="98" t="s">
        <v>30</v>
      </c>
      <c r="D151" s="97" t="s">
        <v>41</v>
      </c>
      <c r="E151" s="96">
        <v>3.08</v>
      </c>
      <c r="F151" s="95">
        <f t="shared" si="33"/>
        <v>9.4017288282828584E-2</v>
      </c>
      <c r="G151" s="100">
        <v>1792</v>
      </c>
      <c r="H151" s="83">
        <f t="shared" si="34"/>
        <v>168.47898060282881</v>
      </c>
      <c r="J151" s="93"/>
      <c r="K151" s="92"/>
    </row>
    <row r="152" spans="1:11" x14ac:dyDescent="0.2">
      <c r="A152" s="80">
        <f t="shared" si="32"/>
        <v>144</v>
      </c>
      <c r="B152" s="99" t="str">
        <f t="shared" si="35"/>
        <v>58E &amp; 59E</v>
      </c>
      <c r="C152" s="98" t="s">
        <v>30</v>
      </c>
      <c r="D152" s="97" t="s">
        <v>40</v>
      </c>
      <c r="E152" s="96">
        <v>3.76</v>
      </c>
      <c r="F152" s="95">
        <f t="shared" si="33"/>
        <v>0.11477435192968684</v>
      </c>
      <c r="G152" s="100">
        <v>405</v>
      </c>
      <c r="H152" s="83">
        <f t="shared" si="34"/>
        <v>46.483612531523171</v>
      </c>
      <c r="J152" s="93"/>
      <c r="K152" s="92"/>
    </row>
    <row r="153" spans="1:11" x14ac:dyDescent="0.2">
      <c r="A153" s="80">
        <f t="shared" si="32"/>
        <v>145</v>
      </c>
      <c r="B153" s="99" t="str">
        <f t="shared" si="35"/>
        <v>58E &amp; 59E</v>
      </c>
      <c r="C153" s="98" t="s">
        <v>30</v>
      </c>
      <c r="D153" s="97" t="s">
        <v>39</v>
      </c>
      <c r="E153" s="96">
        <v>4.4400000000000004</v>
      </c>
      <c r="F153" s="95">
        <f t="shared" si="33"/>
        <v>0.13553141557654511</v>
      </c>
      <c r="G153" s="94">
        <v>0</v>
      </c>
      <c r="H153" s="83">
        <f t="shared" si="34"/>
        <v>0</v>
      </c>
      <c r="J153" s="93"/>
      <c r="K153" s="92"/>
    </row>
    <row r="154" spans="1:11" x14ac:dyDescent="0.2">
      <c r="A154" s="80">
        <f t="shared" si="32"/>
        <v>146</v>
      </c>
      <c r="B154" s="99" t="str">
        <f t="shared" si="35"/>
        <v>58E &amp; 59E</v>
      </c>
      <c r="C154" s="98" t="s">
        <v>30</v>
      </c>
      <c r="D154" s="97" t="s">
        <v>38</v>
      </c>
      <c r="E154" s="96">
        <v>5.13</v>
      </c>
      <c r="F154" s="95">
        <f t="shared" si="33"/>
        <v>0.15659373015938657</v>
      </c>
      <c r="G154" s="100">
        <v>170</v>
      </c>
      <c r="H154" s="83">
        <f t="shared" si="34"/>
        <v>26.620934127095719</v>
      </c>
      <c r="J154" s="93"/>
      <c r="K154" s="92"/>
    </row>
    <row r="155" spans="1:11" x14ac:dyDescent="0.2">
      <c r="A155" s="80">
        <f t="shared" si="32"/>
        <v>147</v>
      </c>
      <c r="B155" s="99" t="str">
        <f t="shared" si="35"/>
        <v>58E &amp; 59E</v>
      </c>
      <c r="C155" s="98" t="s">
        <v>30</v>
      </c>
      <c r="D155" s="97" t="s">
        <v>37</v>
      </c>
      <c r="E155" s="96">
        <v>5.8100000000000005</v>
      </c>
      <c r="F155" s="95">
        <f t="shared" si="33"/>
        <v>0.17735079380624486</v>
      </c>
      <c r="G155" s="100">
        <v>253</v>
      </c>
      <c r="H155" s="83">
        <f t="shared" si="34"/>
        <v>44.869750832979946</v>
      </c>
      <c r="J155" s="93"/>
      <c r="K155" s="92"/>
    </row>
    <row r="156" spans="1:11" x14ac:dyDescent="0.2">
      <c r="A156" s="80">
        <f t="shared" si="32"/>
        <v>148</v>
      </c>
      <c r="B156" s="99" t="str">
        <f t="shared" si="35"/>
        <v>58E &amp; 59E</v>
      </c>
      <c r="C156" s="98" t="s">
        <v>30</v>
      </c>
      <c r="D156" s="97" t="s">
        <v>36</v>
      </c>
      <c r="E156" s="96">
        <v>6.5</v>
      </c>
      <c r="F156" s="95">
        <f t="shared" si="33"/>
        <v>0.1984131083890863</v>
      </c>
      <c r="G156" s="94">
        <v>0</v>
      </c>
      <c r="H156" s="83">
        <f t="shared" si="34"/>
        <v>0</v>
      </c>
      <c r="J156" s="93"/>
      <c r="K156" s="92"/>
    </row>
    <row r="157" spans="1:11" x14ac:dyDescent="0.2">
      <c r="A157" s="80">
        <f t="shared" si="32"/>
        <v>149</v>
      </c>
      <c r="B157" s="99" t="str">
        <f t="shared" si="35"/>
        <v>58E &amp; 59E</v>
      </c>
      <c r="C157" s="98" t="s">
        <v>30</v>
      </c>
      <c r="D157" s="97" t="s">
        <v>35</v>
      </c>
      <c r="E157" s="96">
        <v>7.9799999999999995</v>
      </c>
      <c r="F157" s="95">
        <f t="shared" si="33"/>
        <v>0.24359024691460132</v>
      </c>
      <c r="G157" s="94">
        <v>0</v>
      </c>
      <c r="H157" s="83">
        <f t="shared" si="34"/>
        <v>0</v>
      </c>
      <c r="J157" s="93"/>
      <c r="K157" s="92"/>
    </row>
    <row r="158" spans="1:11" x14ac:dyDescent="0.2">
      <c r="A158" s="80">
        <f t="shared" si="32"/>
        <v>150</v>
      </c>
      <c r="B158" s="99" t="str">
        <f t="shared" si="35"/>
        <v>58E &amp; 59E</v>
      </c>
      <c r="C158" s="98" t="s">
        <v>30</v>
      </c>
      <c r="D158" s="97" t="s">
        <v>34</v>
      </c>
      <c r="E158" s="96">
        <v>10.26</v>
      </c>
      <c r="F158" s="95">
        <f t="shared" si="33"/>
        <v>0.31318746031877315</v>
      </c>
      <c r="G158" s="94">
        <v>0</v>
      </c>
      <c r="H158" s="83">
        <f t="shared" si="34"/>
        <v>0</v>
      </c>
      <c r="J158" s="93"/>
      <c r="K158" s="92"/>
    </row>
    <row r="159" spans="1:11" x14ac:dyDescent="0.2">
      <c r="A159" s="80">
        <f t="shared" si="32"/>
        <v>151</v>
      </c>
      <c r="B159" s="99" t="str">
        <f t="shared" si="35"/>
        <v>58E &amp; 59E</v>
      </c>
      <c r="C159" s="98" t="s">
        <v>30</v>
      </c>
      <c r="D159" s="97" t="s">
        <v>33</v>
      </c>
      <c r="E159" s="96">
        <v>12.54</v>
      </c>
      <c r="F159" s="95">
        <f t="shared" si="33"/>
        <v>0.38278467372294495</v>
      </c>
      <c r="G159" s="94">
        <v>0</v>
      </c>
      <c r="H159" s="83">
        <f t="shared" si="34"/>
        <v>0</v>
      </c>
      <c r="J159" s="93"/>
      <c r="K159" s="92"/>
    </row>
    <row r="160" spans="1:11" x14ac:dyDescent="0.2">
      <c r="A160" s="80">
        <f t="shared" si="32"/>
        <v>152</v>
      </c>
      <c r="B160" s="99" t="str">
        <f t="shared" si="35"/>
        <v>58E &amp; 59E</v>
      </c>
      <c r="C160" s="98" t="s">
        <v>30</v>
      </c>
      <c r="D160" s="97" t="s">
        <v>32</v>
      </c>
      <c r="E160" s="96">
        <v>14.82</v>
      </c>
      <c r="F160" s="95">
        <f t="shared" si="33"/>
        <v>0.45238188712711674</v>
      </c>
      <c r="G160" s="94">
        <v>0</v>
      </c>
      <c r="H160" s="83">
        <f t="shared" si="34"/>
        <v>0</v>
      </c>
      <c r="J160" s="93"/>
      <c r="K160" s="92"/>
    </row>
    <row r="161" spans="1:11" x14ac:dyDescent="0.2">
      <c r="A161" s="80">
        <f t="shared" si="32"/>
        <v>153</v>
      </c>
      <c r="B161" s="99" t="str">
        <f t="shared" si="35"/>
        <v>58E &amp; 59E</v>
      </c>
      <c r="C161" s="98" t="s">
        <v>30</v>
      </c>
      <c r="D161" s="97" t="s">
        <v>31</v>
      </c>
      <c r="E161" s="96">
        <v>17.100000000000001</v>
      </c>
      <c r="F161" s="95">
        <f t="shared" si="33"/>
        <v>0.5219791005312886</v>
      </c>
      <c r="G161" s="94">
        <v>0</v>
      </c>
      <c r="H161" s="83">
        <f t="shared" si="34"/>
        <v>0</v>
      </c>
      <c r="J161" s="93"/>
      <c r="K161" s="92"/>
    </row>
    <row r="162" spans="1:11" x14ac:dyDescent="0.2">
      <c r="A162" s="80">
        <f t="shared" si="32"/>
        <v>154</v>
      </c>
      <c r="B162" s="99" t="str">
        <f t="shared" si="35"/>
        <v>58E &amp; 59E</v>
      </c>
      <c r="C162" s="98" t="s">
        <v>30</v>
      </c>
      <c r="D162" s="97" t="s">
        <v>29</v>
      </c>
      <c r="E162" s="96">
        <v>19.38</v>
      </c>
      <c r="F162" s="95">
        <f t="shared" si="33"/>
        <v>0.5915763139354604</v>
      </c>
      <c r="G162" s="94">
        <v>0</v>
      </c>
      <c r="H162" s="83">
        <f t="shared" si="34"/>
        <v>0</v>
      </c>
      <c r="J162" s="93"/>
      <c r="K162" s="92"/>
    </row>
    <row r="163" spans="1:11" x14ac:dyDescent="0.2">
      <c r="A163" s="80">
        <f t="shared" si="32"/>
        <v>155</v>
      </c>
      <c r="F163" s="91" t="s">
        <v>75</v>
      </c>
      <c r="G163" s="90">
        <v>0</v>
      </c>
    </row>
    <row r="164" spans="1:11" x14ac:dyDescent="0.2">
      <c r="A164" s="80">
        <f t="shared" si="32"/>
        <v>156</v>
      </c>
      <c r="D164" s="88"/>
    </row>
    <row r="165" spans="1:11" x14ac:dyDescent="0.2">
      <c r="A165" s="80">
        <f t="shared" si="32"/>
        <v>157</v>
      </c>
      <c r="D165" s="88"/>
      <c r="G165" s="89" t="s">
        <v>148</v>
      </c>
      <c r="H165" s="83">
        <f>SUM(H11:H162)</f>
        <v>117678.21628784094</v>
      </c>
    </row>
    <row r="166" spans="1:11" ht="13.5" x14ac:dyDescent="0.35">
      <c r="A166" s="80">
        <f t="shared" si="32"/>
        <v>158</v>
      </c>
      <c r="D166" s="88"/>
      <c r="G166" s="87" t="s">
        <v>147</v>
      </c>
      <c r="H166" s="240">
        <f>'Rate Spread and Design'!H24</f>
        <v>117678.21628784008</v>
      </c>
    </row>
    <row r="167" spans="1:11" x14ac:dyDescent="0.2">
      <c r="A167" s="80">
        <f t="shared" si="32"/>
        <v>159</v>
      </c>
      <c r="G167" s="86" t="s">
        <v>146</v>
      </c>
      <c r="H167" s="85">
        <f>+H166-H165</f>
        <v>-8.5856299847364426E-10</v>
      </c>
    </row>
    <row r="168" spans="1:11" ht="13.5" x14ac:dyDescent="0.35">
      <c r="A168" s="80">
        <f t="shared" si="32"/>
        <v>160</v>
      </c>
      <c r="B168" s="84"/>
      <c r="F168" s="83"/>
      <c r="G168" s="82" t="s">
        <v>145</v>
      </c>
      <c r="H168" s="81">
        <v>3.0525093598320969E-2</v>
      </c>
    </row>
    <row r="169" spans="1:11" ht="13.5" x14ac:dyDescent="0.35">
      <c r="A169" s="80">
        <f t="shared" si="32"/>
        <v>161</v>
      </c>
      <c r="B169" s="84"/>
      <c r="F169" s="83"/>
      <c r="G169" s="82"/>
      <c r="H169" s="81"/>
    </row>
    <row r="170" spans="1:11" x14ac:dyDescent="0.2">
      <c r="A170" s="80">
        <f t="shared" si="32"/>
        <v>162</v>
      </c>
      <c r="B170" s="251" t="s">
        <v>144</v>
      </c>
      <c r="C170" s="251"/>
      <c r="D170" s="251"/>
      <c r="E170" s="251"/>
      <c r="F170" s="251"/>
      <c r="G170" s="251"/>
      <c r="H170" s="251"/>
    </row>
    <row r="171" spans="1:11" x14ac:dyDescent="0.2">
      <c r="A171" s="80">
        <f t="shared" si="32"/>
        <v>163</v>
      </c>
      <c r="B171" s="251" t="s">
        <v>143</v>
      </c>
      <c r="C171" s="251"/>
      <c r="D171" s="251"/>
      <c r="E171" s="251"/>
      <c r="F171" s="251"/>
      <c r="G171" s="251"/>
      <c r="H171" s="251"/>
    </row>
  </sheetData>
  <mergeCells count="2">
    <mergeCell ref="B170:H170"/>
    <mergeCell ref="B171:H171"/>
  </mergeCells>
  <printOptions horizontalCentered="1"/>
  <pageMargins left="0.7" right="0.7" top="0.75" bottom="0.75" header="0.3" footer="0.3"/>
  <pageSetup scale="55" fitToHeight="0" orientation="landscape" r:id="rId1"/>
  <headerFooter alignWithMargins="0">
    <oddHeader>&amp;RElectric Schedule 120 Rate Design Workpapers
Page &amp;P of &amp;N</oddHeader>
    <oddFooter>&amp;L&amp;F
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37" sqref="B37"/>
    </sheetView>
  </sheetViews>
  <sheetFormatPr defaultColWidth="9.140625" defaultRowHeight="11.25" x14ac:dyDescent="0.2"/>
  <cols>
    <col min="1" max="1" width="34.7109375" style="12" bestFit="1" customWidth="1"/>
    <col min="2" max="2" width="10.140625" style="148" bestFit="1" customWidth="1"/>
    <col min="3" max="16384" width="9.140625" style="12"/>
  </cols>
  <sheetData>
    <row r="1" spans="1:2" x14ac:dyDescent="0.2">
      <c r="A1" s="16" t="s">
        <v>60</v>
      </c>
      <c r="B1" s="241" t="s">
        <v>97</v>
      </c>
    </row>
    <row r="2" spans="1:2" x14ac:dyDescent="0.2">
      <c r="A2" s="16" t="s">
        <v>61</v>
      </c>
      <c r="B2" s="241">
        <v>46022</v>
      </c>
    </row>
    <row r="3" spans="1:2" x14ac:dyDescent="0.2">
      <c r="A3" s="16" t="s">
        <v>62</v>
      </c>
      <c r="B3" s="241">
        <v>45200</v>
      </c>
    </row>
    <row r="4" spans="1:2" x14ac:dyDescent="0.2">
      <c r="A4" s="12" t="s">
        <v>63</v>
      </c>
      <c r="B4" s="242" t="s">
        <v>76</v>
      </c>
    </row>
    <row r="5" spans="1:2" x14ac:dyDescent="0.2">
      <c r="B5" s="242"/>
    </row>
    <row r="6" spans="1:2" x14ac:dyDescent="0.2">
      <c r="A6" s="16"/>
      <c r="B6" s="127"/>
    </row>
    <row r="7" spans="1:2" x14ac:dyDescent="0.2">
      <c r="B7" s="127"/>
    </row>
    <row r="8" spans="1:2" x14ac:dyDescent="0.2">
      <c r="B8" s="242"/>
    </row>
    <row r="9" spans="1:2" x14ac:dyDescent="0.2">
      <c r="B9" s="242"/>
    </row>
    <row r="10" spans="1:2" x14ac:dyDescent="0.2">
      <c r="B10" s="242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699610949F09A4D90A38360F3167F04" ma:contentTypeVersion="16" ma:contentTypeDescription="" ma:contentTypeScope="" ma:versionID="60fd7c6721a8b5437f38cd20f97de94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2024-11-15T08:00:00+00:00</OpenedDate>
    <SignificantOrder xmlns="dc463f71-b30c-4ab2-9473-d307f9d35888">false</SignificantOrder>
    <Date1 xmlns="dc463f71-b30c-4ab2-9473-d307f9d35888">2024-11-15T08:00:00+00:00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240874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76BD0C-B889-4027-9097-4534DF4BE7B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B73F81E-B695-4A1A-A170-037B8FC71FB6}"/>
</file>

<file path=customXml/itemProps3.xml><?xml version="1.0" encoding="utf-8"?>
<ds:datastoreItem xmlns:ds="http://schemas.openxmlformats.org/officeDocument/2006/customXml" ds:itemID="{F166C86F-C49C-407C-9D09-059027C8A052}"/>
</file>

<file path=customXml/itemProps4.xml><?xml version="1.0" encoding="utf-8"?>
<ds:datastoreItem xmlns:ds="http://schemas.openxmlformats.org/officeDocument/2006/customXml" ds:itemID="{2328ED8D-2F40-4FCA-BC65-890BBB3407FD}"/>
</file>

<file path=customXml/itemProps5.xml><?xml version="1.0" encoding="utf-8"?>
<ds:datastoreItem xmlns:ds="http://schemas.openxmlformats.org/officeDocument/2006/customXml" ds:itemID="{AC7FAA3E-CB3E-47D9-A965-0A58D931D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 129D Rates</vt:lpstr>
      <vt:lpstr>Lighting Rates</vt:lpstr>
      <vt:lpstr>Rate Impacts</vt:lpstr>
      <vt:lpstr>Workpapers -&gt;</vt:lpstr>
      <vt:lpstr>Rate Spread and Design</vt:lpstr>
      <vt:lpstr>Lighting RD</vt:lpstr>
      <vt:lpstr>Inputs</vt:lpstr>
    </vt:vector>
  </TitlesOfParts>
  <Company>Regulatory Assistance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Lazar</dc:creator>
  <cp:lastModifiedBy>Myhrum, Isaac</cp:lastModifiedBy>
  <cp:lastPrinted>2019-09-03T21:49:43Z</cp:lastPrinted>
  <dcterms:created xsi:type="dcterms:W3CDTF">2006-08-15T18:29:06Z</dcterms:created>
  <dcterms:modified xsi:type="dcterms:W3CDTF">2024-10-24T22:53:17Z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0x0101006E56B4D1795A2E4DB2F0B01679ED314A005699610949F09A4D90A38360F3167F04</vt:lpwstr>
  </property>
</Properties>
</file>