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GrpRates\Public\Schedule 91\For 2024\"/>
    </mc:Choice>
  </mc:AlternateContent>
  <bookViews>
    <workbookView xWindow="0" yWindow="0" windowWidth="28800" windowHeight="11400" tabRatio="940"/>
  </bookViews>
  <sheets>
    <sheet name="READ ME" sheetId="48" r:id="rId1"/>
    <sheet name="Comparison" sheetId="47" r:id="rId2"/>
    <sheet name="Output - Summary" sheetId="45" r:id="rId3"/>
    <sheet name="Output - 5yr Baseload" sheetId="42" r:id="rId4"/>
    <sheet name="Output - 10yr Baseload" sheetId="39" r:id="rId5"/>
    <sheet name="Output - 15yr Baseload" sheetId="13" r:id="rId6"/>
    <sheet name="Output - 10yr Wind" sheetId="40" r:id="rId7"/>
    <sheet name="Output - 15yr Wind" sheetId="26" r:id="rId8"/>
    <sheet name="Output - 10yr Solar" sheetId="41" r:id="rId9"/>
    <sheet name="Output - 15yr Solar" sheetId="27" r:id="rId10"/>
    <sheet name="Electric EES CE Std Energy" sheetId="5" r:id="rId11"/>
    <sheet name="FlatLoadShapeEnergy_perMWh" sheetId="9" r:id="rId12"/>
    <sheet name="Baseload Avoided Capacity Calcs" sheetId="7" r:id="rId13"/>
    <sheet name="Wind Avoided Capacity Calcs" sheetId="43" r:id="rId14"/>
    <sheet name="Solar Avoided Capacity Calcs" sheetId="44" r:id="rId15"/>
    <sheet name="Inputs-----&gt;" sheetId="38" r:id="rId16"/>
    <sheet name="Energy Prices" sheetId="22" r:id="rId17"/>
    <sheet name="Capacity Delivered" sheetId="23" r:id="rId18"/>
    <sheet name="Cost of Capital" sheetId="37" r:id="rId19"/>
  </sheets>
  <externalReferences>
    <externalReference r:id="rId20"/>
    <externalReference r:id="rId21"/>
  </externalReferences>
  <definedNames>
    <definedName name="CaseDescription">[1]Assumptions!$A$2</definedName>
    <definedName name="PreTaxWACC">[2]Assumptions!$O$24</definedName>
    <definedName name="_xlnm.Print_Area" localSheetId="12">'Baseload Avoided Capacity Calcs'!$B$4:$K$29</definedName>
    <definedName name="_xlnm.Print_Area" localSheetId="17">'Capacity Delivered'!$B$3:$S$28</definedName>
    <definedName name="_xlnm.Print_Area" localSheetId="10">'Electric EES CE Std Energy'!$B$2:$F$29</definedName>
    <definedName name="_xlnm.Print_Area" localSheetId="11">FlatLoadShapeEnergy_perMWh!$B$4:$P$33</definedName>
    <definedName name="_xlnm.Print_Area" localSheetId="4">'Output - 10yr Baseload'!$B$2:$AC$35</definedName>
    <definedName name="_xlnm.Print_Area" localSheetId="8">'Output - 10yr Solar'!$B$2:$AC$35</definedName>
    <definedName name="_xlnm.Print_Area" localSheetId="6">'Output - 10yr Wind'!$B$2:$AC$35</definedName>
    <definedName name="_xlnm.Print_Area" localSheetId="5">'Output - 15yr Baseload'!$B$2:$AD$35</definedName>
    <definedName name="_xlnm.Print_Area" localSheetId="9">'Output - 15yr Solar'!$B$2:$AD$35</definedName>
    <definedName name="_xlnm.Print_Area" localSheetId="7">'Output - 15yr Wind'!$B$2:$AD$35</definedName>
    <definedName name="_xlnm.Print_Area" localSheetId="3">'Output - 5yr Baseload'!$B$2:$AC$35</definedName>
    <definedName name="_xlnm.Print_Area" localSheetId="2">'Output - Summary'!$B$2:$AB$9</definedName>
    <definedName name="_xlnm.Print_Area" localSheetId="14">'Solar Avoided Capacity Calcs'!$B$4:$K$29</definedName>
    <definedName name="_xlnm.Print_Area" localSheetId="13">'Wind Avoided Capacity Calcs'!$B$4:$K$29</definedName>
    <definedName name="Rate_of_Return">'Cost of Capital'!$F$16</definedName>
    <definedName name="solver_typ" localSheetId="10" hidden="1">2</definedName>
    <definedName name="solver_typ" localSheetId="6" hidden="1">2</definedName>
    <definedName name="solver_typ" localSheetId="7" hidden="1">2</definedName>
    <definedName name="solver_ver" localSheetId="10" hidden="1">10</definedName>
    <definedName name="solver_ver" localSheetId="6" hidden="1">17</definedName>
    <definedName name="solver_ver" localSheetId="7" hidden="1">17</definedName>
    <definedName name="Title">[1]Assumptions!$A$1</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5" hidden="1">{#N/A,#N/A,FALSE,"Pg 6b CustCount_Gas";#N/A,#N/A,FALSE,"QA";#N/A,#N/A,FALSE,"Report";#N/A,#N/A,FALSE,"forecast"}</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Incentive._.Overhead." localSheetId="15" hidden="1">{#N/A,#N/A,FALSE,"Coversheet";#N/A,#N/A,FALSE,"QA"}</definedName>
    <definedName name="wrn.Incentive._.Overhead." localSheetId="0" hidden="1">{#N/A,#N/A,FALSE,"Coversheet";#N/A,#N/A,FALSE,"QA"}</definedName>
    <definedName name="wrn.Incentive._.Overhead." hidden="1">{#N/A,#N/A,FALSE,"Coversheet";#N/A,#N/A,FALSE,"QA"}</definedName>
    <definedName name="wrn.MARGIN_WO_QTR." localSheetId="15" hidden="1">{#N/A,#N/A,FALSE,"Month ";#N/A,#N/A,FALSE,"YTD";#N/A,#N/A,FALSE,"12 mo ended"}</definedName>
    <definedName name="wrn.MARGIN_WO_QTR." localSheetId="0" hidden="1">{#N/A,#N/A,FALSE,"Month ";#N/A,#N/A,FALSE,"YTD";#N/A,#N/A,FALSE,"12 mo ended"}</definedName>
    <definedName name="wrn.MARGIN_WO_QTR." hidden="1">{#N/A,#N/A,FALSE,"Month ";#N/A,#N/A,FALSE,"YTD";#N/A,#N/A,FALSE,"12 mo ended"}</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5" hidden="1">{#N/A,#N/A,FALSE,"2002 Small Tool OH";#N/A,#N/A,FALSE,"QA"}</definedName>
    <definedName name="wrn.Small._.Tools._.Overhead." localSheetId="0"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A41" i="47" l="1"/>
  <c r="B8" i="47"/>
  <c r="B9" i="47"/>
  <c r="B10" i="47"/>
  <c r="B11" i="47"/>
  <c r="B12" i="47"/>
  <c r="B13" i="47"/>
  <c r="B14" i="47"/>
  <c r="B15" i="47"/>
  <c r="B16" i="47"/>
  <c r="B17" i="47"/>
  <c r="B18" i="47"/>
  <c r="B19" i="47"/>
  <c r="B20" i="47"/>
  <c r="B21" i="47"/>
  <c r="B22" i="47"/>
  <c r="B23" i="47"/>
  <c r="B24" i="47"/>
  <c r="B25" i="47"/>
  <c r="B26" i="47"/>
  <c r="B27" i="47"/>
  <c r="B7" i="47"/>
  <c r="E28" i="47"/>
  <c r="A9" i="47" l="1"/>
  <c r="A10" i="47" s="1"/>
  <c r="A11" i="47" s="1"/>
  <c r="A12" i="47" s="1"/>
  <c r="A13" i="47" s="1"/>
  <c r="A14" i="47" s="1"/>
  <c r="A15" i="47" s="1"/>
  <c r="A16" i="47" s="1"/>
  <c r="A17" i="47" s="1"/>
  <c r="A18" i="47" s="1"/>
  <c r="A19" i="47" s="1"/>
  <c r="A20" i="47" s="1"/>
  <c r="A21" i="47" s="1"/>
  <c r="A22" i="47" s="1"/>
  <c r="A23" i="47" s="1"/>
  <c r="A24" i="47" s="1"/>
  <c r="A25" i="47" s="1"/>
  <c r="A26" i="47" s="1"/>
  <c r="A27" i="47" s="1"/>
  <c r="A8" i="47"/>
  <c r="B63" i="47" l="1"/>
  <c r="B61" i="47" l="1"/>
  <c r="B60" i="47"/>
  <c r="B59" i="47"/>
  <c r="B58" i="47"/>
  <c r="B57" i="47"/>
  <c r="B56" i="47"/>
  <c r="B55" i="47"/>
  <c r="B54" i="47"/>
  <c r="B53" i="47"/>
  <c r="B52" i="47"/>
  <c r="B51" i="47"/>
  <c r="B50" i="47"/>
  <c r="B49" i="47"/>
  <c r="B48" i="47"/>
  <c r="B47" i="47"/>
  <c r="B46" i="47"/>
  <c r="B45" i="47"/>
  <c r="B44" i="47"/>
  <c r="B43" i="47"/>
  <c r="B42" i="47"/>
  <c r="B41" i="47"/>
  <c r="B38" i="47"/>
  <c r="B37" i="47"/>
  <c r="B34" i="47"/>
  <c r="B33" i="47"/>
  <c r="B32" i="47"/>
  <c r="F5" i="27" l="1"/>
  <c r="F5" i="41"/>
  <c r="F5" i="26"/>
  <c r="F5" i="40"/>
  <c r="F5" i="13"/>
  <c r="F5" i="39"/>
  <c r="F5" i="42"/>
  <c r="B8" i="23"/>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R8" i="23"/>
  <c r="P7" i="23"/>
  <c r="I7" i="23"/>
  <c r="H7" i="44" s="1"/>
  <c r="H7" i="23"/>
  <c r="Q7" i="23" l="1"/>
  <c r="H7" i="43"/>
  <c r="K7" i="23"/>
  <c r="F7" i="7" l="1"/>
  <c r="F7" i="44" l="1"/>
  <c r="F7" i="43"/>
  <c r="G7" i="9"/>
  <c r="C8" i="23" l="1"/>
  <c r="A42" i="47" s="1"/>
  <c r="A43" i="47" s="1"/>
  <c r="A44" i="47" s="1"/>
  <c r="A45" i="47" s="1"/>
  <c r="A46" i="47" s="1"/>
  <c r="A47" i="47" s="1"/>
  <c r="A48" i="47" s="1"/>
  <c r="A49" i="47" s="1"/>
  <c r="A50" i="47" s="1"/>
  <c r="A51" i="47" s="1"/>
  <c r="A52" i="47" s="1"/>
  <c r="A53" i="47" s="1"/>
  <c r="A54" i="47" s="1"/>
  <c r="A55" i="47" s="1"/>
  <c r="A56" i="47" s="1"/>
  <c r="A57" i="47" s="1"/>
  <c r="A58" i="47" s="1"/>
  <c r="A59" i="47" s="1"/>
  <c r="A60" i="47" s="1"/>
  <c r="A61" i="47" s="1"/>
  <c r="C7" i="22"/>
  <c r="C8" i="22" s="1"/>
  <c r="C9" i="22" s="1"/>
  <c r="C10" i="22" s="1"/>
  <c r="C11" i="22" s="1"/>
  <c r="C12" i="22" s="1"/>
  <c r="C13" i="22" s="1"/>
  <c r="C14" i="22" s="1"/>
  <c r="C15" i="22" s="1"/>
  <c r="C16" i="22" s="1"/>
  <c r="C17" i="22" s="1"/>
  <c r="C18" i="22" s="1"/>
  <c r="C19" i="22" s="1"/>
  <c r="C20" i="22" s="1"/>
  <c r="C21" i="22" s="1"/>
  <c r="C22" i="22" s="1"/>
  <c r="C23" i="22" s="1"/>
  <c r="C24" i="22" s="1"/>
  <c r="C25" i="22" s="1"/>
  <c r="C26" i="22" s="1"/>
  <c r="C9" i="23" l="1"/>
  <c r="K8" i="23"/>
  <c r="F39" i="45"/>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F8" i="44"/>
  <c r="F9" i="44" s="1"/>
  <c r="F10" i="44" s="1"/>
  <c r="F11" i="44" s="1"/>
  <c r="F12" i="44" s="1"/>
  <c r="F13" i="44" s="1"/>
  <c r="F14" i="44" s="1"/>
  <c r="F15" i="44" s="1"/>
  <c r="F16" i="44" s="1"/>
  <c r="F17" i="44" s="1"/>
  <c r="F18" i="44" s="1"/>
  <c r="F19" i="44" s="1"/>
  <c r="F20" i="44" s="1"/>
  <c r="F21" i="44" s="1"/>
  <c r="F22" i="44" s="1"/>
  <c r="F23" i="44" s="1"/>
  <c r="F24" i="44" s="1"/>
  <c r="F25" i="44" s="1"/>
  <c r="F26" i="44" s="1"/>
  <c r="F27" i="44" s="1"/>
  <c r="C10" i="23" l="1"/>
  <c r="K9" i="23"/>
  <c r="N8" i="23"/>
  <c r="N9" i="23"/>
  <c r="N10" i="23"/>
  <c r="N11" i="23"/>
  <c r="N12" i="23"/>
  <c r="N13" i="23"/>
  <c r="N14" i="23"/>
  <c r="N15" i="23"/>
  <c r="N16" i="23"/>
  <c r="N17" i="23"/>
  <c r="N18" i="23"/>
  <c r="N19" i="23"/>
  <c r="N20" i="23"/>
  <c r="N21" i="23"/>
  <c r="N22" i="23"/>
  <c r="N23" i="23"/>
  <c r="N24" i="23"/>
  <c r="N25" i="23"/>
  <c r="N26" i="23"/>
  <c r="N27" i="23"/>
  <c r="N28" i="23"/>
  <c r="N7" i="23"/>
  <c r="R9" i="23"/>
  <c r="R10" i="23"/>
  <c r="R11" i="23"/>
  <c r="R12" i="23"/>
  <c r="R13" i="23"/>
  <c r="R14" i="23"/>
  <c r="R15" i="23"/>
  <c r="R16" i="23"/>
  <c r="R17" i="23"/>
  <c r="R18" i="23"/>
  <c r="R19" i="23"/>
  <c r="R20" i="23"/>
  <c r="R21" i="23"/>
  <c r="R22" i="23"/>
  <c r="R23" i="23"/>
  <c r="R24" i="23"/>
  <c r="R25" i="23"/>
  <c r="R26" i="23"/>
  <c r="R27" i="23"/>
  <c r="R28" i="23"/>
  <c r="R7" i="23"/>
  <c r="P8" i="23"/>
  <c r="P9" i="23"/>
  <c r="P10" i="23"/>
  <c r="P11" i="23"/>
  <c r="P12" i="23"/>
  <c r="P13" i="23"/>
  <c r="P14" i="23"/>
  <c r="P15" i="23"/>
  <c r="P16" i="23"/>
  <c r="P17" i="23"/>
  <c r="P18" i="23"/>
  <c r="P19" i="23"/>
  <c r="P20" i="23"/>
  <c r="P21" i="23"/>
  <c r="P22" i="23"/>
  <c r="P23" i="23"/>
  <c r="P24" i="23"/>
  <c r="P25" i="23"/>
  <c r="P26" i="23"/>
  <c r="P27" i="23"/>
  <c r="P28" i="23"/>
  <c r="C11" i="23" l="1"/>
  <c r="K10" i="23"/>
  <c r="G7" i="23"/>
  <c r="O7" i="23" s="1"/>
  <c r="H7" i="7" l="1"/>
  <c r="C12" i="23"/>
  <c r="K11" i="23"/>
  <c r="S7" i="23"/>
  <c r="C13" i="23" l="1"/>
  <c r="K12" i="23"/>
  <c r="G19" i="42"/>
  <c r="F12" i="42"/>
  <c r="G12" i="42" s="1"/>
  <c r="H12" i="42" s="1"/>
  <c r="I12" i="42" s="1"/>
  <c r="J12" i="42" s="1"/>
  <c r="K12" i="42" s="1"/>
  <c r="L12" i="42" s="1"/>
  <c r="F12" i="27"/>
  <c r="F12" i="41"/>
  <c r="F12" i="26"/>
  <c r="F12" i="40"/>
  <c r="F12" i="13"/>
  <c r="F12" i="39"/>
  <c r="I27" i="9"/>
  <c r="J27" i="9" s="1"/>
  <c r="K27" i="9"/>
  <c r="I8" i="9"/>
  <c r="J8" i="9" s="1"/>
  <c r="I7" i="9"/>
  <c r="J7" i="9" s="1"/>
  <c r="G8" i="9"/>
  <c r="G9" i="9" s="1"/>
  <c r="G10" i="9" s="1"/>
  <c r="G11" i="9" s="1"/>
  <c r="G12" i="9" s="1"/>
  <c r="G13" i="9" s="1"/>
  <c r="G14" i="9" s="1"/>
  <c r="G15" i="9" s="1"/>
  <c r="G16" i="9" s="1"/>
  <c r="G17" i="9" s="1"/>
  <c r="G18" i="9" s="1"/>
  <c r="G19" i="9" s="1"/>
  <c r="G20" i="9" s="1"/>
  <c r="G21" i="9" s="1"/>
  <c r="G22" i="9" s="1"/>
  <c r="G23" i="9" s="1"/>
  <c r="G24" i="9" s="1"/>
  <c r="G25" i="9" s="1"/>
  <c r="G26" i="9" s="1"/>
  <c r="G27" i="9" s="1"/>
  <c r="F8" i="7"/>
  <c r="F9" i="7" l="1"/>
  <c r="F8" i="43"/>
  <c r="C14" i="23"/>
  <c r="K13" i="23"/>
  <c r="H19" i="42"/>
  <c r="I19" i="9"/>
  <c r="J19" i="9" s="1"/>
  <c r="I13" i="23"/>
  <c r="H13" i="44" s="1"/>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F10" i="7" l="1"/>
  <c r="F9" i="43"/>
  <c r="C15" i="23"/>
  <c r="K14" i="23"/>
  <c r="S13" i="23"/>
  <c r="I19" i="42"/>
  <c r="J19" i="41"/>
  <c r="I19" i="40"/>
  <c r="H19" i="39"/>
  <c r="C16" i="23" l="1"/>
  <c r="K15" i="23"/>
  <c r="F11" i="7"/>
  <c r="F10" i="43"/>
  <c r="J19" i="42"/>
  <c r="K19" i="41"/>
  <c r="J19" i="40"/>
  <c r="I19" i="39"/>
  <c r="F12" i="7" l="1"/>
  <c r="F11" i="43"/>
  <c r="C17" i="23"/>
  <c r="K16" i="23"/>
  <c r="L19" i="41"/>
  <c r="K19" i="40"/>
  <c r="J19" i="39"/>
  <c r="F13" i="7" l="1"/>
  <c r="F12" i="43"/>
  <c r="C18" i="23"/>
  <c r="K17" i="23"/>
  <c r="M19" i="41"/>
  <c r="L19" i="40"/>
  <c r="K19" i="39"/>
  <c r="C19" i="23" l="1"/>
  <c r="K18" i="23"/>
  <c r="F14" i="7"/>
  <c r="F13" i="43"/>
  <c r="N19" i="41"/>
  <c r="M19" i="40"/>
  <c r="L19" i="39"/>
  <c r="F15" i="7" l="1"/>
  <c r="F14" i="43"/>
  <c r="C20" i="23"/>
  <c r="K19" i="23"/>
  <c r="O19" i="41"/>
  <c r="N19" i="40"/>
  <c r="M19" i="39"/>
  <c r="F16" i="7" l="1"/>
  <c r="F15" i="43"/>
  <c r="C21" i="23"/>
  <c r="K20" i="23"/>
  <c r="O19" i="40"/>
  <c r="N19" i="39"/>
  <c r="C22" i="23" l="1"/>
  <c r="K21" i="23"/>
  <c r="F17" i="7"/>
  <c r="F16" i="43"/>
  <c r="O19" i="39"/>
  <c r="C23" i="23" l="1"/>
  <c r="K22" i="23"/>
  <c r="F18" i="7"/>
  <c r="F17" i="43"/>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J9" i="9" s="1"/>
  <c r="I10" i="9"/>
  <c r="I11" i="9"/>
  <c r="I12" i="9"/>
  <c r="I13" i="9"/>
  <c r="I14" i="9"/>
  <c r="I15" i="9"/>
  <c r="I16" i="9"/>
  <c r="I17" i="9"/>
  <c r="I18" i="9"/>
  <c r="I20" i="9"/>
  <c r="I21" i="9"/>
  <c r="I22" i="9"/>
  <c r="I23" i="9"/>
  <c r="I24" i="9"/>
  <c r="I25" i="9"/>
  <c r="I26" i="9"/>
  <c r="J26" i="9" s="1"/>
  <c r="F19" i="7" l="1"/>
  <c r="F18" i="43"/>
  <c r="C24" i="23"/>
  <c r="K23" i="23"/>
  <c r="F20" i="7" l="1"/>
  <c r="F19" i="43"/>
  <c r="C25" i="23"/>
  <c r="K24" i="23"/>
  <c r="C26" i="23" l="1"/>
  <c r="K25" i="23"/>
  <c r="F21" i="7"/>
  <c r="F20" i="43"/>
  <c r="F20" i="37"/>
  <c r="F22" i="7" l="1"/>
  <c r="F21" i="43"/>
  <c r="C27" i="23"/>
  <c r="K26" i="23"/>
  <c r="O7" i="7"/>
  <c r="O8" i="7" s="1"/>
  <c r="O9" i="7" s="1"/>
  <c r="O10" i="7" s="1"/>
  <c r="O11" i="7" s="1"/>
  <c r="O12" i="7" s="1"/>
  <c r="O13" i="7" s="1"/>
  <c r="O14" i="7" s="1"/>
  <c r="O15" i="7" s="1"/>
  <c r="O16" i="7" s="1"/>
  <c r="O17" i="7" s="1"/>
  <c r="O18" i="7" s="1"/>
  <c r="O19" i="7" s="1"/>
  <c r="O20" i="7" s="1"/>
  <c r="O21" i="7" s="1"/>
  <c r="O22" i="7" s="1"/>
  <c r="O23" i="7" s="1"/>
  <c r="O24" i="7" s="1"/>
  <c r="O25" i="7" s="1"/>
  <c r="O26" i="7" s="1"/>
  <c r="O27" i="7" s="1"/>
  <c r="O7" i="43"/>
  <c r="O8" i="43" s="1"/>
  <c r="O9" i="43" s="1"/>
  <c r="O10" i="43" s="1"/>
  <c r="O11" i="43" s="1"/>
  <c r="O12" i="43" s="1"/>
  <c r="O13" i="43" s="1"/>
  <c r="O14" i="43" s="1"/>
  <c r="O15" i="43" s="1"/>
  <c r="O16" i="43" s="1"/>
  <c r="O17" i="43" s="1"/>
  <c r="O18" i="43" s="1"/>
  <c r="O19" i="43" s="1"/>
  <c r="O20" i="43" s="1"/>
  <c r="O21" i="43" s="1"/>
  <c r="O22" i="43" s="1"/>
  <c r="O23" i="43" s="1"/>
  <c r="O24" i="43" s="1"/>
  <c r="O25" i="43" s="1"/>
  <c r="O26" i="43" s="1"/>
  <c r="O7" i="44"/>
  <c r="O8" i="44" s="1"/>
  <c r="O9" i="44" s="1"/>
  <c r="O10" i="44" s="1"/>
  <c r="O11" i="44" s="1"/>
  <c r="O12" i="44" s="1"/>
  <c r="F16" i="37"/>
  <c r="C19" i="48" l="1"/>
  <c r="D8" i="7"/>
  <c r="I7" i="7" s="1"/>
  <c r="D8" i="43"/>
  <c r="D8" i="44"/>
  <c r="B28" i="47"/>
  <c r="P28" i="22"/>
  <c r="P29" i="22"/>
  <c r="X19" i="42"/>
  <c r="Y19" i="42" s="1"/>
  <c r="F20" i="42" s="1"/>
  <c r="X19" i="41"/>
  <c r="Y19" i="41" s="1"/>
  <c r="X19" i="39"/>
  <c r="Y19" i="39" s="1"/>
  <c r="I20" i="39" s="1"/>
  <c r="X19" i="40"/>
  <c r="Y19" i="40" s="1"/>
  <c r="N20" i="40" s="1"/>
  <c r="C28" i="23"/>
  <c r="K28" i="23" s="1"/>
  <c r="K27" i="23"/>
  <c r="F23" i="7"/>
  <c r="F22" i="43"/>
  <c r="O13" i="44"/>
  <c r="O14" i="44" s="1"/>
  <c r="O15" i="44" s="1"/>
  <c r="O16" i="44" s="1"/>
  <c r="O17" i="44" s="1"/>
  <c r="O18" i="44" s="1"/>
  <c r="O19" i="44" s="1"/>
  <c r="O20" i="44" s="1"/>
  <c r="O21" i="44" s="1"/>
  <c r="O22" i="44" s="1"/>
  <c r="O23" i="44" s="1"/>
  <c r="O24" i="44" s="1"/>
  <c r="O25" i="44" s="1"/>
  <c r="O26" i="44" s="1"/>
  <c r="O27" i="44" s="1"/>
  <c r="O27" i="43"/>
  <c r="I20" i="41"/>
  <c r="M20" i="41"/>
  <c r="F20" i="41"/>
  <c r="J20" i="41"/>
  <c r="N20" i="41"/>
  <c r="G20" i="41"/>
  <c r="K20" i="41"/>
  <c r="O20" i="41"/>
  <c r="L20" i="41"/>
  <c r="H20" i="41"/>
  <c r="M20" i="39"/>
  <c r="F20" i="39"/>
  <c r="G20" i="39"/>
  <c r="K20" i="39"/>
  <c r="O20" i="39"/>
  <c r="L20" i="39"/>
  <c r="H20" i="40"/>
  <c r="I20" i="40"/>
  <c r="M20" i="40"/>
  <c r="F20" i="40"/>
  <c r="J20" i="40"/>
  <c r="G20" i="40"/>
  <c r="K20" i="40"/>
  <c r="O20" i="40"/>
  <c r="G12" i="23"/>
  <c r="H12" i="7" s="1"/>
  <c r="I20" i="42" l="1"/>
  <c r="N20" i="39"/>
  <c r="H20" i="42"/>
  <c r="L20" i="40"/>
  <c r="J20" i="39"/>
  <c r="G20" i="42"/>
  <c r="J20" i="42"/>
  <c r="H20" i="39"/>
  <c r="X20" i="39" s="1"/>
  <c r="Y20" i="39" s="1"/>
  <c r="F24" i="7"/>
  <c r="F23" i="43"/>
  <c r="X20" i="41"/>
  <c r="Y20" i="41" s="1"/>
  <c r="O12" i="23"/>
  <c r="X20" i="40"/>
  <c r="Y20" i="40" s="1"/>
  <c r="X20" i="42"/>
  <c r="Y20" i="42" s="1"/>
  <c r="G8" i="23"/>
  <c r="O8" i="23" s="1"/>
  <c r="G9" i="23"/>
  <c r="H9" i="7" s="1"/>
  <c r="G10" i="23"/>
  <c r="G11" i="23"/>
  <c r="H11" i="7" s="1"/>
  <c r="P11" i="7" s="1"/>
  <c r="G13" i="23"/>
  <c r="H13" i="7" s="1"/>
  <c r="G14" i="23"/>
  <c r="H14" i="7" s="1"/>
  <c r="G15" i="23"/>
  <c r="H15" i="7" s="1"/>
  <c r="G16" i="23"/>
  <c r="H16" i="7" s="1"/>
  <c r="G17" i="23"/>
  <c r="H17" i="7" s="1"/>
  <c r="G18" i="23"/>
  <c r="G19" i="23"/>
  <c r="H19" i="7" s="1"/>
  <c r="G20" i="23"/>
  <c r="H20" i="7" s="1"/>
  <c r="G21" i="23"/>
  <c r="H21" i="7" s="1"/>
  <c r="G22" i="23"/>
  <c r="G23" i="23"/>
  <c r="H23" i="7" s="1"/>
  <c r="G24" i="23"/>
  <c r="H24" i="7" s="1"/>
  <c r="G25" i="23"/>
  <c r="H25" i="7" s="1"/>
  <c r="G26" i="23"/>
  <c r="G27" i="23"/>
  <c r="H27" i="7" s="1"/>
  <c r="I8" i="23"/>
  <c r="I9" i="23"/>
  <c r="H9" i="44" s="1"/>
  <c r="I10" i="23"/>
  <c r="H10" i="44" s="1"/>
  <c r="I11" i="23"/>
  <c r="H11" i="44" s="1"/>
  <c r="I12" i="23"/>
  <c r="H12" i="44" s="1"/>
  <c r="I14" i="23"/>
  <c r="H14" i="44" s="1"/>
  <c r="I15" i="23"/>
  <c r="H15" i="44" s="1"/>
  <c r="I16" i="23"/>
  <c r="H16" i="44" s="1"/>
  <c r="I17" i="23"/>
  <c r="H17" i="44" s="1"/>
  <c r="I18" i="23"/>
  <c r="H18" i="44" s="1"/>
  <c r="I19" i="23"/>
  <c r="H19" i="44" s="1"/>
  <c r="I20" i="23"/>
  <c r="H20" i="44" s="1"/>
  <c r="I21" i="23"/>
  <c r="H21" i="44" s="1"/>
  <c r="I22" i="23"/>
  <c r="H22" i="44" s="1"/>
  <c r="I23" i="23"/>
  <c r="H23" i="44" s="1"/>
  <c r="I24" i="23"/>
  <c r="H24" i="44" s="1"/>
  <c r="I25" i="23"/>
  <c r="H25" i="44" s="1"/>
  <c r="I26" i="23"/>
  <c r="H26" i="44" s="1"/>
  <c r="I27" i="23"/>
  <c r="H27" i="44" s="1"/>
  <c r="H9" i="23"/>
  <c r="H9" i="43" s="1"/>
  <c r="H10" i="23"/>
  <c r="H10" i="43" s="1"/>
  <c r="H11" i="23"/>
  <c r="H11" i="43" s="1"/>
  <c r="H12" i="23"/>
  <c r="H12" i="43" s="1"/>
  <c r="H13" i="23"/>
  <c r="H13" i="43" s="1"/>
  <c r="H14" i="23"/>
  <c r="H14" i="43" s="1"/>
  <c r="H15" i="23"/>
  <c r="H15" i="43" s="1"/>
  <c r="H16" i="23"/>
  <c r="H16" i="43" s="1"/>
  <c r="H17" i="23"/>
  <c r="H17" i="43" s="1"/>
  <c r="H18" i="23"/>
  <c r="H18" i="43" s="1"/>
  <c r="H19" i="23"/>
  <c r="H19" i="43" s="1"/>
  <c r="H20" i="23"/>
  <c r="H20" i="43" s="1"/>
  <c r="H21" i="23"/>
  <c r="H21" i="43" s="1"/>
  <c r="H22" i="23"/>
  <c r="H22" i="43" s="1"/>
  <c r="H23" i="23"/>
  <c r="H23" i="43" s="1"/>
  <c r="H24" i="23"/>
  <c r="H24" i="43" s="1"/>
  <c r="H25" i="23"/>
  <c r="H25" i="43" s="1"/>
  <c r="H26" i="23"/>
  <c r="H26" i="43" s="1"/>
  <c r="H27" i="23"/>
  <c r="H27" i="43" s="1"/>
  <c r="H8" i="23"/>
  <c r="H8" i="43" s="1"/>
  <c r="I12" i="44" l="1"/>
  <c r="P12" i="44"/>
  <c r="Q12" i="44" s="1"/>
  <c r="H8" i="44"/>
  <c r="P8" i="44" s="1"/>
  <c r="Q8" i="44" s="1"/>
  <c r="S8" i="23"/>
  <c r="P7" i="7"/>
  <c r="H8" i="7"/>
  <c r="F25" i="7"/>
  <c r="F24" i="43"/>
  <c r="O18" i="23"/>
  <c r="H18" i="7"/>
  <c r="O10" i="23"/>
  <c r="H10" i="7"/>
  <c r="O22" i="23"/>
  <c r="H22" i="7"/>
  <c r="P22" i="7" s="1"/>
  <c r="O26" i="23"/>
  <c r="H26" i="7"/>
  <c r="P26" i="7" s="1"/>
  <c r="P25" i="44"/>
  <c r="Q25" i="44" s="1"/>
  <c r="I25" i="44"/>
  <c r="P21" i="44"/>
  <c r="Q21" i="44" s="1"/>
  <c r="I21" i="44"/>
  <c r="P17" i="44"/>
  <c r="Q17" i="44" s="1"/>
  <c r="I17" i="44"/>
  <c r="P13" i="44"/>
  <c r="Q13" i="44" s="1"/>
  <c r="I13" i="44"/>
  <c r="P24" i="44"/>
  <c r="Q24" i="44" s="1"/>
  <c r="I24" i="44"/>
  <c r="P20" i="44"/>
  <c r="Q20" i="44" s="1"/>
  <c r="I20" i="44"/>
  <c r="P16" i="44"/>
  <c r="Q16" i="44" s="1"/>
  <c r="I16" i="44"/>
  <c r="P23" i="44"/>
  <c r="Q23" i="44" s="1"/>
  <c r="I23" i="44"/>
  <c r="P19" i="44"/>
  <c r="Q19" i="44" s="1"/>
  <c r="I19" i="44"/>
  <c r="P15" i="44"/>
  <c r="Q15" i="44" s="1"/>
  <c r="I15" i="44"/>
  <c r="P26" i="44"/>
  <c r="Q26" i="44" s="1"/>
  <c r="I26" i="44"/>
  <c r="P22" i="44"/>
  <c r="Q22" i="44" s="1"/>
  <c r="I22" i="44"/>
  <c r="P18" i="44"/>
  <c r="Q18" i="44" s="1"/>
  <c r="I18" i="44"/>
  <c r="P14" i="44"/>
  <c r="Q14" i="44" s="1"/>
  <c r="I14" i="44"/>
  <c r="I24" i="43"/>
  <c r="P24" i="43"/>
  <c r="Q24" i="43" s="1"/>
  <c r="I23" i="43"/>
  <c r="P23" i="43"/>
  <c r="Q23" i="43" s="1"/>
  <c r="I19" i="43"/>
  <c r="P19" i="43"/>
  <c r="Q19" i="43" s="1"/>
  <c r="I15" i="43"/>
  <c r="P15" i="43"/>
  <c r="Q15" i="43" s="1"/>
  <c r="I16" i="43"/>
  <c r="P16" i="43"/>
  <c r="Q16" i="43" s="1"/>
  <c r="I22" i="43"/>
  <c r="P22" i="43"/>
  <c r="Q22" i="43" s="1"/>
  <c r="I14" i="43"/>
  <c r="P14" i="43"/>
  <c r="Q14" i="43" s="1"/>
  <c r="I20" i="43"/>
  <c r="P20" i="43"/>
  <c r="Q20" i="43" s="1"/>
  <c r="I26" i="43"/>
  <c r="P26" i="43"/>
  <c r="Q26" i="43" s="1"/>
  <c r="I18" i="43"/>
  <c r="P18" i="43"/>
  <c r="Q18" i="43" s="1"/>
  <c r="I25" i="43"/>
  <c r="P25" i="43"/>
  <c r="Q25" i="43" s="1"/>
  <c r="I21" i="43"/>
  <c r="P21" i="43"/>
  <c r="Q21" i="43" s="1"/>
  <c r="I17" i="43"/>
  <c r="P17" i="43"/>
  <c r="Q17" i="43" s="1"/>
  <c r="I13" i="43"/>
  <c r="P13" i="43"/>
  <c r="Q13" i="43" s="1"/>
  <c r="I12" i="43"/>
  <c r="P12" i="43"/>
  <c r="Q12" i="43" s="1"/>
  <c r="I11" i="43"/>
  <c r="P11" i="43"/>
  <c r="Q11" i="43" s="1"/>
  <c r="I11" i="44"/>
  <c r="P11" i="44"/>
  <c r="Q11" i="44" s="1"/>
  <c r="I10" i="44"/>
  <c r="P10" i="44"/>
  <c r="Q10" i="44" s="1"/>
  <c r="I10" i="43"/>
  <c r="P10" i="43"/>
  <c r="Q10" i="43" s="1"/>
  <c r="I9" i="44"/>
  <c r="P9" i="44"/>
  <c r="Q9" i="44" s="1"/>
  <c r="I9" i="43"/>
  <c r="P9" i="43"/>
  <c r="Q9" i="43" s="1"/>
  <c r="I8" i="43"/>
  <c r="P8" i="43"/>
  <c r="Q8" i="43" s="1"/>
  <c r="I8" i="44"/>
  <c r="I7" i="44"/>
  <c r="J7" i="44" s="1"/>
  <c r="P7" i="44"/>
  <c r="Q7" i="44" s="1"/>
  <c r="R7" i="44" s="1"/>
  <c r="S7" i="44" s="1"/>
  <c r="P7" i="43"/>
  <c r="Q7" i="43" s="1"/>
  <c r="R7" i="43" s="1"/>
  <c r="S7" i="43" s="1"/>
  <c r="I7" i="43"/>
  <c r="J7" i="43" s="1"/>
  <c r="K7" i="43" s="1"/>
  <c r="L7" i="43" s="1"/>
  <c r="Q19" i="23"/>
  <c r="S26" i="23"/>
  <c r="S14" i="23"/>
  <c r="O13" i="23"/>
  <c r="Q26" i="23"/>
  <c r="Q18" i="23"/>
  <c r="Q10" i="23"/>
  <c r="S21" i="23"/>
  <c r="S17" i="23"/>
  <c r="S12" i="23"/>
  <c r="O24" i="23"/>
  <c r="O20" i="23"/>
  <c r="O16" i="23"/>
  <c r="O11" i="23"/>
  <c r="Q23" i="23"/>
  <c r="Q11" i="23"/>
  <c r="S18" i="23"/>
  <c r="O25" i="23"/>
  <c r="O17" i="23"/>
  <c r="Q22" i="23"/>
  <c r="Q14" i="23"/>
  <c r="S25" i="23"/>
  <c r="Q25" i="23"/>
  <c r="Q21" i="23"/>
  <c r="Q17" i="23"/>
  <c r="Q13" i="23"/>
  <c r="Q9" i="23"/>
  <c r="S24" i="23"/>
  <c r="S20" i="23"/>
  <c r="S16" i="23"/>
  <c r="S11" i="23"/>
  <c r="O27" i="23"/>
  <c r="O23" i="23"/>
  <c r="O19" i="23"/>
  <c r="O15" i="23"/>
  <c r="Q27" i="23"/>
  <c r="Q15" i="23"/>
  <c r="S22" i="23"/>
  <c r="S9" i="23"/>
  <c r="O21" i="23"/>
  <c r="Q8" i="23"/>
  <c r="Q24" i="23"/>
  <c r="Q20" i="23"/>
  <c r="Q16" i="23"/>
  <c r="Q12" i="23"/>
  <c r="S27" i="23"/>
  <c r="S23" i="23"/>
  <c r="S19" i="23"/>
  <c r="S15" i="23"/>
  <c r="S10" i="23"/>
  <c r="O14" i="23"/>
  <c r="O9" i="23"/>
  <c r="G28" i="23"/>
  <c r="O28" i="23" s="1"/>
  <c r="P16" i="7"/>
  <c r="P10" i="7"/>
  <c r="P18" i="7"/>
  <c r="P8" i="7"/>
  <c r="P24" i="7"/>
  <c r="P14" i="7"/>
  <c r="P9" i="7"/>
  <c r="P25" i="7"/>
  <c r="P15" i="7"/>
  <c r="I28" i="23"/>
  <c r="P21" i="7"/>
  <c r="P13" i="7"/>
  <c r="P19" i="7"/>
  <c r="P17" i="7"/>
  <c r="H28" i="23"/>
  <c r="P23" i="7"/>
  <c r="P20" i="7"/>
  <c r="P12" i="7"/>
  <c r="E7" i="9"/>
  <c r="D5" i="5"/>
  <c r="N7" i="9" l="1"/>
  <c r="K7" i="44"/>
  <c r="L7" i="44" s="1"/>
  <c r="F26" i="7"/>
  <c r="F25" i="43"/>
  <c r="I27" i="44"/>
  <c r="P27" i="44"/>
  <c r="Q27" i="44" s="1"/>
  <c r="I27" i="43"/>
  <c r="P27" i="43"/>
  <c r="Q27" i="43" s="1"/>
  <c r="T7" i="43"/>
  <c r="U7" i="43" s="1"/>
  <c r="R8" i="43"/>
  <c r="S8" i="43" s="1"/>
  <c r="T7" i="44"/>
  <c r="U7" i="44" s="1"/>
  <c r="R8" i="44"/>
  <c r="S8" i="44" s="1"/>
  <c r="J8" i="43"/>
  <c r="K8" i="43" s="1"/>
  <c r="L8" i="43" s="1"/>
  <c r="J8" i="44"/>
  <c r="K8" i="44" s="1"/>
  <c r="L8" i="44" s="1"/>
  <c r="Q8" i="7"/>
  <c r="Q12" i="7"/>
  <c r="Q16" i="7"/>
  <c r="Q20" i="7"/>
  <c r="Q24" i="7"/>
  <c r="Q9" i="7"/>
  <c r="Q13" i="7"/>
  <c r="Q17" i="7"/>
  <c r="Q21" i="7"/>
  <c r="Q25" i="7"/>
  <c r="Q10" i="7"/>
  <c r="Q14" i="7"/>
  <c r="Q18" i="7"/>
  <c r="Q22" i="7"/>
  <c r="Q26" i="7"/>
  <c r="Q11" i="7"/>
  <c r="Q15" i="7"/>
  <c r="Q19" i="7"/>
  <c r="Q23" i="7"/>
  <c r="Q7" i="7"/>
  <c r="R7" i="7" s="1"/>
  <c r="S7" i="7" s="1"/>
  <c r="T7" i="7" s="1"/>
  <c r="I8" i="7"/>
  <c r="I12" i="7"/>
  <c r="I16" i="7"/>
  <c r="I20" i="7"/>
  <c r="I24" i="7"/>
  <c r="I14" i="7"/>
  <c r="I26" i="7"/>
  <c r="I15" i="7"/>
  <c r="I19" i="7"/>
  <c r="I9" i="7"/>
  <c r="I13" i="7"/>
  <c r="I17" i="7"/>
  <c r="I21" i="7"/>
  <c r="I25" i="7"/>
  <c r="I10" i="7"/>
  <c r="I18" i="7"/>
  <c r="I22" i="7"/>
  <c r="I11" i="7"/>
  <c r="I23" i="7"/>
  <c r="Q28" i="23"/>
  <c r="S28" i="23"/>
  <c r="P27" i="7"/>
  <c r="Q27" i="7" s="1"/>
  <c r="N26" i="9"/>
  <c r="N27" i="9"/>
  <c r="B2" i="5"/>
  <c r="B4" i="5"/>
  <c r="F27" i="7" l="1"/>
  <c r="F27" i="43" s="1"/>
  <c r="F26" i="43"/>
  <c r="M7" i="43"/>
  <c r="W7" i="43"/>
  <c r="X7" i="43" s="1"/>
  <c r="J9" i="44"/>
  <c r="K9" i="44" s="1"/>
  <c r="L9" i="44" s="1"/>
  <c r="T8" i="44"/>
  <c r="U8" i="44" s="1"/>
  <c r="R9" i="44"/>
  <c r="S9" i="44" s="1"/>
  <c r="M7" i="44"/>
  <c r="W7" i="44"/>
  <c r="X7" i="44" s="1"/>
  <c r="J9" i="43"/>
  <c r="K9" i="43" s="1"/>
  <c r="L9" i="43" s="1"/>
  <c r="T8" i="43"/>
  <c r="U8" i="43" s="1"/>
  <c r="R9" i="43"/>
  <c r="S9" i="43" s="1"/>
  <c r="R8" i="7"/>
  <c r="S8" i="7" s="1"/>
  <c r="I27" i="7"/>
  <c r="G19" i="27"/>
  <c r="G19" i="26"/>
  <c r="T9" i="43" l="1"/>
  <c r="U9" i="43" s="1"/>
  <c r="R10" i="43"/>
  <c r="S10" i="43" s="1"/>
  <c r="M8" i="44"/>
  <c r="W8" i="44"/>
  <c r="X8" i="44" s="1"/>
  <c r="M8" i="43"/>
  <c r="W8" i="43"/>
  <c r="X8" i="43" s="1"/>
  <c r="J10" i="44"/>
  <c r="K10" i="44" s="1"/>
  <c r="L10" i="44" s="1"/>
  <c r="J10" i="43"/>
  <c r="K10" i="43" s="1"/>
  <c r="L10" i="43" s="1"/>
  <c r="T9" i="44"/>
  <c r="U9" i="44" s="1"/>
  <c r="R10" i="44"/>
  <c r="S10" i="44" s="1"/>
  <c r="U7" i="7"/>
  <c r="R9" i="7"/>
  <c r="S9" i="7" s="1"/>
  <c r="H19" i="26"/>
  <c r="H19" i="27"/>
  <c r="I19" i="26"/>
  <c r="J11" i="43" l="1"/>
  <c r="K11" i="43" s="1"/>
  <c r="L11" i="43" s="1"/>
  <c r="T10" i="44"/>
  <c r="U10" i="44" s="1"/>
  <c r="R11" i="44"/>
  <c r="S11" i="44" s="1"/>
  <c r="M9" i="44"/>
  <c r="W9" i="44"/>
  <c r="X9" i="44" s="1"/>
  <c r="J11" i="44"/>
  <c r="K11" i="44" s="1"/>
  <c r="L11" i="44" s="1"/>
  <c r="M9" i="43"/>
  <c r="W9" i="43"/>
  <c r="X9" i="43" s="1"/>
  <c r="T10" i="43"/>
  <c r="U10" i="43" s="1"/>
  <c r="R11" i="43"/>
  <c r="S11" i="43" s="1"/>
  <c r="T8" i="7"/>
  <c r="U8" i="7" s="1"/>
  <c r="R10" i="7"/>
  <c r="S10" i="7" s="1"/>
  <c r="I19" i="27"/>
  <c r="J19" i="26"/>
  <c r="T11" i="43" l="1"/>
  <c r="U11" i="43" s="1"/>
  <c r="R12" i="43"/>
  <c r="S12" i="43" s="1"/>
  <c r="J12" i="44"/>
  <c r="K12" i="44" s="1"/>
  <c r="L12" i="44" s="1"/>
  <c r="T11" i="44"/>
  <c r="U11" i="44" s="1"/>
  <c r="R12" i="44"/>
  <c r="S12" i="44" s="1"/>
  <c r="M10" i="44"/>
  <c r="W10" i="44"/>
  <c r="X10" i="44" s="1"/>
  <c r="J12" i="43"/>
  <c r="K12" i="43" s="1"/>
  <c r="L12" i="43" s="1"/>
  <c r="M10" i="43"/>
  <c r="W10" i="43"/>
  <c r="X10" i="43" s="1"/>
  <c r="T9" i="7"/>
  <c r="U9" i="7" s="1"/>
  <c r="R11" i="7"/>
  <c r="S11" i="7" s="1"/>
  <c r="J19" i="27"/>
  <c r="K19" i="26"/>
  <c r="J13" i="43" l="1"/>
  <c r="K13" i="43" s="1"/>
  <c r="L13" i="43" s="1"/>
  <c r="J13" i="44"/>
  <c r="K13" i="44" s="1"/>
  <c r="L13" i="44" s="1"/>
  <c r="M11" i="44"/>
  <c r="W11" i="44"/>
  <c r="X11" i="44" s="1"/>
  <c r="W11" i="43"/>
  <c r="X11" i="43" s="1"/>
  <c r="M11" i="43"/>
  <c r="T12" i="44"/>
  <c r="U12" i="44" s="1"/>
  <c r="R13" i="44"/>
  <c r="S13" i="44" s="1"/>
  <c r="T12" i="43"/>
  <c r="U12" i="43" s="1"/>
  <c r="R13" i="43"/>
  <c r="S13" i="43" s="1"/>
  <c r="T10" i="7"/>
  <c r="U10" i="7" s="1"/>
  <c r="R12" i="7"/>
  <c r="S12" i="7" s="1"/>
  <c r="L19" i="26"/>
  <c r="K19" i="27"/>
  <c r="M12" i="44" l="1"/>
  <c r="W12" i="44"/>
  <c r="X12" i="44" s="1"/>
  <c r="J14" i="44"/>
  <c r="K14" i="44" s="1"/>
  <c r="L14" i="44" s="1"/>
  <c r="T13" i="43"/>
  <c r="U13" i="43" s="1"/>
  <c r="R14" i="43"/>
  <c r="S14" i="43" s="1"/>
  <c r="T13" i="44"/>
  <c r="U13" i="44" s="1"/>
  <c r="R14" i="44"/>
  <c r="S14" i="44" s="1"/>
  <c r="J14" i="43"/>
  <c r="K14" i="43" s="1"/>
  <c r="L14" i="43" s="1"/>
  <c r="W12" i="43"/>
  <c r="X12" i="43" s="1"/>
  <c r="M12" i="43"/>
  <c r="T11" i="7"/>
  <c r="R13" i="7"/>
  <c r="S13" i="7" s="1"/>
  <c r="L19" i="27"/>
  <c r="M19" i="26"/>
  <c r="U11" i="7" l="1"/>
  <c r="T14" i="44"/>
  <c r="U14" i="44" s="1"/>
  <c r="R15" i="44"/>
  <c r="S15" i="44" s="1"/>
  <c r="J15" i="44"/>
  <c r="K15" i="44" s="1"/>
  <c r="L15" i="44" s="1"/>
  <c r="W13" i="44"/>
  <c r="X13" i="44" s="1"/>
  <c r="M13" i="44"/>
  <c r="M13" i="43"/>
  <c r="W13" i="43"/>
  <c r="X13" i="43" s="1"/>
  <c r="T14" i="43"/>
  <c r="U14" i="43" s="1"/>
  <c r="R15" i="43"/>
  <c r="S15" i="43" s="1"/>
  <c r="J15" i="43"/>
  <c r="K15" i="43" s="1"/>
  <c r="L15" i="43" s="1"/>
  <c r="T12" i="7"/>
  <c r="U12" i="7" s="1"/>
  <c r="R14" i="7"/>
  <c r="S14" i="7" s="1"/>
  <c r="M19" i="27"/>
  <c r="N19" i="26"/>
  <c r="W14" i="44" l="1"/>
  <c r="X14" i="44" s="1"/>
  <c r="M14" i="44"/>
  <c r="J16" i="44"/>
  <c r="K16" i="44" s="1"/>
  <c r="L16" i="44" s="1"/>
  <c r="M14" i="43"/>
  <c r="W14" i="43"/>
  <c r="X14" i="43" s="1"/>
  <c r="J16" i="43"/>
  <c r="K16" i="43" s="1"/>
  <c r="L16" i="43" s="1"/>
  <c r="T15" i="43"/>
  <c r="U15" i="43" s="1"/>
  <c r="R16" i="43"/>
  <c r="S16" i="43" s="1"/>
  <c r="T15" i="44"/>
  <c r="U15" i="44" s="1"/>
  <c r="R16" i="44"/>
  <c r="S16" i="44" s="1"/>
  <c r="T13" i="7"/>
  <c r="U13" i="7" s="1"/>
  <c r="R15" i="7"/>
  <c r="S15" i="7" s="1"/>
  <c r="N19" i="27"/>
  <c r="O19" i="26"/>
  <c r="T16" i="44" l="1"/>
  <c r="U16" i="44" s="1"/>
  <c r="R17" i="44"/>
  <c r="S17" i="44" s="1"/>
  <c r="J17" i="43"/>
  <c r="K17" i="43" s="1"/>
  <c r="L17" i="43" s="1"/>
  <c r="J17" i="44"/>
  <c r="K17" i="44" s="1"/>
  <c r="L17" i="44" s="1"/>
  <c r="M15" i="44"/>
  <c r="W15" i="44"/>
  <c r="X15" i="44" s="1"/>
  <c r="M15" i="43"/>
  <c r="W15" i="43"/>
  <c r="X15" i="43" s="1"/>
  <c r="T16" i="43"/>
  <c r="U16" i="43" s="1"/>
  <c r="R17" i="43"/>
  <c r="S17" i="43" s="1"/>
  <c r="T14" i="7"/>
  <c r="U14" i="7" s="1"/>
  <c r="R16" i="7"/>
  <c r="S16" i="7" s="1"/>
  <c r="O19" i="27"/>
  <c r="P19" i="26"/>
  <c r="T17" i="43" l="1"/>
  <c r="U17" i="43" s="1"/>
  <c r="R18" i="43"/>
  <c r="S18" i="43" s="1"/>
  <c r="J18" i="43"/>
  <c r="K18" i="43" s="1"/>
  <c r="L18" i="43" s="1"/>
  <c r="M16" i="43"/>
  <c r="W16" i="43"/>
  <c r="X16" i="43" s="1"/>
  <c r="I5" i="40" s="1"/>
  <c r="W16" i="44"/>
  <c r="X16" i="44" s="1"/>
  <c r="I5" i="41" s="1"/>
  <c r="M16" i="44"/>
  <c r="T17" i="44"/>
  <c r="U17" i="44" s="1"/>
  <c r="R18" i="44"/>
  <c r="S18" i="44" s="1"/>
  <c r="J18" i="44"/>
  <c r="K18" i="44" s="1"/>
  <c r="L18" i="44" s="1"/>
  <c r="T15" i="7"/>
  <c r="U15" i="7" s="1"/>
  <c r="R17" i="7"/>
  <c r="S17" i="7" s="1"/>
  <c r="P19" i="27"/>
  <c r="Q19" i="26"/>
  <c r="J25" i="9"/>
  <c r="K24" i="9"/>
  <c r="K25" i="9"/>
  <c r="M17" i="44" l="1"/>
  <c r="W17" i="44"/>
  <c r="X17" i="44" s="1"/>
  <c r="J19" i="43"/>
  <c r="K19" i="43" s="1"/>
  <c r="L19" i="43" s="1"/>
  <c r="M17" i="43"/>
  <c r="W17" i="43"/>
  <c r="X17" i="43" s="1"/>
  <c r="J19" i="44"/>
  <c r="K19" i="44" s="1"/>
  <c r="L19" i="44" s="1"/>
  <c r="T18" i="44"/>
  <c r="U18" i="44" s="1"/>
  <c r="R19" i="44"/>
  <c r="S19" i="44" s="1"/>
  <c r="T18" i="43"/>
  <c r="U18" i="43" s="1"/>
  <c r="R19" i="43"/>
  <c r="S19" i="43" s="1"/>
  <c r="T16" i="7"/>
  <c r="U16" i="7" s="1"/>
  <c r="R18" i="7"/>
  <c r="S18" i="7" s="1"/>
  <c r="Q19" i="27"/>
  <c r="R19" i="26"/>
  <c r="N25" i="9"/>
  <c r="J24" i="9"/>
  <c r="W18" i="43" l="1"/>
  <c r="X18" i="43" s="1"/>
  <c r="M18" i="43"/>
  <c r="M18" i="44"/>
  <c r="W18" i="44"/>
  <c r="X18" i="44" s="1"/>
  <c r="J20" i="43"/>
  <c r="K20" i="43" s="1"/>
  <c r="L20" i="43" s="1"/>
  <c r="T19" i="43"/>
  <c r="U19" i="43" s="1"/>
  <c r="R20" i="43"/>
  <c r="S20" i="43" s="1"/>
  <c r="T19" i="44"/>
  <c r="U19" i="44" s="1"/>
  <c r="R20" i="44"/>
  <c r="S20" i="44" s="1"/>
  <c r="J20" i="44"/>
  <c r="K20" i="44" s="1"/>
  <c r="L20" i="44" s="1"/>
  <c r="T17" i="7"/>
  <c r="U17" i="7" s="1"/>
  <c r="R19" i="7"/>
  <c r="S19" i="7" s="1"/>
  <c r="R19" i="27"/>
  <c r="S19" i="26"/>
  <c r="N24" i="9"/>
  <c r="J23" i="9"/>
  <c r="J20" i="9"/>
  <c r="J16" i="9"/>
  <c r="J14" i="9"/>
  <c r="J12" i="9"/>
  <c r="J11" i="9"/>
  <c r="J17" i="9"/>
  <c r="K8" i="9"/>
  <c r="K9" i="9"/>
  <c r="K10" i="9"/>
  <c r="K11" i="9"/>
  <c r="K12" i="9"/>
  <c r="J13" i="9"/>
  <c r="K13" i="9"/>
  <c r="K14" i="9"/>
  <c r="K15" i="9"/>
  <c r="K16" i="9"/>
  <c r="K17" i="9"/>
  <c r="K18" i="9"/>
  <c r="K19" i="9"/>
  <c r="K20" i="9"/>
  <c r="K21" i="9"/>
  <c r="K22" i="9"/>
  <c r="K23" i="9"/>
  <c r="G19" i="13"/>
  <c r="J18" i="9"/>
  <c r="J21" i="9"/>
  <c r="J21" i="44" l="1"/>
  <c r="K21" i="44" s="1"/>
  <c r="L21" i="44" s="1"/>
  <c r="T20" i="43"/>
  <c r="U20" i="43" s="1"/>
  <c r="R21" i="43"/>
  <c r="S21" i="43" s="1"/>
  <c r="W19" i="44"/>
  <c r="X19" i="44" s="1"/>
  <c r="M19" i="44"/>
  <c r="T20" i="44"/>
  <c r="U20" i="44" s="1"/>
  <c r="R21" i="44"/>
  <c r="S21" i="44" s="1"/>
  <c r="J21" i="43"/>
  <c r="K21" i="43" s="1"/>
  <c r="L21" i="43" s="1"/>
  <c r="M19" i="43"/>
  <c r="W19" i="43"/>
  <c r="X19" i="43" s="1"/>
  <c r="T18" i="7"/>
  <c r="U18" i="7" s="1"/>
  <c r="R20" i="7"/>
  <c r="S20" i="7" s="1"/>
  <c r="N12" i="9"/>
  <c r="N14" i="9"/>
  <c r="N21" i="9"/>
  <c r="H19" i="13"/>
  <c r="I19" i="13" s="1"/>
  <c r="J19" i="13" s="1"/>
  <c r="K19" i="13" s="1"/>
  <c r="S19" i="27"/>
  <c r="T19" i="26"/>
  <c r="J7" i="7"/>
  <c r="K7" i="7" s="1"/>
  <c r="L7" i="7" s="1"/>
  <c r="W7" i="7" s="1"/>
  <c r="N17" i="9"/>
  <c r="N13" i="9"/>
  <c r="N19" i="9"/>
  <c r="N9" i="9"/>
  <c r="J10" i="9"/>
  <c r="J15" i="9"/>
  <c r="O7" i="9"/>
  <c r="P7" i="9" s="1"/>
  <c r="N11" i="9"/>
  <c r="N23" i="9"/>
  <c r="N8" i="9"/>
  <c r="N20" i="9"/>
  <c r="N18" i="9"/>
  <c r="J22" i="9"/>
  <c r="N16" i="9"/>
  <c r="J22" i="44" l="1"/>
  <c r="K22" i="44" s="1"/>
  <c r="L22" i="44" s="1"/>
  <c r="T21" i="44"/>
  <c r="U21" i="44" s="1"/>
  <c r="R22" i="44"/>
  <c r="S22" i="44" s="1"/>
  <c r="T21" i="43"/>
  <c r="R22" i="43"/>
  <c r="S22" i="43" s="1"/>
  <c r="J22" i="43"/>
  <c r="K22" i="43" s="1"/>
  <c r="L22" i="43" s="1"/>
  <c r="M20" i="44"/>
  <c r="W20" i="44"/>
  <c r="X20" i="44" s="1"/>
  <c r="W20" i="43"/>
  <c r="X20" i="43" s="1"/>
  <c r="M20" i="43"/>
  <c r="T19" i="7"/>
  <c r="U19" i="7" s="1"/>
  <c r="R21" i="7"/>
  <c r="S21" i="7" s="1"/>
  <c r="C9" i="5"/>
  <c r="D9" i="5" s="1"/>
  <c r="X19" i="26"/>
  <c r="Y19" i="26" s="1"/>
  <c r="F20" i="26" s="1"/>
  <c r="T19" i="27"/>
  <c r="X19" i="27" s="1"/>
  <c r="Y19" i="27" s="1"/>
  <c r="F20" i="27" s="1"/>
  <c r="L19" i="13"/>
  <c r="J8" i="7"/>
  <c r="K8" i="7" s="1"/>
  <c r="L8" i="7" s="1"/>
  <c r="N15" i="9"/>
  <c r="O8" i="9"/>
  <c r="P8" i="9" s="1"/>
  <c r="N10" i="9"/>
  <c r="N22" i="9"/>
  <c r="C10" i="5" l="1"/>
  <c r="D10" i="5" s="1"/>
  <c r="U21" i="43"/>
  <c r="W21" i="43"/>
  <c r="X21" i="43" s="1"/>
  <c r="I5" i="26" s="1"/>
  <c r="J23" i="44"/>
  <c r="K23" i="44" s="1"/>
  <c r="L23" i="44" s="1"/>
  <c r="M21" i="43"/>
  <c r="T22" i="44"/>
  <c r="U22" i="44" s="1"/>
  <c r="R23" i="44"/>
  <c r="S23" i="44" s="1"/>
  <c r="J23" i="43"/>
  <c r="K23" i="43" s="1"/>
  <c r="L23" i="43" s="1"/>
  <c r="T22" i="43"/>
  <c r="U22" i="43" s="1"/>
  <c r="R23" i="43"/>
  <c r="S23" i="43" s="1"/>
  <c r="M21" i="44"/>
  <c r="W21" i="44"/>
  <c r="X21" i="44" s="1"/>
  <c r="I5" i="27" s="1"/>
  <c r="T20" i="7"/>
  <c r="U20" i="7" s="1"/>
  <c r="R22" i="7"/>
  <c r="S22" i="7" s="1"/>
  <c r="G20" i="26"/>
  <c r="H20" i="26"/>
  <c r="I20" i="26"/>
  <c r="J20" i="26"/>
  <c r="K20" i="26"/>
  <c r="L20" i="26"/>
  <c r="M20" i="26"/>
  <c r="N20" i="26"/>
  <c r="O20" i="26"/>
  <c r="P20" i="26"/>
  <c r="Q20" i="26"/>
  <c r="R20" i="26"/>
  <c r="S20" i="26"/>
  <c r="T20" i="26"/>
  <c r="M19" i="13"/>
  <c r="J9" i="7"/>
  <c r="K9" i="7" s="1"/>
  <c r="L9" i="7" s="1"/>
  <c r="O9" i="9"/>
  <c r="P9" i="9" s="1"/>
  <c r="O10" i="9" l="1"/>
  <c r="P10" i="9" s="1"/>
  <c r="W8" i="7"/>
  <c r="X8" i="7" s="1"/>
  <c r="M8" i="7"/>
  <c r="J24" i="44"/>
  <c r="K24" i="44" s="1"/>
  <c r="L24" i="44" s="1"/>
  <c r="J24" i="43"/>
  <c r="K24" i="43" s="1"/>
  <c r="L24" i="43" s="1"/>
  <c r="W22" i="43"/>
  <c r="X22" i="43" s="1"/>
  <c r="M22" i="43"/>
  <c r="T23" i="43"/>
  <c r="U23" i="43" s="1"/>
  <c r="R24" i="43"/>
  <c r="S24" i="43" s="1"/>
  <c r="T23" i="44"/>
  <c r="U23" i="44" s="1"/>
  <c r="R24" i="44"/>
  <c r="S24" i="44" s="1"/>
  <c r="M22" i="44"/>
  <c r="W22" i="44"/>
  <c r="X22" i="44" s="1"/>
  <c r="M7" i="7"/>
  <c r="X7" i="7"/>
  <c r="T21" i="7"/>
  <c r="U21" i="7" s="1"/>
  <c r="I6" i="40"/>
  <c r="R23" i="7"/>
  <c r="S23" i="7" s="1"/>
  <c r="I6" i="41"/>
  <c r="X20" i="26"/>
  <c r="Y20" i="26" s="1"/>
  <c r="J10" i="7"/>
  <c r="K10" i="7" s="1"/>
  <c r="L10" i="7" s="1"/>
  <c r="G20" i="27"/>
  <c r="H20" i="27"/>
  <c r="I20" i="27"/>
  <c r="J20" i="27"/>
  <c r="K20" i="27"/>
  <c r="L20" i="27"/>
  <c r="M20" i="27"/>
  <c r="N20" i="27"/>
  <c r="O20" i="27"/>
  <c r="P20" i="27"/>
  <c r="Q20" i="27"/>
  <c r="R20" i="27"/>
  <c r="S20" i="27"/>
  <c r="T20" i="27"/>
  <c r="N19" i="13"/>
  <c r="O11" i="9"/>
  <c r="P11" i="9" s="1"/>
  <c r="W9" i="7" l="1"/>
  <c r="X9" i="7" s="1"/>
  <c r="M9" i="7"/>
  <c r="T24" i="43"/>
  <c r="U24" i="43" s="1"/>
  <c r="R25" i="43"/>
  <c r="S25" i="43" s="1"/>
  <c r="M23" i="43"/>
  <c r="W23" i="43"/>
  <c r="X23" i="43" s="1"/>
  <c r="J25" i="43"/>
  <c r="K25" i="43" s="1"/>
  <c r="L25" i="43" s="1"/>
  <c r="T24" i="44"/>
  <c r="U24" i="44" s="1"/>
  <c r="R25" i="44"/>
  <c r="S25" i="44" s="1"/>
  <c r="M23" i="44"/>
  <c r="W23" i="44"/>
  <c r="X23" i="44" s="1"/>
  <c r="J25" i="44"/>
  <c r="K25" i="44" s="1"/>
  <c r="L25" i="44" s="1"/>
  <c r="T22" i="7"/>
  <c r="U22" i="7" s="1"/>
  <c r="R24" i="7"/>
  <c r="S24" i="7" s="1"/>
  <c r="X20" i="27"/>
  <c r="Y20" i="27" s="1"/>
  <c r="C12" i="5"/>
  <c r="D12" i="5" s="1"/>
  <c r="C11" i="5"/>
  <c r="D11" i="5" s="1"/>
  <c r="J11" i="7"/>
  <c r="K11" i="7" s="1"/>
  <c r="L11" i="7" s="1"/>
  <c r="O19" i="13"/>
  <c r="O12" i="9"/>
  <c r="P12" i="9" s="1"/>
  <c r="W10" i="7" l="1"/>
  <c r="X10" i="7" s="1"/>
  <c r="M10" i="7"/>
  <c r="W24" i="44"/>
  <c r="X24" i="44" s="1"/>
  <c r="M24" i="44"/>
  <c r="T25" i="44"/>
  <c r="U25" i="44" s="1"/>
  <c r="R26" i="44"/>
  <c r="S26" i="44" s="1"/>
  <c r="J26" i="44"/>
  <c r="K26" i="44" s="1"/>
  <c r="L26" i="44" s="1"/>
  <c r="M24" i="43"/>
  <c r="W24" i="43"/>
  <c r="X24" i="43" s="1"/>
  <c r="T25" i="43"/>
  <c r="U25" i="43" s="1"/>
  <c r="R26" i="43"/>
  <c r="S26" i="43" s="1"/>
  <c r="J26" i="43"/>
  <c r="K26" i="43" s="1"/>
  <c r="L26" i="43" s="1"/>
  <c r="T23" i="7"/>
  <c r="U23" i="7" s="1"/>
  <c r="R25" i="7"/>
  <c r="S25" i="7" s="1"/>
  <c r="C13" i="5"/>
  <c r="D13" i="5" s="1"/>
  <c r="H5" i="42" s="1"/>
  <c r="H6" i="42" s="1"/>
  <c r="J12" i="7"/>
  <c r="K12" i="7" s="1"/>
  <c r="L12" i="7" s="1"/>
  <c r="P19" i="13"/>
  <c r="O13" i="9"/>
  <c r="P13" i="9" s="1"/>
  <c r="C15" i="5" l="1"/>
  <c r="M11" i="7"/>
  <c r="W11" i="7"/>
  <c r="X11" i="7" s="1"/>
  <c r="I5" i="42" s="1"/>
  <c r="I6" i="42" s="1"/>
  <c r="J27" i="43"/>
  <c r="K27" i="43" s="1"/>
  <c r="L27" i="43" s="1"/>
  <c r="T26" i="44"/>
  <c r="U26" i="44" s="1"/>
  <c r="R27" i="44"/>
  <c r="S27" i="44" s="1"/>
  <c r="M25" i="43"/>
  <c r="W25" i="43"/>
  <c r="X25" i="43" s="1"/>
  <c r="T26" i="43"/>
  <c r="U26" i="43" s="1"/>
  <c r="R27" i="43"/>
  <c r="S27" i="43" s="1"/>
  <c r="J27" i="44"/>
  <c r="K27" i="44" s="1"/>
  <c r="L27" i="44" s="1"/>
  <c r="W25" i="44"/>
  <c r="X25" i="44" s="1"/>
  <c r="M25" i="44"/>
  <c r="T24" i="7"/>
  <c r="U24" i="7" s="1"/>
  <c r="R26" i="7"/>
  <c r="S26" i="7" s="1"/>
  <c r="I6" i="27"/>
  <c r="W12" i="7"/>
  <c r="X12" i="7" s="1"/>
  <c r="J13" i="7"/>
  <c r="K13" i="7" s="1"/>
  <c r="L13" i="7" s="1"/>
  <c r="C14" i="5"/>
  <c r="D14" i="5" s="1"/>
  <c r="Q19" i="13"/>
  <c r="O14" i="9"/>
  <c r="P14" i="9" s="1"/>
  <c r="T27" i="43" l="1"/>
  <c r="U27" i="43" s="1"/>
  <c r="T27" i="44"/>
  <c r="U27" i="44" s="1"/>
  <c r="M26" i="44"/>
  <c r="W26" i="44"/>
  <c r="X26" i="44" s="1"/>
  <c r="M26" i="43"/>
  <c r="W26" i="43"/>
  <c r="X26" i="43" s="1"/>
  <c r="T25" i="7"/>
  <c r="U25" i="7" s="1"/>
  <c r="R27" i="7"/>
  <c r="S27" i="7" s="1"/>
  <c r="M12" i="7"/>
  <c r="J14" i="7"/>
  <c r="K14" i="7" s="1"/>
  <c r="L14" i="7" s="1"/>
  <c r="D15" i="5"/>
  <c r="R19" i="13"/>
  <c r="O15" i="9"/>
  <c r="P15" i="9" s="1"/>
  <c r="M27" i="43" l="1"/>
  <c r="W27" i="43"/>
  <c r="X27" i="43" s="1"/>
  <c r="W13" i="7"/>
  <c r="X13" i="7" s="1"/>
  <c r="M13" i="7"/>
  <c r="M27" i="44"/>
  <c r="W27" i="44"/>
  <c r="X27" i="44" s="1"/>
  <c r="T27" i="7"/>
  <c r="U27" i="7" s="1"/>
  <c r="T26" i="7"/>
  <c r="U26" i="7" s="1"/>
  <c r="I6" i="26"/>
  <c r="J15" i="7"/>
  <c r="K15" i="7" s="1"/>
  <c r="L15" i="7" s="1"/>
  <c r="C16" i="5"/>
  <c r="D16" i="5" s="1"/>
  <c r="S19" i="13"/>
  <c r="O16" i="9"/>
  <c r="P16" i="9" s="1"/>
  <c r="W14" i="7" l="1"/>
  <c r="X14" i="7" s="1"/>
  <c r="M14" i="7"/>
  <c r="J16" i="7"/>
  <c r="K16" i="7" s="1"/>
  <c r="L16" i="7" s="1"/>
  <c r="C17" i="5"/>
  <c r="D17" i="5" s="1"/>
  <c r="T19" i="13"/>
  <c r="X19" i="13" s="1"/>
  <c r="Y19" i="13" s="1"/>
  <c r="F20" i="13" s="1"/>
  <c r="O17" i="9"/>
  <c r="P17" i="9" s="1"/>
  <c r="W15" i="7" l="1"/>
  <c r="X15" i="7" s="1"/>
  <c r="M15" i="7"/>
  <c r="J17" i="7"/>
  <c r="K17" i="7" s="1"/>
  <c r="L17" i="7" s="1"/>
  <c r="C18" i="5"/>
  <c r="D18" i="5" s="1"/>
  <c r="O18" i="9"/>
  <c r="P18" i="9" s="1"/>
  <c r="W16" i="7" l="1"/>
  <c r="X16" i="7" s="1"/>
  <c r="I5" i="39" s="1"/>
  <c r="I6" i="39" s="1"/>
  <c r="M16" i="7"/>
  <c r="J18" i="7"/>
  <c r="H5" i="41"/>
  <c r="H6" i="41" s="1"/>
  <c r="H5" i="39"/>
  <c r="H6" i="39" s="1"/>
  <c r="H5" i="40"/>
  <c r="H6" i="40" s="1"/>
  <c r="C19" i="5"/>
  <c r="D19" i="5" s="1"/>
  <c r="O19" i="9"/>
  <c r="P19" i="9" s="1"/>
  <c r="K18" i="7" l="1"/>
  <c r="L18" i="7" s="1"/>
  <c r="W17" i="7"/>
  <c r="X17" i="7" s="1"/>
  <c r="M17" i="7"/>
  <c r="J19" i="7"/>
  <c r="J5" i="42"/>
  <c r="C20" i="5"/>
  <c r="D20" i="5" s="1"/>
  <c r="H20" i="13"/>
  <c r="I20" i="13"/>
  <c r="J20" i="13"/>
  <c r="G20" i="13"/>
  <c r="K20" i="13"/>
  <c r="L20" i="13"/>
  <c r="M20" i="13"/>
  <c r="N20" i="13"/>
  <c r="O20" i="13"/>
  <c r="P20" i="13"/>
  <c r="Q20" i="13"/>
  <c r="R20" i="13"/>
  <c r="S20" i="13"/>
  <c r="T20" i="13"/>
  <c r="C21" i="5"/>
  <c r="O20" i="9"/>
  <c r="P20" i="9" s="1"/>
  <c r="W18" i="7" l="1"/>
  <c r="X18" i="7" s="1"/>
  <c r="M18" i="7"/>
  <c r="K19" i="7"/>
  <c r="L19" i="7" s="1"/>
  <c r="O21" i="9"/>
  <c r="P21" i="9" s="1"/>
  <c r="K5" i="42"/>
  <c r="L5" i="42" s="1"/>
  <c r="J6" i="42"/>
  <c r="J20" i="7"/>
  <c r="K20" i="7" s="1"/>
  <c r="L20" i="7" s="1"/>
  <c r="X20" i="13"/>
  <c r="Y20" i="13" s="1"/>
  <c r="D21" i="5"/>
  <c r="W19" i="7" l="1"/>
  <c r="X19" i="7" s="1"/>
  <c r="M19" i="7"/>
  <c r="C23" i="5"/>
  <c r="D23" i="5" s="1"/>
  <c r="J21" i="7"/>
  <c r="K21" i="7" s="1"/>
  <c r="W20" i="7"/>
  <c r="X20" i="7" s="1"/>
  <c r="L6" i="42"/>
  <c r="F9" i="42" s="1"/>
  <c r="K6" i="42"/>
  <c r="J5" i="40"/>
  <c r="J5" i="41"/>
  <c r="C22" i="5"/>
  <c r="D22" i="5" s="1"/>
  <c r="O22" i="9"/>
  <c r="P22" i="9" s="1"/>
  <c r="L21" i="7" l="1"/>
  <c r="W21" i="7" s="1"/>
  <c r="X21" i="7" s="1"/>
  <c r="I5" i="13" s="1"/>
  <c r="J22" i="7"/>
  <c r="K22" i="7" s="1"/>
  <c r="L22" i="7" s="1"/>
  <c r="W22" i="7" s="1"/>
  <c r="X22" i="7" s="1"/>
  <c r="H5" i="27"/>
  <c r="H5" i="13"/>
  <c r="H6" i="13" s="1"/>
  <c r="H5" i="26"/>
  <c r="H6" i="26" s="1"/>
  <c r="F6" i="45"/>
  <c r="B69" i="47" s="1"/>
  <c r="F13" i="42"/>
  <c r="F27" i="45" s="1"/>
  <c r="M20" i="7"/>
  <c r="K5" i="41"/>
  <c r="J6" i="41"/>
  <c r="K5" i="40"/>
  <c r="J6" i="40"/>
  <c r="M21" i="7"/>
  <c r="G9" i="42"/>
  <c r="J5" i="39"/>
  <c r="J23" i="7"/>
  <c r="K23" i="7" s="1"/>
  <c r="L23" i="7" s="1"/>
  <c r="O23" i="9"/>
  <c r="P23" i="9" s="1"/>
  <c r="O24" i="9" l="1"/>
  <c r="P24" i="9" s="1"/>
  <c r="C26" i="5" s="1"/>
  <c r="H6" i="27"/>
  <c r="J5" i="27"/>
  <c r="J6" i="27" s="1"/>
  <c r="L5" i="40"/>
  <c r="L6" i="40" s="1"/>
  <c r="F9" i="40" s="1"/>
  <c r="F13" i="45" s="1"/>
  <c r="B76" i="47" s="1"/>
  <c r="K6" i="40"/>
  <c r="L5" i="41"/>
  <c r="L6" i="41" s="1"/>
  <c r="F9" i="41" s="1"/>
  <c r="F19" i="45" s="1"/>
  <c r="B82" i="47" s="1"/>
  <c r="K6" i="41"/>
  <c r="H9" i="42"/>
  <c r="G13" i="42"/>
  <c r="G27" i="45" s="1"/>
  <c r="M22" i="7"/>
  <c r="K5" i="39"/>
  <c r="J6" i="39"/>
  <c r="J5" i="13"/>
  <c r="I6" i="13"/>
  <c r="J5" i="26"/>
  <c r="J6" i="26" s="1"/>
  <c r="C24" i="5"/>
  <c r="D24" i="5" s="1"/>
  <c r="W23" i="7"/>
  <c r="X23" i="7" s="1"/>
  <c r="J24" i="7"/>
  <c r="K24" i="7" s="1"/>
  <c r="L24" i="7" s="1"/>
  <c r="O25" i="9"/>
  <c r="P25" i="9" s="1"/>
  <c r="G9" i="41" l="1"/>
  <c r="F13" i="41"/>
  <c r="F40" i="45" s="1"/>
  <c r="G9" i="40"/>
  <c r="F13" i="40"/>
  <c r="F34" i="45" s="1"/>
  <c r="M23" i="7"/>
  <c r="K5" i="13"/>
  <c r="J6" i="13"/>
  <c r="L5" i="39"/>
  <c r="L6" i="39" s="1"/>
  <c r="F9" i="39" s="1"/>
  <c r="F7" i="45" s="1"/>
  <c r="B70" i="47" s="1"/>
  <c r="K6" i="39"/>
  <c r="I9" i="42"/>
  <c r="H13" i="42"/>
  <c r="H27" i="45" s="1"/>
  <c r="C27" i="5"/>
  <c r="O26" i="9"/>
  <c r="P26" i="9" s="1"/>
  <c r="C25" i="5"/>
  <c r="D25" i="5" s="1"/>
  <c r="K5" i="26"/>
  <c r="K5" i="27"/>
  <c r="J25" i="7"/>
  <c r="K25" i="7" s="1"/>
  <c r="L25" i="7" s="1"/>
  <c r="W24" i="7"/>
  <c r="X24" i="7" s="1"/>
  <c r="D26" i="5"/>
  <c r="L5" i="26" l="1"/>
  <c r="L6" i="26" s="1"/>
  <c r="F9" i="26" s="1"/>
  <c r="F14" i="45" s="1"/>
  <c r="B77" i="47" s="1"/>
  <c r="K6" i="26"/>
  <c r="G13" i="40"/>
  <c r="G34" i="45" s="1"/>
  <c r="H9" i="40"/>
  <c r="L5" i="27"/>
  <c r="K6" i="27"/>
  <c r="H9" i="41"/>
  <c r="G13" i="41"/>
  <c r="G40" i="45" s="1"/>
  <c r="I13" i="42"/>
  <c r="I27" i="45" s="1"/>
  <c r="J9" i="42"/>
  <c r="J13" i="42" s="1"/>
  <c r="K6" i="13"/>
  <c r="L5" i="13"/>
  <c r="L6" i="13" s="1"/>
  <c r="F9" i="13" s="1"/>
  <c r="M24" i="7"/>
  <c r="F13" i="39"/>
  <c r="F28" i="45" s="1"/>
  <c r="G9" i="39"/>
  <c r="C28" i="5"/>
  <c r="D28" i="5" s="1"/>
  <c r="O27" i="9"/>
  <c r="P27" i="9" s="1"/>
  <c r="W25" i="7"/>
  <c r="X25" i="7" s="1"/>
  <c r="J26" i="7"/>
  <c r="K26" i="7" s="1"/>
  <c r="L26" i="7" s="1"/>
  <c r="D27" i="5"/>
  <c r="C29" i="5" l="1"/>
  <c r="D29" i="5" s="1"/>
  <c r="L6" i="27"/>
  <c r="F9" i="27" s="1"/>
  <c r="F13" i="13"/>
  <c r="F29" i="45" s="1"/>
  <c r="F8" i="45"/>
  <c r="B71" i="47" s="1"/>
  <c r="K13" i="42"/>
  <c r="J27" i="45"/>
  <c r="I9" i="40"/>
  <c r="H13" i="40"/>
  <c r="H34" i="45" s="1"/>
  <c r="H13" i="41"/>
  <c r="H40" i="45" s="1"/>
  <c r="I9" i="41"/>
  <c r="G9" i="13"/>
  <c r="G13" i="13" s="1"/>
  <c r="G29" i="45" s="1"/>
  <c r="H9" i="39"/>
  <c r="G13" i="39"/>
  <c r="G28" i="45" s="1"/>
  <c r="M25" i="7"/>
  <c r="J27" i="7"/>
  <c r="K27" i="7" s="1"/>
  <c r="L27" i="7" s="1"/>
  <c r="F13" i="26"/>
  <c r="F35" i="45" s="1"/>
  <c r="G9" i="26"/>
  <c r="G13" i="26" s="1"/>
  <c r="G35" i="45" s="1"/>
  <c r="W26" i="7"/>
  <c r="X26" i="7" s="1"/>
  <c r="F20" i="45" l="1"/>
  <c r="B83" i="47" s="1"/>
  <c r="G9" i="27"/>
  <c r="F13" i="27"/>
  <c r="F41" i="45" s="1"/>
  <c r="L13" i="42"/>
  <c r="L27" i="45" s="1"/>
  <c r="K27" i="45"/>
  <c r="H9" i="13"/>
  <c r="H13" i="13" s="1"/>
  <c r="H29" i="45" s="1"/>
  <c r="I13" i="41"/>
  <c r="I40" i="45" s="1"/>
  <c r="J9" i="41"/>
  <c r="I13" i="40"/>
  <c r="I34" i="45" s="1"/>
  <c r="J9" i="40"/>
  <c r="M26" i="7"/>
  <c r="H13" i="39"/>
  <c r="H28" i="45" s="1"/>
  <c r="I9" i="39"/>
  <c r="H9" i="27"/>
  <c r="H13" i="27" s="1"/>
  <c r="H41" i="45" s="1"/>
  <c r="G13" i="27"/>
  <c r="G41" i="45" s="1"/>
  <c r="H9" i="26"/>
  <c r="H13" i="26" s="1"/>
  <c r="H35" i="45" s="1"/>
  <c r="I9" i="13" l="1"/>
  <c r="I13" i="13" s="1"/>
  <c r="I29" i="45" s="1"/>
  <c r="W27" i="7"/>
  <c r="X27" i="7" s="1"/>
  <c r="M27" i="7"/>
  <c r="K9" i="40"/>
  <c r="J13" i="40"/>
  <c r="J34" i="45" s="1"/>
  <c r="J13" i="41"/>
  <c r="J40" i="45" s="1"/>
  <c r="K9" i="41"/>
  <c r="J9" i="39"/>
  <c r="I13" i="39"/>
  <c r="I28" i="45" s="1"/>
  <c r="I9" i="27"/>
  <c r="I13" i="27" s="1"/>
  <c r="I41" i="45" s="1"/>
  <c r="I9" i="26"/>
  <c r="J9" i="13" l="1"/>
  <c r="K9" i="13" s="1"/>
  <c r="L9" i="41"/>
  <c r="K13" i="41"/>
  <c r="K40" i="45" s="1"/>
  <c r="L9" i="40"/>
  <c r="K13" i="40"/>
  <c r="K34" i="45" s="1"/>
  <c r="J13" i="39"/>
  <c r="J28" i="45" s="1"/>
  <c r="K9" i="39"/>
  <c r="J9" i="27"/>
  <c r="K9" i="27" s="1"/>
  <c r="X9" i="42"/>
  <c r="Y9" i="42" s="1"/>
  <c r="I13" i="26"/>
  <c r="I35" i="45" s="1"/>
  <c r="J9" i="26"/>
  <c r="K9" i="26" s="1"/>
  <c r="L9" i="26" s="1"/>
  <c r="J13" i="27" l="1"/>
  <c r="J41" i="45" s="1"/>
  <c r="J13" i="13"/>
  <c r="J29" i="45" s="1"/>
  <c r="M9" i="40"/>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Y13" i="13" s="1"/>
  <c r="T29" i="45"/>
  <c r="V13" i="26"/>
  <c r="V35" i="45" s="1"/>
  <c r="U35" i="45"/>
  <c r="X13" i="27"/>
  <c r="Y13" i="27" s="1"/>
  <c r="U13" i="27"/>
  <c r="U13" i="13"/>
  <c r="V13" i="27" l="1"/>
  <c r="V41" i="45" s="1"/>
  <c r="U41" i="45"/>
  <c r="V13" i="13"/>
  <c r="V29" i="45" s="1"/>
  <c r="U29" i="45"/>
</calcChain>
</file>

<file path=xl/comments1.xml><?xml version="1.0" encoding="utf-8"?>
<comments xmlns="http://schemas.openxmlformats.org/spreadsheetml/2006/main">
  <authors>
    <author>Williams, Bob</author>
  </authors>
  <commentList>
    <comment ref="C17" authorId="0" shapeId="0">
      <text>
        <r>
          <rPr>
            <sz val="9"/>
            <color indexed="81"/>
            <rFont val="Tahoma"/>
            <family val="2"/>
          </rPr>
          <t xml:space="preserve">Inflated to 2021 dollars
</t>
        </r>
      </text>
    </comment>
  </commentList>
</comments>
</file>

<file path=xl/sharedStrings.xml><?xml version="1.0" encoding="utf-8"?>
<sst xmlns="http://schemas.openxmlformats.org/spreadsheetml/2006/main" count="578" uniqueCount="180">
  <si>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</si>
  <si>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</si>
  <si>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</si>
  <si>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</si>
  <si>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</si>
  <si>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</si>
  <si>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</si>
  <si>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</si>
  <si>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</si>
  <si>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</si>
  <si>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</si>
  <si>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</si>
  <si>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</si>
  <si>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</si>
  <si>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</si>
  <si>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</si>
  <si>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</si>
  <si>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</si>
  <si>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</si>
  <si>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</si>
  <si>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</si>
  <si>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</si>
  <si>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</si>
  <si>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</si>
  <si>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</si>
  <si>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</si>
  <si>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</si>
  <si>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</si>
  <si>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</si>
  <si>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</si>
  <si>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</si>
  <si>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</si>
  <si>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</si>
  <si>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</si>
  <si>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t>($/kw-yr)</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</si>
  <si>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</si>
  <si>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</si>
  <si>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</si>
  <si>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</si>
  <si>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</si>
  <si>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</si>
  <si>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</si>
  <si>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</si>
  <si>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</si>
  <si>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</si>
  <si>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Wind</t>
  </si>
  <si>
    <t>Solar</t>
  </si>
  <si>
    <t>This model accounts for both avoided energy costs and avoided capacity costs.</t>
  </si>
  <si>
    <t>Nominal Discount Rate</t>
  </si>
  <si>
    <t>GDP Inflation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</si>
  <si>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</si>
  <si>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</si>
  <si>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</si>
  <si>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</si>
  <si>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</si>
  <si>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</si>
  <si>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</si>
  <si>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</si>
  <si>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</si>
  <si>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</si>
  <si>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</si>
  <si>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</si>
  <si>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</si>
  <si>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</si>
  <si>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</si>
  <si>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</si>
  <si>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</si>
  <si>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</si>
  <si>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</si>
  <si>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</si>
  <si>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</si>
  <si>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</si>
  <si>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</si>
  <si>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</si>
  <si>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</si>
  <si>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</si>
  <si>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</si>
  <si>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</si>
  <si>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</si>
  <si>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</si>
  <si>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</si>
  <si>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</si>
  <si>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</si>
  <si>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</si>
  <si>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</si>
  <si>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</si>
  <si>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</si>
  <si>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</si>
  <si>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</si>
  <si>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</si>
  <si>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(a)
Levelized Net $/kW-yr  Delivered To PSE</t>
  </si>
  <si>
    <t>Hours 
Available</t>
  </si>
  <si>
    <t>$/kW-yr</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</si>
  <si>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</si>
  <si>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</si>
  <si>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</si>
  <si>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</si>
  <si>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</si>
  <si>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</si>
  <si>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</si>
  <si>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</si>
  <si>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</si>
  <si>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</si>
  <si>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</si>
  <si>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</si>
  <si>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</si>
  <si>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r>
      <t xml:space="preserve">(b)=(a)*1.000                   
</t>
    </r>
    <r>
      <rPr>
        <u/>
        <sz val="10"/>
        <color theme="1"/>
        <rFont val="Arial"/>
        <family val="2"/>
      </rPr>
      <t>Baseload Resource</t>
    </r>
    <r>
      <rPr>
        <sz val="10"/>
        <rFont val="Arial"/>
        <family val="2"/>
      </rPr>
      <t xml:space="preserve"> ELCC=100.0%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</si>
  <si>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</si>
  <si>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</si>
  <si>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</si>
  <si>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</si>
  <si>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t>This Schedule 91 standard rate model is based upon the cost effectiveness standard model that has been used for evaluating individual measures of PSE's Energy Efficiency Services program.</t>
  </si>
  <si>
    <t>(l)=(d)*(k)
Solar 
Resource</t>
  </si>
  <si>
    <r>
      <t>Inflation</t>
    </r>
    <r>
      <rPr>
        <b/>
        <sz val="10"/>
        <rFont val="Arial"/>
        <family val="2"/>
      </rPr>
      <t xml:space="preserve"> (**)</t>
    </r>
    <r>
      <rPr>
        <b/>
        <sz val="12"/>
        <rFont val="Arial"/>
        <family val="2"/>
      </rPr>
      <t>:</t>
    </r>
  </si>
  <si>
    <t>- It is assumed that either a Frame Peaker is the incremental capacity resource in these years, therefore the "projected fixed costs of a simple-cycle combustion turbine" is used for cost.</t>
  </si>
  <si>
    <t>- These both reflect Eastern Washington resources</t>
  </si>
  <si>
    <t xml:space="preserve">Pricing </t>
  </si>
  <si>
    <t>20 yr Levelized Price</t>
  </si>
  <si>
    <t>Capacity ELCC</t>
  </si>
  <si>
    <t>Frame peaker</t>
  </si>
  <si>
    <t>Cost of Capacity $/KW</t>
  </si>
  <si>
    <t>T&amp;D Deferral</t>
  </si>
  <si>
    <t>Results - Summarized</t>
  </si>
  <si>
    <r>
      <t xml:space="preserve">(d)=(a)*0.040
</t>
    </r>
    <r>
      <rPr>
        <u/>
        <sz val="10"/>
        <color theme="1"/>
        <rFont val="Arial"/>
        <family val="2"/>
      </rPr>
      <t>Solar Resource</t>
    </r>
    <r>
      <rPr>
        <sz val="10"/>
        <rFont val="Arial"/>
        <family val="2"/>
      </rPr>
      <t xml:space="preserve"> ELCC=4.0%</t>
    </r>
  </si>
  <si>
    <t>Base load resources assumes 100% ELCC and 100% capacity factor for the pricing.</t>
  </si>
  <si>
    <t>Input Tabs</t>
  </si>
  <si>
    <t>Deferred T&amp;D Cost Credit ($/kW-yr)</t>
  </si>
  <si>
    <t>NW Power Act Regional Credit</t>
  </si>
  <si>
    <t>Conservation benefit not used</t>
  </si>
  <si>
    <t>This is set in the Cost of Capital</t>
  </si>
  <si>
    <t>Inflation rate</t>
  </si>
  <si>
    <t>The avoided capacity cost is comprised of the capacity benefit and the T&amp;D deferral benefit.</t>
  </si>
  <si>
    <t>The benefit of the avoided cost of transmission line losses since the energy is delivered to PSE distribution system is in column J.</t>
  </si>
  <si>
    <t>Columns N and O are the present value and the cumulative present value respectively  of the energy that is used to calculated the levelized cost in column P.</t>
  </si>
  <si>
    <t xml:space="preserve">Row 5 shows the Total Avoided Cost levelized cost </t>
  </si>
  <si>
    <t>Cell L6 includes the  reserve requirement.</t>
  </si>
  <si>
    <t>Row 9 is  the levelized cost over the time period.</t>
  </si>
  <si>
    <t>Row 13 shows the results of converting  the levelized cost stream to escalating price stream.</t>
  </si>
  <si>
    <t>The results in column W reflects  the annual cost and column X the levelized cost based on the number of years in the calculation.</t>
  </si>
  <si>
    <t>Comparison to the last filing inputs and results</t>
  </si>
  <si>
    <t xml:space="preserve">Capacity Factor </t>
  </si>
  <si>
    <t>Column I is fed from the [Energy Prices] tab</t>
  </si>
  <si>
    <t xml:space="preserve">2. [Capacity Delivered] tab </t>
  </si>
  <si>
    <t>4.  [FlatLoadShapeEnergy_perMWH] tab: Calculates the levelized cost of energy.</t>
  </si>
  <si>
    <t>6. All the output tabs indicate the proposed • Schedule 91 Standard Fixed Rates for baseload, solar and wind varied by number of years --  5, 10 and 15.</t>
  </si>
  <si>
    <t>7.  [Output Summary] tab summarizes the proposed Schedule 91 Standard Fixed Rates in this filing.</t>
  </si>
  <si>
    <t>Avoided cost is converted from $/KW to $/MWh  based on the Effective Load Carrying Capability (ELCC) and the net capacity factor  (NCF) of each type of resource.</t>
  </si>
  <si>
    <t xml:space="preserve">5. [Electric EES CE Std Energy] tab: Summarizing the information from [FlatLoadShapeEnergy_perMWH] tab  </t>
  </si>
  <si>
    <t xml:space="preserve"> T&amp;D Line Loss Reduction </t>
  </si>
  <si>
    <t>Schedule 91 -- Purchases from Qualifying Facilities of Five Megawatts or Less - Net Output Delivered to PSE's Transmission System</t>
  </si>
  <si>
    <t>Transmission Line Loss Reduction</t>
  </si>
  <si>
    <t>1.  [Energy Prices] tab</t>
  </si>
  <si>
    <t>Avoided Capacity Cost: Appendix H, Table H.6, page H.39</t>
  </si>
  <si>
    <t>Effective Load Carrying Capably (ELCC): Appendix D, Page D.36 and D.27, Table D.2 for Wind, Table D.3 for Solar</t>
  </si>
  <si>
    <t>Net Capacity Factor (NCF) Appendix D, Page D.36 and D.27, Table D.2 for Wind, Table D.3 for Solar</t>
  </si>
  <si>
    <t>3. Avoided Capacity Calcs tabs for:[Baseload Avoided Capacity Calcs], [Wind Avoided Cost Calcs], and [Solar Avoided Cost Calcs]</t>
  </si>
  <si>
    <t>2024 Sched 91</t>
  </si>
  <si>
    <t>Wind capacity factor and ELCC is based on 2023 EPR Table  D.2</t>
  </si>
  <si>
    <t>Solar capacity factor and ELCC is based on 2023 EPR Table D.3</t>
  </si>
  <si>
    <t>- The Wind and Solar ELCCs of 13% and 4.0% are based in the assumption used in Appendix D</t>
  </si>
  <si>
    <t>- Data for the table is provided by PSE's 2023 IRP</t>
  </si>
  <si>
    <t>- NCFs for Wind and Solar come from Appendix D, Table D.2, D.3 respectively.</t>
  </si>
  <si>
    <r>
      <t xml:space="preserve">(c)=(a)*0.13 
</t>
    </r>
    <r>
      <rPr>
        <u/>
        <sz val="10"/>
        <rFont val="Arial"/>
        <family val="2"/>
      </rPr>
      <t>Wind Resource</t>
    </r>
    <r>
      <rPr>
        <sz val="10"/>
        <rFont val="Arial"/>
        <family val="2"/>
      </rPr>
      <t xml:space="preserve"> ELCC=13%</t>
    </r>
  </si>
  <si>
    <r>
      <t xml:space="preserve">(i)=(f)*0.37
</t>
    </r>
    <r>
      <rPr>
        <u/>
        <sz val="10"/>
        <rFont val="Arial"/>
        <family val="2"/>
      </rPr>
      <t>Wind 
Resource</t>
    </r>
    <r>
      <rPr>
        <sz val="10"/>
        <rFont val="Arial"/>
        <family val="2"/>
      </rPr>
      <t xml:space="preserve">
NCF=37%</t>
    </r>
  </si>
  <si>
    <r>
      <t xml:space="preserve">(k)=(f)*0.25
</t>
    </r>
    <r>
      <rPr>
        <u/>
        <sz val="10"/>
        <color theme="1"/>
        <rFont val="Arial"/>
        <family val="2"/>
      </rPr>
      <t>Solar 
Resource</t>
    </r>
    <r>
      <rPr>
        <sz val="10"/>
        <color theme="1"/>
        <rFont val="Arial"/>
        <family val="2"/>
      </rPr>
      <t xml:space="preserve">
NCF=25%</t>
    </r>
  </si>
  <si>
    <t>As Used in UE-220066 and UG-220067</t>
  </si>
  <si>
    <t>PRO FORMA COST OF CAPITAL APPROVED IN UE-220066/UG-220067</t>
  </si>
  <si>
    <t>FOR THE TWELVE MONTHS ENDED DECEMBER 31, 2022</t>
  </si>
  <si>
    <t xml:space="preserve">Transmission losses updated as per section 15.7 Real Power Losses, PSE Current Effective OATT 6.1.23.
 </t>
  </si>
  <si>
    <t>PSE_Current_OATT_Effective_06.01.2023.pdf (oati.com)</t>
  </si>
  <si>
    <t>(j)=(c)*1000/(i)
Wind 
Resource</t>
  </si>
  <si>
    <t>Column D covers the Flat Load Shape Energy from $/MWh to $/kWh.</t>
  </si>
  <si>
    <t>8. Input update from the 2022 Schedule 91 filing includes:  Electricity Market Prices</t>
  </si>
  <si>
    <t>Not applicable to electricity delivered to PSE's transmission system</t>
  </si>
  <si>
    <r>
      <t xml:space="preserve">Basis for assumptions in this table is PSE's </t>
    </r>
    <r>
      <rPr>
        <sz val="12"/>
        <rFont val="Arial"/>
        <family val="2"/>
      </rPr>
      <t>2023 EPR</t>
    </r>
    <r>
      <rPr>
        <sz val="12"/>
        <color theme="1"/>
        <rFont val="Arial"/>
        <family val="2"/>
      </rPr>
      <t xml:space="preserve"> </t>
    </r>
  </si>
  <si>
    <t>All tabs include update to the period of 2025-2045</t>
  </si>
  <si>
    <t>2025 Sched 91</t>
  </si>
  <si>
    <t>Power prices have been updated to reflect PSE's latest forecast that will be consistent with the 2025 IRP.</t>
  </si>
  <si>
    <t>As provided for in WAC 480-106-040(1)(a), the estimated Avoided Energy Costs are based upon PSE's most current forecast of market prices for electricity in its 2025 IRP</t>
  </si>
  <si>
    <t xml:space="preserve">As provided for in WAC 480-106-040(1)(a), the estimated Avoided Energy Costs are based upon PSE's most current forecast of market prices for electricity in its 2025 IRP.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</si>
</sst>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 numFmtId="180" formatCode="&quot;$&quot;0"/>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sz val="9"/>
      <color indexed="81"/>
      <name val="Tahoma"/>
      <family val="2"/>
    </font>
    <font>
      <b/>
      <i/>
      <sz val="12"/>
      <color rgb="FFFFC000"/>
      <name val="Arial"/>
      <family val="2"/>
    </font>
    <font>
      <u/>
      <sz val="1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FFFF00"/>
        <bgColor indexed="64"/>
      </patternFill>
    </fill>
    <fill>
      <patternFill patternType="solid">
        <fgColor theme="7" tint="0.79998168889431442"/>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right style="medium">
        <color indexed="64"/>
      </right>
      <top style="thin">
        <color indexed="64"/>
      </top>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thin">
        <color indexed="64"/>
      </left>
      <right/>
      <top/>
      <bottom/>
      <diagonal/>
    </border>
  </borders>
  <cellStyleXfs count="6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7" fillId="0" borderId="0" applyNumberFormat="0" applyFill="0" applyBorder="0" applyAlignment="0" applyProtection="0">
      <alignment vertical="top"/>
      <protection locked="0"/>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0" fillId="0" borderId="0"/>
    <xf numFmtId="0" fontId="14" fillId="0" borderId="0"/>
    <xf numFmtId="0" fontId="10" fillId="0" borderId="0"/>
    <xf numFmtId="0" fontId="14" fillId="0" borderId="0"/>
    <xf numFmtId="0" fontId="14" fillId="23" borderId="7" applyNumberFormat="0" applyFont="0" applyAlignment="0" applyProtection="0"/>
    <xf numFmtId="0" fontId="27"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66" fontId="6" fillId="0" borderId="0">
      <alignment horizontal="left" wrapText="1"/>
    </xf>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4" fillId="0" borderId="0"/>
    <xf numFmtId="43" fontId="4" fillId="0" borderId="0" applyFont="0" applyFill="0" applyBorder="0" applyAlignment="0" applyProtection="0"/>
    <xf numFmtId="0" fontId="3" fillId="0" borderId="0"/>
    <xf numFmtId="44" fontId="3"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365">
    <xf numFmtId="0" fontId="0" fillId="0" borderId="0" xfId="0"/>
    <xf numFmtId="8" fontId="0" fillId="0" borderId="0" xfId="0" applyNumberFormat="1"/>
    <xf numFmtId="0" fontId="0" fillId="0" borderId="0" xfId="0" applyAlignment="1">
      <alignment horizontal="center"/>
    </xf>
    <xf numFmtId="0" fontId="9" fillId="0" borderId="0" xfId="0" applyFont="1" applyAlignment="1">
      <alignment horizontal="center" wrapText="1"/>
    </xf>
    <xf numFmtId="0" fontId="9" fillId="0" borderId="11" xfId="0" applyFont="1" applyBorder="1" applyAlignment="1">
      <alignment horizontal="center"/>
    </xf>
    <xf numFmtId="0" fontId="9" fillId="0" borderId="0" xfId="0" applyFont="1"/>
    <xf numFmtId="0" fontId="12" fillId="0" borderId="10" xfId="0" applyFont="1" applyBorder="1" applyAlignment="1">
      <alignment horizontal="center" wrapText="1"/>
    </xf>
    <xf numFmtId="0" fontId="12"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10"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1" fillId="0" borderId="0" xfId="47" applyFont="1"/>
    <xf numFmtId="0" fontId="9" fillId="0" borderId="0" xfId="47" applyFont="1" applyAlignment="1">
      <alignment horizontal="center"/>
    </xf>
    <xf numFmtId="0" fontId="9" fillId="0" borderId="0" xfId="47" applyFont="1" applyAlignment="1">
      <alignment horizontal="center" wrapText="1"/>
    </xf>
    <xf numFmtId="0" fontId="9" fillId="0" borderId="0" xfId="47" applyFont="1" applyFill="1" applyAlignment="1">
      <alignment horizontal="center" wrapText="1"/>
    </xf>
    <xf numFmtId="0" fontId="9" fillId="0" borderId="11" xfId="47" applyFont="1" applyBorder="1" applyAlignment="1">
      <alignment horizontal="center"/>
    </xf>
    <xf numFmtId="0" fontId="9" fillId="0" borderId="11" xfId="47" applyFont="1" applyFill="1" applyBorder="1" applyAlignment="1">
      <alignment horizontal="center"/>
    </xf>
    <xf numFmtId="0" fontId="9" fillId="0" borderId="0" xfId="47" applyFont="1" applyBorder="1" applyAlignment="1">
      <alignment horizontal="right"/>
    </xf>
    <xf numFmtId="0" fontId="13" fillId="0" borderId="0" xfId="47" applyFont="1" applyFill="1"/>
    <xf numFmtId="0" fontId="9" fillId="0" borderId="0" xfId="46" applyFont="1" applyFill="1" applyAlignment="1">
      <alignment horizontal="right"/>
    </xf>
    <xf numFmtId="0" fontId="9" fillId="0" borderId="0" xfId="46" applyFont="1" applyFill="1" applyAlignment="1">
      <alignment horizontal="center"/>
    </xf>
    <xf numFmtId="0" fontId="9" fillId="0" borderId="0" xfId="46" applyFont="1" applyFill="1" applyAlignment="1">
      <alignment horizontal="center" wrapText="1"/>
    </xf>
    <xf numFmtId="0" fontId="9" fillId="0" borderId="0" xfId="46" applyFont="1" applyFill="1" applyBorder="1" applyAlignment="1">
      <alignment horizontal="center" wrapText="1"/>
    </xf>
    <xf numFmtId="0" fontId="9" fillId="0" borderId="11" xfId="46" applyFont="1" applyFill="1" applyBorder="1" applyAlignment="1">
      <alignment horizontal="center"/>
    </xf>
    <xf numFmtId="0" fontId="9" fillId="0" borderId="0" xfId="46" applyFont="1" applyFill="1" applyBorder="1" applyAlignment="1">
      <alignment horizontal="center"/>
    </xf>
    <xf numFmtId="0" fontId="9" fillId="0" borderId="0" xfId="46" applyFont="1" applyFill="1" applyBorder="1" applyAlignment="1">
      <alignment horizontal="right"/>
    </xf>
    <xf numFmtId="0" fontId="0" fillId="0" borderId="0" xfId="0" quotePrefix="1"/>
    <xf numFmtId="44" fontId="12" fillId="0" borderId="10" xfId="31" applyFont="1" applyFill="1" applyBorder="1" applyAlignment="1">
      <alignment horizontal="center" wrapText="1"/>
    </xf>
    <xf numFmtId="0" fontId="5" fillId="0" borderId="0" xfId="47" applyFont="1" applyFill="1" applyAlignment="1">
      <alignment horizontal="left"/>
    </xf>
    <xf numFmtId="44" fontId="5" fillId="0" borderId="0" xfId="31" applyFont="1" applyBorder="1"/>
    <xf numFmtId="0" fontId="5" fillId="0" borderId="0" xfId="47" applyFont="1"/>
    <xf numFmtId="0" fontId="9" fillId="0" borderId="0" xfId="46" applyFont="1" applyFill="1" applyBorder="1"/>
    <xf numFmtId="0" fontId="0" fillId="0" borderId="0" xfId="0" applyBorder="1"/>
    <xf numFmtId="44" fontId="0" fillId="0" borderId="10" xfId="31" applyFont="1" applyBorder="1"/>
    <xf numFmtId="0" fontId="5" fillId="0" borderId="0" xfId="47" applyFont="1" applyFill="1" applyAlignment="1">
      <alignment horizontal="center"/>
    </xf>
    <xf numFmtId="0" fontId="5" fillId="0" borderId="0" xfId="46" applyFont="1" applyFill="1" applyAlignment="1">
      <alignment horizontal="center"/>
    </xf>
    <xf numFmtId="0" fontId="5" fillId="0" borderId="0" xfId="47" applyFont="1" applyAlignment="1">
      <alignment horizontal="center"/>
    </xf>
    <xf numFmtId="44" fontId="5" fillId="0" borderId="0" xfId="31" applyFont="1"/>
    <xf numFmtId="44" fontId="5" fillId="0" borderId="0" xfId="31" applyFont="1" applyAlignment="1">
      <alignment horizontal="center"/>
    </xf>
    <xf numFmtId="0" fontId="9" fillId="0" borderId="0" xfId="0" applyFont="1" applyAlignment="1">
      <alignment horizontal="center"/>
    </xf>
    <xf numFmtId="8" fontId="0" fillId="0" borderId="0" xfId="0" applyNumberFormat="1" applyBorder="1"/>
    <xf numFmtId="0" fontId="5" fillId="0" borderId="0" xfId="47" applyFont="1" applyFill="1"/>
    <xf numFmtId="168" fontId="5" fillId="0" borderId="0" xfId="32" applyNumberFormat="1" applyFont="1" applyFill="1" applyAlignment="1">
      <alignment horizontal="right"/>
    </xf>
    <xf numFmtId="10" fontId="5" fillId="0" borderId="10" xfId="50" applyNumberFormat="1" applyFont="1" applyFill="1" applyBorder="1" applyAlignment="1">
      <alignment horizontal="right"/>
    </xf>
    <xf numFmtId="167" fontId="5" fillId="0" borderId="0" xfId="51" applyNumberFormat="1" applyFont="1" applyAlignment="1">
      <alignment horizontal="right"/>
    </xf>
    <xf numFmtId="8" fontId="5" fillId="0" borderId="0" xfId="31" applyNumberFormat="1" applyFont="1" applyAlignment="1">
      <alignment horizontal="center"/>
    </xf>
    <xf numFmtId="0" fontId="5" fillId="0" borderId="0" xfId="47" applyFont="1" applyAlignment="1">
      <alignment horizontal="right"/>
    </xf>
    <xf numFmtId="0" fontId="5" fillId="0" borderId="0" xfId="47" applyFont="1" applyBorder="1"/>
    <xf numFmtId="168" fontId="5" fillId="0" borderId="0" xfId="32" applyNumberFormat="1" applyFont="1" applyFill="1" applyBorder="1" applyAlignment="1">
      <alignment horizontal="right"/>
    </xf>
    <xf numFmtId="167" fontId="5" fillId="0" borderId="0" xfId="51" applyNumberFormat="1" applyFont="1" applyBorder="1"/>
    <xf numFmtId="0" fontId="5" fillId="0" borderId="0" xfId="0" applyFont="1"/>
    <xf numFmtId="44" fontId="5" fillId="0" borderId="0" xfId="47" applyNumberFormat="1" applyFont="1" applyFill="1"/>
    <xf numFmtId="172" fontId="5" fillId="0" borderId="0" xfId="47" applyNumberFormat="1" applyFont="1" applyFill="1"/>
    <xf numFmtId="172" fontId="5" fillId="0" borderId="0" xfId="32" applyNumberFormat="1" applyFont="1" applyFill="1" applyAlignment="1">
      <alignment horizontal="center"/>
    </xf>
    <xf numFmtId="0" fontId="34" fillId="0" borderId="0" xfId="59" applyFont="1"/>
    <xf numFmtId="0" fontId="35" fillId="26" borderId="14" xfId="0" applyFont="1" applyFill="1" applyBorder="1" applyAlignment="1">
      <alignment vertical="center"/>
    </xf>
    <xf numFmtId="0" fontId="38" fillId="0" borderId="0" xfId="0" applyFont="1" applyBorder="1" applyAlignment="1">
      <alignment horizontal="right" vertical="center"/>
    </xf>
    <xf numFmtId="2" fontId="38" fillId="0" borderId="0" xfId="0" applyNumberFormat="1" applyFont="1" applyBorder="1" applyAlignment="1">
      <alignment horizontal="right" vertical="center"/>
    </xf>
    <xf numFmtId="2" fontId="38" fillId="0" borderId="0" xfId="0" applyNumberFormat="1" applyFont="1" applyFill="1" applyBorder="1" applyAlignment="1">
      <alignment horizontal="right" vertical="center"/>
    </xf>
    <xf numFmtId="0" fontId="34" fillId="0" borderId="0" xfId="59" applyFont="1" applyAlignment="1">
      <alignment horizontal="right"/>
    </xf>
    <xf numFmtId="8" fontId="34" fillId="0" borderId="29" xfId="59" applyNumberFormat="1" applyFont="1" applyBorder="1"/>
    <xf numFmtId="0" fontId="36" fillId="26" borderId="15" xfId="0" applyFont="1" applyFill="1" applyBorder="1" applyAlignment="1">
      <alignment horizontal="center" vertical="center"/>
    </xf>
    <xf numFmtId="0" fontId="36" fillId="26" borderId="16" xfId="0" applyFont="1" applyFill="1" applyBorder="1" applyAlignment="1">
      <alignment horizontal="center" vertical="center"/>
    </xf>
    <xf numFmtId="0" fontId="37" fillId="27" borderId="17" xfId="0" applyFont="1" applyFill="1" applyBorder="1" applyAlignment="1">
      <alignment horizontal="centerContinuous" vertical="center"/>
    </xf>
    <xf numFmtId="0" fontId="34" fillId="0" borderId="0" xfId="59" applyFont="1" applyAlignment="1">
      <alignment horizontal="right" indent="1"/>
    </xf>
    <xf numFmtId="0" fontId="34" fillId="0" borderId="0" xfId="59" applyFont="1" applyBorder="1" applyAlignment="1">
      <alignment horizontal="right" indent="1"/>
    </xf>
    <xf numFmtId="177" fontId="34" fillId="0" borderId="0" xfId="50" applyNumberFormat="1" applyFont="1" applyAlignment="1">
      <alignment horizontal="right"/>
    </xf>
    <xf numFmtId="0" fontId="2" fillId="0" borderId="0" xfId="63"/>
    <xf numFmtId="0" fontId="39" fillId="0" borderId="14" xfId="63" applyFont="1" applyBorder="1" applyAlignment="1">
      <alignment vertical="center"/>
    </xf>
    <xf numFmtId="0" fontId="40" fillId="0" borderId="15" xfId="63" applyFont="1" applyBorder="1" applyAlignment="1">
      <alignment vertical="center"/>
    </xf>
    <xf numFmtId="0" fontId="39" fillId="0" borderId="16" xfId="63" applyFont="1" applyBorder="1" applyAlignment="1">
      <alignment horizontal="right" vertical="center"/>
    </xf>
    <xf numFmtId="0" fontId="41" fillId="0" borderId="39" xfId="63" applyFont="1" applyBorder="1" applyAlignment="1">
      <alignment vertical="center"/>
    </xf>
    <xf numFmtId="0" fontId="40" fillId="0" borderId="0" xfId="63" applyFont="1"/>
    <xf numFmtId="0" fontId="39" fillId="0" borderId="40" xfId="63" applyFont="1" applyBorder="1" applyAlignment="1">
      <alignment horizontal="right" vertical="center"/>
    </xf>
    <xf numFmtId="0" fontId="40" fillId="0" borderId="39" xfId="63" applyFont="1" applyBorder="1" applyAlignment="1">
      <alignment vertical="center"/>
    </xf>
    <xf numFmtId="0" fontId="39" fillId="0" borderId="39" xfId="63" applyFont="1" applyBorder="1" applyAlignment="1">
      <alignment horizontal="center" vertical="center"/>
    </xf>
    <xf numFmtId="0" fontId="39" fillId="0" borderId="40" xfId="63" applyFont="1" applyBorder="1" applyAlignment="1">
      <alignment vertical="center"/>
    </xf>
    <xf numFmtId="0" fontId="40" fillId="0" borderId="40" xfId="63" applyFont="1" applyBorder="1" applyAlignment="1">
      <alignment vertical="center"/>
    </xf>
    <xf numFmtId="0" fontId="40" fillId="0" borderId="0" xfId="63" applyFont="1" applyAlignment="1">
      <alignment horizontal="center" vertical="center"/>
    </xf>
    <xf numFmtId="0" fontId="40" fillId="0" borderId="40" xfId="63" applyFont="1" applyBorder="1" applyAlignment="1">
      <alignment horizontal="center" vertical="center"/>
    </xf>
    <xf numFmtId="0" fontId="39" fillId="0" borderId="41" xfId="63" applyFont="1" applyBorder="1" applyAlignment="1">
      <alignment horizontal="center" vertical="center"/>
    </xf>
    <xf numFmtId="0" fontId="39" fillId="0" borderId="19" xfId="63" applyFont="1" applyBorder="1" applyAlignment="1">
      <alignment vertical="center"/>
    </xf>
    <xf numFmtId="0" fontId="40" fillId="0" borderId="19" xfId="63" applyFont="1" applyBorder="1" applyAlignment="1">
      <alignment horizontal="center" vertical="center"/>
    </xf>
    <xf numFmtId="0" fontId="40" fillId="0" borderId="42" xfId="63" applyFont="1" applyBorder="1" applyAlignment="1">
      <alignment horizontal="center" vertical="center"/>
    </xf>
    <xf numFmtId="0" fontId="40" fillId="0" borderId="39" xfId="63" applyFont="1" applyBorder="1" applyAlignment="1">
      <alignment horizontal="center" vertical="center"/>
    </xf>
    <xf numFmtId="0" fontId="40" fillId="0" borderId="0" xfId="63" applyFont="1" applyAlignment="1">
      <alignment vertical="center"/>
    </xf>
    <xf numFmtId="10" fontId="40" fillId="0" borderId="0" xfId="63" applyNumberFormat="1" applyFont="1" applyAlignment="1">
      <alignment horizontal="right" vertical="center"/>
    </xf>
    <xf numFmtId="10" fontId="40" fillId="0" borderId="40" xfId="63" applyNumberFormat="1" applyFont="1" applyBorder="1" applyAlignment="1">
      <alignment horizontal="right" vertical="center"/>
    </xf>
    <xf numFmtId="0" fontId="42" fillId="0" borderId="0" xfId="63" applyFont="1"/>
    <xf numFmtId="10" fontId="40" fillId="0" borderId="19" xfId="63" applyNumberFormat="1" applyFont="1" applyBorder="1" applyAlignment="1">
      <alignment horizontal="right" vertical="center"/>
    </xf>
    <xf numFmtId="10" fontId="40" fillId="0" borderId="15" xfId="63" applyNumberFormat="1" applyFont="1" applyBorder="1" applyAlignment="1">
      <alignment horizontal="right" vertical="center"/>
    </xf>
    <xf numFmtId="10" fontId="40" fillId="0" borderId="16" xfId="63" applyNumberFormat="1" applyFont="1" applyBorder="1" applyAlignment="1">
      <alignment horizontal="right" vertical="center"/>
    </xf>
    <xf numFmtId="0" fontId="40" fillId="0" borderId="41" xfId="63" applyFont="1" applyBorder="1" applyAlignment="1">
      <alignment horizontal="center" vertical="center"/>
    </xf>
    <xf numFmtId="0" fontId="40" fillId="0" borderId="19" xfId="63" applyFont="1" applyBorder="1" applyAlignment="1">
      <alignment vertical="center"/>
    </xf>
    <xf numFmtId="0" fontId="40" fillId="0" borderId="42" xfId="63" applyFont="1" applyBorder="1" applyAlignment="1">
      <alignment vertical="center"/>
    </xf>
    <xf numFmtId="2" fontId="5" fillId="0" borderId="0" xfId="0" applyNumberFormat="1" applyFont="1" applyAlignment="1">
      <alignment horizontal="center" wrapText="1"/>
    </xf>
    <xf numFmtId="2" fontId="5" fillId="0" borderId="0" xfId="0" applyNumberFormat="1" applyFont="1" applyAlignment="1">
      <alignment wrapText="1"/>
    </xf>
    <xf numFmtId="0" fontId="5" fillId="0" borderId="0" xfId="0" applyFont="1" applyAlignment="1">
      <alignment horizontal="center"/>
    </xf>
    <xf numFmtId="44" fontId="5" fillId="0" borderId="0" xfId="0" applyNumberFormat="1" applyFont="1"/>
    <xf numFmtId="0" fontId="5" fillId="0" borderId="0" xfId="0" applyFont="1" applyBorder="1"/>
    <xf numFmtId="173" fontId="5" fillId="0" borderId="0" xfId="0" applyNumberFormat="1" applyFont="1"/>
    <xf numFmtId="44" fontId="5" fillId="0" borderId="0" xfId="0" applyNumberFormat="1" applyFont="1" applyBorder="1"/>
    <xf numFmtId="0" fontId="43" fillId="0" borderId="0" xfId="0" applyFont="1" applyBorder="1"/>
    <xf numFmtId="174" fontId="5" fillId="0" borderId="0" xfId="0" applyNumberFormat="1" applyFont="1"/>
    <xf numFmtId="8" fontId="5" fillId="0" borderId="0" xfId="0" applyNumberFormat="1" applyFont="1" applyBorder="1"/>
    <xf numFmtId="8" fontId="5" fillId="0" borderId="0" xfId="0" applyNumberFormat="1" applyFont="1"/>
    <xf numFmtId="0" fontId="5" fillId="0" borderId="34" xfId="0" applyFont="1" applyFill="1" applyBorder="1"/>
    <xf numFmtId="44" fontId="5" fillId="0" borderId="34" xfId="31" applyFont="1" applyFill="1" applyBorder="1"/>
    <xf numFmtId="175" fontId="5" fillId="0" borderId="0" xfId="31" applyNumberFormat="1" applyFont="1" applyBorder="1"/>
    <xf numFmtId="0" fontId="5" fillId="24" borderId="10" xfId="0" applyFont="1" applyFill="1" applyBorder="1" applyAlignment="1">
      <alignment horizontal="center"/>
    </xf>
    <xf numFmtId="0" fontId="5" fillId="0" borderId="0" xfId="0" applyFont="1" applyFill="1" applyBorder="1"/>
    <xf numFmtId="8" fontId="5" fillId="0" borderId="0" xfId="0" applyNumberFormat="1" applyFont="1" applyFill="1" applyBorder="1"/>
    <xf numFmtId="9" fontId="5" fillId="0" borderId="0" xfId="50" applyFont="1"/>
    <xf numFmtId="0" fontId="44" fillId="0" borderId="0" xfId="0" applyFont="1"/>
    <xf numFmtId="0" fontId="5" fillId="0" borderId="0" xfId="0" applyFont="1" applyFill="1"/>
    <xf numFmtId="2" fontId="5" fillId="0" borderId="0" xfId="0" applyNumberFormat="1" applyFont="1"/>
    <xf numFmtId="40" fontId="5" fillId="0" borderId="0" xfId="0" applyNumberFormat="1" applyFont="1"/>
    <xf numFmtId="17" fontId="45" fillId="0" borderId="0" xfId="0" applyNumberFormat="1" applyFont="1" applyAlignment="1">
      <alignment horizontal="left" vertical="top"/>
    </xf>
    <xf numFmtId="17" fontId="5"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Fill="1" applyAlignment="1">
      <alignment horizontal="center" vertical="top"/>
    </xf>
    <xf numFmtId="0" fontId="5" fillId="0" borderId="0" xfId="0" applyFont="1" applyFill="1" applyBorder="1" applyAlignment="1">
      <alignment horizontal="center" vertical="top"/>
    </xf>
    <xf numFmtId="0" fontId="9" fillId="0" borderId="0" xfId="0" applyFont="1" applyFill="1" applyAlignment="1">
      <alignment horizontal="left" vertical="top"/>
    </xf>
    <xf numFmtId="176" fontId="5" fillId="0" borderId="0" xfId="0" applyNumberFormat="1" applyFont="1"/>
    <xf numFmtId="0" fontId="5" fillId="0" borderId="32" xfId="0" applyFont="1" applyFill="1" applyBorder="1"/>
    <xf numFmtId="2" fontId="5" fillId="0" borderId="34" xfId="0" applyNumberFormat="1" applyFont="1" applyFill="1" applyBorder="1"/>
    <xf numFmtId="2" fontId="5" fillId="0" borderId="0" xfId="0" applyNumberFormat="1" applyFont="1" applyBorder="1"/>
    <xf numFmtId="164" fontId="5" fillId="0" borderId="0" xfId="0" applyNumberFormat="1" applyFont="1" applyBorder="1"/>
    <xf numFmtId="0" fontId="5" fillId="0" borderId="31" xfId="0" applyFont="1" applyFill="1" applyBorder="1"/>
    <xf numFmtId="40" fontId="5" fillId="0" borderId="31" xfId="0" applyNumberFormat="1" applyFont="1" applyFill="1" applyBorder="1"/>
    <xf numFmtId="2" fontId="5" fillId="0" borderId="0" xfId="0" applyNumberFormat="1" applyFont="1" applyBorder="1" applyAlignment="1">
      <alignment horizontal="center" wrapText="1"/>
    </xf>
    <xf numFmtId="2" fontId="5" fillId="0" borderId="0" xfId="0" applyNumberFormat="1" applyFont="1" applyBorder="1" applyAlignment="1">
      <alignment wrapText="1"/>
    </xf>
    <xf numFmtId="173" fontId="5" fillId="0" borderId="0" xfId="0" applyNumberFormat="1" applyFont="1" applyBorder="1"/>
    <xf numFmtId="171" fontId="5" fillId="0" borderId="34" xfId="28" applyNumberFormat="1" applyFont="1" applyFill="1" applyBorder="1"/>
    <xf numFmtId="173" fontId="5" fillId="0" borderId="34" xfId="28" applyNumberFormat="1" applyFont="1" applyFill="1" applyBorder="1"/>
    <xf numFmtId="1" fontId="5" fillId="0" borderId="34" xfId="0" applyNumberFormat="1" applyFont="1" applyFill="1" applyBorder="1" applyAlignment="1">
      <alignment horizontal="center"/>
    </xf>
    <xf numFmtId="0" fontId="5" fillId="0" borderId="34" xfId="0" applyFont="1" applyFill="1" applyBorder="1" applyAlignment="1">
      <alignment horizontal="center"/>
    </xf>
    <xf numFmtId="170" fontId="5" fillId="0" borderId="34" xfId="31" applyNumberFormat="1" applyFont="1" applyFill="1" applyBorder="1"/>
    <xf numFmtId="169" fontId="5" fillId="0" borderId="34" xfId="31" applyNumberFormat="1" applyFont="1" applyFill="1" applyBorder="1"/>
    <xf numFmtId="169" fontId="5" fillId="0" borderId="34" xfId="0" applyNumberFormat="1" applyFont="1" applyFill="1" applyBorder="1"/>
    <xf numFmtId="44" fontId="5" fillId="0" borderId="34" xfId="0" applyNumberFormat="1" applyFont="1" applyFill="1" applyBorder="1"/>
    <xf numFmtId="44" fontId="5" fillId="28" borderId="33" xfId="0" applyNumberFormat="1" applyFont="1" applyFill="1" applyBorder="1"/>
    <xf numFmtId="44" fontId="5" fillId="28" borderId="21" xfId="0" applyNumberFormat="1" applyFont="1" applyFill="1" applyBorder="1"/>
    <xf numFmtId="44" fontId="5" fillId="28" borderId="24" xfId="0" applyNumberFormat="1" applyFont="1" applyFill="1" applyBorder="1"/>
    <xf numFmtId="178" fontId="5" fillId="0" borderId="34" xfId="0" applyNumberFormat="1" applyFont="1" applyFill="1" applyBorder="1"/>
    <xf numFmtId="178" fontId="5" fillId="0" borderId="32" xfId="31" applyNumberFormat="1" applyFont="1" applyFill="1" applyBorder="1"/>
    <xf numFmtId="170" fontId="10" fillId="0" borderId="10" xfId="31" applyNumberFormat="1" applyFont="1" applyFill="1" applyBorder="1"/>
    <xf numFmtId="10" fontId="0" fillId="0" borderId="30" xfId="0" applyNumberFormat="1" applyFill="1" applyBorder="1"/>
    <xf numFmtId="10" fontId="0" fillId="0" borderId="35" xfId="50" applyNumberFormat="1" applyFont="1" applyFill="1" applyBorder="1"/>
    <xf numFmtId="0" fontId="9" fillId="0" borderId="31" xfId="46" applyFont="1" applyFill="1" applyBorder="1" applyAlignment="1">
      <alignment horizontal="center"/>
    </xf>
    <xf numFmtId="0" fontId="9" fillId="0" borderId="0" xfId="47" applyFont="1" applyFill="1" applyBorder="1" applyAlignment="1">
      <alignment horizontal="right"/>
    </xf>
    <xf numFmtId="0" fontId="43" fillId="0" borderId="0" xfId="47" applyFont="1" applyFill="1" applyAlignment="1">
      <alignment horizontal="center"/>
    </xf>
    <xf numFmtId="0" fontId="5" fillId="0" borderId="0" xfId="47" applyFont="1" applyBorder="1" applyAlignment="1">
      <alignment horizontal="center"/>
    </xf>
    <xf numFmtId="44" fontId="5" fillId="0" borderId="0" xfId="31" applyFont="1" applyBorder="1" applyAlignment="1">
      <alignment horizontal="center"/>
    </xf>
    <xf numFmtId="0" fontId="9" fillId="0" borderId="31" xfId="47" applyFont="1" applyFill="1" applyBorder="1" applyAlignment="1">
      <alignment horizontal="center"/>
    </xf>
    <xf numFmtId="0" fontId="6" fillId="0" borderId="0" xfId="47" applyFont="1" applyFill="1"/>
    <xf numFmtId="0" fontId="5" fillId="0" borderId="0" xfId="47" applyFont="1" applyFill="1" applyBorder="1"/>
    <xf numFmtId="0" fontId="5" fillId="0" borderId="0" xfId="46" applyFont="1" applyFill="1" applyBorder="1" applyAlignment="1">
      <alignment horizontal="center"/>
    </xf>
    <xf numFmtId="44" fontId="32" fillId="0" borderId="0" xfId="31" applyFont="1" applyFill="1" applyBorder="1"/>
    <xf numFmtId="0" fontId="46" fillId="0" borderId="0" xfId="47" applyFont="1"/>
    <xf numFmtId="0" fontId="6" fillId="0" borderId="0" xfId="0" applyFont="1"/>
    <xf numFmtId="44" fontId="6" fillId="0" borderId="0" xfId="0" applyNumberFormat="1" applyFont="1" applyFill="1"/>
    <xf numFmtId="8" fontId="46" fillId="0" borderId="0" xfId="47" applyNumberFormat="1" applyFont="1" applyFill="1" applyBorder="1"/>
    <xf numFmtId="44" fontId="32" fillId="0" borderId="0" xfId="31" applyNumberFormat="1" applyFont="1" applyFill="1" applyBorder="1"/>
    <xf numFmtId="0" fontId="5" fillId="0" borderId="0" xfId="46" applyFont="1" applyFill="1" applyBorder="1"/>
    <xf numFmtId="10" fontId="5" fillId="0" borderId="35" xfId="51" applyNumberFormat="1" applyFont="1" applyFill="1" applyBorder="1" applyAlignment="1">
      <alignment horizontal="right"/>
    </xf>
    <xf numFmtId="167" fontId="5" fillId="0" borderId="0" xfId="51" applyNumberFormat="1" applyFont="1" applyFill="1" applyBorder="1" applyAlignment="1">
      <alignment horizontal="right"/>
    </xf>
    <xf numFmtId="2" fontId="5" fillId="0" borderId="0" xfId="46" applyNumberFormat="1" applyFont="1" applyFill="1" applyBorder="1" applyAlignment="1">
      <alignment horizontal="center"/>
    </xf>
    <xf numFmtId="8" fontId="5" fillId="0" borderId="0" xfId="46" applyNumberFormat="1" applyFont="1" applyFill="1"/>
    <xf numFmtId="44" fontId="5" fillId="0" borderId="0" xfId="32" applyFont="1" applyFill="1"/>
    <xf numFmtId="44" fontId="5" fillId="0" borderId="0" xfId="46" applyNumberFormat="1" applyFont="1" applyFill="1"/>
    <xf numFmtId="44" fontId="5" fillId="0" borderId="0" xfId="32" applyFont="1" applyFill="1" applyAlignment="1">
      <alignment horizontal="center"/>
    </xf>
    <xf numFmtId="2" fontId="5" fillId="0" borderId="0" xfId="46" applyNumberFormat="1" applyFont="1" applyFill="1" applyAlignment="1">
      <alignment horizontal="center"/>
    </xf>
    <xf numFmtId="0" fontId="5" fillId="0" borderId="0" xfId="46" applyFont="1" applyFill="1" applyBorder="1" applyAlignment="1">
      <alignment horizontal="right"/>
    </xf>
    <xf numFmtId="0" fontId="5" fillId="0" borderId="0" xfId="46" applyFont="1" applyFill="1" applyBorder="1" applyAlignment="1"/>
    <xf numFmtId="167" fontId="5" fillId="0" borderId="0" xfId="51" applyNumberFormat="1" applyFont="1" applyFill="1" applyBorder="1"/>
    <xf numFmtId="0" fontId="31" fillId="0" borderId="0" xfId="47" applyFont="1" applyFill="1"/>
    <xf numFmtId="0" fontId="31" fillId="0" borderId="0" xfId="46" applyFont="1" applyFill="1"/>
    <xf numFmtId="0" fontId="47" fillId="0" borderId="0" xfId="46" applyFont="1" applyFill="1" applyAlignment="1">
      <alignment horizontal="right"/>
    </xf>
    <xf numFmtId="0" fontId="47" fillId="0" borderId="0" xfId="46" applyFont="1" applyFill="1"/>
    <xf numFmtId="0" fontId="5" fillId="0" borderId="0" xfId="46" applyFont="1" applyFill="1"/>
    <xf numFmtId="0" fontId="9" fillId="0" borderId="0" xfId="46" applyFont="1" applyFill="1"/>
    <xf numFmtId="0" fontId="32" fillId="0" borderId="0" xfId="47" applyFont="1" applyFill="1"/>
    <xf numFmtId="0" fontId="31" fillId="0" borderId="0" xfId="46" applyFont="1" applyFill="1" applyAlignment="1">
      <alignment wrapText="1"/>
    </xf>
    <xf numFmtId="8" fontId="5" fillId="0" borderId="34" xfId="31" applyNumberFormat="1" applyFont="1" applyFill="1" applyBorder="1"/>
    <xf numFmtId="8" fontId="43" fillId="0" borderId="0" xfId="0" applyNumberFormat="1" applyFont="1"/>
    <xf numFmtId="8" fontId="5" fillId="0" borderId="10" xfId="0" applyNumberFormat="1" applyFont="1" applyFill="1" applyBorder="1"/>
    <xf numFmtId="0" fontId="5" fillId="0" borderId="0" xfId="0" applyFont="1" applyFill="1" applyBorder="1" applyAlignment="1">
      <alignment horizontal="center"/>
    </xf>
    <xf numFmtId="0" fontId="48" fillId="0" borderId="0" xfId="0" applyFont="1" applyAlignment="1">
      <alignment vertical="center"/>
    </xf>
    <xf numFmtId="0" fontId="5" fillId="0" borderId="0" xfId="31" applyNumberFormat="1" applyFont="1" applyBorder="1" applyAlignment="1">
      <alignment horizontal="center"/>
    </xf>
    <xf numFmtId="0" fontId="5" fillId="25" borderId="30" xfId="0" applyFont="1" applyFill="1" applyBorder="1" applyAlignment="1">
      <alignment vertical="center" wrapText="1"/>
    </xf>
    <xf numFmtId="0" fontId="5" fillId="25" borderId="30" xfId="0" applyFont="1" applyFill="1" applyBorder="1" applyAlignment="1">
      <alignment horizontal="left" vertical="center" wrapText="1"/>
    </xf>
    <xf numFmtId="0" fontId="34" fillId="0" borderId="0" xfId="59" applyFont="1" applyAlignment="1">
      <alignment wrapText="1"/>
    </xf>
    <xf numFmtId="44" fontId="5" fillId="0" borderId="0" xfId="0" applyNumberFormat="1" applyFont="1" applyFill="1" applyBorder="1"/>
    <xf numFmtId="0" fontId="9" fillId="0" borderId="0" xfId="0" applyFont="1" applyAlignment="1">
      <alignment horizontal="left"/>
    </xf>
    <xf numFmtId="0" fontId="49" fillId="0" borderId="48" xfId="0" applyFont="1" applyBorder="1" applyAlignment="1">
      <alignment horizontal="center" vertical="center"/>
    </xf>
    <xf numFmtId="0" fontId="49" fillId="0" borderId="47" xfId="0" applyFont="1" applyBorder="1" applyAlignment="1">
      <alignment horizontal="center" vertical="center"/>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0" borderId="49" xfId="0" applyFont="1" applyBorder="1" applyAlignment="1">
      <alignment horizontal="center" vertical="center"/>
    </xf>
    <xf numFmtId="1" fontId="49" fillId="0" borderId="12" xfId="0" applyNumberFormat="1" applyFont="1" applyBorder="1" applyAlignment="1">
      <alignment horizontal="center" vertical="center"/>
    </xf>
    <xf numFmtId="8" fontId="49" fillId="0" borderId="13" xfId="0" applyNumberFormat="1" applyFont="1" applyBorder="1" applyAlignment="1">
      <alignment horizontal="right" vertical="center"/>
    </xf>
    <xf numFmtId="1" fontId="49" fillId="0" borderId="48" xfId="0" applyNumberFormat="1" applyFont="1" applyBorder="1" applyAlignment="1">
      <alignment horizontal="center" vertical="center"/>
    </xf>
    <xf numFmtId="8" fontId="49" fillId="0" borderId="49" xfId="0" applyNumberFormat="1" applyFont="1" applyBorder="1" applyAlignment="1">
      <alignment horizontal="right" vertical="center"/>
    </xf>
    <xf numFmtId="1" fontId="49" fillId="0" borderId="23" xfId="0" applyNumberFormat="1" applyFont="1" applyBorder="1" applyAlignment="1">
      <alignment horizontal="center" vertical="center"/>
    </xf>
    <xf numFmtId="8" fontId="49" fillId="0" borderId="25" xfId="0" applyNumberFormat="1" applyFont="1" applyBorder="1" applyAlignment="1">
      <alignment horizontal="right" vertical="center"/>
    </xf>
    <xf numFmtId="0" fontId="49" fillId="0" borderId="0" xfId="59" applyFont="1"/>
    <xf numFmtId="0" fontId="6" fillId="0" borderId="0" xfId="0" applyFont="1" applyBorder="1"/>
    <xf numFmtId="0" fontId="6" fillId="0" borderId="0" xfId="0" applyFont="1" applyFill="1" applyBorder="1"/>
    <xf numFmtId="0" fontId="49" fillId="0" borderId="0" xfId="59" applyFont="1" applyBorder="1"/>
    <xf numFmtId="0" fontId="49" fillId="0" borderId="11" xfId="59" applyFont="1" applyBorder="1" applyAlignment="1">
      <alignment horizontal="center"/>
    </xf>
    <xf numFmtId="44" fontId="6" fillId="0" borderId="0" xfId="60" applyNumberFormat="1" applyFont="1"/>
    <xf numFmtId="0" fontId="49" fillId="0" borderId="20" xfId="59" applyFont="1" applyFill="1" applyBorder="1"/>
    <xf numFmtId="0" fontId="49" fillId="0" borderId="23" xfId="0" applyFont="1" applyBorder="1" applyAlignment="1">
      <alignment horizontal="center" vertical="center"/>
    </xf>
    <xf numFmtId="169" fontId="49" fillId="0" borderId="58" xfId="31" applyNumberFormat="1" applyFont="1" applyBorder="1"/>
    <xf numFmtId="169" fontId="49" fillId="0" borderId="57" xfId="31" applyNumberFormat="1" applyFont="1" applyBorder="1"/>
    <xf numFmtId="169" fontId="6" fillId="0" borderId="27" xfId="31" applyNumberFormat="1" applyFont="1" applyBorder="1"/>
    <xf numFmtId="169" fontId="6" fillId="0" borderId="60" xfId="31" applyNumberFormat="1" applyFont="1" applyBorder="1"/>
    <xf numFmtId="1" fontId="49" fillId="0" borderId="21" xfId="0" applyNumberFormat="1" applyFont="1" applyBorder="1" applyAlignment="1">
      <alignment horizontal="center" vertical="center"/>
    </xf>
    <xf numFmtId="1" fontId="49" fillId="0" borderId="44" xfId="0" applyNumberFormat="1" applyFont="1" applyBorder="1" applyAlignment="1">
      <alignment horizontal="center" vertical="center"/>
    </xf>
    <xf numFmtId="1" fontId="49" fillId="0" borderId="56" xfId="0" applyNumberFormat="1" applyFont="1" applyBorder="1" applyAlignment="1">
      <alignment horizontal="center" vertical="center"/>
    </xf>
    <xf numFmtId="9" fontId="5" fillId="0" borderId="30" xfId="0" applyNumberFormat="1" applyFont="1" applyFill="1" applyBorder="1" applyAlignment="1">
      <alignment horizontal="center"/>
    </xf>
    <xf numFmtId="169" fontId="5" fillId="0" borderId="0" xfId="31" applyNumberFormat="1" applyFont="1" applyBorder="1" applyAlignment="1">
      <alignment horizontal="center"/>
    </xf>
    <xf numFmtId="169" fontId="5" fillId="0" borderId="0" xfId="31" applyNumberFormat="1" applyFont="1" applyAlignment="1">
      <alignment horizontal="center"/>
    </xf>
    <xf numFmtId="0" fontId="9" fillId="0" borderId="14" xfId="0" applyFont="1" applyBorder="1" applyAlignment="1">
      <alignment horizontal="center" wrapText="1"/>
    </xf>
    <xf numFmtId="0" fontId="9" fillId="0" borderId="16" xfId="0" applyFont="1" applyBorder="1" applyAlignment="1">
      <alignment horizontal="center" wrapText="1"/>
    </xf>
    <xf numFmtId="0" fontId="9" fillId="0" borderId="61" xfId="0" applyFont="1" applyBorder="1" applyAlignment="1">
      <alignment horizontal="center"/>
    </xf>
    <xf numFmtId="0" fontId="9" fillId="0" borderId="27" xfId="0" applyFont="1" applyBorder="1" applyAlignment="1">
      <alignment horizontal="center"/>
    </xf>
    <xf numFmtId="0" fontId="9" fillId="0" borderId="62" xfId="47" applyFont="1" applyFill="1" applyBorder="1" applyAlignment="1">
      <alignment horizontal="center"/>
    </xf>
    <xf numFmtId="0" fontId="9" fillId="0" borderId="63" xfId="47" applyFont="1" applyFill="1" applyBorder="1" applyAlignment="1">
      <alignment horizontal="center"/>
    </xf>
    <xf numFmtId="44" fontId="5" fillId="0" borderId="39" xfId="31" applyFont="1" applyBorder="1" applyAlignment="1">
      <alignment horizontal="center"/>
    </xf>
    <xf numFmtId="169" fontId="5" fillId="0" borderId="40" xfId="31" applyNumberFormat="1" applyFont="1" applyBorder="1" applyAlignment="1">
      <alignment horizontal="center"/>
    </xf>
    <xf numFmtId="44" fontId="5" fillId="0" borderId="41" xfId="31" applyFont="1" applyBorder="1" applyAlignment="1">
      <alignment horizontal="center"/>
    </xf>
    <xf numFmtId="169" fontId="5" fillId="0" borderId="42" xfId="31" applyNumberFormat="1" applyFont="1" applyBorder="1" applyAlignment="1">
      <alignment horizontal="center"/>
    </xf>
    <xf numFmtId="8" fontId="5" fillId="0" borderId="0" xfId="47" applyNumberFormat="1" applyFont="1"/>
    <xf numFmtId="2" fontId="49" fillId="0" borderId="0" xfId="59" applyNumberFormat="1" applyFont="1"/>
    <xf numFmtId="8" fontId="6" fillId="0" borderId="0" xfId="0" applyNumberFormat="1" applyFont="1"/>
    <xf numFmtId="8" fontId="34" fillId="0" borderId="22" xfId="31" applyNumberFormat="1" applyFont="1" applyBorder="1"/>
    <xf numFmtId="0" fontId="49" fillId="0" borderId="18" xfId="59" applyFont="1" applyBorder="1" applyAlignment="1">
      <alignment horizontal="center"/>
    </xf>
    <xf numFmtId="169" fontId="49" fillId="0" borderId="52" xfId="31" applyNumberFormat="1" applyFont="1" applyBorder="1"/>
    <xf numFmtId="169" fontId="49" fillId="0" borderId="66" xfId="31" applyNumberFormat="1" applyFont="1" applyBorder="1"/>
    <xf numFmtId="169" fontId="6" fillId="0" borderId="45" xfId="31" applyNumberFormat="1" applyFont="1" applyBorder="1"/>
    <xf numFmtId="167" fontId="5" fillId="0" borderId="0" xfId="51" applyNumberFormat="1" applyFont="1" applyFill="1" applyAlignment="1">
      <alignment horizontal="right"/>
    </xf>
    <xf numFmtId="44" fontId="5" fillId="0" borderId="0" xfId="31" applyFont="1" applyFill="1"/>
    <xf numFmtId="44" fontId="5" fillId="0" borderId="0" xfId="31" applyFont="1" applyFill="1" applyAlignment="1">
      <alignment horizontal="center"/>
    </xf>
    <xf numFmtId="169" fontId="5" fillId="0" borderId="0" xfId="31" applyNumberFormat="1" applyFont="1" applyFill="1" applyAlignment="1">
      <alignment horizontal="center"/>
    </xf>
    <xf numFmtId="44" fontId="5" fillId="0" borderId="39" xfId="31" applyFont="1" applyFill="1" applyBorder="1" applyAlignment="1">
      <alignment horizontal="center"/>
    </xf>
    <xf numFmtId="169" fontId="5" fillId="0" borderId="40" xfId="31" applyNumberFormat="1" applyFont="1" applyFill="1" applyBorder="1" applyAlignment="1">
      <alignment horizontal="center"/>
    </xf>
    <xf numFmtId="0" fontId="5" fillId="0" borderId="0" xfId="47" applyFont="1" applyFill="1" applyAlignment="1">
      <alignment horizontal="right"/>
    </xf>
    <xf numFmtId="9" fontId="5" fillId="0" borderId="0" xfId="50" applyFont="1" applyFill="1" applyBorder="1"/>
    <xf numFmtId="44" fontId="5" fillId="0" borderId="0" xfId="31" applyFont="1" applyFill="1" applyBorder="1"/>
    <xf numFmtId="0" fontId="46" fillId="0" borderId="0" xfId="47" applyFont="1" applyFill="1" applyBorder="1"/>
    <xf numFmtId="0" fontId="46" fillId="0" borderId="0" xfId="47" applyFont="1" applyFill="1"/>
    <xf numFmtId="0" fontId="6" fillId="0" borderId="0" xfId="0" applyFont="1" applyFill="1"/>
    <xf numFmtId="0" fontId="5" fillId="0" borderId="0" xfId="47" applyFont="1" applyFill="1" applyBorder="1" applyAlignment="1">
      <alignment horizontal="center"/>
    </xf>
    <xf numFmtId="44" fontId="5" fillId="0" borderId="0" xfId="31" applyFont="1" applyFill="1" applyBorder="1" applyAlignment="1">
      <alignment horizontal="center"/>
    </xf>
    <xf numFmtId="169" fontId="5" fillId="0" borderId="0" xfId="31" applyNumberFormat="1" applyFont="1" applyFill="1" applyBorder="1" applyAlignment="1">
      <alignment horizontal="center"/>
    </xf>
    <xf numFmtId="0" fontId="49" fillId="0" borderId="14" xfId="59" applyFont="1" applyFill="1" applyBorder="1" applyAlignment="1">
      <alignment horizontal="center" vertical="top" wrapText="1"/>
    </xf>
    <xf numFmtId="0" fontId="49" fillId="0" borderId="65" xfId="59" applyFont="1" applyBorder="1" applyAlignment="1">
      <alignment horizontal="center"/>
    </xf>
    <xf numFmtId="0" fontId="49" fillId="0" borderId="39" xfId="59" applyFont="1" applyFill="1" applyBorder="1" applyAlignment="1">
      <alignment horizontal="center" wrapText="1"/>
    </xf>
    <xf numFmtId="0" fontId="49" fillId="0" borderId="68" xfId="59" applyFont="1" applyFill="1" applyBorder="1" applyAlignment="1">
      <alignment horizontal="center" wrapText="1"/>
    </xf>
    <xf numFmtId="0" fontId="49" fillId="0" borderId="17" xfId="59" applyFont="1" applyFill="1" applyBorder="1" applyAlignment="1">
      <alignment horizontal="center" wrapText="1"/>
    </xf>
    <xf numFmtId="0" fontId="49" fillId="0" borderId="69" xfId="59" applyFont="1" applyFill="1" applyBorder="1" applyAlignment="1">
      <alignment horizontal="center" wrapText="1"/>
    </xf>
    <xf numFmtId="44" fontId="6" fillId="0" borderId="60" xfId="60" applyFont="1" applyBorder="1"/>
    <xf numFmtId="44" fontId="6" fillId="0" borderId="70" xfId="60" applyFont="1" applyBorder="1"/>
    <xf numFmtId="0" fontId="49" fillId="0" borderId="71" xfId="59" applyFont="1" applyFill="1" applyBorder="1"/>
    <xf numFmtId="44" fontId="6" fillId="0" borderId="45" xfId="60" applyFont="1" applyBorder="1"/>
    <xf numFmtId="0" fontId="49" fillId="0" borderId="67" xfId="59" applyFont="1" applyFill="1" applyBorder="1" applyAlignment="1">
      <alignment horizontal="center" vertical="top" wrapText="1"/>
    </xf>
    <xf numFmtId="0" fontId="49" fillId="30" borderId="38" xfId="59" applyFont="1" applyFill="1" applyBorder="1" applyAlignment="1">
      <alignment horizontal="center"/>
    </xf>
    <xf numFmtId="0" fontId="49" fillId="30" borderId="37" xfId="59" applyFont="1" applyFill="1" applyBorder="1" applyAlignment="1">
      <alignment horizontal="center"/>
    </xf>
    <xf numFmtId="0" fontId="49" fillId="30" borderId="28" xfId="59" applyFont="1" applyFill="1" applyBorder="1" applyAlignment="1">
      <alignment horizontal="center"/>
    </xf>
    <xf numFmtId="0" fontId="5"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5" fillId="0" borderId="34" xfId="0" applyNumberFormat="1" applyFont="1" applyFill="1" applyBorder="1" applyAlignment="1">
      <alignment horizontal="right"/>
    </xf>
    <xf numFmtId="0" fontId="49" fillId="0" borderId="0" xfId="59" applyFont="1" applyFill="1"/>
    <xf numFmtId="0" fontId="49" fillId="0" borderId="51" xfId="59" applyFont="1" applyFill="1" applyBorder="1" applyAlignment="1">
      <alignment horizontal="center" vertical="top" wrapText="1"/>
    </xf>
    <xf numFmtId="0" fontId="49" fillId="0" borderId="59" xfId="59" applyFont="1" applyFill="1" applyBorder="1" applyAlignment="1">
      <alignment horizontal="center" vertical="top" wrapText="1"/>
    </xf>
    <xf numFmtId="0" fontId="49" fillId="0" borderId="46" xfId="59" applyFont="1" applyFill="1" applyBorder="1" applyAlignment="1">
      <alignment horizontal="centerContinuous" vertical="top" wrapText="1"/>
    </xf>
    <xf numFmtId="0" fontId="49" fillId="0" borderId="26" xfId="59" applyFont="1" applyFill="1" applyBorder="1" applyAlignment="1">
      <alignment horizontal="centerContinuous" vertical="top" wrapText="1"/>
    </xf>
    <xf numFmtId="0" fontId="49" fillId="0" borderId="50" xfId="59" applyFont="1" applyFill="1" applyBorder="1" applyAlignment="1">
      <alignment horizontal="centerContinuous" vertical="top" wrapText="1"/>
    </xf>
    <xf numFmtId="0" fontId="49" fillId="0" borderId="0" xfId="59" applyFont="1" applyFill="1" applyBorder="1"/>
    <xf numFmtId="179" fontId="49" fillId="0" borderId="12" xfId="59" applyNumberFormat="1" applyFont="1" applyFill="1" applyBorder="1" applyAlignment="1">
      <alignment horizontal="center"/>
    </xf>
    <xf numFmtId="0" fontId="49" fillId="0" borderId="25" xfId="59" applyFont="1" applyFill="1" applyBorder="1"/>
    <xf numFmtId="0" fontId="49" fillId="0" borderId="25" xfId="0" applyFont="1" applyFill="1" applyBorder="1" applyAlignment="1">
      <alignment horizontal="center" wrapText="1"/>
    </xf>
    <xf numFmtId="0" fontId="49" fillId="0" borderId="18" xfId="59" applyFont="1" applyFill="1" applyBorder="1"/>
    <xf numFmtId="0" fontId="49" fillId="0" borderId="52" xfId="59" applyFont="1" applyFill="1" applyBorder="1" applyAlignment="1">
      <alignment horizontal="centerContinuous"/>
    </xf>
    <xf numFmtId="0" fontId="49" fillId="0" borderId="45" xfId="59" applyFont="1" applyFill="1" applyBorder="1" applyAlignment="1">
      <alignment horizontal="centerContinuous"/>
    </xf>
    <xf numFmtId="0" fontId="49" fillId="0" borderId="48" xfId="59" applyFont="1" applyFill="1" applyBorder="1" applyAlignment="1">
      <alignment horizontal="center" wrapText="1"/>
    </xf>
    <xf numFmtId="0" fontId="49" fillId="0" borderId="49" xfId="59" applyFont="1" applyFill="1" applyBorder="1" applyAlignment="1">
      <alignment horizontal="center"/>
    </xf>
    <xf numFmtId="0" fontId="49" fillId="0" borderId="56" xfId="59" applyFont="1" applyFill="1" applyBorder="1" applyAlignment="1">
      <alignment horizontal="center" wrapText="1"/>
    </xf>
    <xf numFmtId="43" fontId="5" fillId="0" borderId="0" xfId="28" applyFont="1"/>
    <xf numFmtId="9" fontId="49" fillId="0" borderId="57" xfId="59" applyNumberFormat="1" applyFont="1" applyFill="1" applyBorder="1" applyAlignment="1">
      <alignment horizontal="center" wrapText="1"/>
    </xf>
    <xf numFmtId="167" fontId="49" fillId="0" borderId="57" xfId="59" applyNumberFormat="1" applyFont="1" applyFill="1" applyBorder="1" applyAlignment="1">
      <alignment horizontal="center" wrapText="1"/>
    </xf>
    <xf numFmtId="167" fontId="49" fillId="0" borderId="60" xfId="59" applyNumberFormat="1" applyFont="1" applyFill="1" applyBorder="1" applyAlignment="1">
      <alignment horizontal="center" wrapText="1"/>
    </xf>
    <xf numFmtId="8" fontId="32" fillId="0" borderId="0" xfId="31" applyNumberFormat="1" applyFont="1" applyFill="1" applyBorder="1"/>
    <xf numFmtId="0" fontId="38" fillId="0" borderId="73" xfId="0" applyFont="1" applyBorder="1" applyAlignment="1">
      <alignment horizontal="right" vertical="center"/>
    </xf>
    <xf numFmtId="0" fontId="37" fillId="27" borderId="0" xfId="0" applyFont="1" applyFill="1" applyBorder="1" applyAlignment="1">
      <alignment horizontal="centerContinuous" vertical="center"/>
    </xf>
    <xf numFmtId="0" fontId="37" fillId="27" borderId="36" xfId="0" applyFont="1" applyFill="1" applyBorder="1" applyAlignment="1">
      <alignment horizontal="centerContinuous" vertical="center"/>
    </xf>
    <xf numFmtId="44" fontId="5" fillId="0" borderId="72" xfId="0" applyNumberFormat="1" applyFont="1" applyBorder="1"/>
    <xf numFmtId="10" fontId="5" fillId="29" borderId="10" xfId="50" applyNumberFormat="1" applyFont="1" applyFill="1" applyBorder="1" applyAlignment="1">
      <alignment horizontal="right"/>
    </xf>
    <xf numFmtId="0" fontId="49" fillId="0" borderId="0" xfId="59" quotePrefix="1" applyFont="1"/>
    <xf numFmtId="44" fontId="0" fillId="0" borderId="0" xfId="60" quotePrefix="1" applyNumberFormat="1" applyFont="1"/>
    <xf numFmtId="0" fontId="51" fillId="0" borderId="0" xfId="59" quotePrefix="1" applyFont="1"/>
    <xf numFmtId="44" fontId="6" fillId="0" borderId="64" xfId="60" applyFont="1" applyFill="1" applyBorder="1"/>
    <xf numFmtId="44" fontId="6" fillId="0" borderId="60" xfId="60" applyFont="1" applyFill="1" applyBorder="1"/>
    <xf numFmtId="179" fontId="49" fillId="0" borderId="44" xfId="59" applyNumberFormat="1" applyFont="1" applyFill="1" applyBorder="1" applyAlignment="1">
      <alignment horizontal="center"/>
    </xf>
    <xf numFmtId="44" fontId="5" fillId="0" borderId="10" xfId="31" applyFont="1" applyFill="1" applyBorder="1" applyAlignment="1">
      <alignment horizontal="right"/>
    </xf>
    <xf numFmtId="8" fontId="34" fillId="0" borderId="72" xfId="59" applyNumberFormat="1" applyFont="1" applyBorder="1"/>
    <xf numFmtId="167" fontId="5" fillId="0" borderId="0" xfId="0" applyNumberFormat="1" applyFont="1"/>
    <xf numFmtId="167" fontId="5" fillId="0" borderId="0" xfId="50" applyNumberFormat="1" applyFont="1"/>
    <xf numFmtId="0" fontId="5" fillId="0" borderId="10" xfId="0" applyFont="1" applyFill="1" applyBorder="1" applyAlignment="1">
      <alignment horizontal="center"/>
    </xf>
    <xf numFmtId="0" fontId="5" fillId="0" borderId="30" xfId="0" applyFont="1" applyFill="1" applyBorder="1" applyAlignment="1">
      <alignment vertical="center" wrapText="1"/>
    </xf>
    <xf numFmtId="44" fontId="5" fillId="0" borderId="33" xfId="0" applyNumberFormat="1" applyFont="1" applyFill="1" applyBorder="1"/>
    <xf numFmtId="0" fontId="44" fillId="0" borderId="0" xfId="0" applyFont="1" applyFill="1"/>
    <xf numFmtId="0" fontId="5" fillId="0" borderId="0" xfId="31" applyNumberFormat="1" applyFont="1" applyFill="1" applyBorder="1" applyAlignment="1">
      <alignment horizontal="center"/>
    </xf>
    <xf numFmtId="0" fontId="5" fillId="0" borderId="0" xfId="0" applyFont="1" applyAlignment="1">
      <alignment vertical="top" wrapText="1"/>
    </xf>
    <xf numFmtId="179" fontId="34" fillId="0" borderId="0" xfId="65" applyNumberFormat="1" applyFont="1"/>
    <xf numFmtId="0" fontId="5" fillId="0" borderId="0" xfId="65" applyFont="1"/>
    <xf numFmtId="0" fontId="5" fillId="0" borderId="0" xfId="65" quotePrefix="1" applyNumberFormat="1" applyFont="1"/>
    <xf numFmtId="0" fontId="9" fillId="0" borderId="0" xfId="47" applyFont="1" applyFill="1" applyBorder="1" applyAlignment="1">
      <alignment horizontal="left"/>
    </xf>
    <xf numFmtId="0" fontId="9" fillId="0" borderId="0" xfId="47" applyFont="1" applyBorder="1" applyAlignment="1">
      <alignment horizontal="left"/>
    </xf>
    <xf numFmtId="180" fontId="5" fillId="0" borderId="10" xfId="31" applyNumberFormat="1" applyFont="1" applyFill="1" applyBorder="1" applyAlignment="1">
      <alignment horizontal="right"/>
    </xf>
    <xf numFmtId="168" fontId="5" fillId="0" borderId="0" xfId="32" applyNumberFormat="1" applyFont="1" applyFill="1" applyBorder="1" applyAlignment="1">
      <alignment horizontal="center"/>
    </xf>
    <xf numFmtId="0" fontId="9" fillId="0" borderId="0" xfId="47" applyNumberFormat="1" applyFont="1" applyFill="1" applyBorder="1" applyAlignment="1">
      <alignment horizontal="center"/>
    </xf>
    <xf numFmtId="44" fontId="46" fillId="0" borderId="0" xfId="47" applyNumberFormat="1" applyFont="1" applyFill="1" applyBorder="1"/>
    <xf numFmtId="0" fontId="0" fillId="0" borderId="10" xfId="0" applyBorder="1"/>
    <xf numFmtId="0" fontId="6" fillId="0" borderId="51" xfId="59" applyFont="1" applyFill="1" applyBorder="1" applyAlignment="1">
      <alignment horizontal="center" vertical="top" wrapText="1"/>
    </xf>
    <xf numFmtId="0" fontId="0" fillId="0" borderId="46" xfId="59" applyFont="1" applyFill="1" applyBorder="1" applyAlignment="1">
      <alignment horizontal="centerContinuous" vertical="top" wrapText="1"/>
    </xf>
    <xf numFmtId="10" fontId="40" fillId="0" borderId="0" xfId="63" applyNumberFormat="1" applyFont="1" applyFill="1" applyAlignment="1">
      <alignment horizontal="right" vertical="center"/>
    </xf>
    <xf numFmtId="10" fontId="40" fillId="0" borderId="40" xfId="63" applyNumberFormat="1" applyFont="1" applyFill="1" applyBorder="1" applyAlignment="1">
      <alignment horizontal="right" vertical="center"/>
    </xf>
    <xf numFmtId="10" fontId="40" fillId="0" borderId="19" xfId="63" applyNumberFormat="1" applyFont="1" applyFill="1" applyBorder="1" applyAlignment="1">
      <alignment horizontal="right" vertical="center"/>
    </xf>
    <xf numFmtId="10" fontId="40" fillId="0" borderId="15" xfId="63" applyNumberFormat="1" applyFont="1" applyFill="1" applyBorder="1" applyAlignment="1">
      <alignment horizontal="right" vertical="center"/>
    </xf>
    <xf numFmtId="0" fontId="40" fillId="0" borderId="0" xfId="63" applyFont="1" applyFill="1"/>
    <xf numFmtId="10" fontId="40" fillId="0" borderId="43" xfId="63" applyNumberFormat="1" applyFont="1" applyFill="1" applyBorder="1" applyAlignment="1">
      <alignment horizontal="right" vertical="center"/>
    </xf>
    <xf numFmtId="0" fontId="7" fillId="0" borderId="0" xfId="40" applyAlignment="1" applyProtection="1"/>
    <xf numFmtId="0" fontId="5" fillId="0" borderId="0" xfId="0" applyFont="1" applyAlignment="1">
      <alignment wrapText="1"/>
    </xf>
    <xf numFmtId="0" fontId="5" fillId="0" borderId="0" xfId="0" applyFont="1" applyAlignment="1">
      <alignment vertical="top" wrapText="1"/>
    </xf>
    <xf numFmtId="0" fontId="34" fillId="0" borderId="0" xfId="65" quotePrefix="1" applyNumberFormat="1" applyFont="1" applyAlignment="1">
      <alignment horizontal="left" vertical="top" wrapText="1"/>
    </xf>
    <xf numFmtId="0" fontId="5" fillId="0" borderId="0" xfId="65" quotePrefix="1" applyNumberFormat="1" applyFont="1" applyAlignment="1">
      <alignment horizontal="left" vertical="top"/>
    </xf>
    <xf numFmtId="0" fontId="5" fillId="0" borderId="0" xfId="65" quotePrefix="1" applyNumberFormat="1" applyFont="1" applyAlignment="1">
      <alignment horizontal="left" vertical="top" wrapText="1"/>
    </xf>
    <xf numFmtId="0" fontId="5" fillId="0" borderId="74" xfId="0" applyFont="1" applyBorder="1" applyAlignment="1">
      <alignment horizontal="left" wrapText="1"/>
    </xf>
    <xf numFmtId="0" fontId="5" fillId="0" borderId="0" xfId="0" applyFont="1" applyAlignment="1">
      <alignment horizontal="left" wrapText="1"/>
    </xf>
    <xf numFmtId="0" fontId="33" fillId="0" borderId="0" xfId="0" applyFont="1" applyAlignment="1">
      <alignment horizontal="right"/>
    </xf>
    <xf numFmtId="0" fontId="12" fillId="0" borderId="0" xfId="0" applyFont="1" applyAlignment="1">
      <alignment horizontal="right"/>
    </xf>
    <xf numFmtId="0" fontId="12" fillId="0" borderId="0" xfId="0" applyFont="1" applyBorder="1" applyAlignment="1">
      <alignment horizontal="right"/>
    </xf>
    <xf numFmtId="0" fontId="12" fillId="0" borderId="0" xfId="46" applyFont="1" applyFill="1" applyBorder="1" applyAlignment="1">
      <alignment horizontal="right"/>
    </xf>
    <xf numFmtId="0" fontId="53" fillId="0" borderId="0" xfId="0" applyFont="1" applyAlignment="1">
      <alignment wrapText="1"/>
    </xf>
    <xf numFmtId="0" fontId="49" fillId="0" borderId="0" xfId="59" quotePrefix="1" applyNumberFormat="1" applyFont="1" applyAlignment="1">
      <alignment horizontal="left" vertical="top" wrapText="1"/>
    </xf>
    <xf numFmtId="0" fontId="0" fillId="0" borderId="0" xfId="60" quotePrefix="1" applyNumberFormat="1" applyFont="1" applyAlignment="1">
      <alignment horizontal="left" vertical="top" wrapText="1"/>
    </xf>
    <xf numFmtId="0" fontId="50" fillId="0" borderId="0" xfId="59" applyFont="1" applyFill="1" applyBorder="1" applyAlignment="1">
      <alignment horizontal="center"/>
    </xf>
    <xf numFmtId="0" fontId="49" fillId="0" borderId="14" xfId="59" applyFont="1" applyFill="1" applyBorder="1" applyAlignment="1">
      <alignment horizontal="center" vertical="top" wrapText="1"/>
    </xf>
    <xf numFmtId="0" fontId="49" fillId="0" borderId="39" xfId="59" applyFont="1" applyFill="1" applyBorder="1" applyAlignment="1">
      <alignment horizontal="center" vertical="top" wrapText="1"/>
    </xf>
    <xf numFmtId="0" fontId="49" fillId="0" borderId="41" xfId="59" applyFont="1" applyFill="1" applyBorder="1" applyAlignment="1">
      <alignment horizontal="center" vertical="top" wrapText="1"/>
    </xf>
    <xf numFmtId="0" fontId="49" fillId="0" borderId="53" xfId="59" applyFont="1" applyFill="1" applyBorder="1" applyAlignment="1">
      <alignment horizontal="center" vertical="top" wrapText="1"/>
    </xf>
    <xf numFmtId="0" fontId="49" fillId="0" borderId="54" xfId="59" applyFont="1" applyFill="1" applyBorder="1" applyAlignment="1">
      <alignment horizontal="center" vertical="top" wrapText="1"/>
    </xf>
    <xf numFmtId="0" fontId="49" fillId="0" borderId="55" xfId="59" applyFont="1" applyFill="1" applyBorder="1" applyAlignment="1">
      <alignment horizontal="center" vertical="top" wrapText="1"/>
    </xf>
    <xf numFmtId="0" fontId="50" fillId="0" borderId="19" xfId="59" applyFont="1" applyFill="1" applyBorder="1" applyAlignment="1">
      <alignment horizontal="center" wrapText="1"/>
    </xf>
    <xf numFmtId="0" fontId="39" fillId="0" borderId="39" xfId="63" applyFont="1" applyBorder="1" applyAlignment="1">
      <alignment horizontal="center" vertical="center"/>
    </xf>
    <xf numFmtId="0" fontId="39" fillId="0" borderId="0" xfId="63" applyFont="1" applyBorder="1" applyAlignment="1">
      <alignment horizontal="center" vertical="center"/>
    </xf>
    <xf numFmtId="0" fontId="39" fillId="0" borderId="36" xfId="63" applyFont="1" applyBorder="1" applyAlignment="1">
      <alignment horizontal="center" vertical="center"/>
    </xf>
    <xf numFmtId="0" fontId="39" fillId="0" borderId="40" xfId="63" applyFont="1" applyBorder="1" applyAlignment="1">
      <alignment horizontal="center" vertical="center"/>
    </xf>
  </cellXfs>
  <cellStyles count="6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Currency 4 2" xfId="66"/>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6 2" xfId="65"/>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4.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50800</xdr:rowOff>
        </xdr:from>
        <xdr:to>
          <xdr:col>6</xdr:col>
          <xdr:colOff>793750</xdr:colOff>
          <xdr:row>3</xdr:row>
          <xdr:rowOff>76200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50800</xdr:rowOff>
        </xdr:from>
        <xdr:to>
          <xdr:col>7</xdr:col>
          <xdr:colOff>165100</xdr:colOff>
          <xdr:row>3</xdr:row>
          <xdr:rowOff>76200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50800</xdr:rowOff>
        </xdr:from>
        <xdr:to>
          <xdr:col>7</xdr:col>
          <xdr:colOff>165100</xdr:colOff>
          <xdr:row>3</xdr:row>
          <xdr:rowOff>76200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50800</xdr:rowOff>
        </xdr:from>
        <xdr:to>
          <xdr:col>7</xdr:col>
          <xdr:colOff>177800</xdr:colOff>
          <xdr:row>3</xdr:row>
          <xdr:rowOff>133350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6</xdr:col>
          <xdr:colOff>793750</xdr:colOff>
          <xdr:row>3</xdr:row>
          <xdr:rowOff>95250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165100</xdr:colOff>
          <xdr:row>3</xdr:row>
          <xdr:rowOff>95250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165100</xdr:colOff>
          <xdr:row>3</xdr:row>
          <xdr:rowOff>95250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177800</xdr:colOff>
          <xdr:row>3</xdr:row>
          <xdr:rowOff>152400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6</xdr:col>
          <xdr:colOff>793750</xdr:colOff>
          <xdr:row>3</xdr:row>
          <xdr:rowOff>95250</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165100</xdr:colOff>
          <xdr:row>3</xdr:row>
          <xdr:rowOff>95250</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165100</xdr:colOff>
          <xdr:row>3</xdr:row>
          <xdr:rowOff>95250</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69850</xdr:rowOff>
        </xdr:from>
        <xdr:to>
          <xdr:col>7</xdr:col>
          <xdr:colOff>177800</xdr:colOff>
          <xdr:row>3</xdr:row>
          <xdr:rowOff>152400</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1.bin"/><Relationship Id="rId1" Type="http://schemas.openxmlformats.org/officeDocument/2006/relationships/hyperlink" Target="http://www.oasis.oati.com/woa/docs/PSEI/PSEIdocs/PSE_Current_OATT_Effective_06.01.2023.pdf" TargetMode="External"/></Relationships>
</file>

<file path=xl/worksheets/_rels/sheet13.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6.bin"/><Relationship Id="rId1" Type="http://schemas.openxmlformats.org/officeDocument/2006/relationships/printerSettings" Target="../printerSettings/printerSettings12.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control" Target="../activeX/activeX3.xml"/></Relationships>
</file>

<file path=xl/worksheets/_rels/sheet14.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control" Target="../activeX/activeX6.xml"/><Relationship Id="rId11" Type="http://schemas.openxmlformats.org/officeDocument/2006/relationships/image" Target="../media/image7.emf"/><Relationship Id="rId5" Type="http://schemas.openxmlformats.org/officeDocument/2006/relationships/image" Target="../media/image4.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6.emf"/></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14.bin"/><Relationship Id="rId6" Type="http://schemas.openxmlformats.org/officeDocument/2006/relationships/control" Target="../activeX/activeX10.xml"/><Relationship Id="rId11" Type="http://schemas.openxmlformats.org/officeDocument/2006/relationships/image" Target="../media/image10.emf"/><Relationship Id="rId5" Type="http://schemas.openxmlformats.org/officeDocument/2006/relationships/image" Target="../media/image4.emf"/><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9.emf"/></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3:S42"/>
  <sheetViews>
    <sheetView tabSelected="1" workbookViewId="0">
      <selection activeCell="T17" sqref="T17"/>
    </sheetView>
  </sheetViews>
  <sheetFormatPr defaultColWidth="9.1796875" defaultRowHeight="15.5" x14ac:dyDescent="0.35"/>
  <cols>
    <col min="1" max="1" width="14.1796875" style="53" customWidth="1"/>
    <col min="2" max="2" width="41" style="53" customWidth="1"/>
    <col min="3" max="3" width="16.453125" style="53" customWidth="1"/>
    <col min="4" max="4" width="13.453125" style="53" customWidth="1"/>
    <col min="5" max="5" width="12.453125" style="53" customWidth="1"/>
    <col min="6" max="16384" width="9.1796875" style="53"/>
  </cols>
  <sheetData>
    <row r="3" spans="1:19" x14ac:dyDescent="0.35">
      <c r="A3" s="53" t="s">
        <v>125</v>
      </c>
      <c r="B3" s="53" t="s">
        <v>175</v>
      </c>
    </row>
    <row r="5" spans="1:19" x14ac:dyDescent="0.35">
      <c r="A5" s="53" t="s">
        <v>151</v>
      </c>
    </row>
    <row r="6" spans="1:19" ht="47" customHeight="1" x14ac:dyDescent="0.35">
      <c r="B6" s="340" t="s">
        <v>179</v>
      </c>
      <c r="C6" s="340"/>
      <c r="D6" s="340"/>
      <c r="E6" s="340"/>
      <c r="F6" s="340"/>
      <c r="G6" s="340"/>
      <c r="H6" s="340"/>
      <c r="I6" s="340"/>
      <c r="J6" s="340"/>
      <c r="K6" s="340"/>
      <c r="L6" s="340"/>
      <c r="M6" s="340"/>
      <c r="N6" s="340"/>
      <c r="O6" s="340"/>
      <c r="P6" s="340"/>
    </row>
    <row r="7" spans="1:19" ht="13.5" customHeight="1" x14ac:dyDescent="0.35">
      <c r="B7" s="338"/>
      <c r="C7" s="319"/>
      <c r="D7" s="319"/>
      <c r="E7" s="319"/>
      <c r="F7" s="319"/>
      <c r="G7" s="319"/>
      <c r="H7" s="319"/>
      <c r="I7" s="319"/>
      <c r="J7" s="319"/>
      <c r="K7" s="319"/>
      <c r="L7" s="319"/>
      <c r="M7" s="319"/>
      <c r="N7" s="319"/>
      <c r="O7" s="319"/>
      <c r="P7" s="319"/>
    </row>
    <row r="9" spans="1:19" x14ac:dyDescent="0.35">
      <c r="A9" s="53" t="s">
        <v>142</v>
      </c>
    </row>
    <row r="10" spans="1:19" ht="15" customHeight="1" x14ac:dyDescent="0.35">
      <c r="B10" s="341" t="s">
        <v>174</v>
      </c>
      <c r="C10" s="341"/>
      <c r="D10" s="341"/>
      <c r="E10" s="341"/>
      <c r="F10" s="341"/>
      <c r="G10" s="341"/>
      <c r="H10" s="341"/>
      <c r="I10" s="341"/>
      <c r="J10" s="341"/>
      <c r="K10" s="341"/>
      <c r="L10" s="341"/>
      <c r="M10" s="341"/>
      <c r="N10" s="341"/>
      <c r="O10" s="341"/>
      <c r="P10" s="341"/>
      <c r="Q10" s="341"/>
      <c r="R10" s="341"/>
      <c r="S10" s="320"/>
    </row>
    <row r="11" spans="1:19" x14ac:dyDescent="0.35">
      <c r="B11" s="342" t="s">
        <v>152</v>
      </c>
      <c r="C11" s="342"/>
      <c r="D11" s="342"/>
      <c r="E11" s="342"/>
      <c r="F11" s="342"/>
      <c r="G11" s="342"/>
      <c r="H11" s="342"/>
      <c r="I11" s="342"/>
      <c r="J11" s="342"/>
      <c r="K11" s="342"/>
      <c r="L11" s="342"/>
      <c r="M11" s="342"/>
      <c r="N11" s="342"/>
      <c r="O11" s="342"/>
      <c r="P11" s="342"/>
      <c r="Q11" s="342"/>
      <c r="R11" s="321"/>
    </row>
    <row r="12" spans="1:19" x14ac:dyDescent="0.35">
      <c r="B12" s="322" t="s">
        <v>153</v>
      </c>
      <c r="C12" s="321"/>
      <c r="D12" s="321"/>
      <c r="E12" s="321"/>
      <c r="F12" s="321"/>
      <c r="G12" s="321"/>
      <c r="H12" s="321"/>
      <c r="I12" s="321"/>
      <c r="J12" s="321"/>
      <c r="K12" s="321"/>
      <c r="L12" s="321"/>
      <c r="M12" s="321"/>
      <c r="N12" s="321"/>
      <c r="O12" s="321"/>
      <c r="P12" s="321"/>
      <c r="Q12" s="321"/>
      <c r="R12" s="321"/>
    </row>
    <row r="13" spans="1:19" ht="15" customHeight="1" x14ac:dyDescent="0.35">
      <c r="B13" s="343" t="s">
        <v>154</v>
      </c>
      <c r="C13" s="343"/>
      <c r="D13" s="343"/>
      <c r="E13" s="343"/>
      <c r="F13" s="343"/>
      <c r="G13" s="343"/>
      <c r="H13" s="343"/>
      <c r="I13" s="343"/>
      <c r="J13" s="343"/>
      <c r="K13" s="343"/>
      <c r="L13" s="343"/>
      <c r="M13" s="343"/>
      <c r="N13" s="343"/>
      <c r="O13" s="343"/>
      <c r="P13" s="343"/>
      <c r="Q13" s="343"/>
      <c r="R13" s="343"/>
    </row>
    <row r="15" spans="1:19" x14ac:dyDescent="0.35">
      <c r="A15" s="53" t="s">
        <v>155</v>
      </c>
    </row>
    <row r="17" spans="1:13" ht="36" customHeight="1" x14ac:dyDescent="0.35">
      <c r="B17" s="323" t="s">
        <v>126</v>
      </c>
      <c r="C17" s="325">
        <v>0</v>
      </c>
      <c r="D17" s="344" t="s">
        <v>173</v>
      </c>
      <c r="E17" s="345"/>
      <c r="F17" s="345"/>
      <c r="G17" s="345"/>
      <c r="H17" s="345"/>
      <c r="I17" s="345"/>
      <c r="J17" s="345"/>
      <c r="K17" s="345"/>
      <c r="L17" s="345"/>
      <c r="M17" s="345"/>
    </row>
    <row r="18" spans="1:13" x14ac:dyDescent="0.35">
      <c r="B18" s="324" t="s">
        <v>127</v>
      </c>
      <c r="C18" s="46">
        <v>0</v>
      </c>
      <c r="D18" s="53" t="s">
        <v>128</v>
      </c>
    </row>
    <row r="19" spans="1:13" x14ac:dyDescent="0.35">
      <c r="B19" s="324" t="s">
        <v>48</v>
      </c>
      <c r="C19" s="46">
        <f>+Rate_of_Return</f>
        <v>7.1599999999999997E-2</v>
      </c>
      <c r="D19" s="53" t="s">
        <v>129</v>
      </c>
    </row>
    <row r="20" spans="1:13" x14ac:dyDescent="0.35">
      <c r="B20" s="324" t="s">
        <v>49</v>
      </c>
      <c r="C20" s="46">
        <v>2.5000000000000001E-2</v>
      </c>
      <c r="D20" s="53" t="s">
        <v>130</v>
      </c>
    </row>
    <row r="22" spans="1:13" x14ac:dyDescent="0.35">
      <c r="B22" s="53" t="s">
        <v>131</v>
      </c>
    </row>
    <row r="23" spans="1:13" x14ac:dyDescent="0.35">
      <c r="B23" s="53" t="s">
        <v>146</v>
      </c>
    </row>
    <row r="24" spans="1:13" x14ac:dyDescent="0.35">
      <c r="B24" s="53" t="s">
        <v>138</v>
      </c>
    </row>
    <row r="26" spans="1:13" x14ac:dyDescent="0.35">
      <c r="A26" s="53" t="s">
        <v>143</v>
      </c>
    </row>
    <row r="27" spans="1:13" x14ac:dyDescent="0.35">
      <c r="B27" s="53" t="s">
        <v>141</v>
      </c>
    </row>
    <row r="28" spans="1:13" x14ac:dyDescent="0.35">
      <c r="B28" s="53" t="s">
        <v>132</v>
      </c>
    </row>
    <row r="29" spans="1:13" x14ac:dyDescent="0.35">
      <c r="B29" s="53" t="s">
        <v>133</v>
      </c>
    </row>
    <row r="31" spans="1:13" x14ac:dyDescent="0.35">
      <c r="A31" s="53" t="s">
        <v>147</v>
      </c>
    </row>
    <row r="32" spans="1:13" x14ac:dyDescent="0.35">
      <c r="B32" s="53" t="s">
        <v>171</v>
      </c>
    </row>
    <row r="34" spans="1:2" x14ac:dyDescent="0.35">
      <c r="A34" s="53" t="s">
        <v>144</v>
      </c>
    </row>
    <row r="35" spans="1:2" x14ac:dyDescent="0.35">
      <c r="B35" s="53" t="s">
        <v>134</v>
      </c>
    </row>
    <row r="36" spans="1:2" x14ac:dyDescent="0.35">
      <c r="B36" s="53" t="s">
        <v>135</v>
      </c>
    </row>
    <row r="37" spans="1:2" x14ac:dyDescent="0.35">
      <c r="B37" s="53" t="s">
        <v>136</v>
      </c>
    </row>
    <row r="38" spans="1:2" x14ac:dyDescent="0.35">
      <c r="B38" s="53" t="s">
        <v>137</v>
      </c>
    </row>
    <row r="40" spans="1:2" x14ac:dyDescent="0.35">
      <c r="A40" s="53" t="s">
        <v>145</v>
      </c>
    </row>
    <row r="42" spans="1:2" x14ac:dyDescent="0.35">
      <c r="A42" s="53" t="s">
        <v>172</v>
      </c>
    </row>
  </sheetData>
  <mergeCells count="5">
    <mergeCell ref="B6:P6"/>
    <mergeCell ref="B10:R10"/>
    <mergeCell ref="B11:Q11"/>
    <mergeCell ref="B13:R13"/>
    <mergeCell ref="D17:M17"/>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C25" sqref="C25"/>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30" width="12.453125" style="53" customWidth="1"/>
    <col min="31" max="16384" width="9.1796875" style="53"/>
  </cols>
  <sheetData>
    <row r="2" spans="2:31" ht="19.5" customHeight="1" x14ac:dyDescent="0.35">
      <c r="C2" s="197" t="s">
        <v>86</v>
      </c>
      <c r="D2" s="197"/>
      <c r="E2" s="197"/>
      <c r="F2" s="197"/>
      <c r="G2" s="197"/>
      <c r="H2" s="197"/>
      <c r="I2" s="197"/>
      <c r="J2" s="197"/>
      <c r="K2" s="197"/>
      <c r="L2" s="197"/>
    </row>
    <row r="3" spans="2:31" x14ac:dyDescent="0.35">
      <c r="C3" s="42" t="s">
        <v>46</v>
      </c>
    </row>
    <row r="4" spans="2:31" s="99" customFormat="1" ht="46.5" x14ac:dyDescent="0.35">
      <c r="B4" s="98"/>
      <c r="C4" s="133" t="s">
        <v>0</v>
      </c>
      <c r="D4" s="133"/>
      <c r="E4" s="133" t="s">
        <v>1</v>
      </c>
      <c r="F4" s="133" t="s">
        <v>2</v>
      </c>
      <c r="G4" s="133" t="s">
        <v>3</v>
      </c>
      <c r="H4" s="133" t="s">
        <v>4</v>
      </c>
      <c r="I4" s="133" t="s">
        <v>5</v>
      </c>
      <c r="J4" s="133" t="s">
        <v>6</v>
      </c>
      <c r="K4" s="133" t="s">
        <v>7</v>
      </c>
      <c r="L4" s="134" t="s">
        <v>14</v>
      </c>
      <c r="M4" s="134"/>
    </row>
    <row r="5" spans="2:31" x14ac:dyDescent="0.35">
      <c r="C5" s="136"/>
      <c r="D5" s="137"/>
      <c r="E5" s="138">
        <v>15</v>
      </c>
      <c r="F5" s="277">
        <f>+'Capacity Delivered'!$I$5</f>
        <v>0.04</v>
      </c>
      <c r="G5" s="139" t="s">
        <v>8</v>
      </c>
      <c r="H5" s="140">
        <f>'Electric EES CE Std Energy'!D23</f>
        <v>4.6081468571412945E-2</v>
      </c>
      <c r="I5" s="141">
        <f>'Solar Avoided Capacity Calcs'!X21</f>
        <v>2.4783561643835594E-3</v>
      </c>
      <c r="J5" s="141">
        <f>H5+I5</f>
        <v>4.8559824735796502E-2</v>
      </c>
      <c r="K5" s="142">
        <f>J5</f>
        <v>4.8559824735796502E-2</v>
      </c>
      <c r="L5" s="143">
        <f>K5*1000</f>
        <v>48.559824735796504</v>
      </c>
      <c r="M5" s="127"/>
    </row>
    <row r="6" spans="2:31" x14ac:dyDescent="0.35">
      <c r="C6" s="135"/>
      <c r="D6" s="135"/>
      <c r="E6" s="102"/>
      <c r="F6" s="102"/>
      <c r="G6" s="102"/>
      <c r="H6" s="32">
        <f>H5*1000</f>
        <v>46.081468571412948</v>
      </c>
      <c r="I6" s="32">
        <f t="shared" ref="I6:K6" si="0">I5*1000</f>
        <v>2.4783561643835594</v>
      </c>
      <c r="J6" s="32">
        <f t="shared" si="0"/>
        <v>48.559824735796504</v>
      </c>
      <c r="K6" s="32">
        <f t="shared" si="0"/>
        <v>48.559824735796504</v>
      </c>
      <c r="L6" s="104">
        <f>L5*(1-M6)</f>
        <v>47.103029993722608</v>
      </c>
      <c r="M6" s="224">
        <v>0.03</v>
      </c>
      <c r="N6" s="105" t="s">
        <v>40</v>
      </c>
    </row>
    <row r="7" spans="2:31" x14ac:dyDescent="0.35">
      <c r="C7" s="106"/>
      <c r="D7" s="103"/>
      <c r="H7" s="40"/>
      <c r="I7" s="101"/>
      <c r="J7" s="40"/>
      <c r="K7" s="101"/>
      <c r="L7" s="101"/>
      <c r="M7" s="102"/>
    </row>
    <row r="8" spans="2:31" x14ac:dyDescent="0.35">
      <c r="C8" s="102"/>
      <c r="D8" s="102"/>
      <c r="E8" s="102"/>
      <c r="F8" s="102"/>
      <c r="G8" s="102"/>
      <c r="H8" s="107"/>
      <c r="I8" s="107"/>
      <c r="J8" s="107"/>
      <c r="K8" s="107"/>
      <c r="L8" s="107"/>
      <c r="M8" s="107"/>
      <c r="N8" s="107"/>
      <c r="O8" s="107"/>
      <c r="P8" s="107"/>
      <c r="Q8" s="107"/>
      <c r="R8" s="107"/>
      <c r="S8" s="107"/>
      <c r="T8" s="107"/>
      <c r="U8" s="108"/>
      <c r="V8" s="108"/>
      <c r="W8" s="108"/>
      <c r="X8" s="188" t="s">
        <v>76</v>
      </c>
      <c r="Y8" s="108"/>
      <c r="Z8" s="108"/>
      <c r="AA8" s="108"/>
    </row>
    <row r="9" spans="2:31" x14ac:dyDescent="0.35">
      <c r="C9" s="109" t="s">
        <v>9</v>
      </c>
      <c r="D9" s="109"/>
      <c r="E9" s="109"/>
      <c r="F9" s="110">
        <f>+L6</f>
        <v>47.103029993722608</v>
      </c>
      <c r="G9" s="110">
        <f t="shared" ref="G9:T9" si="1">F9</f>
        <v>47.103029993722608</v>
      </c>
      <c r="H9" s="110">
        <f t="shared" si="1"/>
        <v>47.103029993722608</v>
      </c>
      <c r="I9" s="110">
        <f t="shared" si="1"/>
        <v>47.103029993722608</v>
      </c>
      <c r="J9" s="110">
        <f t="shared" si="1"/>
        <v>47.103029993722608</v>
      </c>
      <c r="K9" s="110">
        <f t="shared" si="1"/>
        <v>47.103029993722608</v>
      </c>
      <c r="L9" s="110">
        <f t="shared" si="1"/>
        <v>47.103029993722608</v>
      </c>
      <c r="M9" s="110">
        <f t="shared" si="1"/>
        <v>47.103029993722608</v>
      </c>
      <c r="N9" s="110">
        <f t="shared" si="1"/>
        <v>47.103029993722608</v>
      </c>
      <c r="O9" s="110">
        <f t="shared" si="1"/>
        <v>47.103029993722608</v>
      </c>
      <c r="P9" s="110">
        <f t="shared" si="1"/>
        <v>47.103029993722608</v>
      </c>
      <c r="Q9" s="110">
        <f t="shared" si="1"/>
        <v>47.103029993722608</v>
      </c>
      <c r="R9" s="110">
        <f t="shared" si="1"/>
        <v>47.103029993722608</v>
      </c>
      <c r="S9" s="110">
        <f t="shared" si="1"/>
        <v>47.103029993722608</v>
      </c>
      <c r="T9" s="110">
        <f t="shared" si="1"/>
        <v>47.103029993722608</v>
      </c>
      <c r="U9" s="40"/>
      <c r="V9" s="40"/>
      <c r="W9" s="40"/>
      <c r="X9" s="187">
        <f>NPV(Rate_of_Return,F9:T9)</f>
        <v>424.70827081221688</v>
      </c>
      <c r="Y9" s="187">
        <f>-PMT(Rate_of_Return,15,X9)</f>
        <v>47.103029993722579</v>
      </c>
      <c r="Z9" s="40"/>
      <c r="AA9" s="40"/>
    </row>
    <row r="10" spans="2:31" x14ac:dyDescent="0.3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row>
    <row r="11" spans="2:31" x14ac:dyDescent="0.35">
      <c r="C11" s="53" t="s">
        <v>58</v>
      </c>
      <c r="F11" s="192">
        <v>1</v>
      </c>
      <c r="G11" s="192">
        <v>2</v>
      </c>
      <c r="H11" s="192">
        <v>3</v>
      </c>
      <c r="I11" s="192">
        <v>4</v>
      </c>
      <c r="J11" s="192">
        <v>5</v>
      </c>
      <c r="K11" s="192">
        <v>6</v>
      </c>
      <c r="L11" s="192">
        <v>7</v>
      </c>
      <c r="M11" s="192">
        <v>8</v>
      </c>
      <c r="N11" s="192">
        <v>9</v>
      </c>
      <c r="O11" s="192">
        <v>10</v>
      </c>
      <c r="P11" s="192">
        <v>11</v>
      </c>
      <c r="Q11" s="192">
        <v>12</v>
      </c>
      <c r="R11" s="192">
        <v>13</v>
      </c>
      <c r="S11" s="192">
        <v>14</v>
      </c>
      <c r="T11" s="192">
        <v>15</v>
      </c>
      <c r="U11" s="192">
        <v>16</v>
      </c>
      <c r="V11" s="192">
        <v>17</v>
      </c>
      <c r="W11" s="40"/>
      <c r="X11" s="40"/>
      <c r="Y11" s="40"/>
      <c r="Z11" s="40"/>
      <c r="AA11" s="40"/>
    </row>
    <row r="12" spans="2:31" x14ac:dyDescent="0.35">
      <c r="C12" s="102"/>
      <c r="D12" s="100"/>
      <c r="E12" s="102"/>
      <c r="F12" s="112">
        <f>'Energy Prices'!$C$6</f>
        <v>2025</v>
      </c>
      <c r="G12" s="112">
        <f>F12+1</f>
        <v>2026</v>
      </c>
      <c r="H12" s="112">
        <f>G12+1</f>
        <v>2027</v>
      </c>
      <c r="I12" s="112">
        <f t="shared" ref="I12:T12" si="2">H12+1</f>
        <v>2028</v>
      </c>
      <c r="J12" s="112">
        <f t="shared" si="2"/>
        <v>2029</v>
      </c>
      <c r="K12" s="112">
        <f t="shared" si="2"/>
        <v>2030</v>
      </c>
      <c r="L12" s="112">
        <f t="shared" si="2"/>
        <v>2031</v>
      </c>
      <c r="M12" s="112">
        <f t="shared" si="2"/>
        <v>2032</v>
      </c>
      <c r="N12" s="112">
        <f t="shared" si="2"/>
        <v>2033</v>
      </c>
      <c r="O12" s="112">
        <f t="shared" si="2"/>
        <v>2034</v>
      </c>
      <c r="P12" s="112">
        <f t="shared" si="2"/>
        <v>2035</v>
      </c>
      <c r="Q12" s="112">
        <f t="shared" si="2"/>
        <v>2036</v>
      </c>
      <c r="R12" s="112">
        <f t="shared" si="2"/>
        <v>2037</v>
      </c>
      <c r="S12" s="112">
        <f t="shared" si="2"/>
        <v>2038</v>
      </c>
      <c r="T12" s="112">
        <f t="shared" si="2"/>
        <v>2039</v>
      </c>
      <c r="U12" s="112">
        <f>T12+1</f>
        <v>2040</v>
      </c>
      <c r="V12" s="112">
        <f>U12+1</f>
        <v>2041</v>
      </c>
      <c r="W12" s="190"/>
      <c r="X12" s="188" t="s">
        <v>76</v>
      </c>
      <c r="Y12" s="32"/>
      <c r="Z12" s="108"/>
      <c r="AA12" s="108"/>
    </row>
    <row r="13" spans="2:31" ht="53.15" customHeight="1" x14ac:dyDescent="0.35">
      <c r="B13" s="102"/>
      <c r="C13" s="193" t="s">
        <v>80</v>
      </c>
      <c r="D13" s="102"/>
      <c r="F13" s="144">
        <f t="shared" ref="F13:T13" si="3">F$9*F$20</f>
        <v>40.664105252914808</v>
      </c>
      <c r="G13" s="145">
        <f>G$9*G$20</f>
        <v>41.68070788423767</v>
      </c>
      <c r="H13" s="146">
        <f t="shared" si="3"/>
        <v>42.722725581343603</v>
      </c>
      <c r="I13" s="146">
        <f t="shared" si="3"/>
        <v>43.790793720877197</v>
      </c>
      <c r="J13" s="146">
        <f t="shared" si="3"/>
        <v>44.885563563899119</v>
      </c>
      <c r="K13" s="146">
        <f t="shared" si="3"/>
        <v>46.007702652996592</v>
      </c>
      <c r="L13" s="146">
        <f t="shared" si="3"/>
        <v>47.157895219321503</v>
      </c>
      <c r="M13" s="146">
        <f t="shared" si="3"/>
        <v>48.336842599804534</v>
      </c>
      <c r="N13" s="146">
        <f t="shared" si="3"/>
        <v>49.545263664799641</v>
      </c>
      <c r="O13" s="146">
        <f t="shared" si="3"/>
        <v>50.783895256419633</v>
      </c>
      <c r="P13" s="146">
        <f t="shared" si="3"/>
        <v>52.053492637830111</v>
      </c>
      <c r="Q13" s="146">
        <f t="shared" si="3"/>
        <v>53.354829953775862</v>
      </c>
      <c r="R13" s="146">
        <f t="shared" si="3"/>
        <v>54.688700702620253</v>
      </c>
      <c r="S13" s="146">
        <f t="shared" si="3"/>
        <v>56.055918220185752</v>
      </c>
      <c r="T13" s="146">
        <f t="shared" si="3"/>
        <v>57.457316175690394</v>
      </c>
      <c r="U13" s="189">
        <f>T13*1.025</f>
        <v>58.89374908008265</v>
      </c>
      <c r="V13" s="189">
        <f>U13*1.025</f>
        <v>60.366092807084712</v>
      </c>
      <c r="W13" s="114"/>
      <c r="X13" s="187">
        <f>NPV(Rate_of_Return,F13:T13)</f>
        <v>424.70827081221705</v>
      </c>
      <c r="Y13" s="187">
        <f>-PMT(Rate_of_Return,15,X13)</f>
        <v>47.103029993722593</v>
      </c>
      <c r="Z13" s="114"/>
      <c r="AA13" s="114"/>
      <c r="AE13" s="115"/>
    </row>
    <row r="14" spans="2:31" x14ac:dyDescent="0.3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row>
    <row r="15" spans="2:31" x14ac:dyDescent="0.35">
      <c r="C15" s="117"/>
      <c r="E15" s="116"/>
      <c r="F15" s="114"/>
      <c r="G15" s="196"/>
      <c r="H15" s="114"/>
      <c r="I15" s="114"/>
      <c r="J15" s="114"/>
      <c r="K15" s="114"/>
      <c r="L15" s="114"/>
      <c r="M15" s="114"/>
      <c r="N15" s="114"/>
      <c r="O15" s="114"/>
      <c r="P15" s="114"/>
      <c r="Q15" s="114"/>
      <c r="R15" s="114"/>
      <c r="S15" s="114"/>
      <c r="T15" s="114"/>
      <c r="U15" s="114"/>
      <c r="V15" s="114"/>
      <c r="W15" s="114"/>
      <c r="X15" s="108"/>
      <c r="Y15" s="108"/>
      <c r="Z15" s="108"/>
      <c r="AA15" s="108"/>
    </row>
    <row r="16" spans="2:31" x14ac:dyDescent="0.35">
      <c r="C16" s="53" t="s">
        <v>10</v>
      </c>
      <c r="Q16" s="108"/>
      <c r="R16" s="108"/>
    </row>
    <row r="17" spans="2:27" x14ac:dyDescent="0.35">
      <c r="Q17" s="108"/>
      <c r="R17" s="108"/>
    </row>
    <row r="18" spans="2:27" x14ac:dyDescent="0.35">
      <c r="C18" s="102"/>
      <c r="D18" s="102"/>
      <c r="E18" s="102"/>
      <c r="F18" s="102"/>
      <c r="G18" s="102"/>
      <c r="H18" s="102"/>
      <c r="I18" s="102"/>
      <c r="J18" s="102"/>
      <c r="K18" s="102"/>
      <c r="L18" s="102"/>
      <c r="M18" s="102"/>
      <c r="N18" s="102"/>
      <c r="O18" s="102"/>
      <c r="P18" s="102"/>
      <c r="Q18" s="107"/>
      <c r="R18" s="107"/>
      <c r="S18" s="102"/>
      <c r="T18" s="102"/>
      <c r="X18" s="188" t="s">
        <v>76</v>
      </c>
      <c r="Y18" s="102"/>
    </row>
    <row r="19" spans="2:27" x14ac:dyDescent="0.3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row>
    <row r="20" spans="2:27" x14ac:dyDescent="0.3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row>
    <row r="21" spans="2:27" x14ac:dyDescent="0.35">
      <c r="C21" s="102"/>
      <c r="D21" s="102"/>
      <c r="E21" s="129"/>
      <c r="F21" s="129"/>
      <c r="G21" s="129"/>
      <c r="H21" s="129"/>
      <c r="I21" s="129"/>
      <c r="J21" s="129"/>
      <c r="K21" s="129"/>
      <c r="L21" s="129"/>
      <c r="M21" s="130"/>
      <c r="N21" s="130"/>
      <c r="O21" s="130"/>
      <c r="P21" s="130"/>
      <c r="Q21" s="130"/>
      <c r="R21" s="130"/>
      <c r="S21" s="130"/>
      <c r="T21" s="130"/>
      <c r="X21" s="102"/>
      <c r="Y21" s="102"/>
    </row>
    <row r="22" spans="2:27" x14ac:dyDescent="0.35">
      <c r="B22" s="120" t="s">
        <v>13</v>
      </c>
      <c r="C22" s="121"/>
      <c r="D22" s="122"/>
      <c r="E22" s="122"/>
      <c r="F22" s="122"/>
      <c r="G22" s="122"/>
      <c r="H22" s="122"/>
      <c r="I22" s="122"/>
      <c r="J22" s="122"/>
      <c r="K22" s="122"/>
      <c r="L22" s="122"/>
      <c r="M22" s="122"/>
      <c r="N22" s="122"/>
      <c r="O22" s="122"/>
      <c r="Z22" s="117"/>
    </row>
    <row r="23" spans="2:27" x14ac:dyDescent="0.35">
      <c r="B23" s="123">
        <v>1</v>
      </c>
      <c r="C23" s="274" t="s">
        <v>111</v>
      </c>
      <c r="D23" s="122"/>
      <c r="E23" s="122"/>
      <c r="F23" s="122"/>
      <c r="G23" s="122"/>
      <c r="H23" s="122"/>
      <c r="I23" s="122"/>
      <c r="J23" s="122"/>
      <c r="K23" s="122"/>
      <c r="L23" s="122"/>
      <c r="M23" s="122"/>
      <c r="N23" s="122"/>
      <c r="O23" s="122"/>
      <c r="Z23" s="113"/>
    </row>
    <row r="24" spans="2:27" x14ac:dyDescent="0.35">
      <c r="B24" s="123">
        <v>2</v>
      </c>
      <c r="C24" s="122" t="s">
        <v>177</v>
      </c>
      <c r="D24" s="122"/>
      <c r="E24" s="122"/>
      <c r="F24" s="122"/>
      <c r="G24" s="122"/>
      <c r="H24" s="122"/>
      <c r="I24" s="122"/>
      <c r="J24" s="122"/>
      <c r="K24" s="122"/>
      <c r="L24" s="122"/>
      <c r="M24" s="122"/>
      <c r="N24" s="122"/>
      <c r="O24" s="122"/>
      <c r="Z24" s="114"/>
    </row>
    <row r="25" spans="2:27" x14ac:dyDescent="0.35">
      <c r="B25" s="123">
        <v>3</v>
      </c>
      <c r="C25" s="122" t="s">
        <v>47</v>
      </c>
      <c r="D25" s="122"/>
      <c r="E25" s="122"/>
      <c r="F25" s="122"/>
      <c r="G25" s="122"/>
      <c r="H25" s="122"/>
      <c r="I25" s="122"/>
      <c r="J25" s="122"/>
      <c r="K25" s="122"/>
      <c r="L25" s="122"/>
      <c r="M25" s="122"/>
      <c r="N25" s="122"/>
      <c r="O25" s="122"/>
      <c r="Z25" s="124"/>
    </row>
    <row r="26" spans="2:27" x14ac:dyDescent="0.35">
      <c r="B26" s="123">
        <v>4</v>
      </c>
      <c r="C26" s="122" t="s">
        <v>158</v>
      </c>
      <c r="D26" s="122"/>
      <c r="E26" s="122"/>
      <c r="F26" s="122"/>
      <c r="G26" s="122"/>
      <c r="H26" s="122"/>
      <c r="I26" s="122"/>
      <c r="J26" s="122"/>
      <c r="K26" s="122"/>
      <c r="L26" s="122"/>
      <c r="M26" s="122"/>
      <c r="N26" s="122"/>
      <c r="O26" s="122"/>
      <c r="Z26" s="124"/>
    </row>
    <row r="27" spans="2:27" x14ac:dyDescent="0.35">
      <c r="B27" s="123">
        <v>5</v>
      </c>
      <c r="C27" s="122" t="s">
        <v>81</v>
      </c>
      <c r="D27" s="122"/>
      <c r="E27" s="122"/>
      <c r="F27" s="122"/>
      <c r="G27" s="122"/>
      <c r="H27" s="122"/>
      <c r="I27" s="122"/>
      <c r="J27" s="122"/>
      <c r="K27" s="122"/>
      <c r="L27" s="122"/>
      <c r="M27" s="122"/>
      <c r="N27" s="122"/>
      <c r="O27" s="122"/>
      <c r="Z27" s="113"/>
    </row>
    <row r="28" spans="2:27" x14ac:dyDescent="0.35">
      <c r="B28" s="123">
        <v>6</v>
      </c>
      <c r="C28" s="122" t="s">
        <v>82</v>
      </c>
      <c r="D28" s="122"/>
      <c r="E28" s="122"/>
      <c r="F28" s="122"/>
      <c r="G28" s="122"/>
      <c r="H28" s="122"/>
      <c r="I28" s="122"/>
      <c r="J28" s="122"/>
      <c r="K28" s="122"/>
      <c r="L28" s="122"/>
      <c r="M28" s="122"/>
      <c r="N28" s="122"/>
      <c r="O28" s="122"/>
      <c r="Z28" s="114"/>
    </row>
    <row r="29" spans="2:27" x14ac:dyDescent="0.35">
      <c r="B29" s="123">
        <v>7</v>
      </c>
      <c r="C29" s="122" t="s">
        <v>83</v>
      </c>
      <c r="D29" s="122"/>
      <c r="E29" s="122"/>
      <c r="F29" s="122"/>
      <c r="G29" s="122"/>
      <c r="H29" s="122"/>
      <c r="I29" s="122"/>
      <c r="J29" s="122"/>
      <c r="K29" s="122"/>
      <c r="L29" s="122"/>
      <c r="M29" s="122"/>
      <c r="N29" s="122"/>
      <c r="O29" s="122"/>
      <c r="P29" s="122"/>
      <c r="Q29" s="122"/>
    </row>
    <row r="30" spans="2:27" x14ac:dyDescent="0.35">
      <c r="B30" s="123">
        <v>8</v>
      </c>
      <c r="C30" s="122" t="s">
        <v>53</v>
      </c>
      <c r="D30" s="122"/>
      <c r="E30" s="122"/>
      <c r="F30" s="122"/>
      <c r="G30" s="122"/>
      <c r="H30" s="122"/>
      <c r="I30" s="122"/>
      <c r="J30" s="122"/>
      <c r="K30" s="122"/>
      <c r="L30" s="122"/>
      <c r="M30" s="122"/>
      <c r="N30" s="122"/>
      <c r="O30" s="122"/>
      <c r="P30" s="122"/>
      <c r="Q30" s="122"/>
    </row>
    <row r="31" spans="2:27" x14ac:dyDescent="0.35">
      <c r="B31" s="123">
        <v>9</v>
      </c>
      <c r="C31" s="122" t="s">
        <v>84</v>
      </c>
      <c r="D31" s="122"/>
      <c r="E31" s="122"/>
      <c r="F31" s="122"/>
      <c r="G31" s="122"/>
      <c r="H31" s="122"/>
      <c r="I31" s="122"/>
      <c r="J31" s="122"/>
      <c r="K31" s="122"/>
      <c r="L31" s="122"/>
      <c r="M31" s="122"/>
      <c r="N31" s="122"/>
      <c r="O31" s="122"/>
      <c r="P31" s="122"/>
      <c r="Q31" s="122"/>
    </row>
    <row r="32" spans="2:27" x14ac:dyDescent="0.35">
      <c r="B32" s="123">
        <v>10</v>
      </c>
      <c r="C32" s="53" t="s">
        <v>85</v>
      </c>
    </row>
    <row r="33" spans="2:20" x14ac:dyDescent="0.35">
      <c r="B33" s="123">
        <v>11</v>
      </c>
      <c r="C33" s="53" t="s">
        <v>105</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selection activeCell="K19" sqref="K19"/>
    </sheetView>
  </sheetViews>
  <sheetFormatPr defaultRowHeight="12.5" x14ac:dyDescent="0.25"/>
  <cols>
    <col min="1" max="1" width="2.54296875" customWidth="1"/>
    <col min="2" max="2" width="12.453125" customWidth="1"/>
    <col min="3" max="4" width="14.54296875" customWidth="1"/>
    <col min="5" max="5" width="12.453125" customWidth="1"/>
  </cols>
  <sheetData>
    <row r="2" spans="2:6" ht="15.5" x14ac:dyDescent="0.35">
      <c r="B2" s="5" t="str">
        <f>+FlatLoadShapeEnergy_perMWh!P4</f>
        <v>Levelized Cost Effectiveness Standard-Energy</v>
      </c>
    </row>
    <row r="3" spans="2:6" ht="14" x14ac:dyDescent="0.3">
      <c r="B3" s="346" t="s">
        <v>54</v>
      </c>
      <c r="C3" s="346"/>
      <c r="D3" s="35"/>
    </row>
    <row r="4" spans="2:6" ht="13" x14ac:dyDescent="0.3">
      <c r="B4" s="347" t="str">
        <f>+FlatLoadShapeEnergy_perMWh!C6</f>
        <v xml:space="preserve"> T&amp;D Line Loss Reduction </v>
      </c>
      <c r="C4" s="348"/>
      <c r="D4" s="150">
        <v>0</v>
      </c>
      <c r="E4" s="35"/>
    </row>
    <row r="5" spans="2:6" ht="13" x14ac:dyDescent="0.3">
      <c r="B5" s="349" t="s">
        <v>48</v>
      </c>
      <c r="C5" s="349"/>
      <c r="D5" s="151">
        <f>Rate_of_Return</f>
        <v>7.1599999999999997E-2</v>
      </c>
      <c r="E5" s="43"/>
    </row>
    <row r="6" spans="2:6" ht="13" x14ac:dyDescent="0.3">
      <c r="B6" s="7"/>
      <c r="C6" s="29"/>
      <c r="D6" s="43"/>
      <c r="E6" s="1"/>
    </row>
    <row r="7" spans="2:6" x14ac:dyDescent="0.25">
      <c r="C7" s="2"/>
      <c r="D7" s="2"/>
    </row>
    <row r="8" spans="2:6" s="7" customFormat="1" ht="45.75" customHeight="1" x14ac:dyDescent="0.3">
      <c r="B8" s="6" t="s">
        <v>1</v>
      </c>
      <c r="C8" s="6" t="s">
        <v>77</v>
      </c>
      <c r="D8" s="30" t="s">
        <v>78</v>
      </c>
      <c r="E8"/>
      <c r="F8"/>
    </row>
    <row r="9" spans="2:6" x14ac:dyDescent="0.25">
      <c r="B9" s="8">
        <v>1</v>
      </c>
      <c r="C9" s="36">
        <f>+FlatLoadShapeEnergy_perMWh!P7</f>
        <v>48.088598695222387</v>
      </c>
      <c r="D9" s="149">
        <f t="shared" ref="D9:D27" si="0">C9/1000</f>
        <v>4.808859869522239E-2</v>
      </c>
    </row>
    <row r="10" spans="2:6" x14ac:dyDescent="0.25">
      <c r="B10" s="8">
        <v>2</v>
      </c>
      <c r="C10" s="36">
        <f>+FlatLoadShapeEnergy_perMWh!P8</f>
        <v>46.724521816849332</v>
      </c>
      <c r="D10" s="149">
        <f t="shared" si="0"/>
        <v>4.6724521816849329E-2</v>
      </c>
    </row>
    <row r="11" spans="2:6" x14ac:dyDescent="0.25">
      <c r="B11" s="8">
        <v>3</v>
      </c>
      <c r="C11" s="36">
        <f>+FlatLoadShapeEnergy_perMWh!P9</f>
        <v>44.944489088552821</v>
      </c>
      <c r="D11" s="149">
        <f t="shared" si="0"/>
        <v>4.4944489088552822E-2</v>
      </c>
    </row>
    <row r="12" spans="2:6" x14ac:dyDescent="0.25">
      <c r="B12" s="8">
        <v>4</v>
      </c>
      <c r="C12" s="36">
        <f>+FlatLoadShapeEnergy_perMWh!P10</f>
        <v>43.646320835185207</v>
      </c>
      <c r="D12" s="149">
        <f t="shared" si="0"/>
        <v>4.3646320835185208E-2</v>
      </c>
    </row>
    <row r="13" spans="2:6" x14ac:dyDescent="0.25">
      <c r="B13" s="8">
        <v>5</v>
      </c>
      <c r="C13" s="36">
        <f>+FlatLoadShapeEnergy_perMWh!P11</f>
        <v>42.643622410532736</v>
      </c>
      <c r="D13" s="149">
        <f t="shared" si="0"/>
        <v>4.2643622410532739E-2</v>
      </c>
    </row>
    <row r="14" spans="2:6" x14ac:dyDescent="0.25">
      <c r="B14" s="8">
        <v>6</v>
      </c>
      <c r="C14" s="36">
        <f>+FlatLoadShapeEnergy_perMWh!P12</f>
        <v>42.870458487890282</v>
      </c>
      <c r="D14" s="149">
        <f t="shared" si="0"/>
        <v>4.2870458487890284E-2</v>
      </c>
    </row>
    <row r="15" spans="2:6" x14ac:dyDescent="0.25">
      <c r="B15" s="8">
        <v>7</v>
      </c>
      <c r="C15" s="36">
        <f>+FlatLoadShapeEnergy_perMWh!P13</f>
        <v>43.023741016425554</v>
      </c>
      <c r="D15" s="149">
        <f t="shared" si="0"/>
        <v>4.3023741016425553E-2</v>
      </c>
    </row>
    <row r="16" spans="2:6" x14ac:dyDescent="0.25">
      <c r="B16" s="8">
        <v>8</v>
      </c>
      <c r="C16" s="36">
        <f>+FlatLoadShapeEnergy_perMWh!P14</f>
        <v>42.967807962402645</v>
      </c>
      <c r="D16" s="149">
        <f t="shared" si="0"/>
        <v>4.2967807962402647E-2</v>
      </c>
    </row>
    <row r="17" spans="2:4" x14ac:dyDescent="0.25">
      <c r="B17" s="8">
        <v>9</v>
      </c>
      <c r="C17" s="36">
        <f>+FlatLoadShapeEnergy_perMWh!P15</f>
        <v>43.157974609918796</v>
      </c>
      <c r="D17" s="149">
        <f t="shared" si="0"/>
        <v>4.3157974609918798E-2</v>
      </c>
    </row>
    <row r="18" spans="2:4" x14ac:dyDescent="0.25">
      <c r="B18" s="8">
        <v>10</v>
      </c>
      <c r="C18" s="36">
        <f>+FlatLoadShapeEnergy_perMWh!P16</f>
        <v>43.37210973094394</v>
      </c>
      <c r="D18" s="149">
        <f t="shared" si="0"/>
        <v>4.3372109730943943E-2</v>
      </c>
    </row>
    <row r="19" spans="2:4" x14ac:dyDescent="0.25">
      <c r="B19" s="8">
        <v>11</v>
      </c>
      <c r="C19" s="36">
        <f>+FlatLoadShapeEnergy_perMWh!P17</f>
        <v>43.777760444672623</v>
      </c>
      <c r="D19" s="149">
        <f t="shared" si="0"/>
        <v>4.3777760444672624E-2</v>
      </c>
    </row>
    <row r="20" spans="2:4" x14ac:dyDescent="0.25">
      <c r="B20" s="8">
        <v>12</v>
      </c>
      <c r="C20" s="36">
        <f>+FlatLoadShapeEnergy_perMWh!P18</f>
        <v>44.356400247180723</v>
      </c>
      <c r="D20" s="149">
        <f t="shared" si="0"/>
        <v>4.4356400247180724E-2</v>
      </c>
    </row>
    <row r="21" spans="2:4" x14ac:dyDescent="0.25">
      <c r="B21" s="8">
        <v>13</v>
      </c>
      <c r="C21" s="36">
        <f>+FlatLoadShapeEnergy_perMWh!P19</f>
        <v>44.904214164705245</v>
      </c>
      <c r="D21" s="149">
        <f t="shared" si="0"/>
        <v>4.4904214164705247E-2</v>
      </c>
    </row>
    <row r="22" spans="2:4" x14ac:dyDescent="0.25">
      <c r="B22" s="8">
        <v>14</v>
      </c>
      <c r="C22" s="36">
        <f>+FlatLoadShapeEnergy_perMWh!P20</f>
        <v>45.446880540641999</v>
      </c>
      <c r="D22" s="149">
        <f t="shared" si="0"/>
        <v>4.5446880540641998E-2</v>
      </c>
    </row>
    <row r="23" spans="2:4" x14ac:dyDescent="0.25">
      <c r="B23" s="275">
        <v>15</v>
      </c>
      <c r="C23" s="276">
        <f>+FlatLoadShapeEnergy_perMWh!P21</f>
        <v>46.081468571412948</v>
      </c>
      <c r="D23" s="149">
        <f>C23/1000</f>
        <v>4.6081468571412945E-2</v>
      </c>
    </row>
    <row r="24" spans="2:4" x14ac:dyDescent="0.25">
      <c r="B24" s="8">
        <v>16</v>
      </c>
      <c r="C24" s="36">
        <f>+FlatLoadShapeEnergy_perMWh!P22</f>
        <v>46.648216688677493</v>
      </c>
      <c r="D24" s="149">
        <f t="shared" si="0"/>
        <v>4.6648216688677496E-2</v>
      </c>
    </row>
    <row r="25" spans="2:4" x14ac:dyDescent="0.25">
      <c r="B25" s="8">
        <v>17</v>
      </c>
      <c r="C25" s="36">
        <f>+FlatLoadShapeEnergy_perMWh!P23</f>
        <v>47.256746861126445</v>
      </c>
      <c r="D25" s="149">
        <f t="shared" si="0"/>
        <v>4.7256746861126443E-2</v>
      </c>
    </row>
    <row r="26" spans="2:4" x14ac:dyDescent="0.25">
      <c r="B26" s="8">
        <v>18</v>
      </c>
      <c r="C26" s="36">
        <f>+FlatLoadShapeEnergy_perMWh!P24</f>
        <v>47.865718467516629</v>
      </c>
      <c r="D26" s="149">
        <f t="shared" si="0"/>
        <v>4.7865718467516631E-2</v>
      </c>
    </row>
    <row r="27" spans="2:4" x14ac:dyDescent="0.25">
      <c r="B27" s="8">
        <v>19</v>
      </c>
      <c r="C27" s="36">
        <f>+FlatLoadShapeEnergy_perMWh!P25</f>
        <v>48.361352777806466</v>
      </c>
      <c r="D27" s="149">
        <f t="shared" si="0"/>
        <v>4.8361352777806468E-2</v>
      </c>
    </row>
    <row r="28" spans="2:4" x14ac:dyDescent="0.25">
      <c r="B28" s="8">
        <v>20</v>
      </c>
      <c r="C28" s="36">
        <f>+FlatLoadShapeEnergy_perMWh!P26</f>
        <v>48.798142579842654</v>
      </c>
      <c r="D28" s="149">
        <f t="shared" ref="D28:D29" si="1">C28/1000</f>
        <v>4.8798142579842656E-2</v>
      </c>
    </row>
    <row r="29" spans="2:4" x14ac:dyDescent="0.25">
      <c r="B29" s="8">
        <v>21</v>
      </c>
      <c r="C29" s="36">
        <f>+FlatLoadShapeEnergy_perMWh!P27</f>
        <v>49.195600804213505</v>
      </c>
      <c r="D29" s="149">
        <f t="shared" si="1"/>
        <v>4.9195600804213507E-2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topLeftCell="A7" workbookViewId="0">
      <selection activeCell="J29" sqref="J29"/>
    </sheetView>
  </sheetViews>
  <sheetFormatPr defaultColWidth="14.453125" defaultRowHeight="15.5" x14ac:dyDescent="0.35"/>
  <cols>
    <col min="1" max="1" width="2.54296875" style="185" customWidth="1"/>
    <col min="2" max="2" width="4" style="185" bestFit="1" customWidth="1"/>
    <col min="3" max="3" width="30.81640625" style="185" customWidth="1"/>
    <col min="4" max="4" width="2.54296875" style="185" customWidth="1"/>
    <col min="5" max="5" width="10.453125" style="185" customWidth="1"/>
    <col min="6" max="6" width="2.54296875" style="185" customWidth="1"/>
    <col min="7" max="7" width="9.453125" style="185" customWidth="1"/>
    <col min="8" max="8" width="12.54296875" style="185" customWidth="1"/>
    <col min="9" max="9" width="17.54296875" style="185" customWidth="1"/>
    <col min="10" max="10" width="14.453125" style="185" customWidth="1"/>
    <col min="11" max="11" width="17" style="185" customWidth="1"/>
    <col min="12" max="12" width="14.453125" style="185" customWidth="1"/>
    <col min="13" max="13" width="16.453125" style="185" bestFit="1" customWidth="1"/>
    <col min="14" max="14" width="15.54296875" style="185" customWidth="1"/>
    <col min="15" max="16" width="16.1796875" style="185" customWidth="1"/>
    <col min="17" max="16384" width="14.453125" style="185"/>
  </cols>
  <sheetData>
    <row r="1" spans="2:21" s="179" customFormat="1" x14ac:dyDescent="0.35"/>
    <row r="2" spans="2:21" s="179" customFormat="1" x14ac:dyDescent="0.35">
      <c r="B2" s="180"/>
      <c r="C2" s="180"/>
      <c r="D2" s="180"/>
      <c r="E2" s="180"/>
      <c r="F2" s="180"/>
      <c r="G2" s="180"/>
      <c r="H2" s="180"/>
      <c r="I2" s="180"/>
      <c r="J2" s="181"/>
      <c r="K2" s="180"/>
      <c r="L2" s="180"/>
      <c r="M2" s="182"/>
      <c r="N2" s="180"/>
      <c r="O2" s="180"/>
      <c r="P2" s="180"/>
      <c r="Q2" s="180"/>
      <c r="R2" s="180"/>
      <c r="S2" s="180"/>
      <c r="T2" s="180"/>
      <c r="U2" s="180"/>
    </row>
    <row r="3" spans="2:21" x14ac:dyDescent="0.35">
      <c r="B3" s="183"/>
      <c r="C3" s="183"/>
      <c r="D3" s="183"/>
      <c r="E3" s="183"/>
      <c r="F3" s="183"/>
      <c r="G3" s="183"/>
      <c r="H3" s="183"/>
      <c r="I3" s="183"/>
      <c r="J3" s="22"/>
      <c r="K3" s="180"/>
      <c r="L3" s="180"/>
      <c r="M3" s="184"/>
      <c r="N3" s="183"/>
      <c r="O3" s="183"/>
      <c r="P3" s="183"/>
      <c r="Q3" s="183"/>
      <c r="R3" s="183"/>
      <c r="S3" s="183"/>
      <c r="T3" s="183"/>
      <c r="U3" s="183"/>
    </row>
    <row r="4" spans="2:21" ht="66" customHeight="1" x14ac:dyDescent="0.35">
      <c r="B4" s="183"/>
      <c r="C4" s="183"/>
      <c r="D4" s="183"/>
      <c r="E4" s="183"/>
      <c r="F4" s="183"/>
      <c r="G4" s="23" t="s">
        <v>15</v>
      </c>
      <c r="H4" s="24" t="s">
        <v>1</v>
      </c>
      <c r="I4" s="25" t="s">
        <v>30</v>
      </c>
      <c r="J4" s="24" t="s">
        <v>150</v>
      </c>
      <c r="K4" s="25" t="s">
        <v>50</v>
      </c>
      <c r="L4" s="25" t="s">
        <v>51</v>
      </c>
      <c r="M4" s="24" t="s">
        <v>52</v>
      </c>
      <c r="N4" s="24" t="s">
        <v>35</v>
      </c>
      <c r="O4" s="24" t="s">
        <v>36</v>
      </c>
      <c r="P4" s="24" t="s">
        <v>31</v>
      </c>
      <c r="Q4" s="24"/>
      <c r="R4" s="23"/>
      <c r="S4" s="24"/>
      <c r="T4" s="24"/>
      <c r="U4" s="24"/>
    </row>
    <row r="5" spans="2:21" x14ac:dyDescent="0.35">
      <c r="B5" s="167"/>
      <c r="C5" s="167"/>
      <c r="D5" s="167"/>
      <c r="E5" s="167"/>
      <c r="F5" s="167"/>
      <c r="G5" s="26"/>
      <c r="H5" s="26" t="s">
        <v>20</v>
      </c>
      <c r="I5" s="26" t="s">
        <v>55</v>
      </c>
      <c r="J5" s="26" t="s">
        <v>55</v>
      </c>
      <c r="K5" s="26" t="s">
        <v>55</v>
      </c>
      <c r="L5" s="26" t="s">
        <v>55</v>
      </c>
      <c r="M5" s="26" t="s">
        <v>55</v>
      </c>
      <c r="N5" s="26" t="s">
        <v>55</v>
      </c>
      <c r="O5" s="26" t="s">
        <v>55</v>
      </c>
      <c r="P5" s="26" t="s">
        <v>55</v>
      </c>
      <c r="Q5" s="23"/>
      <c r="R5" s="23"/>
      <c r="S5" s="23"/>
      <c r="T5" s="23"/>
      <c r="U5" s="23"/>
    </row>
    <row r="6" spans="2:21" x14ac:dyDescent="0.35">
      <c r="B6" s="167"/>
      <c r="C6" s="28" t="s">
        <v>148</v>
      </c>
      <c r="D6" s="28"/>
      <c r="E6" s="329"/>
      <c r="F6" s="51"/>
      <c r="G6" s="152" t="s">
        <v>22</v>
      </c>
      <c r="H6" s="152" t="s">
        <v>23</v>
      </c>
      <c r="I6" s="152" t="s">
        <v>24</v>
      </c>
      <c r="J6" s="152" t="s">
        <v>25</v>
      </c>
      <c r="K6" s="152" t="s">
        <v>26</v>
      </c>
      <c r="L6" s="152" t="s">
        <v>32</v>
      </c>
      <c r="M6" s="152" t="s">
        <v>27</v>
      </c>
      <c r="N6" s="152" t="s">
        <v>28</v>
      </c>
      <c r="O6" s="152" t="s">
        <v>39</v>
      </c>
      <c r="P6" s="152" t="s">
        <v>74</v>
      </c>
      <c r="Q6" s="27"/>
      <c r="R6" s="23"/>
      <c r="S6" s="183"/>
      <c r="T6" s="27"/>
      <c r="U6" s="23"/>
    </row>
    <row r="7" spans="2:21" x14ac:dyDescent="0.35">
      <c r="B7" s="34"/>
      <c r="C7" s="28" t="s">
        <v>48</v>
      </c>
      <c r="D7" s="28"/>
      <c r="E7" s="168">
        <f>Rate_of_Return</f>
        <v>7.1599999999999997E-2</v>
      </c>
      <c r="F7" s="169"/>
      <c r="G7" s="160">
        <f>'Energy Prices'!C6</f>
        <v>2025</v>
      </c>
      <c r="H7" s="155">
        <v>1</v>
      </c>
      <c r="I7" s="170">
        <f>'Energy Prices'!P6</f>
        <v>48.088598695222387</v>
      </c>
      <c r="J7" s="170">
        <f>I7*$E$6</f>
        <v>0</v>
      </c>
      <c r="K7" s="170">
        <v>0</v>
      </c>
      <c r="L7" s="170">
        <v>0</v>
      </c>
      <c r="M7" s="170">
        <v>0</v>
      </c>
      <c r="N7" s="170">
        <f>(I7+J7+K7+L7+M7)/((1+$E$7)^H7)</f>
        <v>44.875512033615514</v>
      </c>
      <c r="O7" s="170">
        <f>N7</f>
        <v>44.875512033615514</v>
      </c>
      <c r="P7" s="170">
        <f>(-PMT($E$7,H7,(O7)))</f>
        <v>48.088598695222387</v>
      </c>
      <c r="Q7" s="171"/>
      <c r="R7" s="172"/>
      <c r="S7" s="173"/>
      <c r="T7" s="174"/>
      <c r="U7" s="174"/>
    </row>
    <row r="8" spans="2:21" x14ac:dyDescent="0.35">
      <c r="B8" s="167"/>
      <c r="C8" s="28" t="s">
        <v>49</v>
      </c>
      <c r="D8" s="28"/>
      <c r="E8" s="168">
        <v>2.5000000000000001E-2</v>
      </c>
      <c r="F8" s="169"/>
      <c r="G8" s="38">
        <f>G7+1</f>
        <v>2026</v>
      </c>
      <c r="H8" s="39">
        <v>2</v>
      </c>
      <c r="I8" s="175">
        <f>'Energy Prices'!P7</f>
        <v>45.262777033984783</v>
      </c>
      <c r="J8" s="175">
        <f>I8*$E$6</f>
        <v>0</v>
      </c>
      <c r="K8" s="175">
        <f>+$K$7</f>
        <v>0</v>
      </c>
      <c r="L8" s="175">
        <v>0</v>
      </c>
      <c r="M8" s="175">
        <v>0</v>
      </c>
      <c r="N8" s="175">
        <f t="shared" ref="N8:N25" si="0">(I8+J8+K8+L8+M8)/((1+$E$7)^H8)</f>
        <v>39.416293770985121</v>
      </c>
      <c r="O8" s="175">
        <f t="shared" ref="O8:O25" si="1">N8+O7</f>
        <v>84.291805804600642</v>
      </c>
      <c r="P8" s="170">
        <f>(-PMT($E$7,H8,(O8)))</f>
        <v>46.724521816849332</v>
      </c>
      <c r="Q8" s="171"/>
      <c r="R8" s="172"/>
      <c r="S8" s="173"/>
      <c r="T8" s="174"/>
      <c r="U8" s="174"/>
    </row>
    <row r="9" spans="2:21" x14ac:dyDescent="0.35">
      <c r="B9" s="167"/>
      <c r="C9" s="28"/>
      <c r="D9" s="28"/>
      <c r="E9" s="169"/>
      <c r="F9" s="176"/>
      <c r="G9" s="38">
        <f t="shared" ref="G9:G27" si="2">G8+1</f>
        <v>2027</v>
      </c>
      <c r="H9" s="39">
        <v>3</v>
      </c>
      <c r="I9" s="175">
        <f>'Energy Prices'!P8</f>
        <v>40.992947157338115</v>
      </c>
      <c r="J9" s="175">
        <f>I9*$E$6</f>
        <v>0</v>
      </c>
      <c r="K9" s="175">
        <f t="shared" ref="K9:K27" si="3">+$K$7</f>
        <v>0</v>
      </c>
      <c r="L9" s="175">
        <v>0</v>
      </c>
      <c r="M9" s="175">
        <v>0</v>
      </c>
      <c r="N9" s="175">
        <f t="shared" si="0"/>
        <v>33.312791597692261</v>
      </c>
      <c r="O9" s="175">
        <f t="shared" si="1"/>
        <v>117.60459740229291</v>
      </c>
      <c r="P9" s="170">
        <f t="shared" ref="P9:P27" si="4">(-PMT($E$7,H9,(O9)))</f>
        <v>44.944489088552821</v>
      </c>
      <c r="Q9" s="171"/>
      <c r="R9" s="172"/>
      <c r="S9" s="173"/>
      <c r="T9" s="174"/>
      <c r="U9" s="174"/>
    </row>
    <row r="10" spans="2:21" x14ac:dyDescent="0.35">
      <c r="B10" s="167"/>
      <c r="C10" s="167"/>
      <c r="D10" s="167"/>
      <c r="E10" s="167"/>
      <c r="F10" s="169"/>
      <c r="G10" s="38">
        <f t="shared" si="2"/>
        <v>2028</v>
      </c>
      <c r="H10" s="39">
        <v>4</v>
      </c>
      <c r="I10" s="175">
        <f>'Energy Prices'!P9</f>
        <v>39.167025935830942</v>
      </c>
      <c r="J10" s="175">
        <f t="shared" ref="J10:J25" si="5">I10*$E$6</f>
        <v>0</v>
      </c>
      <c r="K10" s="175">
        <f t="shared" si="3"/>
        <v>0</v>
      </c>
      <c r="L10" s="175">
        <v>0</v>
      </c>
      <c r="M10" s="175">
        <v>0</v>
      </c>
      <c r="N10" s="175">
        <f t="shared" si="0"/>
        <v>29.702279180560403</v>
      </c>
      <c r="O10" s="175">
        <f t="shared" si="1"/>
        <v>147.30687658285331</v>
      </c>
      <c r="P10" s="170">
        <f t="shared" si="4"/>
        <v>43.646320835185207</v>
      </c>
      <c r="Q10" s="171"/>
      <c r="R10" s="172"/>
      <c r="S10" s="173"/>
      <c r="T10" s="174"/>
      <c r="U10" s="174"/>
    </row>
    <row r="11" spans="2:21" x14ac:dyDescent="0.35">
      <c r="B11" s="167"/>
      <c r="C11" s="167"/>
      <c r="D11" s="167"/>
      <c r="E11" s="167"/>
      <c r="F11" s="169"/>
      <c r="G11" s="38">
        <f t="shared" si="2"/>
        <v>2029</v>
      </c>
      <c r="H11" s="39">
        <v>5</v>
      </c>
      <c r="I11" s="175">
        <f>'Energy Prices'!P10</f>
        <v>37.861626090054841</v>
      </c>
      <c r="J11" s="175">
        <f t="shared" si="5"/>
        <v>0</v>
      </c>
      <c r="K11" s="175">
        <f t="shared" si="3"/>
        <v>0</v>
      </c>
      <c r="L11" s="175">
        <v>0</v>
      </c>
      <c r="M11" s="175">
        <v>0</v>
      </c>
      <c r="N11" s="175">
        <f t="shared" si="0"/>
        <v>26.793887991752907</v>
      </c>
      <c r="O11" s="175">
        <f t="shared" si="1"/>
        <v>174.10076457460622</v>
      </c>
      <c r="P11" s="170">
        <f t="shared" si="4"/>
        <v>42.643622410532736</v>
      </c>
      <c r="Q11" s="171"/>
      <c r="R11" s="172"/>
      <c r="S11" s="173"/>
      <c r="T11" s="174"/>
      <c r="U11" s="174"/>
    </row>
    <row r="12" spans="2:21" x14ac:dyDescent="0.35">
      <c r="B12" s="183"/>
      <c r="C12" s="183"/>
      <c r="D12" s="183"/>
      <c r="E12" s="183"/>
      <c r="F12" s="167"/>
      <c r="G12" s="38">
        <f t="shared" si="2"/>
        <v>2030</v>
      </c>
      <c r="H12" s="39">
        <v>6</v>
      </c>
      <c r="I12" s="175">
        <f>'Energy Prices'!P11</f>
        <v>44.272803736069768</v>
      </c>
      <c r="J12" s="175">
        <f t="shared" si="5"/>
        <v>0</v>
      </c>
      <c r="K12" s="175">
        <f t="shared" si="3"/>
        <v>0</v>
      </c>
      <c r="L12" s="175">
        <v>0</v>
      </c>
      <c r="M12" s="175">
        <v>0</v>
      </c>
      <c r="N12" s="175">
        <f>(I12+J12+K12+L12+M12)/((1+$E$7)^H12)</f>
        <v>29.237537814070684</v>
      </c>
      <c r="O12" s="175">
        <f t="shared" si="1"/>
        <v>203.33830238867691</v>
      </c>
      <c r="P12" s="170">
        <f t="shared" si="4"/>
        <v>42.870458487890282</v>
      </c>
      <c r="Q12" s="171"/>
      <c r="R12" s="172"/>
      <c r="S12" s="173"/>
      <c r="T12" s="174"/>
      <c r="U12" s="174"/>
    </row>
    <row r="13" spans="2:21" x14ac:dyDescent="0.35">
      <c r="B13" s="183"/>
      <c r="C13" s="183"/>
      <c r="D13" s="183"/>
      <c r="E13" s="183"/>
      <c r="F13" s="167"/>
      <c r="G13" s="38">
        <f t="shared" si="2"/>
        <v>2031</v>
      </c>
      <c r="H13" s="39">
        <v>7</v>
      </c>
      <c r="I13" s="175">
        <f>'Energy Prices'!P12</f>
        <v>44.203471103907411</v>
      </c>
      <c r="J13" s="175">
        <f t="shared" si="5"/>
        <v>0</v>
      </c>
      <c r="K13" s="175">
        <f t="shared" si="3"/>
        <v>0</v>
      </c>
      <c r="L13" s="175">
        <v>0</v>
      </c>
      <c r="M13" s="175">
        <v>0</v>
      </c>
      <c r="N13" s="175">
        <f t="shared" si="0"/>
        <v>27.241275560931932</v>
      </c>
      <c r="O13" s="175">
        <f t="shared" si="1"/>
        <v>230.57957794960885</v>
      </c>
      <c r="P13" s="170">
        <f t="shared" si="4"/>
        <v>43.023741016425554</v>
      </c>
      <c r="Q13" s="171"/>
      <c r="R13" s="172"/>
      <c r="S13" s="173"/>
      <c r="T13" s="174"/>
      <c r="U13" s="174"/>
    </row>
    <row r="14" spans="2:21" x14ac:dyDescent="0.35">
      <c r="B14" s="183"/>
      <c r="C14" s="183"/>
      <c r="D14" s="183"/>
      <c r="E14" s="183"/>
      <c r="F14" s="169"/>
      <c r="G14" s="38">
        <f t="shared" si="2"/>
        <v>2032</v>
      </c>
      <c r="H14" s="39">
        <v>8</v>
      </c>
      <c r="I14" s="175">
        <f>'Energy Prices'!P13</f>
        <v>42.446561834474068</v>
      </c>
      <c r="J14" s="175">
        <f t="shared" si="5"/>
        <v>0</v>
      </c>
      <c r="K14" s="175">
        <f t="shared" si="3"/>
        <v>0</v>
      </c>
      <c r="L14" s="175">
        <v>0</v>
      </c>
      <c r="M14" s="175">
        <v>0</v>
      </c>
      <c r="N14" s="175">
        <f>(I14+J14+K14+L14+M14)/((1+$E$7)^H14)</f>
        <v>24.410736272046375</v>
      </c>
      <c r="O14" s="175">
        <f t="shared" si="1"/>
        <v>254.99031422165521</v>
      </c>
      <c r="P14" s="170">
        <f t="shared" si="4"/>
        <v>42.967807962402645</v>
      </c>
      <c r="Q14" s="171"/>
      <c r="R14" s="172"/>
      <c r="S14" s="173"/>
      <c r="T14" s="174"/>
      <c r="U14" s="174"/>
    </row>
    <row r="15" spans="2:21" x14ac:dyDescent="0.35">
      <c r="B15" s="183"/>
      <c r="C15" s="183"/>
      <c r="D15" s="183"/>
      <c r="E15" s="183"/>
      <c r="F15" s="167"/>
      <c r="G15" s="38">
        <f t="shared" si="2"/>
        <v>2033</v>
      </c>
      <c r="H15" s="39">
        <v>9</v>
      </c>
      <c r="I15" s="175">
        <f>'Energy Prices'!P14</f>
        <v>45.260828898388169</v>
      </c>
      <c r="J15" s="175">
        <f t="shared" si="5"/>
        <v>0</v>
      </c>
      <c r="K15" s="175">
        <f t="shared" si="3"/>
        <v>0</v>
      </c>
      <c r="L15" s="175">
        <v>0</v>
      </c>
      <c r="M15" s="175">
        <v>0</v>
      </c>
      <c r="N15" s="175">
        <f t="shared" si="0"/>
        <v>24.290036021558816</v>
      </c>
      <c r="O15" s="175">
        <f t="shared" si="1"/>
        <v>279.280350243214</v>
      </c>
      <c r="P15" s="170">
        <f t="shared" si="4"/>
        <v>43.157974609918796</v>
      </c>
      <c r="Q15" s="171"/>
      <c r="R15" s="172"/>
      <c r="S15" s="173"/>
      <c r="T15" s="174"/>
      <c r="U15" s="174"/>
    </row>
    <row r="16" spans="2:21" x14ac:dyDescent="0.35">
      <c r="B16" s="183"/>
      <c r="C16" s="183"/>
      <c r="D16" s="183"/>
      <c r="E16" s="183"/>
      <c r="F16" s="177"/>
      <c r="G16" s="38">
        <f t="shared" si="2"/>
        <v>2034</v>
      </c>
      <c r="H16" s="39">
        <v>10</v>
      </c>
      <c r="I16" s="175">
        <f>'Energy Prices'!P15</f>
        <v>46.139014920222955</v>
      </c>
      <c r="J16" s="175">
        <f t="shared" si="5"/>
        <v>0</v>
      </c>
      <c r="K16" s="175">
        <f t="shared" si="3"/>
        <v>0</v>
      </c>
      <c r="L16" s="175">
        <v>0</v>
      </c>
      <c r="M16" s="175">
        <v>0</v>
      </c>
      <c r="N16" s="175">
        <f t="shared" si="0"/>
        <v>23.106877854596178</v>
      </c>
      <c r="O16" s="175">
        <f t="shared" si="1"/>
        <v>302.38722809781018</v>
      </c>
      <c r="P16" s="170">
        <f t="shared" si="4"/>
        <v>43.37210973094394</v>
      </c>
      <c r="Q16" s="171"/>
      <c r="R16" s="172"/>
      <c r="S16" s="173"/>
      <c r="T16" s="174"/>
      <c r="U16" s="174"/>
    </row>
    <row r="17" spans="2:21" x14ac:dyDescent="0.35">
      <c r="B17" s="183"/>
      <c r="C17" s="183"/>
      <c r="D17" s="183"/>
      <c r="E17" s="183"/>
      <c r="F17" s="178"/>
      <c r="G17" s="38">
        <f t="shared" si="2"/>
        <v>2035</v>
      </c>
      <c r="H17" s="39">
        <v>11</v>
      </c>
      <c r="I17" s="175">
        <f>'Energy Prices'!P16</f>
        <v>49.82928632328381</v>
      </c>
      <c r="J17" s="175">
        <f t="shared" si="5"/>
        <v>0</v>
      </c>
      <c r="K17" s="175">
        <f t="shared" si="3"/>
        <v>0</v>
      </c>
      <c r="L17" s="175">
        <v>0</v>
      </c>
      <c r="M17" s="175">
        <v>0</v>
      </c>
      <c r="N17" s="175">
        <f t="shared" si="0"/>
        <v>23.28760964855887</v>
      </c>
      <c r="O17" s="175">
        <f t="shared" si="1"/>
        <v>325.67483774636906</v>
      </c>
      <c r="P17" s="170">
        <f t="shared" si="4"/>
        <v>43.777760444672623</v>
      </c>
      <c r="Q17" s="171"/>
      <c r="R17" s="172"/>
      <c r="S17" s="173"/>
      <c r="T17" s="174"/>
      <c r="U17" s="174"/>
    </row>
    <row r="18" spans="2:21" x14ac:dyDescent="0.35">
      <c r="B18" s="183"/>
      <c r="C18" s="183"/>
      <c r="D18" s="183"/>
      <c r="E18" s="183"/>
      <c r="F18" s="178"/>
      <c r="G18" s="38">
        <f t="shared" si="2"/>
        <v>2036</v>
      </c>
      <c r="H18" s="39">
        <v>12</v>
      </c>
      <c r="I18" s="175">
        <f>'Energy Prices'!P17</f>
        <v>54.226724683540468</v>
      </c>
      <c r="J18" s="175">
        <f t="shared" si="5"/>
        <v>0</v>
      </c>
      <c r="K18" s="175">
        <f t="shared" si="3"/>
        <v>0</v>
      </c>
      <c r="L18" s="175">
        <v>0</v>
      </c>
      <c r="M18" s="175">
        <v>0</v>
      </c>
      <c r="N18" s="175">
        <f t="shared" si="0"/>
        <v>23.649442885125641</v>
      </c>
      <c r="O18" s="175">
        <f t="shared" si="1"/>
        <v>349.32428063149473</v>
      </c>
      <c r="P18" s="170">
        <f t="shared" si="4"/>
        <v>44.356400247180723</v>
      </c>
      <c r="Q18" s="171"/>
      <c r="R18" s="172"/>
      <c r="S18" s="173"/>
      <c r="T18" s="174"/>
      <c r="U18" s="174"/>
    </row>
    <row r="19" spans="2:21" x14ac:dyDescent="0.35">
      <c r="B19" s="183"/>
      <c r="C19" s="183"/>
      <c r="D19" s="183"/>
      <c r="E19" s="183"/>
      <c r="F19" s="178"/>
      <c r="G19" s="38">
        <f t="shared" si="2"/>
        <v>2037</v>
      </c>
      <c r="H19" s="39">
        <v>13</v>
      </c>
      <c r="I19" s="175">
        <f>'Energy Prices'!P18</f>
        <v>55.50482046658491</v>
      </c>
      <c r="J19" s="175">
        <f>I19*$E$6</f>
        <v>0</v>
      </c>
      <c r="K19" s="175">
        <f t="shared" si="3"/>
        <v>0</v>
      </c>
      <c r="L19" s="175">
        <v>0</v>
      </c>
      <c r="M19" s="175">
        <v>0</v>
      </c>
      <c r="N19" s="175">
        <f t="shared" si="0"/>
        <v>22.589443814084539</v>
      </c>
      <c r="O19" s="175">
        <f t="shared" si="1"/>
        <v>371.91372444557925</v>
      </c>
      <c r="P19" s="170">
        <f t="shared" si="4"/>
        <v>44.904214164705245</v>
      </c>
      <c r="Q19" s="171"/>
      <c r="R19" s="172"/>
      <c r="S19" s="173"/>
      <c r="T19" s="174"/>
      <c r="U19" s="174"/>
    </row>
    <row r="20" spans="2:21" x14ac:dyDescent="0.35">
      <c r="B20" s="183"/>
      <c r="C20" s="183"/>
      <c r="D20" s="183"/>
      <c r="E20" s="183"/>
      <c r="F20" s="178"/>
      <c r="G20" s="38">
        <f t="shared" si="2"/>
        <v>2038</v>
      </c>
      <c r="H20" s="39">
        <v>14</v>
      </c>
      <c r="I20" s="175">
        <f>'Energy Prices'!P19</f>
        <v>57.281270801313447</v>
      </c>
      <c r="J20" s="175">
        <f t="shared" si="5"/>
        <v>0</v>
      </c>
      <c r="K20" s="175">
        <f t="shared" si="3"/>
        <v>0</v>
      </c>
      <c r="L20" s="175">
        <v>0</v>
      </c>
      <c r="M20" s="175">
        <v>0</v>
      </c>
      <c r="N20" s="175">
        <f t="shared" si="0"/>
        <v>21.75478398206608</v>
      </c>
      <c r="O20" s="175">
        <f t="shared" si="1"/>
        <v>393.66850842764535</v>
      </c>
      <c r="P20" s="170">
        <f t="shared" si="4"/>
        <v>45.446880540641999</v>
      </c>
      <c r="Q20" s="171"/>
      <c r="R20" s="172"/>
      <c r="S20" s="173"/>
      <c r="T20" s="174"/>
      <c r="U20" s="174"/>
    </row>
    <row r="21" spans="2:21" x14ac:dyDescent="0.35">
      <c r="B21" s="183"/>
      <c r="C21" s="183"/>
      <c r="D21" s="183"/>
      <c r="E21" s="183"/>
      <c r="F21" s="178"/>
      <c r="G21" s="37">
        <f t="shared" si="2"/>
        <v>2039</v>
      </c>
      <c r="H21" s="37">
        <v>15</v>
      </c>
      <c r="I21" s="175">
        <f>'Energy Prices'!P20</f>
        <v>61.59137031219575</v>
      </c>
      <c r="J21" s="175">
        <f t="shared" si="5"/>
        <v>0</v>
      </c>
      <c r="K21" s="175">
        <f t="shared" si="3"/>
        <v>0</v>
      </c>
      <c r="L21" s="175">
        <v>0</v>
      </c>
      <c r="M21" s="175">
        <v>0</v>
      </c>
      <c r="N21" s="175">
        <f>(I21+J21+K21+L21+M21)/((1+$E$7)^H21)</f>
        <v>21.828771387699071</v>
      </c>
      <c r="O21" s="175">
        <f>N21+O20</f>
        <v>415.49727981534443</v>
      </c>
      <c r="P21" s="170">
        <f t="shared" si="4"/>
        <v>46.081468571412948</v>
      </c>
      <c r="Q21" s="171"/>
      <c r="R21" s="172"/>
      <c r="S21" s="173"/>
      <c r="T21" s="174"/>
      <c r="U21" s="174"/>
    </row>
    <row r="22" spans="2:21" x14ac:dyDescent="0.35">
      <c r="B22" s="183"/>
      <c r="C22" s="183"/>
      <c r="D22" s="183"/>
      <c r="E22" s="183"/>
      <c r="F22" s="178"/>
      <c r="G22" s="38">
        <f t="shared" si="2"/>
        <v>2040</v>
      </c>
      <c r="H22" s="39">
        <v>16</v>
      </c>
      <c r="I22" s="175">
        <f>'Energy Prices'!P21</f>
        <v>62.099168525509796</v>
      </c>
      <c r="J22" s="175">
        <f t="shared" si="5"/>
        <v>0</v>
      </c>
      <c r="K22" s="175">
        <f t="shared" si="3"/>
        <v>0</v>
      </c>
      <c r="L22" s="175">
        <v>0</v>
      </c>
      <c r="M22" s="175">
        <v>0</v>
      </c>
      <c r="N22" s="175">
        <f t="shared" si="0"/>
        <v>20.538206033677035</v>
      </c>
      <c r="O22" s="175">
        <f t="shared" si="1"/>
        <v>436.03548584902148</v>
      </c>
      <c r="P22" s="170">
        <f t="shared" si="4"/>
        <v>46.648216688677493</v>
      </c>
      <c r="Q22" s="171"/>
      <c r="R22" s="172"/>
      <c r="S22" s="173"/>
      <c r="T22" s="174"/>
      <c r="U22" s="174"/>
    </row>
    <row r="23" spans="2:21" x14ac:dyDescent="0.35">
      <c r="B23" s="183"/>
      <c r="C23" s="183"/>
      <c r="D23" s="183"/>
      <c r="E23" s="183"/>
      <c r="F23" s="178"/>
      <c r="G23" s="38">
        <f t="shared" si="2"/>
        <v>2041</v>
      </c>
      <c r="H23" s="39">
        <v>17</v>
      </c>
      <c r="I23" s="175">
        <f>'Energy Prices'!P22</f>
        <v>65.686727946431219</v>
      </c>
      <c r="J23" s="175">
        <f t="shared" si="5"/>
        <v>0</v>
      </c>
      <c r="K23" s="175">
        <f t="shared" si="3"/>
        <v>0</v>
      </c>
      <c r="L23" s="175">
        <v>0</v>
      </c>
      <c r="M23" s="175">
        <v>0</v>
      </c>
      <c r="N23" s="175">
        <f t="shared" si="0"/>
        <v>20.273169198121845</v>
      </c>
      <c r="O23" s="175">
        <f t="shared" si="1"/>
        <v>456.3086550471433</v>
      </c>
      <c r="P23" s="170">
        <f t="shared" si="4"/>
        <v>47.256746861126445</v>
      </c>
      <c r="Q23" s="171"/>
      <c r="R23" s="172"/>
      <c r="S23" s="173"/>
      <c r="T23" s="174"/>
      <c r="U23" s="174"/>
    </row>
    <row r="24" spans="2:21" x14ac:dyDescent="0.35">
      <c r="B24" s="183"/>
      <c r="C24" s="183"/>
      <c r="D24" s="183"/>
      <c r="E24" s="183"/>
      <c r="F24" s="178"/>
      <c r="G24" s="38">
        <f t="shared" si="2"/>
        <v>2042</v>
      </c>
      <c r="H24" s="39">
        <v>18</v>
      </c>
      <c r="I24" s="175">
        <f>'Energy Prices'!P23</f>
        <v>68.282186708099076</v>
      </c>
      <c r="J24" s="175">
        <f t="shared" si="5"/>
        <v>0</v>
      </c>
      <c r="K24" s="175">
        <f t="shared" si="3"/>
        <v>0</v>
      </c>
      <c r="L24" s="175">
        <v>0</v>
      </c>
      <c r="M24" s="175">
        <v>0</v>
      </c>
      <c r="N24" s="175">
        <f t="shared" si="0"/>
        <v>19.666122131503528</v>
      </c>
      <c r="O24" s="175">
        <f t="shared" si="1"/>
        <v>475.97477717864683</v>
      </c>
      <c r="P24" s="170">
        <f t="shared" si="4"/>
        <v>47.865718467516629</v>
      </c>
      <c r="Q24" s="171"/>
      <c r="R24" s="172"/>
      <c r="S24" s="173"/>
      <c r="T24" s="174"/>
      <c r="U24" s="174"/>
    </row>
    <row r="25" spans="2:21" x14ac:dyDescent="0.35">
      <c r="B25" s="183"/>
      <c r="C25" s="183"/>
      <c r="D25" s="183"/>
      <c r="E25" s="183"/>
      <c r="F25" s="178"/>
      <c r="G25" s="38">
        <f t="shared" si="2"/>
        <v>2043</v>
      </c>
      <c r="H25" s="39">
        <v>19</v>
      </c>
      <c r="I25" s="175">
        <f>'Energy Prices'!P24</f>
        <v>66.698936670575833</v>
      </c>
      <c r="J25" s="175">
        <f t="shared" si="5"/>
        <v>0</v>
      </c>
      <c r="K25" s="175">
        <f t="shared" si="3"/>
        <v>0</v>
      </c>
      <c r="L25" s="175">
        <v>0</v>
      </c>
      <c r="M25" s="175">
        <v>0</v>
      </c>
      <c r="N25" s="175">
        <f t="shared" si="0"/>
        <v>17.92658301338944</v>
      </c>
      <c r="O25" s="175">
        <f t="shared" si="1"/>
        <v>493.90136019203629</v>
      </c>
      <c r="P25" s="170">
        <f t="shared" si="4"/>
        <v>48.361352777806466</v>
      </c>
      <c r="Q25" s="171"/>
      <c r="R25" s="172"/>
      <c r="S25" s="173"/>
      <c r="T25" s="174"/>
      <c r="U25" s="174"/>
    </row>
    <row r="26" spans="2:21" x14ac:dyDescent="0.35">
      <c r="B26" s="183"/>
      <c r="C26" s="183"/>
      <c r="D26" s="183"/>
      <c r="E26" s="183"/>
      <c r="F26" s="178"/>
      <c r="G26" s="38">
        <f t="shared" si="2"/>
        <v>2044</v>
      </c>
      <c r="H26" s="39">
        <v>20</v>
      </c>
      <c r="I26" s="175">
        <f>'Energy Prices'!P25</f>
        <v>66.583736424723853</v>
      </c>
      <c r="J26" s="175">
        <f t="shared" ref="J26" si="6">I26*$E$6</f>
        <v>0</v>
      </c>
      <c r="K26" s="175">
        <f t="shared" si="3"/>
        <v>0</v>
      </c>
      <c r="L26" s="175">
        <v>0</v>
      </c>
      <c r="M26" s="175">
        <v>0</v>
      </c>
      <c r="N26" s="175">
        <f t="shared" ref="N26" si="7">(I26+J26+K26+L26+M26)/((1+$E$7)^H26)</f>
        <v>16.69990742729998</v>
      </c>
      <c r="O26" s="175">
        <f t="shared" ref="O26" si="8">N26+O25</f>
        <v>510.60126761933628</v>
      </c>
      <c r="P26" s="170">
        <f t="shared" si="4"/>
        <v>48.798142579842654</v>
      </c>
      <c r="Q26" s="171"/>
      <c r="R26" s="172"/>
      <c r="S26" s="173"/>
      <c r="T26" s="174"/>
      <c r="U26" s="174"/>
    </row>
    <row r="27" spans="2:21" x14ac:dyDescent="0.35">
      <c r="C27" s="183"/>
      <c r="D27" s="183"/>
      <c r="E27" s="186"/>
      <c r="F27" s="183"/>
      <c r="G27" s="38">
        <f t="shared" si="2"/>
        <v>2045</v>
      </c>
      <c r="H27" s="37">
        <v>21</v>
      </c>
      <c r="I27" s="175">
        <f>'Energy Prices'!P26</f>
        <v>66.964351281656747</v>
      </c>
      <c r="J27" s="175">
        <f>I27*$E$6</f>
        <v>0</v>
      </c>
      <c r="K27" s="175">
        <f t="shared" si="3"/>
        <v>0</v>
      </c>
      <c r="L27" s="175">
        <v>0</v>
      </c>
      <c r="M27" s="175">
        <v>0</v>
      </c>
      <c r="N27" s="175">
        <f>(I27+J27+K27+L27+M27)/((1+$E$7)^H27)</f>
        <v>15.673170652340472</v>
      </c>
      <c r="O27" s="175">
        <f>N27+O26</f>
        <v>526.27443827167679</v>
      </c>
      <c r="P27" s="170">
        <f t="shared" si="4"/>
        <v>49.195600804213505</v>
      </c>
      <c r="Q27" s="171"/>
      <c r="R27" s="172"/>
      <c r="S27" s="173"/>
      <c r="T27" s="174"/>
      <c r="U27" s="174"/>
    </row>
    <row r="28" spans="2:21" x14ac:dyDescent="0.35">
      <c r="C28" s="183"/>
      <c r="D28" s="183"/>
      <c r="E28" s="186"/>
      <c r="F28" s="183"/>
      <c r="G28" s="38"/>
      <c r="H28" s="37"/>
      <c r="I28" s="183"/>
      <c r="J28" s="183"/>
      <c r="K28" s="183"/>
      <c r="L28" s="183"/>
      <c r="M28" s="183"/>
      <c r="N28" s="183"/>
      <c r="O28" s="183"/>
      <c r="P28" s="183"/>
      <c r="Q28" s="171"/>
      <c r="R28" s="172"/>
      <c r="S28" s="173"/>
      <c r="T28" s="174"/>
      <c r="U28" s="174"/>
    </row>
    <row r="29" spans="2:21" ht="77.5" x14ac:dyDescent="0.35">
      <c r="B29" s="28" t="s">
        <v>25</v>
      </c>
      <c r="C29" s="339" t="s">
        <v>168</v>
      </c>
      <c r="D29" s="183"/>
      <c r="E29" s="186"/>
      <c r="F29" s="183"/>
      <c r="H29" s="183"/>
      <c r="I29" s="183"/>
      <c r="J29" s="183"/>
      <c r="K29" s="183"/>
      <c r="L29" s="183"/>
      <c r="M29" s="183"/>
      <c r="N29" s="183"/>
      <c r="O29" s="183"/>
      <c r="P29" s="183"/>
      <c r="Q29" s="171"/>
      <c r="R29" s="172"/>
      <c r="S29" s="173"/>
      <c r="T29" s="174"/>
      <c r="U29" s="174"/>
    </row>
    <row r="30" spans="2:21" x14ac:dyDescent="0.35">
      <c r="B30" s="28"/>
      <c r="C30" s="338" t="s">
        <v>169</v>
      </c>
      <c r="D30" s="183"/>
      <c r="E30" s="186"/>
      <c r="F30" s="183"/>
      <c r="H30" s="183"/>
      <c r="I30" s="183"/>
      <c r="J30" s="183"/>
      <c r="K30" s="183"/>
      <c r="L30" s="183"/>
      <c r="M30" s="183"/>
      <c r="N30" s="183"/>
      <c r="O30" s="183"/>
      <c r="P30" s="183"/>
      <c r="Q30" s="171"/>
      <c r="R30" s="172"/>
      <c r="S30" s="173"/>
      <c r="T30" s="174"/>
      <c r="U30" s="174"/>
    </row>
    <row r="31" spans="2:21" x14ac:dyDescent="0.35">
      <c r="B31" s="28"/>
      <c r="C31" s="53"/>
      <c r="D31" s="53"/>
      <c r="F31" s="183"/>
      <c r="Q31" s="183"/>
      <c r="R31" s="183"/>
      <c r="S31" s="183"/>
      <c r="T31" s="183"/>
      <c r="U31" s="183"/>
    </row>
    <row r="32" spans="2:21" x14ac:dyDescent="0.35">
      <c r="B32" s="22"/>
    </row>
    <row r="33" spans="2:2" x14ac:dyDescent="0.35">
      <c r="B33" s="28"/>
    </row>
  </sheetData>
  <phoneticPr fontId="14" type="noConversion"/>
  <hyperlinks>
    <hyperlink ref="C30" r:id="rId1" display="http://www.oasis.oati.com/woa/docs/PSEI/PSEIdocs/PSE_Current_OATT_Effective_06.01.2023.pdf"/>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29"/>
  <sheetViews>
    <sheetView workbookViewId="0">
      <selection activeCell="D18" sqref="D18"/>
    </sheetView>
  </sheetViews>
  <sheetFormatPr defaultColWidth="9.1796875" defaultRowHeight="15.5" x14ac:dyDescent="0.35"/>
  <cols>
    <col min="1" max="1" width="2.54296875" style="33" customWidth="1"/>
    <col min="2" max="2" width="25.54296875" style="33" customWidth="1"/>
    <col min="3" max="3" width="17.453125" style="33" customWidth="1"/>
    <col min="4" max="4" width="15.54296875" style="33" customWidth="1"/>
    <col min="5" max="5" width="2.54296875" style="33" customWidth="1"/>
    <col min="6" max="6" width="9.54296875" style="33" customWidth="1"/>
    <col min="7" max="7" width="16.54296875" style="33" customWidth="1"/>
    <col min="8" max="8" width="16.453125" style="44" customWidth="1"/>
    <col min="9" max="9" width="18.54296875" style="33" customWidth="1"/>
    <col min="10" max="10" width="19" style="33" customWidth="1"/>
    <col min="11" max="13" width="22.453125" style="33" customWidth="1"/>
    <col min="14" max="14" width="2.54296875" style="33" customWidth="1"/>
    <col min="15" max="15" width="16.453125" style="44" customWidth="1"/>
    <col min="16" max="16" width="16.54296875" style="158" customWidth="1"/>
    <col min="17" max="17" width="18.54296875" style="33" customWidth="1"/>
    <col min="18" max="18" width="19" style="33" customWidth="1"/>
    <col min="19" max="21" width="22.453125" style="33" customWidth="1"/>
    <col min="22" max="22" width="2.54296875" style="33" customWidth="1"/>
    <col min="23" max="24" width="22.453125" style="33" customWidth="1"/>
    <col min="25" max="16384" width="9.1796875" style="33"/>
  </cols>
  <sheetData>
    <row r="1" spans="1:24" x14ac:dyDescent="0.35">
      <c r="B1" s="14"/>
    </row>
    <row r="3" spans="1:24" ht="16" thickBot="1" x14ac:dyDescent="0.4">
      <c r="H3" s="154"/>
    </row>
    <row r="4" spans="1:24" ht="62" x14ac:dyDescent="0.35">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7" t="s">
        <v>19</v>
      </c>
      <c r="X4" s="228" t="s">
        <v>19</v>
      </c>
    </row>
    <row r="5" spans="1:24" x14ac:dyDescent="0.35">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29" t="s">
        <v>37</v>
      </c>
      <c r="X5" s="230" t="s">
        <v>38</v>
      </c>
    </row>
    <row r="6" spans="1:24" x14ac:dyDescent="0.35">
      <c r="A6" s="159"/>
      <c r="B6" s="159"/>
      <c r="C6" s="153" t="s">
        <v>21</v>
      </c>
      <c r="D6" s="329"/>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1" t="s">
        <v>39</v>
      </c>
      <c r="X6" s="232" t="s">
        <v>74</v>
      </c>
    </row>
    <row r="7" spans="1:24" x14ac:dyDescent="0.35">
      <c r="A7" s="159"/>
      <c r="B7" s="50"/>
      <c r="C7" s="20" t="s">
        <v>29</v>
      </c>
      <c r="D7" s="46">
        <v>0</v>
      </c>
      <c r="E7" s="47"/>
      <c r="F7" s="160">
        <f>'Capacity Delivered'!C7</f>
        <v>2025</v>
      </c>
      <c r="G7" s="155">
        <v>1</v>
      </c>
      <c r="H7" s="161">
        <f>'Capacity Delivered'!G7</f>
        <v>135.69</v>
      </c>
      <c r="I7" s="32">
        <f>SUM(H7)/((1+$D$8)^G7)</f>
        <v>126.62374020156773</v>
      </c>
      <c r="J7" s="156">
        <f>I7</f>
        <v>126.62374020156773</v>
      </c>
      <c r="K7" s="41">
        <f>(-PMT($D$8,G7,(J7)))</f>
        <v>135.69</v>
      </c>
      <c r="L7" s="156">
        <f>+K7/'Capacity Delivered'!N7*1000</f>
        <v>15.489726027397261</v>
      </c>
      <c r="M7" s="225">
        <f t="shared" ref="M7:M27" si="0">L7/1000</f>
        <v>1.548972602739726E-2</v>
      </c>
      <c r="O7" s="166">
        <f>D13</f>
        <v>0</v>
      </c>
      <c r="P7" s="166">
        <f t="shared" ref="P7:P27" si="1">(H7+O7)*$D$7</f>
        <v>0</v>
      </c>
      <c r="Q7" s="166">
        <f t="shared" ref="Q7:Q27" si="2">SUM(O7:P7)/((1+$D$8)^G7)</f>
        <v>0</v>
      </c>
      <c r="R7" s="166">
        <f>Q7</f>
        <v>0</v>
      </c>
      <c r="S7" s="298">
        <f>(-PMT($D$8,G7,(R7)))</f>
        <v>0</v>
      </c>
      <c r="T7" s="156">
        <f>+S7/'Capacity Delivered'!L7*1000</f>
        <v>0</v>
      </c>
      <c r="U7" s="225">
        <f t="shared" ref="U7:U20" si="3">T7/1000</f>
        <v>0</v>
      </c>
      <c r="W7" s="233">
        <f>L7+T7</f>
        <v>15.489726027397261</v>
      </c>
      <c r="X7" s="234">
        <f t="shared" ref="X7:X20" si="4">W7/1000</f>
        <v>1.548972602739726E-2</v>
      </c>
    </row>
    <row r="8" spans="1:24" x14ac:dyDescent="0.35">
      <c r="A8" s="159"/>
      <c r="B8" s="50"/>
      <c r="C8" s="20" t="s">
        <v>33</v>
      </c>
      <c r="D8" s="303">
        <f>Rate_of_Return</f>
        <v>7.1599999999999997E-2</v>
      </c>
      <c r="E8" s="47"/>
      <c r="F8" s="38">
        <f>F7+1</f>
        <v>2026</v>
      </c>
      <c r="G8" s="39">
        <v>2</v>
      </c>
      <c r="H8" s="161">
        <f>'Capacity Delivered'!G8</f>
        <v>135.69</v>
      </c>
      <c r="I8" s="40">
        <f t="shared" ref="I8:I27" si="5">SUM(H8)/((1+$D$8)^G8)</f>
        <v>118.16325140123899</v>
      </c>
      <c r="J8" s="41">
        <f t="shared" ref="J8:J26" si="6">J7+I8</f>
        <v>244.78699160280672</v>
      </c>
      <c r="K8" s="41">
        <f t="shared" ref="K8:K27" si="7">(-PMT($D$8,G8,(J8)))</f>
        <v>135.68999999999997</v>
      </c>
      <c r="L8" s="156">
        <f>+K8/'Capacity Delivered'!N8*1000</f>
        <v>15.489726027397257</v>
      </c>
      <c r="M8" s="226">
        <f t="shared" si="0"/>
        <v>1.5489726027397257E-2</v>
      </c>
      <c r="O8" s="161">
        <f t="shared" ref="O8:O27" si="8">O7+(O7*$D$9)</f>
        <v>0</v>
      </c>
      <c r="P8" s="161">
        <f t="shared" si="1"/>
        <v>0</v>
      </c>
      <c r="Q8" s="161">
        <f t="shared" si="2"/>
        <v>0</v>
      </c>
      <c r="R8" s="161">
        <f t="shared" ref="R8:R12" si="9">R7+Q8</f>
        <v>0</v>
      </c>
      <c r="S8" s="298">
        <f t="shared" ref="S8:S27" si="10">(-PMT($D$8,G8,(R8)))</f>
        <v>0</v>
      </c>
      <c r="T8" s="41">
        <f>+S8/'Capacity Delivered'!L8*1000</f>
        <v>0</v>
      </c>
      <c r="U8" s="226">
        <f t="shared" si="3"/>
        <v>0</v>
      </c>
      <c r="W8" s="233">
        <f t="shared" ref="W8:W27" si="11">L8+T8</f>
        <v>15.489726027397257</v>
      </c>
      <c r="X8" s="234">
        <f t="shared" si="4"/>
        <v>1.5489726027397257E-2</v>
      </c>
    </row>
    <row r="9" spans="1:24" x14ac:dyDescent="0.35">
      <c r="A9" s="159"/>
      <c r="B9" s="50"/>
      <c r="C9" s="20" t="s">
        <v>113</v>
      </c>
      <c r="D9" s="303">
        <v>2.5000000000000001E-2</v>
      </c>
      <c r="E9" s="49"/>
      <c r="F9" s="38">
        <f t="shared" ref="F9:F27" si="12">F8+1</f>
        <v>2027</v>
      </c>
      <c r="G9" s="39">
        <v>3</v>
      </c>
      <c r="H9" s="161">
        <f>'Capacity Delivered'!G9</f>
        <v>135.69</v>
      </c>
      <c r="I9" s="40">
        <f t="shared" si="5"/>
        <v>110.26805841847609</v>
      </c>
      <c r="J9" s="41">
        <f t="shared" si="6"/>
        <v>355.0550500212828</v>
      </c>
      <c r="K9" s="41">
        <f t="shared" si="7"/>
        <v>135.68999999999997</v>
      </c>
      <c r="L9" s="156">
        <f>+K9/'Capacity Delivered'!N9*1000</f>
        <v>15.489726027397257</v>
      </c>
      <c r="M9" s="226">
        <f t="shared" si="0"/>
        <v>1.5489726027397257E-2</v>
      </c>
      <c r="O9" s="161">
        <f t="shared" si="8"/>
        <v>0</v>
      </c>
      <c r="P9" s="161">
        <f t="shared" si="1"/>
        <v>0</v>
      </c>
      <c r="Q9" s="161">
        <f t="shared" si="2"/>
        <v>0</v>
      </c>
      <c r="R9" s="161">
        <f t="shared" si="9"/>
        <v>0</v>
      </c>
      <c r="S9" s="298">
        <f t="shared" si="10"/>
        <v>0</v>
      </c>
      <c r="T9" s="41">
        <f>+S9/'Capacity Delivered'!L9*1000</f>
        <v>0</v>
      </c>
      <c r="U9" s="226">
        <f t="shared" si="3"/>
        <v>0</v>
      </c>
      <c r="W9" s="233">
        <f t="shared" si="11"/>
        <v>15.489726027397257</v>
      </c>
      <c r="X9" s="234">
        <f t="shared" si="4"/>
        <v>1.5489726027397257E-2</v>
      </c>
    </row>
    <row r="10" spans="1:24" x14ac:dyDescent="0.35">
      <c r="B10" s="50"/>
      <c r="C10" s="20"/>
      <c r="D10" s="51"/>
      <c r="E10" s="47"/>
      <c r="F10" s="38">
        <f t="shared" si="12"/>
        <v>2028</v>
      </c>
      <c r="G10" s="39">
        <v>4</v>
      </c>
      <c r="H10" s="161">
        <f>'Capacity Delivered'!G10</f>
        <v>135.69</v>
      </c>
      <c r="I10" s="40">
        <f t="shared" si="5"/>
        <v>102.90039046143718</v>
      </c>
      <c r="J10" s="41">
        <f t="shared" si="6"/>
        <v>457.95544048271995</v>
      </c>
      <c r="K10" s="41">
        <f t="shared" si="7"/>
        <v>135.68999999999997</v>
      </c>
      <c r="L10" s="156">
        <f>+K10/'Capacity Delivered'!N10*1000</f>
        <v>15.447404371584696</v>
      </c>
      <c r="M10" s="226">
        <f t="shared" si="0"/>
        <v>1.5447404371584697E-2</v>
      </c>
      <c r="O10" s="161">
        <f t="shared" si="8"/>
        <v>0</v>
      </c>
      <c r="P10" s="161">
        <f t="shared" si="1"/>
        <v>0</v>
      </c>
      <c r="Q10" s="161">
        <f t="shared" si="2"/>
        <v>0</v>
      </c>
      <c r="R10" s="161">
        <f t="shared" si="9"/>
        <v>0</v>
      </c>
      <c r="S10" s="298">
        <f t="shared" si="10"/>
        <v>0</v>
      </c>
      <c r="T10" s="41">
        <f>+S10/'Capacity Delivered'!L10*1000</f>
        <v>0</v>
      </c>
      <c r="U10" s="226">
        <f t="shared" si="3"/>
        <v>0</v>
      </c>
      <c r="W10" s="233">
        <f t="shared" si="11"/>
        <v>15.447404371584696</v>
      </c>
      <c r="X10" s="234">
        <f t="shared" si="4"/>
        <v>1.5447404371584697E-2</v>
      </c>
    </row>
    <row r="11" spans="1:24" s="44" customFormat="1" x14ac:dyDescent="0.35">
      <c r="B11" s="159"/>
      <c r="C11" s="153"/>
      <c r="D11" s="326"/>
      <c r="E11" s="245"/>
      <c r="F11" s="37">
        <f t="shared" si="12"/>
        <v>2029</v>
      </c>
      <c r="G11" s="37">
        <v>5</v>
      </c>
      <c r="H11" s="161">
        <f>'Capacity Delivered'!G11</f>
        <v>135.69</v>
      </c>
      <c r="I11" s="246">
        <f t="shared" si="5"/>
        <v>96.0250004306058</v>
      </c>
      <c r="J11" s="247">
        <f t="shared" si="6"/>
        <v>553.98044091332576</v>
      </c>
      <c r="K11" s="247">
        <f t="shared" si="7"/>
        <v>135.68999999999994</v>
      </c>
      <c r="L11" s="156">
        <f>+K11/'Capacity Delivered'!N11*1000</f>
        <v>15.489726027397253</v>
      </c>
      <c r="M11" s="248">
        <f t="shared" si="0"/>
        <v>1.5489726027397253E-2</v>
      </c>
      <c r="N11" s="256"/>
      <c r="O11" s="161">
        <f t="shared" si="8"/>
        <v>0</v>
      </c>
      <c r="P11" s="161">
        <f t="shared" si="1"/>
        <v>0</v>
      </c>
      <c r="Q11" s="161">
        <f t="shared" si="2"/>
        <v>0</v>
      </c>
      <c r="R11" s="161">
        <f t="shared" si="9"/>
        <v>0</v>
      </c>
      <c r="S11" s="298">
        <f t="shared" si="10"/>
        <v>0</v>
      </c>
      <c r="T11" s="247">
        <f>+S11/'Capacity Delivered'!L11*1000</f>
        <v>0</v>
      </c>
      <c r="U11" s="248">
        <f t="shared" si="3"/>
        <v>0</v>
      </c>
      <c r="V11" s="256"/>
      <c r="W11" s="249">
        <f>L11+T11</f>
        <v>15.489726027397253</v>
      </c>
      <c r="X11" s="250">
        <f t="shared" si="4"/>
        <v>1.5489726027397253E-2</v>
      </c>
    </row>
    <row r="12" spans="1:24" s="44" customFormat="1" x14ac:dyDescent="0.35">
      <c r="B12" s="252"/>
      <c r="C12" s="327"/>
      <c r="D12" s="253"/>
      <c r="E12" s="245"/>
      <c r="F12" s="38">
        <f t="shared" si="12"/>
        <v>2030</v>
      </c>
      <c r="G12" s="37">
        <v>6</v>
      </c>
      <c r="H12" s="161">
        <f>'Capacity Delivered'!G12</f>
        <v>135.69</v>
      </c>
      <c r="I12" s="246">
        <f t="shared" si="5"/>
        <v>89.608996295824738</v>
      </c>
      <c r="J12" s="247">
        <f t="shared" si="6"/>
        <v>643.58943720915045</v>
      </c>
      <c r="K12" s="247">
        <f t="shared" si="7"/>
        <v>135.68999999999994</v>
      </c>
      <c r="L12" s="156">
        <f>+K12/'Capacity Delivered'!N12*1000</f>
        <v>15.489726027397253</v>
      </c>
      <c r="M12" s="248">
        <f t="shared" si="0"/>
        <v>1.5489726027397253E-2</v>
      </c>
      <c r="O12" s="161">
        <f t="shared" si="8"/>
        <v>0</v>
      </c>
      <c r="P12" s="161">
        <f t="shared" si="1"/>
        <v>0</v>
      </c>
      <c r="Q12" s="161">
        <f t="shared" si="2"/>
        <v>0</v>
      </c>
      <c r="R12" s="161">
        <f t="shared" si="9"/>
        <v>0</v>
      </c>
      <c r="S12" s="298">
        <f t="shared" si="10"/>
        <v>0</v>
      </c>
      <c r="T12" s="247">
        <f>+S12/'Capacity Delivered'!L12*1000</f>
        <v>0</v>
      </c>
      <c r="U12" s="248">
        <f t="shared" si="3"/>
        <v>0</v>
      </c>
      <c r="W12" s="249">
        <f t="shared" si="11"/>
        <v>15.489726027397253</v>
      </c>
      <c r="X12" s="250">
        <f t="shared" si="4"/>
        <v>1.5489726027397253E-2</v>
      </c>
    </row>
    <row r="13" spans="1:24" s="44" customFormat="1" x14ac:dyDescent="0.35">
      <c r="B13" s="252"/>
      <c r="C13" s="327"/>
      <c r="D13" s="253"/>
      <c r="E13" s="245"/>
      <c r="F13" s="38">
        <f t="shared" si="12"/>
        <v>2031</v>
      </c>
      <c r="G13" s="37">
        <v>7</v>
      </c>
      <c r="H13" s="161">
        <f>'Capacity Delivered'!G13</f>
        <v>135.69</v>
      </c>
      <c r="I13" s="246">
        <f t="shared" si="5"/>
        <v>83.621683740037994</v>
      </c>
      <c r="J13" s="247">
        <f>J12+I13</f>
        <v>727.2111209491884</v>
      </c>
      <c r="K13" s="247">
        <f t="shared" si="7"/>
        <v>135.68999999999991</v>
      </c>
      <c r="L13" s="156">
        <f>+K13/'Capacity Delivered'!N13*1000</f>
        <v>15.48972602739725</v>
      </c>
      <c r="M13" s="248">
        <f t="shared" si="0"/>
        <v>1.548972602739725E-2</v>
      </c>
      <c r="O13" s="161">
        <f>O12+(O12*$D$9)</f>
        <v>0</v>
      </c>
      <c r="P13" s="161">
        <f t="shared" si="1"/>
        <v>0</v>
      </c>
      <c r="Q13" s="161">
        <f t="shared" si="2"/>
        <v>0</v>
      </c>
      <c r="R13" s="161">
        <f>R12+Q13</f>
        <v>0</v>
      </c>
      <c r="S13" s="298">
        <f t="shared" si="10"/>
        <v>0</v>
      </c>
      <c r="T13" s="247">
        <f>+S13/'Capacity Delivered'!L13*1000</f>
        <v>0</v>
      </c>
      <c r="U13" s="248">
        <f t="shared" si="3"/>
        <v>0</v>
      </c>
      <c r="W13" s="249">
        <f t="shared" si="11"/>
        <v>15.48972602739725</v>
      </c>
      <c r="X13" s="250">
        <f t="shared" si="4"/>
        <v>1.548972602739725E-2</v>
      </c>
    </row>
    <row r="14" spans="1:24" s="44" customFormat="1" x14ac:dyDescent="0.35">
      <c r="B14" s="252"/>
      <c r="C14" s="254"/>
      <c r="D14" s="254"/>
      <c r="E14" s="245"/>
      <c r="F14" s="38">
        <f t="shared" si="12"/>
        <v>2032</v>
      </c>
      <c r="G14" s="37">
        <v>8</v>
      </c>
      <c r="H14" s="161">
        <f>'Capacity Delivered'!G14</f>
        <v>135.69</v>
      </c>
      <c r="I14" s="246">
        <f t="shared" si="5"/>
        <v>78.034419316944749</v>
      </c>
      <c r="J14" s="247">
        <f t="shared" si="6"/>
        <v>805.24554026613316</v>
      </c>
      <c r="K14" s="247">
        <f t="shared" si="7"/>
        <v>135.68999999999994</v>
      </c>
      <c r="L14" s="156">
        <f>+K14/'Capacity Delivered'!N14*1000</f>
        <v>15.447404371584692</v>
      </c>
      <c r="M14" s="248">
        <f t="shared" si="0"/>
        <v>1.5447404371584693E-2</v>
      </c>
      <c r="O14" s="161">
        <f t="shared" si="8"/>
        <v>0</v>
      </c>
      <c r="P14" s="161">
        <f t="shared" si="1"/>
        <v>0</v>
      </c>
      <c r="Q14" s="161">
        <f t="shared" si="2"/>
        <v>0</v>
      </c>
      <c r="R14" s="161">
        <f t="shared" ref="R14:R20" si="13">R13+Q14</f>
        <v>0</v>
      </c>
      <c r="S14" s="298">
        <f t="shared" si="10"/>
        <v>0</v>
      </c>
      <c r="T14" s="247">
        <f>+S14/'Capacity Delivered'!L14*1000</f>
        <v>0</v>
      </c>
      <c r="U14" s="248">
        <f t="shared" si="3"/>
        <v>0</v>
      </c>
      <c r="W14" s="249">
        <f t="shared" si="11"/>
        <v>15.447404371584692</v>
      </c>
      <c r="X14" s="250">
        <f t="shared" si="4"/>
        <v>1.5447404371584693E-2</v>
      </c>
    </row>
    <row r="15" spans="1:24" s="44" customFormat="1" x14ac:dyDescent="0.35">
      <c r="B15" s="254"/>
      <c r="C15" s="254"/>
      <c r="D15" s="328"/>
      <c r="E15" s="245"/>
      <c r="F15" s="38">
        <f t="shared" si="12"/>
        <v>2033</v>
      </c>
      <c r="G15" s="37">
        <v>9</v>
      </c>
      <c r="H15" s="161">
        <f>'Capacity Delivered'!G15</f>
        <v>135.69</v>
      </c>
      <c r="I15" s="246">
        <f t="shared" si="5"/>
        <v>72.82047342006787</v>
      </c>
      <c r="J15" s="247">
        <f t="shared" si="6"/>
        <v>878.06601368620102</v>
      </c>
      <c r="K15" s="247">
        <f t="shared" si="7"/>
        <v>135.68999999999988</v>
      </c>
      <c r="L15" s="156">
        <f>+K15/'Capacity Delivered'!N15*1000</f>
        <v>15.489726027397246</v>
      </c>
      <c r="M15" s="248">
        <f t="shared" si="0"/>
        <v>1.5489726027397246E-2</v>
      </c>
      <c r="O15" s="161">
        <f t="shared" si="8"/>
        <v>0</v>
      </c>
      <c r="P15" s="161">
        <f t="shared" si="1"/>
        <v>0</v>
      </c>
      <c r="Q15" s="161">
        <f t="shared" si="2"/>
        <v>0</v>
      </c>
      <c r="R15" s="161">
        <f t="shared" si="13"/>
        <v>0</v>
      </c>
      <c r="S15" s="298">
        <f t="shared" si="10"/>
        <v>0</v>
      </c>
      <c r="T15" s="247">
        <f>+S15/'Capacity Delivered'!L15*1000</f>
        <v>0</v>
      </c>
      <c r="U15" s="248">
        <f t="shared" si="3"/>
        <v>0</v>
      </c>
      <c r="W15" s="249">
        <f t="shared" si="11"/>
        <v>15.489726027397246</v>
      </c>
      <c r="X15" s="250">
        <f t="shared" si="4"/>
        <v>1.5489726027397246E-2</v>
      </c>
    </row>
    <row r="16" spans="1:24" s="44" customFormat="1" x14ac:dyDescent="0.35">
      <c r="B16" s="254"/>
      <c r="C16" s="255"/>
      <c r="D16" s="255"/>
      <c r="E16" s="245"/>
      <c r="F16" s="37">
        <f t="shared" si="12"/>
        <v>2034</v>
      </c>
      <c r="G16" s="37">
        <v>10</v>
      </c>
      <c r="H16" s="161">
        <f>'Capacity Delivered'!G16</f>
        <v>135.69</v>
      </c>
      <c r="I16" s="246">
        <f t="shared" si="5"/>
        <v>67.954902407678119</v>
      </c>
      <c r="J16" s="247">
        <f t="shared" si="6"/>
        <v>946.02091609387912</v>
      </c>
      <c r="K16" s="247">
        <f t="shared" si="7"/>
        <v>135.68999999999991</v>
      </c>
      <c r="L16" s="156">
        <f>+K16/'Capacity Delivered'!N16*1000</f>
        <v>15.48972602739725</v>
      </c>
      <c r="M16" s="248">
        <f t="shared" si="0"/>
        <v>1.548972602739725E-2</v>
      </c>
      <c r="N16" s="256"/>
      <c r="O16" s="161">
        <f t="shared" si="8"/>
        <v>0</v>
      </c>
      <c r="P16" s="161">
        <f t="shared" si="1"/>
        <v>0</v>
      </c>
      <c r="Q16" s="161">
        <f t="shared" si="2"/>
        <v>0</v>
      </c>
      <c r="R16" s="161">
        <f t="shared" si="13"/>
        <v>0</v>
      </c>
      <c r="S16" s="298">
        <f t="shared" si="10"/>
        <v>0</v>
      </c>
      <c r="T16" s="247">
        <f>+S16/'Capacity Delivered'!L16*1000</f>
        <v>0</v>
      </c>
      <c r="U16" s="248">
        <f t="shared" si="3"/>
        <v>0</v>
      </c>
      <c r="V16" s="256"/>
      <c r="W16" s="249">
        <f t="shared" si="11"/>
        <v>15.48972602739725</v>
      </c>
      <c r="X16" s="250">
        <f t="shared" si="4"/>
        <v>1.548972602739725E-2</v>
      </c>
    </row>
    <row r="17" spans="2:24" s="44" customFormat="1" x14ac:dyDescent="0.35">
      <c r="B17" s="254"/>
      <c r="C17" s="255"/>
      <c r="D17" s="255"/>
      <c r="E17" s="245"/>
      <c r="F17" s="38">
        <f t="shared" si="12"/>
        <v>2035</v>
      </c>
      <c r="G17" s="37">
        <v>11</v>
      </c>
      <c r="H17" s="161">
        <f>'Capacity Delivered'!G17</f>
        <v>135.69</v>
      </c>
      <c r="I17" s="246">
        <f t="shared" si="5"/>
        <v>63.414429271816076</v>
      </c>
      <c r="J17" s="247">
        <f t="shared" si="6"/>
        <v>1009.4353453656952</v>
      </c>
      <c r="K17" s="247">
        <f t="shared" si="7"/>
        <v>135.68999999999988</v>
      </c>
      <c r="L17" s="156">
        <f>+K17/'Capacity Delivered'!N17*1000</f>
        <v>15.489726027397246</v>
      </c>
      <c r="M17" s="248">
        <f t="shared" si="0"/>
        <v>1.5489726027397246E-2</v>
      </c>
      <c r="O17" s="161">
        <f t="shared" si="8"/>
        <v>0</v>
      </c>
      <c r="P17" s="161">
        <f t="shared" si="1"/>
        <v>0</v>
      </c>
      <c r="Q17" s="161">
        <f t="shared" si="2"/>
        <v>0</v>
      </c>
      <c r="R17" s="161">
        <f t="shared" si="13"/>
        <v>0</v>
      </c>
      <c r="S17" s="298">
        <f t="shared" si="10"/>
        <v>0</v>
      </c>
      <c r="T17" s="247">
        <f>+S17/'Capacity Delivered'!L17*1000</f>
        <v>0</v>
      </c>
      <c r="U17" s="248">
        <f t="shared" si="3"/>
        <v>0</v>
      </c>
      <c r="W17" s="249">
        <f t="shared" si="11"/>
        <v>15.489726027397246</v>
      </c>
      <c r="X17" s="250">
        <f t="shared" si="4"/>
        <v>1.5489726027397246E-2</v>
      </c>
    </row>
    <row r="18" spans="2:24" s="44" customFormat="1" x14ac:dyDescent="0.35">
      <c r="B18" s="255"/>
      <c r="C18" s="255"/>
      <c r="D18" s="255"/>
      <c r="E18" s="245"/>
      <c r="F18" s="38">
        <f t="shared" si="12"/>
        <v>2036</v>
      </c>
      <c r="G18" s="37">
        <v>12</v>
      </c>
      <c r="H18" s="161">
        <f>'Capacity Delivered'!G18</f>
        <v>135.69</v>
      </c>
      <c r="I18" s="246">
        <f t="shared" si="5"/>
        <v>59.177332280530109</v>
      </c>
      <c r="J18" s="247">
        <f t="shared" si="6"/>
        <v>1068.6126776462254</v>
      </c>
      <c r="K18" s="247">
        <f t="shared" si="7"/>
        <v>135.68999999999991</v>
      </c>
      <c r="L18" s="156">
        <f>+K18/'Capacity Delivered'!N18*1000</f>
        <v>15.447404371584689</v>
      </c>
      <c r="M18" s="248">
        <f t="shared" si="0"/>
        <v>1.544740437158469E-2</v>
      </c>
      <c r="O18" s="161">
        <f t="shared" si="8"/>
        <v>0</v>
      </c>
      <c r="P18" s="161">
        <f t="shared" si="1"/>
        <v>0</v>
      </c>
      <c r="Q18" s="161">
        <f t="shared" si="2"/>
        <v>0</v>
      </c>
      <c r="R18" s="161">
        <f t="shared" si="13"/>
        <v>0</v>
      </c>
      <c r="S18" s="298">
        <f t="shared" si="10"/>
        <v>0</v>
      </c>
      <c r="T18" s="247">
        <f>+S18/'Capacity Delivered'!L18*1000</f>
        <v>0</v>
      </c>
      <c r="U18" s="248">
        <f t="shared" si="3"/>
        <v>0</v>
      </c>
      <c r="W18" s="249">
        <f t="shared" si="11"/>
        <v>15.447404371584689</v>
      </c>
      <c r="X18" s="250">
        <f t="shared" si="4"/>
        <v>1.544740437158469E-2</v>
      </c>
    </row>
    <row r="19" spans="2:24" s="44" customFormat="1" x14ac:dyDescent="0.35">
      <c r="B19" s="255"/>
      <c r="C19" s="255"/>
      <c r="D19" s="255"/>
      <c r="E19" s="178"/>
      <c r="F19" s="38">
        <f t="shared" si="12"/>
        <v>2037</v>
      </c>
      <c r="G19" s="37">
        <v>13</v>
      </c>
      <c r="H19" s="161">
        <f>'Capacity Delivered'!G19</f>
        <v>135.69</v>
      </c>
      <c r="I19" s="246">
        <f t="shared" si="5"/>
        <v>55.223341060591736</v>
      </c>
      <c r="J19" s="247">
        <f t="shared" si="6"/>
        <v>1123.8360187068172</v>
      </c>
      <c r="K19" s="247">
        <f t="shared" si="7"/>
        <v>135.68999999999991</v>
      </c>
      <c r="L19" s="156">
        <f>+K19/'Capacity Delivered'!N19*1000</f>
        <v>15.48972602739725</v>
      </c>
      <c r="M19" s="248">
        <f t="shared" si="0"/>
        <v>1.548972602739725E-2</v>
      </c>
      <c r="O19" s="161">
        <f t="shared" si="8"/>
        <v>0</v>
      </c>
      <c r="P19" s="161">
        <f t="shared" si="1"/>
        <v>0</v>
      </c>
      <c r="Q19" s="161">
        <f t="shared" si="2"/>
        <v>0</v>
      </c>
      <c r="R19" s="161">
        <f t="shared" si="13"/>
        <v>0</v>
      </c>
      <c r="S19" s="298">
        <f t="shared" si="10"/>
        <v>0</v>
      </c>
      <c r="T19" s="247">
        <f>+S19/'Capacity Delivered'!L19*1000</f>
        <v>0</v>
      </c>
      <c r="U19" s="248">
        <f t="shared" si="3"/>
        <v>0</v>
      </c>
      <c r="W19" s="249">
        <f t="shared" si="11"/>
        <v>15.48972602739725</v>
      </c>
      <c r="X19" s="250">
        <f t="shared" si="4"/>
        <v>1.548972602739725E-2</v>
      </c>
    </row>
    <row r="20" spans="2:24" s="44" customFormat="1" x14ac:dyDescent="0.35">
      <c r="B20" s="255"/>
      <c r="C20" s="255"/>
      <c r="D20" s="255"/>
      <c r="E20" s="178"/>
      <c r="F20" s="38">
        <f t="shared" si="12"/>
        <v>2038</v>
      </c>
      <c r="G20" s="37">
        <v>14</v>
      </c>
      <c r="H20" s="161">
        <f>'Capacity Delivered'!G20</f>
        <v>135.69</v>
      </c>
      <c r="I20" s="246">
        <f t="shared" si="5"/>
        <v>51.533539623545842</v>
      </c>
      <c r="J20" s="247">
        <f t="shared" si="6"/>
        <v>1175.3695583303631</v>
      </c>
      <c r="K20" s="247">
        <f t="shared" si="7"/>
        <v>135.68999999999988</v>
      </c>
      <c r="L20" s="156">
        <f>+K20/'Capacity Delivered'!N20*1000</f>
        <v>15.489726027397246</v>
      </c>
      <c r="M20" s="248">
        <f t="shared" si="0"/>
        <v>1.5489726027397246E-2</v>
      </c>
      <c r="O20" s="161">
        <f t="shared" si="8"/>
        <v>0</v>
      </c>
      <c r="P20" s="161">
        <f t="shared" si="1"/>
        <v>0</v>
      </c>
      <c r="Q20" s="161">
        <f t="shared" si="2"/>
        <v>0</v>
      </c>
      <c r="R20" s="161">
        <f t="shared" si="13"/>
        <v>0</v>
      </c>
      <c r="S20" s="298">
        <f t="shared" si="10"/>
        <v>0</v>
      </c>
      <c r="T20" s="247">
        <f>+S20/'Capacity Delivered'!L20*1000</f>
        <v>0</v>
      </c>
      <c r="U20" s="248">
        <f t="shared" si="3"/>
        <v>0</v>
      </c>
      <c r="W20" s="249">
        <f t="shared" si="11"/>
        <v>15.489726027397246</v>
      </c>
      <c r="X20" s="250">
        <f t="shared" si="4"/>
        <v>1.5489726027397246E-2</v>
      </c>
    </row>
    <row r="21" spans="2:24" s="256" customFormat="1" x14ac:dyDescent="0.35">
      <c r="B21" s="255"/>
      <c r="C21" s="255"/>
      <c r="D21" s="255"/>
      <c r="E21" s="178"/>
      <c r="F21" s="37">
        <f t="shared" si="12"/>
        <v>2039</v>
      </c>
      <c r="G21" s="37">
        <v>15</v>
      </c>
      <c r="H21" s="161">
        <f>'Capacity Delivered'!G21</f>
        <v>135.69</v>
      </c>
      <c r="I21" s="246">
        <f t="shared" si="5"/>
        <v>48.090275871170057</v>
      </c>
      <c r="J21" s="247">
        <f>J20+I21</f>
        <v>1223.4598342015331</v>
      </c>
      <c r="K21" s="247">
        <f t="shared" si="7"/>
        <v>135.68999999999991</v>
      </c>
      <c r="L21" s="156">
        <f>+K21/'Capacity Delivered'!N21*1000</f>
        <v>15.48972602739725</v>
      </c>
      <c r="M21" s="248">
        <f>L21/1000</f>
        <v>1.548972602739725E-2</v>
      </c>
      <c r="O21" s="161">
        <f t="shared" si="8"/>
        <v>0</v>
      </c>
      <c r="P21" s="161">
        <f t="shared" si="1"/>
        <v>0</v>
      </c>
      <c r="Q21" s="161">
        <f t="shared" si="2"/>
        <v>0</v>
      </c>
      <c r="R21" s="161">
        <f>R20+Q21</f>
        <v>0</v>
      </c>
      <c r="S21" s="298">
        <f t="shared" si="10"/>
        <v>0</v>
      </c>
      <c r="T21" s="247">
        <f>+S21/'Capacity Delivered'!L21*1000</f>
        <v>0</v>
      </c>
      <c r="U21" s="248">
        <f>T21/1000</f>
        <v>0</v>
      </c>
      <c r="W21" s="249">
        <f t="shared" si="11"/>
        <v>15.48972602739725</v>
      </c>
      <c r="X21" s="250">
        <f>W21/1000</f>
        <v>1.548972602739725E-2</v>
      </c>
    </row>
    <row r="22" spans="2:24" s="44" customFormat="1" x14ac:dyDescent="0.35">
      <c r="B22" s="255"/>
      <c r="C22" s="255"/>
      <c r="D22" s="255"/>
      <c r="E22" s="178"/>
      <c r="F22" s="38">
        <f t="shared" si="12"/>
        <v>2040</v>
      </c>
      <c r="G22" s="37">
        <v>16</v>
      </c>
      <c r="H22" s="161">
        <f>'Capacity Delivered'!G22</f>
        <v>135.69</v>
      </c>
      <c r="I22" s="246">
        <f t="shared" si="5"/>
        <v>44.877077147415129</v>
      </c>
      <c r="J22" s="247">
        <f t="shared" si="6"/>
        <v>1268.3369113489482</v>
      </c>
      <c r="K22" s="247">
        <f t="shared" si="7"/>
        <v>135.68999999999988</v>
      </c>
      <c r="L22" s="156">
        <f>+K22/'Capacity Delivered'!N22*1000</f>
        <v>15.447404371584687</v>
      </c>
      <c r="M22" s="248">
        <f t="shared" si="0"/>
        <v>1.5447404371584688E-2</v>
      </c>
      <c r="O22" s="161">
        <f t="shared" si="8"/>
        <v>0</v>
      </c>
      <c r="P22" s="161">
        <f t="shared" si="1"/>
        <v>0</v>
      </c>
      <c r="Q22" s="161">
        <f t="shared" si="2"/>
        <v>0</v>
      </c>
      <c r="R22" s="161">
        <f t="shared" ref="R22:R27" si="14">R21+Q22</f>
        <v>0</v>
      </c>
      <c r="S22" s="298">
        <f t="shared" si="10"/>
        <v>0</v>
      </c>
      <c r="T22" s="247">
        <f>+S22/'Capacity Delivered'!L22*1000</f>
        <v>0</v>
      </c>
      <c r="U22" s="248">
        <f t="shared" ref="U22:U27" si="15">T22/1000</f>
        <v>0</v>
      </c>
      <c r="W22" s="249">
        <f t="shared" si="11"/>
        <v>15.447404371584687</v>
      </c>
      <c r="X22" s="250">
        <f t="shared" ref="X22:X27" si="16">W22/1000</f>
        <v>1.5447404371584688E-2</v>
      </c>
    </row>
    <row r="23" spans="2:24" s="44" customFormat="1" x14ac:dyDescent="0.35">
      <c r="B23" s="255"/>
      <c r="C23" s="255"/>
      <c r="D23" s="255"/>
      <c r="E23" s="178"/>
      <c r="F23" s="38">
        <f t="shared" si="12"/>
        <v>2041</v>
      </c>
      <c r="G23" s="37">
        <v>17</v>
      </c>
      <c r="H23" s="161">
        <f>'Capacity Delivered'!G23</f>
        <v>135.69</v>
      </c>
      <c r="I23" s="246">
        <f t="shared" si="5"/>
        <v>41.878571432824863</v>
      </c>
      <c r="J23" s="247">
        <f t="shared" si="6"/>
        <v>1310.2154827817731</v>
      </c>
      <c r="K23" s="247">
        <f t="shared" si="7"/>
        <v>135.68999999999988</v>
      </c>
      <c r="L23" s="156">
        <f>+K23/'Capacity Delivered'!N23*1000</f>
        <v>15.489726027397246</v>
      </c>
      <c r="M23" s="248">
        <f t="shared" si="0"/>
        <v>1.5489726027397246E-2</v>
      </c>
      <c r="O23" s="161">
        <f t="shared" si="8"/>
        <v>0</v>
      </c>
      <c r="P23" s="161">
        <f t="shared" si="1"/>
        <v>0</v>
      </c>
      <c r="Q23" s="161">
        <f t="shared" si="2"/>
        <v>0</v>
      </c>
      <c r="R23" s="161">
        <f t="shared" si="14"/>
        <v>0</v>
      </c>
      <c r="S23" s="298">
        <f t="shared" si="10"/>
        <v>0</v>
      </c>
      <c r="T23" s="247">
        <f>+S23/'Capacity Delivered'!L23*1000</f>
        <v>0</v>
      </c>
      <c r="U23" s="248">
        <f t="shared" si="15"/>
        <v>0</v>
      </c>
      <c r="W23" s="249">
        <f t="shared" si="11"/>
        <v>15.489726027397246</v>
      </c>
      <c r="X23" s="250">
        <f t="shared" si="16"/>
        <v>1.5489726027397246E-2</v>
      </c>
    </row>
    <row r="24" spans="2:24" s="44" customFormat="1" x14ac:dyDescent="0.35">
      <c r="B24" s="255"/>
      <c r="C24" s="255"/>
      <c r="D24" s="255"/>
      <c r="E24" s="178"/>
      <c r="F24" s="38">
        <f t="shared" si="12"/>
        <v>2042</v>
      </c>
      <c r="G24" s="37">
        <v>18</v>
      </c>
      <c r="H24" s="161">
        <f>'Capacity Delivered'!G24</f>
        <v>135.69</v>
      </c>
      <c r="I24" s="246">
        <f t="shared" si="5"/>
        <v>39.080413804427828</v>
      </c>
      <c r="J24" s="247">
        <f t="shared" si="6"/>
        <v>1349.2958965862008</v>
      </c>
      <c r="K24" s="247">
        <f t="shared" si="7"/>
        <v>135.68999999999986</v>
      </c>
      <c r="L24" s="156">
        <f>+K24/'Capacity Delivered'!N24*1000</f>
        <v>15.489726027397243</v>
      </c>
      <c r="M24" s="248">
        <f t="shared" si="0"/>
        <v>1.5489726027397243E-2</v>
      </c>
      <c r="O24" s="161">
        <f t="shared" si="8"/>
        <v>0</v>
      </c>
      <c r="P24" s="161">
        <f t="shared" si="1"/>
        <v>0</v>
      </c>
      <c r="Q24" s="161">
        <f t="shared" si="2"/>
        <v>0</v>
      </c>
      <c r="R24" s="161">
        <f t="shared" si="14"/>
        <v>0</v>
      </c>
      <c r="S24" s="298">
        <f t="shared" si="10"/>
        <v>0</v>
      </c>
      <c r="T24" s="247">
        <f>+S24/'Capacity Delivered'!L24*1000</f>
        <v>0</v>
      </c>
      <c r="U24" s="248">
        <f t="shared" si="15"/>
        <v>0</v>
      </c>
      <c r="W24" s="249">
        <f t="shared" si="11"/>
        <v>15.489726027397243</v>
      </c>
      <c r="X24" s="250">
        <f t="shared" si="16"/>
        <v>1.5489726027397243E-2</v>
      </c>
    </row>
    <row r="25" spans="2:24" s="44" customFormat="1" x14ac:dyDescent="0.35">
      <c r="B25" s="255"/>
      <c r="C25" s="255"/>
      <c r="D25" s="255"/>
      <c r="E25" s="178"/>
      <c r="F25" s="38">
        <f t="shared" si="12"/>
        <v>2043</v>
      </c>
      <c r="G25" s="37">
        <v>19</v>
      </c>
      <c r="H25" s="161">
        <f>'Capacity Delivered'!G25</f>
        <v>135.69</v>
      </c>
      <c r="I25" s="246">
        <f t="shared" si="5"/>
        <v>36.469217809283151</v>
      </c>
      <c r="J25" s="247">
        <f t="shared" si="6"/>
        <v>1385.765114395484</v>
      </c>
      <c r="K25" s="247">
        <f t="shared" si="7"/>
        <v>135.68999999999986</v>
      </c>
      <c r="L25" s="156">
        <f>+K25/'Capacity Delivered'!N25*1000</f>
        <v>15.489726027397243</v>
      </c>
      <c r="M25" s="248">
        <f t="shared" si="0"/>
        <v>1.5489726027397243E-2</v>
      </c>
      <c r="O25" s="161">
        <f t="shared" si="8"/>
        <v>0</v>
      </c>
      <c r="P25" s="161">
        <f t="shared" si="1"/>
        <v>0</v>
      </c>
      <c r="Q25" s="161">
        <f t="shared" si="2"/>
        <v>0</v>
      </c>
      <c r="R25" s="161">
        <f t="shared" si="14"/>
        <v>0</v>
      </c>
      <c r="S25" s="298">
        <f t="shared" si="10"/>
        <v>0</v>
      </c>
      <c r="T25" s="247">
        <f>+S25/'Capacity Delivered'!L25*1000</f>
        <v>0</v>
      </c>
      <c r="U25" s="248">
        <f t="shared" si="15"/>
        <v>0</v>
      </c>
      <c r="W25" s="249">
        <f t="shared" si="11"/>
        <v>15.489726027397243</v>
      </c>
      <c r="X25" s="250">
        <f t="shared" si="16"/>
        <v>1.5489726027397243E-2</v>
      </c>
    </row>
    <row r="26" spans="2:24" x14ac:dyDescent="0.35">
      <c r="B26" s="162"/>
      <c r="C26" s="162"/>
      <c r="D26" s="162"/>
      <c r="E26" s="52"/>
      <c r="F26" s="38">
        <f t="shared" si="12"/>
        <v>2044</v>
      </c>
      <c r="G26" s="39">
        <v>20</v>
      </c>
      <c r="H26" s="161">
        <f>'Capacity Delivered'!G26</f>
        <v>135.69</v>
      </c>
      <c r="I26" s="40">
        <f t="shared" si="5"/>
        <v>34.032491423369862</v>
      </c>
      <c r="J26" s="41">
        <f t="shared" si="6"/>
        <v>1419.797605818854</v>
      </c>
      <c r="K26" s="41">
        <f t="shared" si="7"/>
        <v>135.68999999999986</v>
      </c>
      <c r="L26" s="156">
        <f>+K26/'Capacity Delivered'!N26*1000</f>
        <v>15.447404371584684</v>
      </c>
      <c r="M26" s="226">
        <f t="shared" si="0"/>
        <v>1.5447404371584683E-2</v>
      </c>
      <c r="O26" s="161">
        <f t="shared" si="8"/>
        <v>0</v>
      </c>
      <c r="P26" s="161">
        <f t="shared" si="1"/>
        <v>0</v>
      </c>
      <c r="Q26" s="161">
        <f t="shared" si="2"/>
        <v>0</v>
      </c>
      <c r="R26" s="161">
        <f t="shared" si="14"/>
        <v>0</v>
      </c>
      <c r="S26" s="298">
        <f t="shared" si="10"/>
        <v>0</v>
      </c>
      <c r="T26" s="41">
        <f>+S26/'Capacity Delivered'!L26*1000</f>
        <v>0</v>
      </c>
      <c r="U26" s="226">
        <f t="shared" si="15"/>
        <v>0</v>
      </c>
      <c r="W26" s="233">
        <f t="shared" si="11"/>
        <v>15.447404371584684</v>
      </c>
      <c r="X26" s="234">
        <f t="shared" si="16"/>
        <v>1.5447404371584683E-2</v>
      </c>
    </row>
    <row r="27" spans="2:24" s="44" customFormat="1" ht="16" thickBot="1" x14ac:dyDescent="0.4">
      <c r="F27" s="38">
        <f t="shared" si="12"/>
        <v>2045</v>
      </c>
      <c r="G27" s="37">
        <v>21</v>
      </c>
      <c r="H27" s="161">
        <f>'Capacity Delivered'!G27</f>
        <v>135.69</v>
      </c>
      <c r="I27" s="40">
        <f t="shared" si="5"/>
        <v>31.758577289445558</v>
      </c>
      <c r="J27" s="41">
        <f t="shared" ref="J27" si="17">J26+I27</f>
        <v>1451.5561831082996</v>
      </c>
      <c r="K27" s="41">
        <f t="shared" si="7"/>
        <v>135.68999999999986</v>
      </c>
      <c r="L27" s="156">
        <f>+K27/'Capacity Delivered'!N27*1000</f>
        <v>15.489726027397243</v>
      </c>
      <c r="M27" s="226">
        <f t="shared" si="0"/>
        <v>1.5489726027397243E-2</v>
      </c>
      <c r="O27" s="161">
        <f t="shared" si="8"/>
        <v>0</v>
      </c>
      <c r="P27" s="161">
        <f t="shared" si="1"/>
        <v>0</v>
      </c>
      <c r="Q27" s="161">
        <f t="shared" si="2"/>
        <v>0</v>
      </c>
      <c r="R27" s="161">
        <f t="shared" si="14"/>
        <v>0</v>
      </c>
      <c r="S27" s="298">
        <f t="shared" si="10"/>
        <v>0</v>
      </c>
      <c r="T27" s="41">
        <f>+S27/'Capacity Delivered'!L27*1000</f>
        <v>0</v>
      </c>
      <c r="U27" s="226">
        <f t="shared" si="15"/>
        <v>0</v>
      </c>
      <c r="W27" s="235">
        <f t="shared" si="11"/>
        <v>15.489726027397243</v>
      </c>
      <c r="X27" s="236">
        <f t="shared" si="16"/>
        <v>1.5489726027397243E-2</v>
      </c>
    </row>
    <row r="28" spans="2:24" s="44" customFormat="1" x14ac:dyDescent="0.35">
      <c r="C28" s="21"/>
      <c r="F28" s="38"/>
      <c r="G28" s="37"/>
      <c r="H28" s="164"/>
      <c r="I28" s="55"/>
      <c r="J28" s="56"/>
      <c r="K28" s="48"/>
      <c r="L28" s="48"/>
      <c r="M28" s="48"/>
      <c r="O28" s="165"/>
      <c r="P28" s="54"/>
      <c r="Q28" s="55"/>
      <c r="R28" s="56"/>
      <c r="S28" s="48"/>
      <c r="T28" s="48"/>
      <c r="U28" s="48"/>
      <c r="W28" s="48"/>
      <c r="X28" s="48"/>
    </row>
    <row r="29" spans="2:24" x14ac:dyDescent="0.35">
      <c r="B29" s="31"/>
      <c r="C29" s="21"/>
      <c r="D29" s="44"/>
      <c r="E29" s="44"/>
      <c r="F29" s="31"/>
      <c r="G29" s="37"/>
      <c r="H29" s="164"/>
      <c r="I29" s="31"/>
      <c r="J29" s="31"/>
      <c r="K29" s="31"/>
      <c r="L29" s="31"/>
      <c r="M29" s="31"/>
      <c r="O29" s="165"/>
      <c r="P29" s="54"/>
      <c r="Q29" s="31"/>
      <c r="R29" s="31"/>
      <c r="S29" s="31"/>
      <c r="T29" s="31"/>
      <c r="U29" s="31"/>
      <c r="W29" s="31"/>
      <c r="X29" s="31"/>
    </row>
  </sheetData>
  <phoneticPr fontId="14"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4" r:id="rId5" name="Control 4">
          <controlPr defaultSize="0" autoPict="0" r:id="rId6">
            <anchor moveWithCells="1">
              <from>
                <xdr:col>6</xdr:col>
                <xdr:colOff>571500</xdr:colOff>
                <xdr:row>2</xdr:row>
                <xdr:rowOff>50800</xdr:rowOff>
              </from>
              <to>
                <xdr:col>7</xdr:col>
                <xdr:colOff>177800</xdr:colOff>
                <xdr:row>3</xdr:row>
                <xdr:rowOff>133350</xdr:rowOff>
              </to>
            </anchor>
          </controlPr>
        </control>
      </mc:Choice>
      <mc:Fallback>
        <control shapeId="5124" r:id="rId5" name="Control 4"/>
      </mc:Fallback>
    </mc:AlternateContent>
    <mc:AlternateContent xmlns:mc="http://schemas.openxmlformats.org/markup-compatibility/2006">
      <mc:Choice Requires="x14">
        <control shapeId="5123" r:id="rId7" name="Control 3">
          <controlPr defaultSize="0" autoPict="0" r:id="rId8">
            <anchor moveWithCells="1">
              <from>
                <xdr:col>6</xdr:col>
                <xdr:colOff>571500</xdr:colOff>
                <xdr:row>2</xdr:row>
                <xdr:rowOff>50800</xdr:rowOff>
              </from>
              <to>
                <xdr:col>7</xdr:col>
                <xdr:colOff>165100</xdr:colOff>
                <xdr:row>3</xdr:row>
                <xdr:rowOff>76200</xdr:rowOff>
              </to>
            </anchor>
          </controlPr>
        </control>
      </mc:Choice>
      <mc:Fallback>
        <control shapeId="5123" r:id="rId7" name="Control 3"/>
      </mc:Fallback>
    </mc:AlternateContent>
    <mc:AlternateContent xmlns:mc="http://schemas.openxmlformats.org/markup-compatibility/2006">
      <mc:Choice Requires="x14">
        <control shapeId="5122" r:id="rId9" name="Control 2">
          <controlPr defaultSize="0" autoPict="0" r:id="rId10">
            <anchor moveWithCells="1">
              <from>
                <xdr:col>6</xdr:col>
                <xdr:colOff>571500</xdr:colOff>
                <xdr:row>2</xdr:row>
                <xdr:rowOff>50800</xdr:rowOff>
              </from>
              <to>
                <xdr:col>7</xdr:col>
                <xdr:colOff>165100</xdr:colOff>
                <xdr:row>3</xdr:row>
                <xdr:rowOff>76200</xdr:rowOff>
              </to>
            </anchor>
          </controlPr>
        </control>
      </mc:Choice>
      <mc:Fallback>
        <control shapeId="5122" r:id="rId9" name="Control 2"/>
      </mc:Fallback>
    </mc:AlternateContent>
    <mc:AlternateContent xmlns:mc="http://schemas.openxmlformats.org/markup-compatibility/2006">
      <mc:Choice Requires="x14">
        <control shapeId="5121" r:id="rId11" name="Control 1">
          <controlPr defaultSize="0" autoPict="0" r:id="rId12">
            <anchor moveWithCells="1">
              <from>
                <xdr:col>6</xdr:col>
                <xdr:colOff>571500</xdr:colOff>
                <xdr:row>2</xdr:row>
                <xdr:rowOff>50800</xdr:rowOff>
              </from>
              <to>
                <xdr:col>6</xdr:col>
                <xdr:colOff>793750</xdr:colOff>
                <xdr:row>3</xdr:row>
                <xdr:rowOff>76200</xdr:rowOff>
              </to>
            </anchor>
          </controlPr>
        </control>
      </mc:Choice>
      <mc:Fallback>
        <control shapeId="5121" r:id="rId11" name="Control 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29"/>
  <sheetViews>
    <sheetView workbookViewId="0">
      <selection activeCell="D19" sqref="D19"/>
    </sheetView>
  </sheetViews>
  <sheetFormatPr defaultColWidth="9.1796875" defaultRowHeight="15.5" x14ac:dyDescent="0.35"/>
  <cols>
    <col min="1" max="1" width="2.54296875" style="33" customWidth="1"/>
    <col min="2" max="2" width="25.54296875" style="33" customWidth="1"/>
    <col min="3" max="3" width="17.453125" style="33" customWidth="1"/>
    <col min="4" max="4" width="15.54296875" style="33" customWidth="1"/>
    <col min="5" max="5" width="2.54296875" style="33" customWidth="1"/>
    <col min="6" max="6" width="9.54296875" style="33" customWidth="1"/>
    <col min="7" max="7" width="16.54296875" style="33" customWidth="1"/>
    <col min="8" max="8" width="16.453125" style="44" customWidth="1"/>
    <col min="9" max="9" width="18.54296875" style="33" customWidth="1"/>
    <col min="10" max="10" width="19" style="33" customWidth="1"/>
    <col min="11" max="13" width="22.453125" style="33" customWidth="1"/>
    <col min="14" max="14" width="2.54296875" style="33" customWidth="1"/>
    <col min="15" max="15" width="16.453125" style="44" customWidth="1"/>
    <col min="16" max="16" width="16.54296875" style="158" customWidth="1"/>
    <col min="17" max="17" width="18.54296875" style="33" customWidth="1"/>
    <col min="18" max="18" width="19" style="33" customWidth="1"/>
    <col min="19" max="21" width="22.453125" style="33" customWidth="1"/>
    <col min="22" max="22" width="2.54296875" style="33" customWidth="1"/>
    <col min="23" max="24" width="22.453125" style="33" customWidth="1"/>
    <col min="25" max="16384" width="9.1796875" style="33"/>
  </cols>
  <sheetData>
    <row r="1" spans="1:24" x14ac:dyDescent="0.35">
      <c r="B1" s="14"/>
    </row>
    <row r="3" spans="1:24" ht="16" thickBot="1" x14ac:dyDescent="0.4">
      <c r="H3" s="154"/>
    </row>
    <row r="4" spans="1:24" ht="62" x14ac:dyDescent="0.35">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7" t="s">
        <v>19</v>
      </c>
      <c r="X4" s="228" t="s">
        <v>19</v>
      </c>
    </row>
    <row r="5" spans="1:24" x14ac:dyDescent="0.35">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29" t="s">
        <v>37</v>
      </c>
      <c r="X5" s="230" t="s">
        <v>38</v>
      </c>
    </row>
    <row r="6" spans="1:24" s="44" customFormat="1" x14ac:dyDescent="0.35">
      <c r="A6" s="159"/>
      <c r="B6" s="159"/>
      <c r="C6" s="153" t="s">
        <v>21</v>
      </c>
      <c r="D6" s="329"/>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1" t="s">
        <v>39</v>
      </c>
      <c r="X6" s="232" t="s">
        <v>74</v>
      </c>
    </row>
    <row r="7" spans="1:24" s="44" customFormat="1" x14ac:dyDescent="0.35">
      <c r="A7" s="159"/>
      <c r="B7" s="159"/>
      <c r="C7" s="153" t="s">
        <v>29</v>
      </c>
      <c r="D7" s="46">
        <v>0</v>
      </c>
      <c r="E7" s="245"/>
      <c r="F7" s="160">
        <f>'Baseload Avoided Capacity Calcs'!F7</f>
        <v>2025</v>
      </c>
      <c r="G7" s="257">
        <v>1</v>
      </c>
      <c r="H7" s="161">
        <f>'Capacity Delivered'!H7</f>
        <v>17.639700000000001</v>
      </c>
      <c r="I7" s="253">
        <f t="shared" ref="I7:I27" si="0">SUM(H7)/((1+$D$8)^G7)</f>
        <v>16.461086226203808</v>
      </c>
      <c r="J7" s="258">
        <f>I7</f>
        <v>16.461086226203808</v>
      </c>
      <c r="K7" s="258">
        <f>(-PMT($D$8,G7,(J7)))</f>
        <v>17.639700000000001</v>
      </c>
      <c r="L7" s="258">
        <f>+K7/'Capacity Delivered'!P7*1000</f>
        <v>5.4423361717882273</v>
      </c>
      <c r="M7" s="259">
        <f t="shared" ref="M7:M27" si="1">L7/1000</f>
        <v>5.4423361717882276E-3</v>
      </c>
      <c r="O7" s="166">
        <f>D13</f>
        <v>0</v>
      </c>
      <c r="P7" s="166">
        <f t="shared" ref="P7:P27" si="2">(H7+O7)*$D$7</f>
        <v>0</v>
      </c>
      <c r="Q7" s="166">
        <f t="shared" ref="Q7:Q27" si="3">SUM(O7:P7)/((1+$D$8)^G7)</f>
        <v>0</v>
      </c>
      <c r="R7" s="166">
        <f>Q7</f>
        <v>0</v>
      </c>
      <c r="S7" s="298">
        <f>(-PMT($D$8,G7,(R7)))</f>
        <v>0</v>
      </c>
      <c r="T7" s="258">
        <f>+S7/'Capacity Delivered'!L7*1000</f>
        <v>0</v>
      </c>
      <c r="U7" s="259">
        <f t="shared" ref="U7:U20" si="4">T7/1000</f>
        <v>0</v>
      </c>
      <c r="W7" s="249">
        <f>L7+T7</f>
        <v>5.4423361717882273</v>
      </c>
      <c r="X7" s="250">
        <f t="shared" ref="X7:X20" si="5">W7/1000</f>
        <v>5.4423361717882276E-3</v>
      </c>
    </row>
    <row r="8" spans="1:24" s="44" customFormat="1" x14ac:dyDescent="0.35">
      <c r="A8" s="159"/>
      <c r="B8" s="159"/>
      <c r="C8" s="153" t="s">
        <v>33</v>
      </c>
      <c r="D8" s="303">
        <f>Rate_of_Return</f>
        <v>7.1599999999999997E-2</v>
      </c>
      <c r="E8" s="245"/>
      <c r="F8" s="160">
        <f>'Baseload Avoided Capacity Calcs'!F8</f>
        <v>2026</v>
      </c>
      <c r="G8" s="37">
        <v>2</v>
      </c>
      <c r="H8" s="161">
        <f>'Capacity Delivered'!H8</f>
        <v>17.639700000000001</v>
      </c>
      <c r="I8" s="246">
        <f t="shared" si="0"/>
        <v>15.36122268216107</v>
      </c>
      <c r="J8" s="247">
        <f t="shared" ref="J8:J27" si="6">J7+I8</f>
        <v>31.822308908364878</v>
      </c>
      <c r="K8" s="247">
        <f>(-PMT($D$8,G8,(J8)))</f>
        <v>17.639699999999998</v>
      </c>
      <c r="L8" s="258">
        <f>+K8/'Capacity Delivered'!P8*1000</f>
        <v>5.4423361717882255</v>
      </c>
      <c r="M8" s="248">
        <f t="shared" si="1"/>
        <v>5.4423361717882259E-3</v>
      </c>
      <c r="O8" s="161">
        <f t="shared" ref="O8:O27" si="7">O7+(O7*$D$9)</f>
        <v>0</v>
      </c>
      <c r="P8" s="161">
        <f t="shared" si="2"/>
        <v>0</v>
      </c>
      <c r="Q8" s="161">
        <f t="shared" si="3"/>
        <v>0</v>
      </c>
      <c r="R8" s="161">
        <f t="shared" ref="R8:R12" si="8">R7+Q8</f>
        <v>0</v>
      </c>
      <c r="S8" s="298">
        <f t="shared" ref="S8:S27" si="9">(-PMT($D$8,G8,(R8)))</f>
        <v>0</v>
      </c>
      <c r="T8" s="247">
        <f>+S8/'Capacity Delivered'!L8*1000</f>
        <v>0</v>
      </c>
      <c r="U8" s="248">
        <f t="shared" si="4"/>
        <v>0</v>
      </c>
      <c r="W8" s="249">
        <f t="shared" ref="W8:W27" si="10">L8+T8</f>
        <v>5.4423361717882255</v>
      </c>
      <c r="X8" s="250">
        <f t="shared" si="5"/>
        <v>5.4423361717882259E-3</v>
      </c>
    </row>
    <row r="9" spans="1:24" s="44" customFormat="1" x14ac:dyDescent="0.35">
      <c r="A9" s="159"/>
      <c r="B9" s="159"/>
      <c r="C9" s="153" t="s">
        <v>113</v>
      </c>
      <c r="D9" s="303">
        <v>2.5000000000000001E-2</v>
      </c>
      <c r="E9" s="251"/>
      <c r="F9" s="160">
        <f>'Baseload Avoided Capacity Calcs'!F9</f>
        <v>2027</v>
      </c>
      <c r="G9" s="37">
        <v>3</v>
      </c>
      <c r="H9" s="161">
        <f>'Capacity Delivered'!H9</f>
        <v>17.639700000000001</v>
      </c>
      <c r="I9" s="246">
        <f t="shared" si="0"/>
        <v>14.334847594401893</v>
      </c>
      <c r="J9" s="247">
        <f t="shared" si="6"/>
        <v>46.157156502766767</v>
      </c>
      <c r="K9" s="247">
        <f>(-PMT($D$8,G9,(J9)))</f>
        <v>17.639699999999998</v>
      </c>
      <c r="L9" s="258">
        <f>+K9/'Capacity Delivered'!P9*1000</f>
        <v>5.4423361717882255</v>
      </c>
      <c r="M9" s="248">
        <f t="shared" si="1"/>
        <v>5.4423361717882259E-3</v>
      </c>
      <c r="O9" s="161">
        <f t="shared" si="7"/>
        <v>0</v>
      </c>
      <c r="P9" s="161">
        <f t="shared" si="2"/>
        <v>0</v>
      </c>
      <c r="Q9" s="161">
        <f t="shared" si="3"/>
        <v>0</v>
      </c>
      <c r="R9" s="161">
        <f t="shared" si="8"/>
        <v>0</v>
      </c>
      <c r="S9" s="298">
        <f t="shared" si="9"/>
        <v>0</v>
      </c>
      <c r="T9" s="247">
        <f>+S9/'Capacity Delivered'!L9*1000</f>
        <v>0</v>
      </c>
      <c r="U9" s="248">
        <f t="shared" si="4"/>
        <v>0</v>
      </c>
      <c r="W9" s="249">
        <f t="shared" si="10"/>
        <v>5.4423361717882255</v>
      </c>
      <c r="X9" s="250">
        <f t="shared" si="5"/>
        <v>5.4423361717882259E-3</v>
      </c>
    </row>
    <row r="10" spans="1:24" s="44" customFormat="1" x14ac:dyDescent="0.35">
      <c r="B10" s="159"/>
      <c r="C10" s="153"/>
      <c r="D10" s="51"/>
      <c r="E10" s="245"/>
      <c r="F10" s="160">
        <f>'Baseload Avoided Capacity Calcs'!F10</f>
        <v>2028</v>
      </c>
      <c r="G10" s="37">
        <v>4</v>
      </c>
      <c r="H10" s="161">
        <f>'Capacity Delivered'!H10</f>
        <v>17.639700000000001</v>
      </c>
      <c r="I10" s="246">
        <f t="shared" si="0"/>
        <v>13.377050759986835</v>
      </c>
      <c r="J10" s="247">
        <f t="shared" si="6"/>
        <v>59.534207262753604</v>
      </c>
      <c r="K10" s="247">
        <f t="shared" ref="K10:K26" si="11">(-PMT($D$8,G10,(J10)))</f>
        <v>17.639699999999998</v>
      </c>
      <c r="L10" s="258">
        <f>+K10/'Capacity Delivered'!P10*1000</f>
        <v>5.4274664008270559</v>
      </c>
      <c r="M10" s="248">
        <f t="shared" si="1"/>
        <v>5.4274664008270562E-3</v>
      </c>
      <c r="O10" s="161">
        <f t="shared" si="7"/>
        <v>0</v>
      </c>
      <c r="P10" s="161">
        <f t="shared" si="2"/>
        <v>0</v>
      </c>
      <c r="Q10" s="161">
        <f t="shared" si="3"/>
        <v>0</v>
      </c>
      <c r="R10" s="161">
        <f t="shared" si="8"/>
        <v>0</v>
      </c>
      <c r="S10" s="298">
        <f t="shared" si="9"/>
        <v>0</v>
      </c>
      <c r="T10" s="247">
        <f>+S10/'Capacity Delivered'!L10*1000</f>
        <v>0</v>
      </c>
      <c r="U10" s="248">
        <f t="shared" si="4"/>
        <v>0</v>
      </c>
      <c r="W10" s="249">
        <f t="shared" si="10"/>
        <v>5.4274664008270559</v>
      </c>
      <c r="X10" s="250">
        <f t="shared" si="5"/>
        <v>5.4274664008270562E-3</v>
      </c>
    </row>
    <row r="11" spans="1:24" s="44" customFormat="1" x14ac:dyDescent="0.35">
      <c r="A11" s="159"/>
      <c r="B11" s="153"/>
      <c r="C11" s="326"/>
      <c r="D11" s="326"/>
      <c r="E11" s="245"/>
      <c r="F11" s="160">
        <f>'Baseload Avoided Capacity Calcs'!F11</f>
        <v>2029</v>
      </c>
      <c r="G11" s="37">
        <v>5</v>
      </c>
      <c r="H11" s="161">
        <f>'Capacity Delivered'!H11</f>
        <v>17.639700000000001</v>
      </c>
      <c r="I11" s="246">
        <f t="shared" si="0"/>
        <v>12.483250055978754</v>
      </c>
      <c r="J11" s="247">
        <f t="shared" si="6"/>
        <v>72.017457318732355</v>
      </c>
      <c r="K11" s="247">
        <f t="shared" si="11"/>
        <v>17.639699999999994</v>
      </c>
      <c r="L11" s="258">
        <f>+K11/'Capacity Delivered'!P11*1000</f>
        <v>5.4423361717882246</v>
      </c>
      <c r="M11" s="248">
        <f t="shared" si="1"/>
        <v>5.442336171788225E-3</v>
      </c>
      <c r="O11" s="161">
        <f t="shared" si="7"/>
        <v>0</v>
      </c>
      <c r="P11" s="161">
        <f t="shared" si="2"/>
        <v>0</v>
      </c>
      <c r="Q11" s="161">
        <f t="shared" si="3"/>
        <v>0</v>
      </c>
      <c r="R11" s="161">
        <f t="shared" si="8"/>
        <v>0</v>
      </c>
      <c r="S11" s="298">
        <f t="shared" si="9"/>
        <v>0</v>
      </c>
      <c r="T11" s="247">
        <f>+S11/'Capacity Delivered'!L11*1000</f>
        <v>0</v>
      </c>
      <c r="U11" s="248">
        <f t="shared" si="4"/>
        <v>0</v>
      </c>
      <c r="W11" s="249">
        <f t="shared" si="10"/>
        <v>5.4423361717882246</v>
      </c>
      <c r="X11" s="250">
        <f t="shared" si="5"/>
        <v>5.442336171788225E-3</v>
      </c>
    </row>
    <row r="12" spans="1:24" s="44" customFormat="1" x14ac:dyDescent="0.35">
      <c r="A12" s="252"/>
      <c r="B12" s="327"/>
      <c r="C12" s="253"/>
      <c r="D12" s="253"/>
      <c r="E12" s="245"/>
      <c r="F12" s="160">
        <f>'Baseload Avoided Capacity Calcs'!F12</f>
        <v>2030</v>
      </c>
      <c r="G12" s="37">
        <v>6</v>
      </c>
      <c r="H12" s="161">
        <f>'Capacity Delivered'!H12</f>
        <v>17.639700000000001</v>
      </c>
      <c r="I12" s="246">
        <f t="shared" si="0"/>
        <v>11.649169518457215</v>
      </c>
      <c r="J12" s="247">
        <f t="shared" si="6"/>
        <v>83.666626837189568</v>
      </c>
      <c r="K12" s="247">
        <f t="shared" si="11"/>
        <v>17.639699999999994</v>
      </c>
      <c r="L12" s="258">
        <f>+K12/'Capacity Delivered'!P12*1000</f>
        <v>5.4423361717882246</v>
      </c>
      <c r="M12" s="248">
        <f t="shared" si="1"/>
        <v>5.442336171788225E-3</v>
      </c>
      <c r="O12" s="161">
        <f t="shared" si="7"/>
        <v>0</v>
      </c>
      <c r="P12" s="161">
        <f t="shared" si="2"/>
        <v>0</v>
      </c>
      <c r="Q12" s="161">
        <f t="shared" si="3"/>
        <v>0</v>
      </c>
      <c r="R12" s="161">
        <f t="shared" si="8"/>
        <v>0</v>
      </c>
      <c r="S12" s="298">
        <f t="shared" si="9"/>
        <v>0</v>
      </c>
      <c r="T12" s="247">
        <f>+S12/'Capacity Delivered'!L12*1000</f>
        <v>0</v>
      </c>
      <c r="U12" s="248">
        <f t="shared" si="4"/>
        <v>0</v>
      </c>
      <c r="W12" s="249">
        <f t="shared" si="10"/>
        <v>5.4423361717882246</v>
      </c>
      <c r="X12" s="250">
        <f t="shared" si="5"/>
        <v>5.442336171788225E-3</v>
      </c>
    </row>
    <row r="13" spans="1:24" s="44" customFormat="1" x14ac:dyDescent="0.35">
      <c r="A13" s="252"/>
      <c r="B13" s="327"/>
      <c r="C13" s="253"/>
      <c r="D13" s="253"/>
      <c r="E13" s="245"/>
      <c r="F13" s="160">
        <f>'Baseload Avoided Capacity Calcs'!F13</f>
        <v>2031</v>
      </c>
      <c r="G13" s="37">
        <v>7</v>
      </c>
      <c r="H13" s="161">
        <f>'Capacity Delivered'!H13</f>
        <v>17.639700000000001</v>
      </c>
      <c r="I13" s="246">
        <f t="shared" si="0"/>
        <v>10.87081888620494</v>
      </c>
      <c r="J13" s="247">
        <f>J12+I13</f>
        <v>94.537445723394512</v>
      </c>
      <c r="K13" s="247">
        <f t="shared" si="11"/>
        <v>17.639699999999994</v>
      </c>
      <c r="L13" s="258">
        <f>+K13/'Capacity Delivered'!P13*1000</f>
        <v>5.4423361717882246</v>
      </c>
      <c r="M13" s="248">
        <f t="shared" si="1"/>
        <v>5.442336171788225E-3</v>
      </c>
      <c r="O13" s="161">
        <f>O12+(O12*$D$9)</f>
        <v>0</v>
      </c>
      <c r="P13" s="161">
        <f t="shared" si="2"/>
        <v>0</v>
      </c>
      <c r="Q13" s="161">
        <f t="shared" si="3"/>
        <v>0</v>
      </c>
      <c r="R13" s="161">
        <f>R12+Q13</f>
        <v>0</v>
      </c>
      <c r="S13" s="298">
        <f t="shared" si="9"/>
        <v>0</v>
      </c>
      <c r="T13" s="247">
        <f>+S13/'Capacity Delivered'!L13*1000</f>
        <v>0</v>
      </c>
      <c r="U13" s="248">
        <f t="shared" si="4"/>
        <v>0</v>
      </c>
      <c r="W13" s="249">
        <f t="shared" si="10"/>
        <v>5.4423361717882246</v>
      </c>
      <c r="X13" s="250">
        <f t="shared" si="5"/>
        <v>5.442336171788225E-3</v>
      </c>
    </row>
    <row r="14" spans="1:24" s="44" customFormat="1" x14ac:dyDescent="0.35">
      <c r="A14" s="252"/>
      <c r="B14" s="254"/>
      <c r="C14" s="254"/>
      <c r="D14" s="254"/>
      <c r="E14" s="245"/>
      <c r="F14" s="160">
        <f>'Baseload Avoided Capacity Calcs'!F14</f>
        <v>2032</v>
      </c>
      <c r="G14" s="37">
        <v>8</v>
      </c>
      <c r="H14" s="161">
        <f>'Capacity Delivered'!H14</f>
        <v>17.639700000000001</v>
      </c>
      <c r="I14" s="246">
        <f t="shared" si="0"/>
        <v>10.144474511202818</v>
      </c>
      <c r="J14" s="247">
        <f t="shared" si="6"/>
        <v>104.68192023459733</v>
      </c>
      <c r="K14" s="247">
        <f t="shared" si="11"/>
        <v>17.639699999999994</v>
      </c>
      <c r="L14" s="258">
        <f>+K14/'Capacity Delivered'!P14*1000</f>
        <v>5.427466400827055</v>
      </c>
      <c r="M14" s="248">
        <f t="shared" si="1"/>
        <v>5.4274664008270553E-3</v>
      </c>
      <c r="O14" s="161">
        <f t="shared" si="7"/>
        <v>0</v>
      </c>
      <c r="P14" s="161">
        <f t="shared" si="2"/>
        <v>0</v>
      </c>
      <c r="Q14" s="161">
        <f t="shared" si="3"/>
        <v>0</v>
      </c>
      <c r="R14" s="161">
        <f t="shared" ref="R14:R20" si="12">R13+Q14</f>
        <v>0</v>
      </c>
      <c r="S14" s="298">
        <f t="shared" si="9"/>
        <v>0</v>
      </c>
      <c r="T14" s="247">
        <f>+S14/'Capacity Delivered'!L14*1000</f>
        <v>0</v>
      </c>
      <c r="U14" s="248">
        <f t="shared" si="4"/>
        <v>0</v>
      </c>
      <c r="W14" s="249">
        <f t="shared" si="10"/>
        <v>5.427466400827055</v>
      </c>
      <c r="X14" s="250">
        <f t="shared" si="5"/>
        <v>5.4274664008270553E-3</v>
      </c>
    </row>
    <row r="15" spans="1:24" s="44" customFormat="1" x14ac:dyDescent="0.35">
      <c r="A15" s="254"/>
      <c r="B15" s="254"/>
      <c r="C15" s="328"/>
      <c r="D15" s="254"/>
      <c r="E15" s="245"/>
      <c r="F15" s="160">
        <f>'Baseload Avoided Capacity Calcs'!F15</f>
        <v>2033</v>
      </c>
      <c r="G15" s="37">
        <v>9</v>
      </c>
      <c r="H15" s="161">
        <f>'Capacity Delivered'!H15</f>
        <v>17.639700000000001</v>
      </c>
      <c r="I15" s="246">
        <f t="shared" si="0"/>
        <v>9.466661544608824</v>
      </c>
      <c r="J15" s="247">
        <f t="shared" si="6"/>
        <v>114.14858177920615</v>
      </c>
      <c r="K15" s="247">
        <f t="shared" si="11"/>
        <v>17.639699999999991</v>
      </c>
      <c r="L15" s="258">
        <f>+K15/'Capacity Delivered'!P15*1000</f>
        <v>5.4423361717882237</v>
      </c>
      <c r="M15" s="248">
        <f t="shared" si="1"/>
        <v>5.4423361717882233E-3</v>
      </c>
      <c r="O15" s="161">
        <f t="shared" si="7"/>
        <v>0</v>
      </c>
      <c r="P15" s="161">
        <f t="shared" si="2"/>
        <v>0</v>
      </c>
      <c r="Q15" s="161">
        <f t="shared" si="3"/>
        <v>0</v>
      </c>
      <c r="R15" s="161">
        <f t="shared" si="12"/>
        <v>0</v>
      </c>
      <c r="S15" s="298">
        <f t="shared" si="9"/>
        <v>0</v>
      </c>
      <c r="T15" s="247">
        <f>+S15/'Capacity Delivered'!L15*1000</f>
        <v>0</v>
      </c>
      <c r="U15" s="248">
        <f t="shared" si="4"/>
        <v>0</v>
      </c>
      <c r="W15" s="249">
        <f t="shared" si="10"/>
        <v>5.4423361717882237</v>
      </c>
      <c r="X15" s="250">
        <f t="shared" si="5"/>
        <v>5.4423361717882233E-3</v>
      </c>
    </row>
    <row r="16" spans="1:24" s="44" customFormat="1" x14ac:dyDescent="0.35">
      <c r="A16" s="254"/>
      <c r="B16" s="255"/>
      <c r="C16" s="254"/>
      <c r="D16" s="254"/>
      <c r="E16" s="245"/>
      <c r="F16" s="160">
        <f>'Baseload Avoided Capacity Calcs'!F16</f>
        <v>2034</v>
      </c>
      <c r="G16" s="37">
        <v>10</v>
      </c>
      <c r="H16" s="161">
        <f>'Capacity Delivered'!H16</f>
        <v>17.639700000000001</v>
      </c>
      <c r="I16" s="246">
        <f t="shared" si="0"/>
        <v>8.8341373129981555</v>
      </c>
      <c r="J16" s="247">
        <f t="shared" si="6"/>
        <v>122.98271909220431</v>
      </c>
      <c r="K16" s="247">
        <f t="shared" si="11"/>
        <v>17.639699999999994</v>
      </c>
      <c r="L16" s="258">
        <f>+K16/'Capacity Delivered'!P16*1000</f>
        <v>5.4423361717882246</v>
      </c>
      <c r="M16" s="248">
        <f t="shared" si="1"/>
        <v>5.442336171788225E-3</v>
      </c>
      <c r="N16" s="256"/>
      <c r="O16" s="161">
        <f t="shared" si="7"/>
        <v>0</v>
      </c>
      <c r="P16" s="161">
        <f t="shared" si="2"/>
        <v>0</v>
      </c>
      <c r="Q16" s="161">
        <f t="shared" si="3"/>
        <v>0</v>
      </c>
      <c r="R16" s="161">
        <f t="shared" si="12"/>
        <v>0</v>
      </c>
      <c r="S16" s="298">
        <f t="shared" si="9"/>
        <v>0</v>
      </c>
      <c r="T16" s="247">
        <f>+S16/'Capacity Delivered'!L16*1000</f>
        <v>0</v>
      </c>
      <c r="U16" s="248">
        <f t="shared" si="4"/>
        <v>0</v>
      </c>
      <c r="V16" s="256"/>
      <c r="W16" s="249">
        <f t="shared" si="10"/>
        <v>5.4423361717882246</v>
      </c>
      <c r="X16" s="250">
        <f t="shared" si="5"/>
        <v>5.442336171788225E-3</v>
      </c>
    </row>
    <row r="17" spans="1:24" s="44" customFormat="1" x14ac:dyDescent="0.35">
      <c r="A17" s="254"/>
      <c r="B17" s="255"/>
      <c r="C17" s="255"/>
      <c r="D17" s="255"/>
      <c r="E17" s="245"/>
      <c r="F17" s="160">
        <f>'Baseload Avoided Capacity Calcs'!F17</f>
        <v>2035</v>
      </c>
      <c r="G17" s="37">
        <v>11</v>
      </c>
      <c r="H17" s="161">
        <f>'Capacity Delivered'!H17</f>
        <v>17.639700000000001</v>
      </c>
      <c r="I17" s="246">
        <f t="shared" si="0"/>
        <v>8.2438758053360903</v>
      </c>
      <c r="J17" s="247">
        <f t="shared" si="6"/>
        <v>131.22659489754039</v>
      </c>
      <c r="K17" s="247">
        <f t="shared" si="11"/>
        <v>17.639699999999987</v>
      </c>
      <c r="L17" s="258">
        <f>+K17/'Capacity Delivered'!P17*1000</f>
        <v>5.4423361717882237</v>
      </c>
      <c r="M17" s="248">
        <f t="shared" si="1"/>
        <v>5.4423361717882233E-3</v>
      </c>
      <c r="O17" s="161">
        <f t="shared" si="7"/>
        <v>0</v>
      </c>
      <c r="P17" s="161">
        <f t="shared" si="2"/>
        <v>0</v>
      </c>
      <c r="Q17" s="161">
        <f t="shared" si="3"/>
        <v>0</v>
      </c>
      <c r="R17" s="161">
        <f t="shared" si="12"/>
        <v>0</v>
      </c>
      <c r="S17" s="298">
        <f t="shared" si="9"/>
        <v>0</v>
      </c>
      <c r="T17" s="247">
        <f>+S17/'Capacity Delivered'!L17*1000</f>
        <v>0</v>
      </c>
      <c r="U17" s="248">
        <f t="shared" si="4"/>
        <v>0</v>
      </c>
      <c r="W17" s="249">
        <f t="shared" si="10"/>
        <v>5.4423361717882237</v>
      </c>
      <c r="X17" s="250">
        <f t="shared" si="5"/>
        <v>5.4423361717882233E-3</v>
      </c>
    </row>
    <row r="18" spans="1:24" s="44" customFormat="1" x14ac:dyDescent="0.35">
      <c r="A18" s="255"/>
      <c r="B18" s="255"/>
      <c r="C18" s="255"/>
      <c r="D18" s="255"/>
      <c r="E18" s="245"/>
      <c r="F18" s="160">
        <f>'Baseload Avoided Capacity Calcs'!F18</f>
        <v>2036</v>
      </c>
      <c r="G18" s="37">
        <v>12</v>
      </c>
      <c r="H18" s="161">
        <f>'Capacity Delivered'!H18</f>
        <v>17.639700000000001</v>
      </c>
      <c r="I18" s="246">
        <f t="shared" si="0"/>
        <v>7.6930531964689148</v>
      </c>
      <c r="J18" s="247">
        <f t="shared" si="6"/>
        <v>138.91964809400932</v>
      </c>
      <c r="K18" s="247">
        <f t="shared" si="11"/>
        <v>17.639699999999991</v>
      </c>
      <c r="L18" s="258">
        <f>+K18/'Capacity Delivered'!P18*1000</f>
        <v>5.4274664008270532</v>
      </c>
      <c r="M18" s="248">
        <f t="shared" si="1"/>
        <v>5.4274664008270536E-3</v>
      </c>
      <c r="O18" s="161">
        <f t="shared" si="7"/>
        <v>0</v>
      </c>
      <c r="P18" s="161">
        <f t="shared" si="2"/>
        <v>0</v>
      </c>
      <c r="Q18" s="161">
        <f t="shared" si="3"/>
        <v>0</v>
      </c>
      <c r="R18" s="161">
        <f t="shared" si="12"/>
        <v>0</v>
      </c>
      <c r="S18" s="298">
        <f t="shared" si="9"/>
        <v>0</v>
      </c>
      <c r="T18" s="247">
        <f>+S18/'Capacity Delivered'!L18*1000</f>
        <v>0</v>
      </c>
      <c r="U18" s="248">
        <f t="shared" si="4"/>
        <v>0</v>
      </c>
      <c r="W18" s="249">
        <f t="shared" si="10"/>
        <v>5.4274664008270532</v>
      </c>
      <c r="X18" s="250">
        <f t="shared" si="5"/>
        <v>5.4274664008270536E-3</v>
      </c>
    </row>
    <row r="19" spans="1:24" s="44" customFormat="1" x14ac:dyDescent="0.35">
      <c r="A19" s="255"/>
      <c r="B19" s="255"/>
      <c r="C19" s="255"/>
      <c r="D19" s="255"/>
      <c r="E19" s="178"/>
      <c r="F19" s="160">
        <f>'Baseload Avoided Capacity Calcs'!F19</f>
        <v>2037</v>
      </c>
      <c r="G19" s="37">
        <v>13</v>
      </c>
      <c r="H19" s="161">
        <f>'Capacity Delivered'!H19</f>
        <v>17.639700000000001</v>
      </c>
      <c r="I19" s="246">
        <f t="shared" si="0"/>
        <v>7.179034337876927</v>
      </c>
      <c r="J19" s="247">
        <f t="shared" si="6"/>
        <v>146.09868243188623</v>
      </c>
      <c r="K19" s="247">
        <f t="shared" si="11"/>
        <v>17.639699999999991</v>
      </c>
      <c r="L19" s="258">
        <f>+K19/'Capacity Delivered'!P19*1000</f>
        <v>5.4423361717882237</v>
      </c>
      <c r="M19" s="248">
        <f t="shared" si="1"/>
        <v>5.4423361717882233E-3</v>
      </c>
      <c r="O19" s="161">
        <f t="shared" si="7"/>
        <v>0</v>
      </c>
      <c r="P19" s="161">
        <f t="shared" si="2"/>
        <v>0</v>
      </c>
      <c r="Q19" s="161">
        <f t="shared" si="3"/>
        <v>0</v>
      </c>
      <c r="R19" s="161">
        <f t="shared" si="12"/>
        <v>0</v>
      </c>
      <c r="S19" s="298">
        <f t="shared" si="9"/>
        <v>0</v>
      </c>
      <c r="T19" s="247">
        <f>+S19/'Capacity Delivered'!L19*1000</f>
        <v>0</v>
      </c>
      <c r="U19" s="248">
        <f t="shared" si="4"/>
        <v>0</v>
      </c>
      <c r="W19" s="249">
        <f t="shared" si="10"/>
        <v>5.4423361717882237</v>
      </c>
      <c r="X19" s="250">
        <f t="shared" si="5"/>
        <v>5.4423361717882233E-3</v>
      </c>
    </row>
    <row r="20" spans="1:24" s="44" customFormat="1" x14ac:dyDescent="0.35">
      <c r="A20" s="255"/>
      <c r="B20" s="255"/>
      <c r="C20" s="255"/>
      <c r="D20" s="255"/>
      <c r="E20" s="178"/>
      <c r="F20" s="160">
        <f>'Baseload Avoided Capacity Calcs'!F20</f>
        <v>2038</v>
      </c>
      <c r="G20" s="37">
        <v>14</v>
      </c>
      <c r="H20" s="161">
        <f>'Capacity Delivered'!H20</f>
        <v>17.639700000000001</v>
      </c>
      <c r="I20" s="246">
        <f t="shared" si="0"/>
        <v>6.6993601510609606</v>
      </c>
      <c r="J20" s="247">
        <f t="shared" si="6"/>
        <v>152.7980425829472</v>
      </c>
      <c r="K20" s="247">
        <f t="shared" si="11"/>
        <v>17.639699999999987</v>
      </c>
      <c r="L20" s="258">
        <f>+K20/'Capacity Delivered'!P20*1000</f>
        <v>5.4423361717882237</v>
      </c>
      <c r="M20" s="248">
        <f t="shared" si="1"/>
        <v>5.4423361717882233E-3</v>
      </c>
      <c r="O20" s="161">
        <f t="shared" si="7"/>
        <v>0</v>
      </c>
      <c r="P20" s="161">
        <f t="shared" si="2"/>
        <v>0</v>
      </c>
      <c r="Q20" s="161">
        <f t="shared" si="3"/>
        <v>0</v>
      </c>
      <c r="R20" s="161">
        <f t="shared" si="12"/>
        <v>0</v>
      </c>
      <c r="S20" s="298">
        <f t="shared" si="9"/>
        <v>0</v>
      </c>
      <c r="T20" s="247">
        <f>+S20/'Capacity Delivered'!L20*1000</f>
        <v>0</v>
      </c>
      <c r="U20" s="248">
        <f t="shared" si="4"/>
        <v>0</v>
      </c>
      <c r="W20" s="249">
        <f t="shared" si="10"/>
        <v>5.4423361717882237</v>
      </c>
      <c r="X20" s="250">
        <f t="shared" si="5"/>
        <v>5.4423361717882233E-3</v>
      </c>
    </row>
    <row r="21" spans="1:24" s="256" customFormat="1" x14ac:dyDescent="0.35">
      <c r="A21" s="255"/>
      <c r="B21" s="255"/>
      <c r="C21" s="255"/>
      <c r="D21" s="255"/>
      <c r="E21" s="178"/>
      <c r="F21" s="160">
        <f>'Baseload Avoided Capacity Calcs'!F21</f>
        <v>2039</v>
      </c>
      <c r="G21" s="37">
        <v>15</v>
      </c>
      <c r="H21" s="161">
        <f>'Capacity Delivered'!H21</f>
        <v>17.639700000000001</v>
      </c>
      <c r="I21" s="246">
        <f t="shared" si="0"/>
        <v>6.2517358632521081</v>
      </c>
      <c r="J21" s="247">
        <f>J20+I21</f>
        <v>159.0497784461993</v>
      </c>
      <c r="K21" s="247">
        <f t="shared" si="11"/>
        <v>17.639699999999987</v>
      </c>
      <c r="L21" s="258">
        <f>+K21/'Capacity Delivered'!P21*1000</f>
        <v>5.4423361717882237</v>
      </c>
      <c r="M21" s="248">
        <f>L21/1000</f>
        <v>5.4423361717882233E-3</v>
      </c>
      <c r="O21" s="161">
        <f t="shared" si="7"/>
        <v>0</v>
      </c>
      <c r="P21" s="161">
        <f t="shared" si="2"/>
        <v>0</v>
      </c>
      <c r="Q21" s="161">
        <f t="shared" si="3"/>
        <v>0</v>
      </c>
      <c r="R21" s="161">
        <f>R20+Q21</f>
        <v>0</v>
      </c>
      <c r="S21" s="298">
        <f t="shared" si="9"/>
        <v>0</v>
      </c>
      <c r="T21" s="247">
        <f>+S21/'Capacity Delivered'!L21*1000</f>
        <v>0</v>
      </c>
      <c r="U21" s="248">
        <f>T21/1000</f>
        <v>0</v>
      </c>
      <c r="W21" s="249">
        <f>L21+T21</f>
        <v>5.4423361717882237</v>
      </c>
      <c r="X21" s="250">
        <f>W21/1000</f>
        <v>5.4423361717882233E-3</v>
      </c>
    </row>
    <row r="22" spans="1:24" s="44" customFormat="1" x14ac:dyDescent="0.35">
      <c r="A22" s="255"/>
      <c r="B22" s="255"/>
      <c r="C22" s="255"/>
      <c r="D22" s="255"/>
      <c r="E22" s="178"/>
      <c r="F22" s="160">
        <f>'Baseload Avoided Capacity Calcs'!F22</f>
        <v>2040</v>
      </c>
      <c r="G22" s="37">
        <v>16</v>
      </c>
      <c r="H22" s="161">
        <f>'Capacity Delivered'!H22</f>
        <v>17.639700000000001</v>
      </c>
      <c r="I22" s="246">
        <f t="shared" si="0"/>
        <v>5.8340200291639679</v>
      </c>
      <c r="J22" s="247">
        <f t="shared" si="6"/>
        <v>164.88379847536328</v>
      </c>
      <c r="K22" s="247">
        <f t="shared" si="11"/>
        <v>17.639699999999984</v>
      </c>
      <c r="L22" s="258">
        <f>+K22/'Capacity Delivered'!P22*1000</f>
        <v>5.4274664008270515</v>
      </c>
      <c r="M22" s="248">
        <f t="shared" si="1"/>
        <v>5.4274664008270518E-3</v>
      </c>
      <c r="O22" s="161">
        <f t="shared" si="7"/>
        <v>0</v>
      </c>
      <c r="P22" s="161">
        <f t="shared" si="2"/>
        <v>0</v>
      </c>
      <c r="Q22" s="161">
        <f t="shared" si="3"/>
        <v>0</v>
      </c>
      <c r="R22" s="161">
        <f t="shared" ref="R22:R27" si="13">R21+Q22</f>
        <v>0</v>
      </c>
      <c r="S22" s="298">
        <f t="shared" si="9"/>
        <v>0</v>
      </c>
      <c r="T22" s="247">
        <f>+S22/'Capacity Delivered'!L22*1000</f>
        <v>0</v>
      </c>
      <c r="U22" s="248">
        <f t="shared" ref="U22:U27" si="14">T22/1000</f>
        <v>0</v>
      </c>
      <c r="W22" s="249">
        <f t="shared" si="10"/>
        <v>5.4274664008270515</v>
      </c>
      <c r="X22" s="250">
        <f t="shared" ref="X22:X27" si="15">W22/1000</f>
        <v>5.4274664008270518E-3</v>
      </c>
    </row>
    <row r="23" spans="1:24" s="44" customFormat="1" x14ac:dyDescent="0.35">
      <c r="A23" s="255"/>
      <c r="B23" s="255"/>
      <c r="C23" s="255"/>
      <c r="D23" s="255"/>
      <c r="E23" s="178"/>
      <c r="F23" s="160">
        <f>'Baseload Avoided Capacity Calcs'!F23</f>
        <v>2041</v>
      </c>
      <c r="G23" s="37">
        <v>17</v>
      </c>
      <c r="H23" s="161">
        <f>'Capacity Delivered'!H23</f>
        <v>17.639700000000001</v>
      </c>
      <c r="I23" s="246">
        <f t="shared" si="0"/>
        <v>5.4442142862672327</v>
      </c>
      <c r="J23" s="247">
        <f t="shared" si="6"/>
        <v>170.3280127616305</v>
      </c>
      <c r="K23" s="247">
        <f t="shared" si="11"/>
        <v>17.639699999999984</v>
      </c>
      <c r="L23" s="258">
        <f>+K23/'Capacity Delivered'!P23*1000</f>
        <v>5.4423361717882219</v>
      </c>
      <c r="M23" s="248">
        <f t="shared" si="1"/>
        <v>5.4423361717882215E-3</v>
      </c>
      <c r="O23" s="161">
        <f t="shared" si="7"/>
        <v>0</v>
      </c>
      <c r="P23" s="161">
        <f t="shared" si="2"/>
        <v>0</v>
      </c>
      <c r="Q23" s="161">
        <f t="shared" si="3"/>
        <v>0</v>
      </c>
      <c r="R23" s="161">
        <f t="shared" si="13"/>
        <v>0</v>
      </c>
      <c r="S23" s="298">
        <f t="shared" si="9"/>
        <v>0</v>
      </c>
      <c r="T23" s="247">
        <f>+S23/'Capacity Delivered'!L23*1000</f>
        <v>0</v>
      </c>
      <c r="U23" s="248">
        <f t="shared" si="14"/>
        <v>0</v>
      </c>
      <c r="W23" s="249">
        <f t="shared" si="10"/>
        <v>5.4423361717882219</v>
      </c>
      <c r="X23" s="250">
        <f t="shared" si="15"/>
        <v>5.4423361717882215E-3</v>
      </c>
    </row>
    <row r="24" spans="1:24" x14ac:dyDescent="0.35">
      <c r="A24" s="255"/>
      <c r="B24" s="255"/>
      <c r="C24" s="255"/>
      <c r="D24" s="162"/>
      <c r="E24" s="52"/>
      <c r="F24" s="160">
        <f>'Baseload Avoided Capacity Calcs'!F24</f>
        <v>2042</v>
      </c>
      <c r="G24" s="39">
        <v>18</v>
      </c>
      <c r="H24" s="161">
        <f>'Capacity Delivered'!H24</f>
        <v>17.639700000000001</v>
      </c>
      <c r="I24" s="40">
        <f t="shared" si="0"/>
        <v>5.0804537945756181</v>
      </c>
      <c r="J24" s="41">
        <f t="shared" si="6"/>
        <v>175.40846655620612</v>
      </c>
      <c r="K24" s="247">
        <f t="shared" si="11"/>
        <v>17.639699999999984</v>
      </c>
      <c r="L24" s="258">
        <f>+K24/'Capacity Delivered'!P24*1000</f>
        <v>5.4423361717882219</v>
      </c>
      <c r="M24" s="226">
        <f t="shared" si="1"/>
        <v>5.4423361717882215E-3</v>
      </c>
      <c r="O24" s="161">
        <f t="shared" si="7"/>
        <v>0</v>
      </c>
      <c r="P24" s="161">
        <f t="shared" si="2"/>
        <v>0</v>
      </c>
      <c r="Q24" s="161">
        <f t="shared" si="3"/>
        <v>0</v>
      </c>
      <c r="R24" s="161">
        <f t="shared" si="13"/>
        <v>0</v>
      </c>
      <c r="S24" s="298">
        <f t="shared" si="9"/>
        <v>0</v>
      </c>
      <c r="T24" s="41">
        <f>+S24/'Capacity Delivered'!L24*1000</f>
        <v>0</v>
      </c>
      <c r="U24" s="226">
        <f t="shared" si="14"/>
        <v>0</v>
      </c>
      <c r="W24" s="233">
        <f t="shared" si="10"/>
        <v>5.4423361717882219</v>
      </c>
      <c r="X24" s="234">
        <f t="shared" si="15"/>
        <v>5.4423361717882215E-3</v>
      </c>
    </row>
    <row r="25" spans="1:24" x14ac:dyDescent="0.35">
      <c r="A25" s="255"/>
      <c r="B25" s="255"/>
      <c r="C25" s="255"/>
      <c r="D25" s="162"/>
      <c r="E25" s="52"/>
      <c r="F25" s="160">
        <f>'Baseload Avoided Capacity Calcs'!F25</f>
        <v>2043</v>
      </c>
      <c r="G25" s="39">
        <v>19</v>
      </c>
      <c r="H25" s="161">
        <f>'Capacity Delivered'!H25</f>
        <v>17.639700000000001</v>
      </c>
      <c r="I25" s="40">
        <f t="shared" si="0"/>
        <v>4.7409983152068094</v>
      </c>
      <c r="J25" s="41">
        <f t="shared" si="6"/>
        <v>180.14946487141293</v>
      </c>
      <c r="K25" s="247">
        <f t="shared" si="11"/>
        <v>17.63969999999998</v>
      </c>
      <c r="L25" s="258">
        <f>+K25/'Capacity Delivered'!P25*1000</f>
        <v>5.442336171788221</v>
      </c>
      <c r="M25" s="226">
        <f t="shared" si="1"/>
        <v>5.4423361717882207E-3</v>
      </c>
      <c r="O25" s="161">
        <f t="shared" si="7"/>
        <v>0</v>
      </c>
      <c r="P25" s="161">
        <f t="shared" si="2"/>
        <v>0</v>
      </c>
      <c r="Q25" s="161">
        <f t="shared" si="3"/>
        <v>0</v>
      </c>
      <c r="R25" s="161">
        <f t="shared" si="13"/>
        <v>0</v>
      </c>
      <c r="S25" s="298">
        <f t="shared" si="9"/>
        <v>0</v>
      </c>
      <c r="T25" s="41">
        <f>+S25/'Capacity Delivered'!L25*1000</f>
        <v>0</v>
      </c>
      <c r="U25" s="226">
        <f t="shared" si="14"/>
        <v>0</v>
      </c>
      <c r="W25" s="233">
        <f t="shared" si="10"/>
        <v>5.442336171788221</v>
      </c>
      <c r="X25" s="234">
        <f t="shared" si="15"/>
        <v>5.4423361717882207E-3</v>
      </c>
    </row>
    <row r="26" spans="1:24" x14ac:dyDescent="0.35">
      <c r="A26" s="162"/>
      <c r="B26" s="162"/>
      <c r="C26" s="162"/>
      <c r="D26" s="162"/>
      <c r="E26" s="52"/>
      <c r="F26" s="160">
        <f>'Baseload Avoided Capacity Calcs'!F26</f>
        <v>2044</v>
      </c>
      <c r="G26" s="39">
        <v>20</v>
      </c>
      <c r="H26" s="161">
        <f>'Capacity Delivered'!H26</f>
        <v>17.639700000000001</v>
      </c>
      <c r="I26" s="40">
        <f t="shared" si="0"/>
        <v>4.4242238850380824</v>
      </c>
      <c r="J26" s="41">
        <f t="shared" si="6"/>
        <v>184.57368875645102</v>
      </c>
      <c r="K26" s="247">
        <f t="shared" si="11"/>
        <v>17.63969999999998</v>
      </c>
      <c r="L26" s="258">
        <f>+K26/'Capacity Delivered'!P26*1000</f>
        <v>5.4274664008270497</v>
      </c>
      <c r="M26" s="226">
        <f t="shared" si="1"/>
        <v>5.4274664008270501E-3</v>
      </c>
      <c r="O26" s="161">
        <f t="shared" si="7"/>
        <v>0</v>
      </c>
      <c r="P26" s="161">
        <f t="shared" si="2"/>
        <v>0</v>
      </c>
      <c r="Q26" s="161">
        <f t="shared" si="3"/>
        <v>0</v>
      </c>
      <c r="R26" s="161">
        <f t="shared" si="13"/>
        <v>0</v>
      </c>
      <c r="S26" s="298">
        <f t="shared" si="9"/>
        <v>0</v>
      </c>
      <c r="T26" s="41">
        <f>+S26/'Capacity Delivered'!L26*1000</f>
        <v>0</v>
      </c>
      <c r="U26" s="226">
        <f t="shared" si="14"/>
        <v>0</v>
      </c>
      <c r="W26" s="233">
        <f t="shared" si="10"/>
        <v>5.4274664008270497</v>
      </c>
      <c r="X26" s="234">
        <f t="shared" si="15"/>
        <v>5.4274664008270501E-3</v>
      </c>
    </row>
    <row r="27" spans="1:24" s="44" customFormat="1" ht="16" thickBot="1" x14ac:dyDescent="0.4">
      <c r="F27" s="160">
        <f>'Baseload Avoided Capacity Calcs'!F27</f>
        <v>2045</v>
      </c>
      <c r="G27" s="37">
        <v>21</v>
      </c>
      <c r="H27" s="161">
        <f>'Capacity Delivered'!H27</f>
        <v>17.639700000000001</v>
      </c>
      <c r="I27" s="40">
        <f t="shared" si="0"/>
        <v>4.1286150476279229</v>
      </c>
      <c r="J27" s="41">
        <f t="shared" si="6"/>
        <v>188.70230380407895</v>
      </c>
      <c r="K27" s="247">
        <f>(-PMT($D$8,G27,(J27)))</f>
        <v>17.639699999999984</v>
      </c>
      <c r="L27" s="258">
        <f>+K27/'Capacity Delivered'!P27*1000</f>
        <v>5.4423361717882219</v>
      </c>
      <c r="M27" s="226">
        <f t="shared" si="1"/>
        <v>5.4423361717882215E-3</v>
      </c>
      <c r="O27" s="161">
        <f t="shared" si="7"/>
        <v>0</v>
      </c>
      <c r="P27" s="161">
        <f t="shared" si="2"/>
        <v>0</v>
      </c>
      <c r="Q27" s="161">
        <f t="shared" si="3"/>
        <v>0</v>
      </c>
      <c r="R27" s="161">
        <f t="shared" si="13"/>
        <v>0</v>
      </c>
      <c r="S27" s="298">
        <f t="shared" si="9"/>
        <v>0</v>
      </c>
      <c r="T27" s="41">
        <f>+S27/'Capacity Delivered'!L27*1000</f>
        <v>0</v>
      </c>
      <c r="U27" s="226">
        <f t="shared" si="14"/>
        <v>0</v>
      </c>
      <c r="W27" s="235">
        <f t="shared" si="10"/>
        <v>5.4423361717882219</v>
      </c>
      <c r="X27" s="236">
        <f t="shared" si="15"/>
        <v>5.4423361717882215E-3</v>
      </c>
    </row>
    <row r="28" spans="1:24" s="44" customFormat="1" x14ac:dyDescent="0.35">
      <c r="C28" s="21"/>
      <c r="F28" s="38"/>
      <c r="G28" s="37"/>
      <c r="H28" s="164"/>
      <c r="I28" s="55"/>
      <c r="J28" s="56"/>
      <c r="K28" s="48"/>
      <c r="L28" s="48"/>
      <c r="M28" s="48"/>
      <c r="O28" s="165"/>
      <c r="P28" s="54"/>
      <c r="Q28" s="55"/>
      <c r="R28" s="56"/>
      <c r="S28" s="48"/>
      <c r="T28" s="48"/>
      <c r="U28" s="48"/>
      <c r="W28" s="48"/>
      <c r="X28" s="48"/>
    </row>
    <row r="29" spans="1:24" x14ac:dyDescent="0.35">
      <c r="B29" s="31"/>
      <c r="C29" s="21"/>
      <c r="D29" s="44"/>
      <c r="E29" s="44"/>
      <c r="F29" s="31"/>
      <c r="G29" s="37"/>
      <c r="H29" s="164"/>
      <c r="I29" s="31"/>
      <c r="J29" s="31"/>
      <c r="K29" s="31"/>
      <c r="L29" s="31"/>
      <c r="M29" s="31"/>
      <c r="O29" s="165"/>
      <c r="P29" s="54"/>
      <c r="Q29" s="31"/>
      <c r="R29" s="31"/>
      <c r="S29" s="31"/>
      <c r="T29" s="31"/>
      <c r="U29" s="31"/>
      <c r="W29" s="31"/>
      <c r="X29" s="31"/>
    </row>
  </sheetData>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7649" r:id="rId4" name="Control 1">
          <controlPr defaultSize="0" autoPict="0" r:id="rId5">
            <anchor moveWithCells="1">
              <from>
                <xdr:col>6</xdr:col>
                <xdr:colOff>571500</xdr:colOff>
                <xdr:row>2</xdr:row>
                <xdr:rowOff>69850</xdr:rowOff>
              </from>
              <to>
                <xdr:col>6</xdr:col>
                <xdr:colOff>793750</xdr:colOff>
                <xdr:row>3</xdr:row>
                <xdr:rowOff>95250</xdr:rowOff>
              </to>
            </anchor>
          </controlPr>
        </control>
      </mc:Choice>
      <mc:Fallback>
        <control shapeId="27649" r:id="rId4" name="Control 1"/>
      </mc:Fallback>
    </mc:AlternateContent>
    <mc:AlternateContent xmlns:mc="http://schemas.openxmlformats.org/markup-compatibility/2006">
      <mc:Choice Requires="x14">
        <control shapeId="27650" r:id="rId6" name="Control 2">
          <controlPr defaultSize="0" autoPict="0" r:id="rId7">
            <anchor moveWithCells="1">
              <from>
                <xdr:col>6</xdr:col>
                <xdr:colOff>571500</xdr:colOff>
                <xdr:row>2</xdr:row>
                <xdr:rowOff>69850</xdr:rowOff>
              </from>
              <to>
                <xdr:col>7</xdr:col>
                <xdr:colOff>165100</xdr:colOff>
                <xdr:row>3</xdr:row>
                <xdr:rowOff>95250</xdr:rowOff>
              </to>
            </anchor>
          </controlPr>
        </control>
      </mc:Choice>
      <mc:Fallback>
        <control shapeId="27650" r:id="rId6" name="Control 2"/>
      </mc:Fallback>
    </mc:AlternateContent>
    <mc:AlternateContent xmlns:mc="http://schemas.openxmlformats.org/markup-compatibility/2006">
      <mc:Choice Requires="x14">
        <control shapeId="27651" r:id="rId8" name="Control 3">
          <controlPr defaultSize="0" autoPict="0" r:id="rId9">
            <anchor moveWithCells="1">
              <from>
                <xdr:col>6</xdr:col>
                <xdr:colOff>571500</xdr:colOff>
                <xdr:row>2</xdr:row>
                <xdr:rowOff>69850</xdr:rowOff>
              </from>
              <to>
                <xdr:col>7</xdr:col>
                <xdr:colOff>165100</xdr:colOff>
                <xdr:row>3</xdr:row>
                <xdr:rowOff>95250</xdr:rowOff>
              </to>
            </anchor>
          </controlPr>
        </control>
      </mc:Choice>
      <mc:Fallback>
        <control shapeId="27651" r:id="rId8" name="Control 3"/>
      </mc:Fallback>
    </mc:AlternateContent>
    <mc:AlternateContent xmlns:mc="http://schemas.openxmlformats.org/markup-compatibility/2006">
      <mc:Choice Requires="x14">
        <control shapeId="27652" r:id="rId10" name="Control 4">
          <controlPr defaultSize="0" autoPict="0" r:id="rId11">
            <anchor moveWithCells="1">
              <from>
                <xdr:col>6</xdr:col>
                <xdr:colOff>571500</xdr:colOff>
                <xdr:row>2</xdr:row>
                <xdr:rowOff>69850</xdr:rowOff>
              </from>
              <to>
                <xdr:col>7</xdr:col>
                <xdr:colOff>177800</xdr:colOff>
                <xdr:row>3</xdr:row>
                <xdr:rowOff>152400</xdr:rowOff>
              </to>
            </anchor>
          </controlPr>
        </control>
      </mc:Choice>
      <mc:Fallback>
        <control shapeId="27652" r:id="rId10" name="Control 4"/>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1"/>
  <sheetViews>
    <sheetView workbookViewId="0">
      <selection activeCell="D6" sqref="D6"/>
    </sheetView>
  </sheetViews>
  <sheetFormatPr defaultColWidth="9.1796875" defaultRowHeight="15.5" x14ac:dyDescent="0.35"/>
  <cols>
    <col min="1" max="1" width="2.54296875" style="33" customWidth="1"/>
    <col min="2" max="2" width="25.54296875" style="33" customWidth="1"/>
    <col min="3" max="3" width="17.453125" style="33" customWidth="1"/>
    <col min="4" max="4" width="15.54296875" style="33" customWidth="1"/>
    <col min="5" max="5" width="2.54296875" style="33" customWidth="1"/>
    <col min="6" max="6" width="9.54296875" style="33" customWidth="1"/>
    <col min="7" max="7" width="16.54296875" style="33" customWidth="1"/>
    <col min="8" max="8" width="16.453125" style="44" customWidth="1"/>
    <col min="9" max="9" width="18.54296875" style="33" customWidth="1"/>
    <col min="10" max="10" width="19" style="33" customWidth="1"/>
    <col min="11" max="13" width="22.453125" style="33" customWidth="1"/>
    <col min="14" max="14" width="2.54296875" style="33" customWidth="1"/>
    <col min="15" max="15" width="16.453125" style="44" customWidth="1"/>
    <col min="16" max="16" width="16.54296875" style="158" customWidth="1"/>
    <col min="17" max="17" width="18.54296875" style="33" customWidth="1"/>
    <col min="18" max="18" width="19" style="33" customWidth="1"/>
    <col min="19" max="21" width="22.453125" style="33" customWidth="1"/>
    <col min="22" max="22" width="2.54296875" style="33" customWidth="1"/>
    <col min="23" max="24" width="22.453125" style="33" customWidth="1"/>
    <col min="25" max="16384" width="9.1796875" style="33"/>
  </cols>
  <sheetData>
    <row r="1" spans="1:24" x14ac:dyDescent="0.35">
      <c r="B1" s="14"/>
    </row>
    <row r="3" spans="1:24" ht="16" thickBot="1" x14ac:dyDescent="0.4">
      <c r="H3" s="154"/>
    </row>
    <row r="4" spans="1:24" ht="62" x14ac:dyDescent="0.35">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7" t="s">
        <v>19</v>
      </c>
      <c r="X4" s="228" t="s">
        <v>19</v>
      </c>
    </row>
    <row r="5" spans="1:24" x14ac:dyDescent="0.35">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29" t="s">
        <v>37</v>
      </c>
      <c r="X5" s="230" t="s">
        <v>38</v>
      </c>
    </row>
    <row r="6" spans="1:24" x14ac:dyDescent="0.35">
      <c r="A6" s="159"/>
      <c r="B6" s="159"/>
      <c r="C6" s="153" t="s">
        <v>21</v>
      </c>
      <c r="D6" s="310"/>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1" t="s">
        <v>39</v>
      </c>
      <c r="X6" s="232" t="s">
        <v>74</v>
      </c>
    </row>
    <row r="7" spans="1:24" x14ac:dyDescent="0.35">
      <c r="A7" s="159"/>
      <c r="B7" s="50"/>
      <c r="C7" s="20" t="s">
        <v>29</v>
      </c>
      <c r="D7" s="46">
        <v>0</v>
      </c>
      <c r="E7" s="47"/>
      <c r="F7" s="160">
        <f>'Baseload Avoided Capacity Calcs'!F7</f>
        <v>2025</v>
      </c>
      <c r="G7" s="155">
        <v>1</v>
      </c>
      <c r="H7" s="161">
        <f>'Capacity Delivered'!I7</f>
        <v>5.4276</v>
      </c>
      <c r="I7" s="32">
        <f t="shared" ref="I7:I27" si="0">SUM(H7)/((1+$D$8)^G7)</f>
        <v>5.064949608062709</v>
      </c>
      <c r="J7" s="156">
        <f>I7</f>
        <v>5.064949608062709</v>
      </c>
      <c r="K7" s="247">
        <f>(-PMT($D$8,G7,(J7)))</f>
        <v>5.4275999999999991</v>
      </c>
      <c r="L7" s="156">
        <f>+K7/'Capacity Delivered'!R7*1000</f>
        <v>2.4783561643835612</v>
      </c>
      <c r="M7" s="225">
        <f t="shared" ref="M7:M27" si="1">L7/1000</f>
        <v>2.4783561643835612E-3</v>
      </c>
      <c r="O7" s="166">
        <f>D13</f>
        <v>0</v>
      </c>
      <c r="P7" s="166">
        <f t="shared" ref="P7:P27" si="2">(H7+O7)*$D$7</f>
        <v>0</v>
      </c>
      <c r="Q7" s="166">
        <f t="shared" ref="Q7:Q27" si="3">SUM(O7:P7)/((1+$D$8)^G7)</f>
        <v>0</v>
      </c>
      <c r="R7" s="166">
        <f>Q7</f>
        <v>0</v>
      </c>
      <c r="S7" s="298">
        <f>(-PMT($D$8,G7,(R7)))</f>
        <v>0</v>
      </c>
      <c r="T7" s="156">
        <f>+S7/'Capacity Delivered'!L7*1000</f>
        <v>0</v>
      </c>
      <c r="U7" s="225">
        <f t="shared" ref="U7:U20" si="4">T7/1000</f>
        <v>0</v>
      </c>
      <c r="W7" s="233">
        <f>L7+T7</f>
        <v>2.4783561643835612</v>
      </c>
      <c r="X7" s="234">
        <f t="shared" ref="X7:X20" si="5">W7/1000</f>
        <v>2.4783561643835612E-3</v>
      </c>
    </row>
    <row r="8" spans="1:24" s="44" customFormat="1" x14ac:dyDescent="0.35">
      <c r="A8" s="159"/>
      <c r="B8" s="159"/>
      <c r="C8" s="153" t="s">
        <v>33</v>
      </c>
      <c r="D8" s="303">
        <f>Rate_of_Return</f>
        <v>7.1599999999999997E-2</v>
      </c>
      <c r="E8" s="245"/>
      <c r="F8" s="38">
        <f>F7+1</f>
        <v>2026</v>
      </c>
      <c r="G8" s="37">
        <v>2</v>
      </c>
      <c r="H8" s="161">
        <f>'Capacity Delivered'!I8</f>
        <v>5.4276</v>
      </c>
      <c r="I8" s="246">
        <f t="shared" si="0"/>
        <v>4.72653005604956</v>
      </c>
      <c r="J8" s="247">
        <f t="shared" ref="J8:J27" si="6">J7+I8</f>
        <v>9.7914796641122699</v>
      </c>
      <c r="K8" s="247">
        <f t="shared" ref="K8:K27" si="7">(-PMT($D$8,G8,(J8)))</f>
        <v>5.4275999999999991</v>
      </c>
      <c r="L8" s="156">
        <f>+K8/'Capacity Delivered'!R8*1000</f>
        <v>2.4783561643835612</v>
      </c>
      <c r="M8" s="248">
        <f t="shared" si="1"/>
        <v>2.4783561643835612E-3</v>
      </c>
      <c r="O8" s="161">
        <f t="shared" ref="O8:O27" si="8">O7+(O7*$D$9)</f>
        <v>0</v>
      </c>
      <c r="P8" s="161">
        <f t="shared" si="2"/>
        <v>0</v>
      </c>
      <c r="Q8" s="161">
        <f t="shared" si="3"/>
        <v>0</v>
      </c>
      <c r="R8" s="161">
        <f t="shared" ref="R8:R12" si="9">R7+Q8</f>
        <v>0</v>
      </c>
      <c r="S8" s="298">
        <f t="shared" ref="S8:S27" si="10">(-PMT($D$8,G8,(R8)))</f>
        <v>0</v>
      </c>
      <c r="T8" s="247">
        <f>+S8/'Capacity Delivered'!L8*1000</f>
        <v>0</v>
      </c>
      <c r="U8" s="248">
        <f t="shared" si="4"/>
        <v>0</v>
      </c>
      <c r="W8" s="249">
        <f t="shared" ref="W8:W27" si="11">L8+T8</f>
        <v>2.4783561643835612</v>
      </c>
      <c r="X8" s="250">
        <f t="shared" si="5"/>
        <v>2.4783561643835612E-3</v>
      </c>
    </row>
    <row r="9" spans="1:24" s="44" customFormat="1" x14ac:dyDescent="0.35">
      <c r="A9" s="159"/>
      <c r="B9" s="159"/>
      <c r="C9" s="153" t="s">
        <v>113</v>
      </c>
      <c r="D9" s="303">
        <v>2.5000000000000001E-2</v>
      </c>
      <c r="E9" s="251"/>
      <c r="F9" s="38">
        <f t="shared" ref="F9:F27" si="12">F8+1</f>
        <v>2027</v>
      </c>
      <c r="G9" s="37">
        <v>3</v>
      </c>
      <c r="H9" s="161">
        <f>'Capacity Delivered'!I9</f>
        <v>5.4276</v>
      </c>
      <c r="I9" s="246">
        <f t="shared" si="0"/>
        <v>4.4107223367390436</v>
      </c>
      <c r="J9" s="247">
        <f t="shared" si="6"/>
        <v>14.202202000851313</v>
      </c>
      <c r="K9" s="247">
        <f t="shared" si="7"/>
        <v>5.4275999999999991</v>
      </c>
      <c r="L9" s="156">
        <f>+K9/'Capacity Delivered'!R9*1000</f>
        <v>2.4783561643835612</v>
      </c>
      <c r="M9" s="248">
        <f t="shared" si="1"/>
        <v>2.4783561643835612E-3</v>
      </c>
      <c r="O9" s="161">
        <f t="shared" si="8"/>
        <v>0</v>
      </c>
      <c r="P9" s="161">
        <f t="shared" si="2"/>
        <v>0</v>
      </c>
      <c r="Q9" s="161">
        <f t="shared" si="3"/>
        <v>0</v>
      </c>
      <c r="R9" s="161">
        <f t="shared" si="9"/>
        <v>0</v>
      </c>
      <c r="S9" s="298">
        <f t="shared" si="10"/>
        <v>0</v>
      </c>
      <c r="T9" s="247">
        <f>+S9/'Capacity Delivered'!L9*1000</f>
        <v>0</v>
      </c>
      <c r="U9" s="248">
        <f t="shared" si="4"/>
        <v>0</v>
      </c>
      <c r="W9" s="249">
        <f t="shared" si="11"/>
        <v>2.4783561643835612</v>
      </c>
      <c r="X9" s="250">
        <f t="shared" si="5"/>
        <v>2.4783561643835612E-3</v>
      </c>
    </row>
    <row r="10" spans="1:24" s="44" customFormat="1" x14ac:dyDescent="0.35">
      <c r="B10" s="159"/>
      <c r="C10" s="153"/>
      <c r="D10" s="51"/>
      <c r="E10" s="245"/>
      <c r="F10" s="38">
        <f t="shared" si="12"/>
        <v>2028</v>
      </c>
      <c r="G10" s="37">
        <v>4</v>
      </c>
      <c r="H10" s="161">
        <f>'Capacity Delivered'!I10</f>
        <v>5.4276</v>
      </c>
      <c r="I10" s="246">
        <f t="shared" si="0"/>
        <v>4.116015618457487</v>
      </c>
      <c r="J10" s="247">
        <f t="shared" si="6"/>
        <v>18.3182176193088</v>
      </c>
      <c r="K10" s="247">
        <f t="shared" si="7"/>
        <v>5.4275999999999991</v>
      </c>
      <c r="L10" s="156">
        <f>+K10/'Capacity Delivered'!R10*1000</f>
        <v>2.4715846994535515</v>
      </c>
      <c r="M10" s="248">
        <f t="shared" si="1"/>
        <v>2.4715846994535517E-3</v>
      </c>
      <c r="O10" s="161">
        <f t="shared" si="8"/>
        <v>0</v>
      </c>
      <c r="P10" s="161">
        <f t="shared" si="2"/>
        <v>0</v>
      </c>
      <c r="Q10" s="161">
        <f t="shared" si="3"/>
        <v>0</v>
      </c>
      <c r="R10" s="161">
        <f t="shared" si="9"/>
        <v>0</v>
      </c>
      <c r="S10" s="298">
        <f t="shared" si="10"/>
        <v>0</v>
      </c>
      <c r="T10" s="247">
        <f>+S10/'Capacity Delivered'!L10*1000</f>
        <v>0</v>
      </c>
      <c r="U10" s="248">
        <f t="shared" si="4"/>
        <v>0</v>
      </c>
      <c r="W10" s="249">
        <f t="shared" si="11"/>
        <v>2.4715846994535515</v>
      </c>
      <c r="X10" s="250">
        <f t="shared" si="5"/>
        <v>2.4715846994535517E-3</v>
      </c>
    </row>
    <row r="11" spans="1:24" s="44" customFormat="1" x14ac:dyDescent="0.35">
      <c r="A11" s="159"/>
      <c r="B11" s="153"/>
      <c r="C11" s="326"/>
      <c r="D11" s="326"/>
      <c r="E11" s="245"/>
      <c r="F11" s="38">
        <f t="shared" si="12"/>
        <v>2029</v>
      </c>
      <c r="G11" s="37">
        <v>5</v>
      </c>
      <c r="H11" s="161">
        <f>'Capacity Delivered'!I11</f>
        <v>5.4276</v>
      </c>
      <c r="I11" s="246">
        <f t="shared" si="0"/>
        <v>3.841000017224232</v>
      </c>
      <c r="J11" s="247">
        <f t="shared" si="6"/>
        <v>22.159217636533032</v>
      </c>
      <c r="K11" s="247">
        <f t="shared" si="7"/>
        <v>5.4275999999999982</v>
      </c>
      <c r="L11" s="156">
        <f>+K11/'Capacity Delivered'!R11*1000</f>
        <v>2.4783561643835608</v>
      </c>
      <c r="M11" s="248">
        <f t="shared" si="1"/>
        <v>2.4783561643835607E-3</v>
      </c>
      <c r="O11" s="161">
        <f t="shared" si="8"/>
        <v>0</v>
      </c>
      <c r="P11" s="161">
        <f t="shared" si="2"/>
        <v>0</v>
      </c>
      <c r="Q11" s="161">
        <f t="shared" si="3"/>
        <v>0</v>
      </c>
      <c r="R11" s="161">
        <f t="shared" si="9"/>
        <v>0</v>
      </c>
      <c r="S11" s="298">
        <f t="shared" si="10"/>
        <v>0</v>
      </c>
      <c r="T11" s="247">
        <f>+S11/'Capacity Delivered'!L11*1000</f>
        <v>0</v>
      </c>
      <c r="U11" s="248">
        <f t="shared" si="4"/>
        <v>0</v>
      </c>
      <c r="W11" s="249">
        <f t="shared" si="11"/>
        <v>2.4783561643835608</v>
      </c>
      <c r="X11" s="250">
        <f t="shared" si="5"/>
        <v>2.4783561643835607E-3</v>
      </c>
    </row>
    <row r="12" spans="1:24" s="44" customFormat="1" x14ac:dyDescent="0.35">
      <c r="A12" s="252"/>
      <c r="B12" s="327"/>
      <c r="C12" s="253"/>
      <c r="D12" s="253"/>
      <c r="E12" s="245"/>
      <c r="F12" s="38">
        <f t="shared" si="12"/>
        <v>2030</v>
      </c>
      <c r="G12" s="37">
        <v>6</v>
      </c>
      <c r="H12" s="161">
        <f>'Capacity Delivered'!I12</f>
        <v>5.4276</v>
      </c>
      <c r="I12" s="246">
        <f t="shared" si="0"/>
        <v>3.5843598518329891</v>
      </c>
      <c r="J12" s="247">
        <f t="shared" si="6"/>
        <v>25.743577488366022</v>
      </c>
      <c r="K12" s="247">
        <f t="shared" si="7"/>
        <v>5.4275999999999982</v>
      </c>
      <c r="L12" s="156">
        <f>+K12/'Capacity Delivered'!R12*1000</f>
        <v>2.4783561643835608</v>
      </c>
      <c r="M12" s="248">
        <f t="shared" si="1"/>
        <v>2.4783561643835607E-3</v>
      </c>
      <c r="O12" s="161">
        <f t="shared" si="8"/>
        <v>0</v>
      </c>
      <c r="P12" s="161">
        <f t="shared" si="2"/>
        <v>0</v>
      </c>
      <c r="Q12" s="161">
        <f t="shared" si="3"/>
        <v>0</v>
      </c>
      <c r="R12" s="161">
        <f t="shared" si="9"/>
        <v>0</v>
      </c>
      <c r="S12" s="298">
        <f t="shared" si="10"/>
        <v>0</v>
      </c>
      <c r="T12" s="247">
        <f>+S12/'Capacity Delivered'!L12*1000</f>
        <v>0</v>
      </c>
      <c r="U12" s="248">
        <f t="shared" si="4"/>
        <v>0</v>
      </c>
      <c r="W12" s="249">
        <f t="shared" si="11"/>
        <v>2.4783561643835608</v>
      </c>
      <c r="X12" s="250">
        <f t="shared" si="5"/>
        <v>2.4783561643835607E-3</v>
      </c>
    </row>
    <row r="13" spans="1:24" s="44" customFormat="1" x14ac:dyDescent="0.35">
      <c r="A13" s="252"/>
      <c r="B13" s="327"/>
      <c r="C13" s="253"/>
      <c r="D13" s="253"/>
      <c r="E13" s="245"/>
      <c r="F13" s="38">
        <f t="shared" si="12"/>
        <v>2031</v>
      </c>
      <c r="G13" s="37">
        <v>7</v>
      </c>
      <c r="H13" s="161">
        <f>'Capacity Delivered'!I13</f>
        <v>5.4276</v>
      </c>
      <c r="I13" s="246">
        <f t="shared" si="0"/>
        <v>3.34486734960152</v>
      </c>
      <c r="J13" s="247">
        <f>J12+I13</f>
        <v>29.088444837967543</v>
      </c>
      <c r="K13" s="247">
        <f t="shared" si="7"/>
        <v>5.4275999999999982</v>
      </c>
      <c r="L13" s="156">
        <f>+K13/'Capacity Delivered'!R13*1000</f>
        <v>2.4783561643835608</v>
      </c>
      <c r="M13" s="248">
        <f t="shared" si="1"/>
        <v>2.4783561643835607E-3</v>
      </c>
      <c r="O13" s="161">
        <f>O12+(O12*$D$9)</f>
        <v>0</v>
      </c>
      <c r="P13" s="161">
        <f t="shared" si="2"/>
        <v>0</v>
      </c>
      <c r="Q13" s="161">
        <f t="shared" si="3"/>
        <v>0</v>
      </c>
      <c r="R13" s="161">
        <f>R12+Q13</f>
        <v>0</v>
      </c>
      <c r="S13" s="298">
        <f t="shared" si="10"/>
        <v>0</v>
      </c>
      <c r="T13" s="247">
        <f>+S13/'Capacity Delivered'!L13*1000</f>
        <v>0</v>
      </c>
      <c r="U13" s="248">
        <f t="shared" si="4"/>
        <v>0</v>
      </c>
      <c r="W13" s="249">
        <f t="shared" si="11"/>
        <v>2.4783561643835608</v>
      </c>
      <c r="X13" s="250">
        <f t="shared" si="5"/>
        <v>2.4783561643835607E-3</v>
      </c>
    </row>
    <row r="14" spans="1:24" s="44" customFormat="1" x14ac:dyDescent="0.35">
      <c r="A14" s="252"/>
      <c r="B14" s="254"/>
      <c r="C14" s="254"/>
      <c r="D14" s="254"/>
      <c r="E14" s="245"/>
      <c r="F14" s="38">
        <f t="shared" si="12"/>
        <v>2032</v>
      </c>
      <c r="G14" s="37">
        <v>8</v>
      </c>
      <c r="H14" s="161">
        <f>'Capacity Delivered'!I14</f>
        <v>5.4276</v>
      </c>
      <c r="I14" s="246">
        <f t="shared" si="0"/>
        <v>3.1213767726777899</v>
      </c>
      <c r="J14" s="247">
        <f t="shared" si="6"/>
        <v>32.209821610645335</v>
      </c>
      <c r="K14" s="247">
        <f t="shared" si="7"/>
        <v>5.4275999999999982</v>
      </c>
      <c r="L14" s="156">
        <f>+K14/'Capacity Delivered'!R14*1000</f>
        <v>2.4715846994535511</v>
      </c>
      <c r="M14" s="248">
        <f t="shared" si="1"/>
        <v>2.4715846994535513E-3</v>
      </c>
      <c r="O14" s="161">
        <f t="shared" si="8"/>
        <v>0</v>
      </c>
      <c r="P14" s="161">
        <f t="shared" si="2"/>
        <v>0</v>
      </c>
      <c r="Q14" s="161">
        <f t="shared" si="3"/>
        <v>0</v>
      </c>
      <c r="R14" s="161">
        <f t="shared" ref="R14:R20" si="13">R13+Q14</f>
        <v>0</v>
      </c>
      <c r="S14" s="298">
        <f t="shared" si="10"/>
        <v>0</v>
      </c>
      <c r="T14" s="247">
        <f>+S14/'Capacity Delivered'!L14*1000</f>
        <v>0</v>
      </c>
      <c r="U14" s="248">
        <f t="shared" si="4"/>
        <v>0</v>
      </c>
      <c r="W14" s="249">
        <f t="shared" si="11"/>
        <v>2.4715846994535511</v>
      </c>
      <c r="X14" s="250">
        <f t="shared" si="5"/>
        <v>2.4715846994535513E-3</v>
      </c>
    </row>
    <row r="15" spans="1:24" s="44" customFormat="1" x14ac:dyDescent="0.35">
      <c r="A15" s="254"/>
      <c r="B15" s="254"/>
      <c r="C15" s="328"/>
      <c r="D15" s="254"/>
      <c r="E15" s="245"/>
      <c r="F15" s="38">
        <f t="shared" si="12"/>
        <v>2033</v>
      </c>
      <c r="G15" s="37">
        <v>9</v>
      </c>
      <c r="H15" s="161">
        <f>'Capacity Delivered'!I15</f>
        <v>5.4276</v>
      </c>
      <c r="I15" s="246">
        <f t="shared" si="0"/>
        <v>2.9128189368027151</v>
      </c>
      <c r="J15" s="247">
        <f t="shared" si="6"/>
        <v>35.12264054744805</v>
      </c>
      <c r="K15" s="247">
        <f t="shared" si="7"/>
        <v>5.4275999999999973</v>
      </c>
      <c r="L15" s="156">
        <f>+K15/'Capacity Delivered'!R15*1000</f>
        <v>2.4783561643835603</v>
      </c>
      <c r="M15" s="248">
        <f t="shared" si="1"/>
        <v>2.4783561643835603E-3</v>
      </c>
      <c r="O15" s="161">
        <f t="shared" si="8"/>
        <v>0</v>
      </c>
      <c r="P15" s="161">
        <f t="shared" si="2"/>
        <v>0</v>
      </c>
      <c r="Q15" s="161">
        <f t="shared" si="3"/>
        <v>0</v>
      </c>
      <c r="R15" s="161">
        <f t="shared" si="13"/>
        <v>0</v>
      </c>
      <c r="S15" s="298">
        <f t="shared" si="10"/>
        <v>0</v>
      </c>
      <c r="T15" s="247">
        <f>+S15/'Capacity Delivered'!L15*1000</f>
        <v>0</v>
      </c>
      <c r="U15" s="248">
        <f t="shared" si="4"/>
        <v>0</v>
      </c>
      <c r="W15" s="249">
        <f t="shared" si="11"/>
        <v>2.4783561643835603</v>
      </c>
      <c r="X15" s="250">
        <f t="shared" si="5"/>
        <v>2.4783561643835603E-3</v>
      </c>
    </row>
    <row r="16" spans="1:24" s="44" customFormat="1" x14ac:dyDescent="0.35">
      <c r="A16" s="254"/>
      <c r="B16" s="255"/>
      <c r="C16" s="254"/>
      <c r="D16" s="254"/>
      <c r="E16" s="245"/>
      <c r="F16" s="37">
        <f t="shared" si="12"/>
        <v>2034</v>
      </c>
      <c r="G16" s="37">
        <v>10</v>
      </c>
      <c r="H16" s="161">
        <f>'Capacity Delivered'!I16</f>
        <v>5.4276</v>
      </c>
      <c r="I16" s="246">
        <f t="shared" si="0"/>
        <v>2.7181960963071248</v>
      </c>
      <c r="J16" s="247">
        <f t="shared" si="6"/>
        <v>37.840836643755175</v>
      </c>
      <c r="K16" s="247">
        <f t="shared" si="7"/>
        <v>5.4275999999999982</v>
      </c>
      <c r="L16" s="156">
        <f>+K16/'Capacity Delivered'!R16*1000</f>
        <v>2.4783561643835608</v>
      </c>
      <c r="M16" s="248">
        <f t="shared" si="1"/>
        <v>2.4783561643835607E-3</v>
      </c>
      <c r="N16" s="256"/>
      <c r="O16" s="161">
        <f t="shared" si="8"/>
        <v>0</v>
      </c>
      <c r="P16" s="161">
        <f t="shared" si="2"/>
        <v>0</v>
      </c>
      <c r="Q16" s="161">
        <f>SUM(O16:P16)/((1+$D$8)^G16)</f>
        <v>0</v>
      </c>
      <c r="R16" s="161">
        <f>R15+Q16</f>
        <v>0</v>
      </c>
      <c r="S16" s="298">
        <f t="shared" si="10"/>
        <v>0</v>
      </c>
      <c r="T16" s="247">
        <f>+S16/'Capacity Delivered'!L16*1000</f>
        <v>0</v>
      </c>
      <c r="U16" s="248">
        <f t="shared" si="4"/>
        <v>0</v>
      </c>
      <c r="V16" s="256"/>
      <c r="W16" s="249">
        <f>L16+T16</f>
        <v>2.4783561643835608</v>
      </c>
      <c r="X16" s="250">
        <f t="shared" si="5"/>
        <v>2.4783561643835607E-3</v>
      </c>
    </row>
    <row r="17" spans="1:24" s="44" customFormat="1" x14ac:dyDescent="0.35">
      <c r="A17" s="254"/>
      <c r="B17" s="255"/>
      <c r="C17" s="255"/>
      <c r="D17" s="255"/>
      <c r="E17" s="245"/>
      <c r="F17" s="38">
        <f t="shared" si="12"/>
        <v>2035</v>
      </c>
      <c r="G17" s="37">
        <v>11</v>
      </c>
      <c r="H17" s="161">
        <f>'Capacity Delivered'!I17</f>
        <v>5.4276</v>
      </c>
      <c r="I17" s="246">
        <f t="shared" si="0"/>
        <v>2.536577170872643</v>
      </c>
      <c r="J17" s="247">
        <f t="shared" si="6"/>
        <v>40.377413814627815</v>
      </c>
      <c r="K17" s="247">
        <f t="shared" si="7"/>
        <v>5.4275999999999964</v>
      </c>
      <c r="L17" s="156">
        <f>+K17/'Capacity Delivered'!R17*1000</f>
        <v>2.4783561643835599</v>
      </c>
      <c r="M17" s="248">
        <f t="shared" si="1"/>
        <v>2.4783561643835599E-3</v>
      </c>
      <c r="O17" s="161">
        <f t="shared" si="8"/>
        <v>0</v>
      </c>
      <c r="P17" s="161">
        <f t="shared" si="2"/>
        <v>0</v>
      </c>
      <c r="Q17" s="161">
        <f t="shared" si="3"/>
        <v>0</v>
      </c>
      <c r="R17" s="161">
        <f t="shared" si="13"/>
        <v>0</v>
      </c>
      <c r="S17" s="298">
        <f t="shared" si="10"/>
        <v>0</v>
      </c>
      <c r="T17" s="247">
        <f>+S17/'Capacity Delivered'!L17*1000</f>
        <v>0</v>
      </c>
      <c r="U17" s="248">
        <f t="shared" si="4"/>
        <v>0</v>
      </c>
      <c r="W17" s="249">
        <f t="shared" si="11"/>
        <v>2.4783561643835599</v>
      </c>
      <c r="X17" s="250">
        <f t="shared" si="5"/>
        <v>2.4783561643835599E-3</v>
      </c>
    </row>
    <row r="18" spans="1:24" s="44" customFormat="1" x14ac:dyDescent="0.35">
      <c r="A18" s="255"/>
      <c r="B18" s="255"/>
      <c r="C18" s="255"/>
      <c r="D18" s="255"/>
      <c r="E18" s="245"/>
      <c r="F18" s="38">
        <f t="shared" si="12"/>
        <v>2036</v>
      </c>
      <c r="G18" s="37">
        <v>12</v>
      </c>
      <c r="H18" s="161">
        <f>'Capacity Delivered'!I18</f>
        <v>5.4276</v>
      </c>
      <c r="I18" s="246">
        <f t="shared" si="0"/>
        <v>2.3670932912212046</v>
      </c>
      <c r="J18" s="247">
        <f t="shared" si="6"/>
        <v>42.744507105849017</v>
      </c>
      <c r="K18" s="247">
        <f t="shared" si="7"/>
        <v>5.4275999999999973</v>
      </c>
      <c r="L18" s="156">
        <f>+K18/'Capacity Delivered'!R18*1000</f>
        <v>2.4715846994535506</v>
      </c>
      <c r="M18" s="248">
        <f t="shared" si="1"/>
        <v>2.4715846994535508E-3</v>
      </c>
      <c r="O18" s="161">
        <f t="shared" si="8"/>
        <v>0</v>
      </c>
      <c r="P18" s="161">
        <f t="shared" si="2"/>
        <v>0</v>
      </c>
      <c r="Q18" s="161">
        <f t="shared" si="3"/>
        <v>0</v>
      </c>
      <c r="R18" s="161">
        <f t="shared" si="13"/>
        <v>0</v>
      </c>
      <c r="S18" s="298">
        <f t="shared" si="10"/>
        <v>0</v>
      </c>
      <c r="T18" s="247">
        <f>+S18/'Capacity Delivered'!L18*1000</f>
        <v>0</v>
      </c>
      <c r="U18" s="248">
        <f t="shared" si="4"/>
        <v>0</v>
      </c>
      <c r="W18" s="249">
        <f t="shared" si="11"/>
        <v>2.4715846994535506</v>
      </c>
      <c r="X18" s="250">
        <f t="shared" si="5"/>
        <v>2.4715846994535508E-3</v>
      </c>
    </row>
    <row r="19" spans="1:24" s="44" customFormat="1" x14ac:dyDescent="0.35">
      <c r="A19" s="255"/>
      <c r="B19" s="255"/>
      <c r="C19" s="255"/>
      <c r="D19" s="255"/>
      <c r="E19" s="178"/>
      <c r="F19" s="38">
        <f t="shared" si="12"/>
        <v>2037</v>
      </c>
      <c r="G19" s="37">
        <v>13</v>
      </c>
      <c r="H19" s="161">
        <f>'Capacity Delivered'!I19</f>
        <v>5.4276</v>
      </c>
      <c r="I19" s="246">
        <f t="shared" si="0"/>
        <v>2.2089336424236694</v>
      </c>
      <c r="J19" s="247">
        <f t="shared" si="6"/>
        <v>44.953440748272683</v>
      </c>
      <c r="K19" s="247">
        <f t="shared" si="7"/>
        <v>5.4275999999999964</v>
      </c>
      <c r="L19" s="156">
        <f>+K19/'Capacity Delivered'!R19*1000</f>
        <v>2.4783561643835599</v>
      </c>
      <c r="M19" s="248">
        <f t="shared" si="1"/>
        <v>2.4783561643835599E-3</v>
      </c>
      <c r="O19" s="161">
        <f t="shared" si="8"/>
        <v>0</v>
      </c>
      <c r="P19" s="161">
        <f t="shared" si="2"/>
        <v>0</v>
      </c>
      <c r="Q19" s="161">
        <f t="shared" si="3"/>
        <v>0</v>
      </c>
      <c r="R19" s="161">
        <f t="shared" si="13"/>
        <v>0</v>
      </c>
      <c r="S19" s="298">
        <f t="shared" si="10"/>
        <v>0</v>
      </c>
      <c r="T19" s="247">
        <f>+S19/'Capacity Delivered'!L19*1000</f>
        <v>0</v>
      </c>
      <c r="U19" s="248">
        <f t="shared" si="4"/>
        <v>0</v>
      </c>
      <c r="W19" s="249">
        <f t="shared" si="11"/>
        <v>2.4783561643835599</v>
      </c>
      <c r="X19" s="250">
        <f t="shared" si="5"/>
        <v>2.4783561643835599E-3</v>
      </c>
    </row>
    <row r="20" spans="1:24" s="44" customFormat="1" x14ac:dyDescent="0.35">
      <c r="A20" s="255"/>
      <c r="B20" s="255"/>
      <c r="C20" s="255"/>
      <c r="D20" s="255"/>
      <c r="E20" s="178"/>
      <c r="F20" s="38">
        <f t="shared" si="12"/>
        <v>2038</v>
      </c>
      <c r="G20" s="37">
        <v>14</v>
      </c>
      <c r="H20" s="161">
        <f>'Capacity Delivered'!I20</f>
        <v>5.4276</v>
      </c>
      <c r="I20" s="246">
        <f t="shared" si="0"/>
        <v>2.0613415849418337</v>
      </c>
      <c r="J20" s="247">
        <f t="shared" si="6"/>
        <v>47.014782333214519</v>
      </c>
      <c r="K20" s="247">
        <f t="shared" si="7"/>
        <v>5.4275999999999955</v>
      </c>
      <c r="L20" s="156">
        <f>+K20/'Capacity Delivered'!R20*1000</f>
        <v>2.4783561643835594</v>
      </c>
      <c r="M20" s="248">
        <f t="shared" si="1"/>
        <v>2.4783561643835594E-3</v>
      </c>
      <c r="O20" s="161">
        <f t="shared" si="8"/>
        <v>0</v>
      </c>
      <c r="P20" s="161">
        <f t="shared" si="2"/>
        <v>0</v>
      </c>
      <c r="Q20" s="161">
        <f t="shared" si="3"/>
        <v>0</v>
      </c>
      <c r="R20" s="161">
        <f t="shared" si="13"/>
        <v>0</v>
      </c>
      <c r="S20" s="298">
        <f t="shared" si="10"/>
        <v>0</v>
      </c>
      <c r="T20" s="247">
        <f>+S20/'Capacity Delivered'!L20*1000</f>
        <v>0</v>
      </c>
      <c r="U20" s="248">
        <f t="shared" si="4"/>
        <v>0</v>
      </c>
      <c r="W20" s="249">
        <f t="shared" si="11"/>
        <v>2.4783561643835594</v>
      </c>
      <c r="X20" s="250">
        <f t="shared" si="5"/>
        <v>2.4783561643835594E-3</v>
      </c>
    </row>
    <row r="21" spans="1:24" s="256" customFormat="1" x14ac:dyDescent="0.35">
      <c r="A21" s="255"/>
      <c r="B21" s="255"/>
      <c r="C21" s="255"/>
      <c r="D21" s="255"/>
      <c r="E21" s="178"/>
      <c r="F21" s="37">
        <f t="shared" si="12"/>
        <v>2039</v>
      </c>
      <c r="G21" s="37">
        <v>15</v>
      </c>
      <c r="H21" s="161">
        <f>'Capacity Delivered'!I21</f>
        <v>5.4276</v>
      </c>
      <c r="I21" s="246">
        <f t="shared" si="0"/>
        <v>1.9236110348468023</v>
      </c>
      <c r="J21" s="247">
        <f>J20+I21</f>
        <v>48.93839336806132</v>
      </c>
      <c r="K21" s="247">
        <f t="shared" si="7"/>
        <v>5.4275999999999955</v>
      </c>
      <c r="L21" s="156">
        <f>+K21/'Capacity Delivered'!R21*1000</f>
        <v>2.4783561643835594</v>
      </c>
      <c r="M21" s="248">
        <f>L21/1000</f>
        <v>2.4783561643835594E-3</v>
      </c>
      <c r="O21" s="161">
        <f t="shared" si="8"/>
        <v>0</v>
      </c>
      <c r="P21" s="161">
        <f t="shared" si="2"/>
        <v>0</v>
      </c>
      <c r="Q21" s="161">
        <f t="shared" si="3"/>
        <v>0</v>
      </c>
      <c r="R21" s="161">
        <f>R20+Q21</f>
        <v>0</v>
      </c>
      <c r="S21" s="298">
        <f t="shared" si="10"/>
        <v>0</v>
      </c>
      <c r="T21" s="247">
        <f>+S21/'Capacity Delivered'!L21*1000</f>
        <v>0</v>
      </c>
      <c r="U21" s="248">
        <f>T21/1000</f>
        <v>0</v>
      </c>
      <c r="W21" s="249">
        <f t="shared" si="11"/>
        <v>2.4783561643835594</v>
      </c>
      <c r="X21" s="250">
        <f>W21/1000</f>
        <v>2.4783561643835594E-3</v>
      </c>
    </row>
    <row r="22" spans="1:24" s="44" customFormat="1" x14ac:dyDescent="0.35">
      <c r="A22" s="255"/>
      <c r="B22" s="255"/>
      <c r="C22" s="255"/>
      <c r="D22" s="255"/>
      <c r="E22" s="178"/>
      <c r="F22" s="38">
        <f t="shared" si="12"/>
        <v>2040</v>
      </c>
      <c r="G22" s="37">
        <v>16</v>
      </c>
      <c r="H22" s="161">
        <f>'Capacity Delivered'!I22</f>
        <v>5.4276</v>
      </c>
      <c r="I22" s="246">
        <f t="shared" si="0"/>
        <v>1.7950830858966051</v>
      </c>
      <c r="J22" s="247">
        <f t="shared" si="6"/>
        <v>50.733476453957927</v>
      </c>
      <c r="K22" s="247">
        <f t="shared" si="7"/>
        <v>5.4275999999999955</v>
      </c>
      <c r="L22" s="156">
        <f>+K22/'Capacity Delivered'!R22*1000</f>
        <v>2.4715846994535497</v>
      </c>
      <c r="M22" s="248">
        <f t="shared" si="1"/>
        <v>2.47158469945355E-3</v>
      </c>
      <c r="O22" s="161">
        <f t="shared" si="8"/>
        <v>0</v>
      </c>
      <c r="P22" s="161">
        <f t="shared" si="2"/>
        <v>0</v>
      </c>
      <c r="Q22" s="161">
        <f t="shared" si="3"/>
        <v>0</v>
      </c>
      <c r="R22" s="161">
        <f t="shared" ref="R22:R27" si="14">R21+Q22</f>
        <v>0</v>
      </c>
      <c r="S22" s="298">
        <f t="shared" si="10"/>
        <v>0</v>
      </c>
      <c r="T22" s="247">
        <f>+S22/'Capacity Delivered'!L22*1000</f>
        <v>0</v>
      </c>
      <c r="U22" s="248">
        <f t="shared" ref="U22:U27" si="15">T22/1000</f>
        <v>0</v>
      </c>
      <c r="W22" s="249">
        <f t="shared" si="11"/>
        <v>2.4715846994535497</v>
      </c>
      <c r="X22" s="250">
        <f t="shared" ref="X22:X27" si="16">W22/1000</f>
        <v>2.47158469945355E-3</v>
      </c>
    </row>
    <row r="23" spans="1:24" s="44" customFormat="1" x14ac:dyDescent="0.35">
      <c r="A23" s="255"/>
      <c r="B23" s="255"/>
      <c r="C23" s="255"/>
      <c r="D23" s="255"/>
      <c r="E23" s="178"/>
      <c r="F23" s="38">
        <f t="shared" si="12"/>
        <v>2041</v>
      </c>
      <c r="G23" s="37">
        <v>17</v>
      </c>
      <c r="H23" s="161">
        <f>'Capacity Delivered'!I23</f>
        <v>5.4276</v>
      </c>
      <c r="I23" s="246">
        <f t="shared" si="0"/>
        <v>1.6751428573129947</v>
      </c>
      <c r="J23" s="247">
        <f t="shared" si="6"/>
        <v>52.408619311270918</v>
      </c>
      <c r="K23" s="247">
        <f t="shared" si="7"/>
        <v>5.4275999999999955</v>
      </c>
      <c r="L23" s="156">
        <f>+K23/'Capacity Delivered'!R23*1000</f>
        <v>2.4783561643835594</v>
      </c>
      <c r="M23" s="248">
        <f t="shared" si="1"/>
        <v>2.4783561643835594E-3</v>
      </c>
      <c r="O23" s="161">
        <f t="shared" si="8"/>
        <v>0</v>
      </c>
      <c r="P23" s="161">
        <f t="shared" si="2"/>
        <v>0</v>
      </c>
      <c r="Q23" s="161">
        <f t="shared" si="3"/>
        <v>0</v>
      </c>
      <c r="R23" s="161">
        <f t="shared" si="14"/>
        <v>0</v>
      </c>
      <c r="S23" s="298">
        <f t="shared" si="10"/>
        <v>0</v>
      </c>
      <c r="T23" s="247">
        <f>+S23/'Capacity Delivered'!L23*1000</f>
        <v>0</v>
      </c>
      <c r="U23" s="248">
        <f t="shared" si="15"/>
        <v>0</v>
      </c>
      <c r="W23" s="249">
        <f t="shared" si="11"/>
        <v>2.4783561643835594</v>
      </c>
      <c r="X23" s="250">
        <f t="shared" si="16"/>
        <v>2.4783561643835594E-3</v>
      </c>
    </row>
    <row r="24" spans="1:24" s="44" customFormat="1" x14ac:dyDescent="0.35">
      <c r="A24" s="255"/>
      <c r="B24" s="255"/>
      <c r="C24" s="255"/>
      <c r="D24" s="162"/>
      <c r="E24" s="178"/>
      <c r="F24" s="38">
        <f t="shared" si="12"/>
        <v>2042</v>
      </c>
      <c r="G24" s="37">
        <v>18</v>
      </c>
      <c r="H24" s="161">
        <f>'Capacity Delivered'!I24</f>
        <v>5.4276</v>
      </c>
      <c r="I24" s="246">
        <f t="shared" si="0"/>
        <v>1.5632165521771131</v>
      </c>
      <c r="J24" s="247">
        <f t="shared" si="6"/>
        <v>53.971835863448028</v>
      </c>
      <c r="K24" s="247">
        <f t="shared" si="7"/>
        <v>5.4275999999999938</v>
      </c>
      <c r="L24" s="156">
        <f>+K24/'Capacity Delivered'!R24*1000</f>
        <v>2.478356164383559</v>
      </c>
      <c r="M24" s="248">
        <f t="shared" si="1"/>
        <v>2.478356164383559E-3</v>
      </c>
      <c r="O24" s="161">
        <f t="shared" si="8"/>
        <v>0</v>
      </c>
      <c r="P24" s="161">
        <f t="shared" si="2"/>
        <v>0</v>
      </c>
      <c r="Q24" s="161">
        <f t="shared" si="3"/>
        <v>0</v>
      </c>
      <c r="R24" s="161">
        <f t="shared" si="14"/>
        <v>0</v>
      </c>
      <c r="S24" s="298">
        <f t="shared" si="10"/>
        <v>0</v>
      </c>
      <c r="T24" s="247">
        <f>+S24/'Capacity Delivered'!L24*1000</f>
        <v>0</v>
      </c>
      <c r="U24" s="248">
        <f t="shared" si="15"/>
        <v>0</v>
      </c>
      <c r="W24" s="249">
        <f t="shared" si="11"/>
        <v>2.478356164383559</v>
      </c>
      <c r="X24" s="250">
        <f t="shared" si="16"/>
        <v>2.478356164383559E-3</v>
      </c>
    </row>
    <row r="25" spans="1:24" x14ac:dyDescent="0.35">
      <c r="B25" s="162"/>
      <c r="C25" s="162"/>
      <c r="D25" s="162"/>
      <c r="E25" s="52"/>
      <c r="F25" s="38">
        <f t="shared" si="12"/>
        <v>2043</v>
      </c>
      <c r="G25" s="39">
        <v>19</v>
      </c>
      <c r="H25" s="161">
        <f>'Capacity Delivered'!I25</f>
        <v>5.4276</v>
      </c>
      <c r="I25" s="40">
        <f t="shared" si="0"/>
        <v>1.458768712371326</v>
      </c>
      <c r="J25" s="41">
        <f t="shared" si="6"/>
        <v>55.430604575819352</v>
      </c>
      <c r="K25" s="41">
        <f t="shared" si="7"/>
        <v>5.4275999999999929</v>
      </c>
      <c r="L25" s="156">
        <f>+K25/'Capacity Delivered'!R25*1000</f>
        <v>2.4783561643835585</v>
      </c>
      <c r="M25" s="226">
        <f t="shared" si="1"/>
        <v>2.4783561643835585E-3</v>
      </c>
      <c r="O25" s="161">
        <f t="shared" si="8"/>
        <v>0</v>
      </c>
      <c r="P25" s="161">
        <f t="shared" si="2"/>
        <v>0</v>
      </c>
      <c r="Q25" s="161">
        <f t="shared" si="3"/>
        <v>0</v>
      </c>
      <c r="R25" s="161">
        <f t="shared" si="14"/>
        <v>0</v>
      </c>
      <c r="S25" s="298">
        <f t="shared" si="10"/>
        <v>0</v>
      </c>
      <c r="T25" s="41">
        <f>+S25/'Capacity Delivered'!L25*1000</f>
        <v>0</v>
      </c>
      <c r="U25" s="226">
        <f t="shared" si="15"/>
        <v>0</v>
      </c>
      <c r="W25" s="233">
        <f t="shared" si="11"/>
        <v>2.4783561643835585</v>
      </c>
      <c r="X25" s="234">
        <f t="shared" si="16"/>
        <v>2.4783561643835585E-3</v>
      </c>
    </row>
    <row r="26" spans="1:24" x14ac:dyDescent="0.35">
      <c r="B26" s="162"/>
      <c r="C26" s="162"/>
      <c r="D26" s="162"/>
      <c r="E26" s="52"/>
      <c r="F26" s="38">
        <f t="shared" si="12"/>
        <v>2044</v>
      </c>
      <c r="G26" s="39">
        <v>20</v>
      </c>
      <c r="H26" s="161">
        <f>'Capacity Delivered'!I26</f>
        <v>5.4276</v>
      </c>
      <c r="I26" s="40">
        <f t="shared" si="0"/>
        <v>1.3612996569347946</v>
      </c>
      <c r="J26" s="41">
        <f t="shared" si="6"/>
        <v>56.791904232754149</v>
      </c>
      <c r="K26" s="41">
        <f t="shared" si="7"/>
        <v>5.4275999999999929</v>
      </c>
      <c r="L26" s="156">
        <f>+K26/'Capacity Delivered'!R26*1000</f>
        <v>2.4715846994535489</v>
      </c>
      <c r="M26" s="226">
        <f t="shared" si="1"/>
        <v>2.4715846994535487E-3</v>
      </c>
      <c r="O26" s="161">
        <f t="shared" si="8"/>
        <v>0</v>
      </c>
      <c r="P26" s="161">
        <f t="shared" si="2"/>
        <v>0</v>
      </c>
      <c r="Q26" s="161">
        <f t="shared" si="3"/>
        <v>0</v>
      </c>
      <c r="R26" s="161">
        <f t="shared" si="14"/>
        <v>0</v>
      </c>
      <c r="S26" s="298">
        <f t="shared" si="10"/>
        <v>0</v>
      </c>
      <c r="T26" s="41">
        <f>+S26/'Capacity Delivered'!L26*1000</f>
        <v>0</v>
      </c>
      <c r="U26" s="226">
        <f t="shared" si="15"/>
        <v>0</v>
      </c>
      <c r="W26" s="233">
        <f t="shared" si="11"/>
        <v>2.4715846994535489</v>
      </c>
      <c r="X26" s="234">
        <f t="shared" si="16"/>
        <v>2.4715846994535487E-3</v>
      </c>
    </row>
    <row r="27" spans="1:24" s="44" customFormat="1" ht="16" thickBot="1" x14ac:dyDescent="0.4">
      <c r="F27" s="38">
        <f t="shared" si="12"/>
        <v>2045</v>
      </c>
      <c r="G27" s="37">
        <v>21</v>
      </c>
      <c r="H27" s="161">
        <f>'Capacity Delivered'!I27</f>
        <v>5.4276</v>
      </c>
      <c r="I27" s="40">
        <f t="shared" si="0"/>
        <v>1.2703430915778224</v>
      </c>
      <c r="J27" s="41">
        <f t="shared" si="6"/>
        <v>58.06224732433197</v>
      </c>
      <c r="K27" s="41">
        <f t="shared" si="7"/>
        <v>5.4275999999999929</v>
      </c>
      <c r="L27" s="156">
        <f>+K27/'Capacity Delivered'!R27*1000</f>
        <v>2.4783561643835585</v>
      </c>
      <c r="M27" s="226">
        <f t="shared" si="1"/>
        <v>2.4783561643835585E-3</v>
      </c>
      <c r="O27" s="161">
        <f t="shared" si="8"/>
        <v>0</v>
      </c>
      <c r="P27" s="161">
        <f t="shared" si="2"/>
        <v>0</v>
      </c>
      <c r="Q27" s="161">
        <f t="shared" si="3"/>
        <v>0</v>
      </c>
      <c r="R27" s="161">
        <f t="shared" si="14"/>
        <v>0</v>
      </c>
      <c r="S27" s="298">
        <f t="shared" si="10"/>
        <v>0</v>
      </c>
      <c r="T27" s="41">
        <f>+S27/'Capacity Delivered'!L27*1000</f>
        <v>0</v>
      </c>
      <c r="U27" s="226">
        <f t="shared" si="15"/>
        <v>0</v>
      </c>
      <c r="W27" s="235">
        <f t="shared" si="11"/>
        <v>2.4783561643835585</v>
      </c>
      <c r="X27" s="236">
        <f t="shared" si="16"/>
        <v>2.4783561643835585E-3</v>
      </c>
    </row>
    <row r="28" spans="1:24" s="44" customFormat="1" x14ac:dyDescent="0.35">
      <c r="C28" s="21"/>
      <c r="F28" s="38"/>
      <c r="G28" s="37"/>
      <c r="H28" s="164"/>
      <c r="I28" s="55"/>
      <c r="J28" s="56"/>
      <c r="K28" s="48"/>
      <c r="L28" s="48"/>
      <c r="M28" s="48"/>
      <c r="O28" s="165"/>
      <c r="P28" s="54"/>
      <c r="Q28" s="55"/>
      <c r="R28" s="56"/>
      <c r="S28" s="48"/>
      <c r="T28" s="48"/>
      <c r="U28" s="48"/>
      <c r="W28" s="48"/>
      <c r="X28" s="48"/>
    </row>
    <row r="29" spans="1:24" x14ac:dyDescent="0.35">
      <c r="B29" s="31"/>
      <c r="C29" s="21"/>
      <c r="D29" s="44"/>
      <c r="E29" s="44"/>
      <c r="F29" s="31"/>
      <c r="G29" s="37"/>
      <c r="H29" s="164"/>
      <c r="I29" s="31"/>
      <c r="J29" s="31"/>
      <c r="K29" s="31"/>
      <c r="L29" s="31"/>
      <c r="M29" s="31"/>
      <c r="O29" s="165"/>
      <c r="P29" s="54"/>
      <c r="Q29" s="31"/>
      <c r="R29" s="31"/>
      <c r="S29" s="31"/>
      <c r="T29" s="31"/>
      <c r="U29" s="31"/>
      <c r="W29" s="31"/>
      <c r="X29" s="31"/>
    </row>
    <row r="31" spans="1:24" x14ac:dyDescent="0.35">
      <c r="J31" s="237"/>
      <c r="R31" s="237"/>
    </row>
  </sheetData>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8673" r:id="rId4" name="Control 1">
          <controlPr defaultSize="0" autoPict="0" r:id="rId5">
            <anchor moveWithCells="1">
              <from>
                <xdr:col>6</xdr:col>
                <xdr:colOff>571500</xdr:colOff>
                <xdr:row>2</xdr:row>
                <xdr:rowOff>69850</xdr:rowOff>
              </from>
              <to>
                <xdr:col>6</xdr:col>
                <xdr:colOff>793750</xdr:colOff>
                <xdr:row>3</xdr:row>
                <xdr:rowOff>95250</xdr:rowOff>
              </to>
            </anchor>
          </controlPr>
        </control>
      </mc:Choice>
      <mc:Fallback>
        <control shapeId="28673" r:id="rId4" name="Control 1"/>
      </mc:Fallback>
    </mc:AlternateContent>
    <mc:AlternateContent xmlns:mc="http://schemas.openxmlformats.org/markup-compatibility/2006">
      <mc:Choice Requires="x14">
        <control shapeId="28674" r:id="rId6" name="Control 2">
          <controlPr defaultSize="0" autoPict="0" r:id="rId7">
            <anchor moveWithCells="1">
              <from>
                <xdr:col>6</xdr:col>
                <xdr:colOff>571500</xdr:colOff>
                <xdr:row>2</xdr:row>
                <xdr:rowOff>69850</xdr:rowOff>
              </from>
              <to>
                <xdr:col>7</xdr:col>
                <xdr:colOff>165100</xdr:colOff>
                <xdr:row>3</xdr:row>
                <xdr:rowOff>95250</xdr:rowOff>
              </to>
            </anchor>
          </controlPr>
        </control>
      </mc:Choice>
      <mc:Fallback>
        <control shapeId="28674" r:id="rId6" name="Control 2"/>
      </mc:Fallback>
    </mc:AlternateContent>
    <mc:AlternateContent xmlns:mc="http://schemas.openxmlformats.org/markup-compatibility/2006">
      <mc:Choice Requires="x14">
        <control shapeId="28675" r:id="rId8" name="Control 3">
          <controlPr defaultSize="0" autoPict="0" r:id="rId9">
            <anchor moveWithCells="1">
              <from>
                <xdr:col>6</xdr:col>
                <xdr:colOff>571500</xdr:colOff>
                <xdr:row>2</xdr:row>
                <xdr:rowOff>69850</xdr:rowOff>
              </from>
              <to>
                <xdr:col>7</xdr:col>
                <xdr:colOff>165100</xdr:colOff>
                <xdr:row>3</xdr:row>
                <xdr:rowOff>95250</xdr:rowOff>
              </to>
            </anchor>
          </controlPr>
        </control>
      </mc:Choice>
      <mc:Fallback>
        <control shapeId="28675" r:id="rId8" name="Control 3"/>
      </mc:Fallback>
    </mc:AlternateContent>
    <mc:AlternateContent xmlns:mc="http://schemas.openxmlformats.org/markup-compatibility/2006">
      <mc:Choice Requires="x14">
        <control shapeId="28676" r:id="rId10" name="Control 4">
          <controlPr defaultSize="0" autoPict="0" r:id="rId11">
            <anchor moveWithCells="1">
              <from>
                <xdr:col>6</xdr:col>
                <xdr:colOff>571500</xdr:colOff>
                <xdr:row>2</xdr:row>
                <xdr:rowOff>69850</xdr:rowOff>
              </from>
              <to>
                <xdr:col>7</xdr:col>
                <xdr:colOff>177800</xdr:colOff>
                <xdr:row>3</xdr:row>
                <xdr:rowOff>152400</xdr:rowOff>
              </to>
            </anchor>
          </controlPr>
        </control>
      </mc:Choice>
      <mc:Fallback>
        <control shapeId="28676" r:id="rId10" name="Control 4"/>
      </mc:Fallback>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heetViews>
  <sheetFormatPr defaultColWidth="9.1796875" defaultRowHeight="14.5" x14ac:dyDescent="0.35"/>
  <cols>
    <col min="1" max="16384" width="9.1796875" style="70"/>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workbookViewId="0">
      <selection activeCell="Q5" sqref="Q5"/>
    </sheetView>
  </sheetViews>
  <sheetFormatPr defaultColWidth="8.81640625" defaultRowHeight="15.5" x14ac:dyDescent="0.35"/>
  <cols>
    <col min="1" max="1" width="2.54296875" style="57" customWidth="1"/>
    <col min="2" max="2" width="4" style="57" bestFit="1" customWidth="1"/>
    <col min="3" max="3" width="9.54296875" style="57" customWidth="1"/>
    <col min="4" max="9" width="10" style="57" customWidth="1"/>
    <col min="10" max="10" width="11" style="57" bestFit="1" customWidth="1"/>
    <col min="11" max="16" width="10" style="57" customWidth="1"/>
    <col min="17" max="17" width="14.1796875" style="62" customWidth="1"/>
    <col min="18" max="16384" width="8.81640625" style="57"/>
  </cols>
  <sheetData>
    <row r="2" spans="2:17" ht="36.5" customHeight="1" x14ac:dyDescent="0.35">
      <c r="C2" s="350" t="s">
        <v>178</v>
      </c>
      <c r="D2" s="350"/>
      <c r="E2" s="350"/>
      <c r="F2" s="350"/>
      <c r="G2" s="350"/>
      <c r="H2" s="350"/>
      <c r="I2" s="350"/>
      <c r="J2" s="350"/>
      <c r="K2" s="350"/>
      <c r="L2" s="350"/>
      <c r="M2" s="350"/>
      <c r="N2" s="350"/>
      <c r="O2" s="350"/>
      <c r="P2" s="350"/>
      <c r="Q2" s="350"/>
    </row>
    <row r="3" spans="2:17" ht="16" thickBot="1" x14ac:dyDescent="0.4">
      <c r="C3" s="338"/>
      <c r="Q3" s="67"/>
    </row>
    <row r="4" spans="2:17" x14ac:dyDescent="0.35">
      <c r="C4" s="58"/>
      <c r="D4" s="64" t="s">
        <v>59</v>
      </c>
      <c r="E4" s="64">
        <v>2</v>
      </c>
      <c r="F4" s="64">
        <v>3</v>
      </c>
      <c r="G4" s="64">
        <v>4</v>
      </c>
      <c r="H4" s="64">
        <v>5</v>
      </c>
      <c r="I4" s="64">
        <v>6</v>
      </c>
      <c r="J4" s="64">
        <v>7</v>
      </c>
      <c r="K4" s="64">
        <v>8</v>
      </c>
      <c r="L4" s="64">
        <v>9</v>
      </c>
      <c r="M4" s="64">
        <v>10</v>
      </c>
      <c r="N4" s="64">
        <v>11</v>
      </c>
      <c r="O4" s="64">
        <v>12</v>
      </c>
      <c r="P4" s="65" t="s">
        <v>41</v>
      </c>
      <c r="Q4" s="67"/>
    </row>
    <row r="5" spans="2:17" ht="16" thickBot="1" x14ac:dyDescent="0.4">
      <c r="C5" s="66" t="s">
        <v>42</v>
      </c>
      <c r="D5" s="300"/>
      <c r="E5" s="300"/>
      <c r="F5" s="300"/>
      <c r="G5" s="300"/>
      <c r="H5" s="300"/>
      <c r="I5" s="300"/>
      <c r="J5" s="300"/>
      <c r="K5" s="300"/>
      <c r="L5" s="300"/>
      <c r="M5" s="300"/>
      <c r="N5" s="300"/>
      <c r="O5" s="300"/>
      <c r="P5" s="301"/>
      <c r="Q5" s="67"/>
    </row>
    <row r="6" spans="2:17" ht="16" thickBot="1" x14ac:dyDescent="0.4">
      <c r="B6" s="195">
        <v>1</v>
      </c>
      <c r="C6" s="299">
        <v>2025</v>
      </c>
      <c r="D6" s="302">
        <v>58.033761573096186</v>
      </c>
      <c r="E6" s="302">
        <v>54.23865860809893</v>
      </c>
      <c r="F6" s="302">
        <v>32.957456667634382</v>
      </c>
      <c r="G6" s="302">
        <v>30.432079461448836</v>
      </c>
      <c r="H6" s="302">
        <v>28.472012921013786</v>
      </c>
      <c r="I6" s="302">
        <v>30.172998312911663</v>
      </c>
      <c r="J6" s="302">
        <v>52.216405967718053</v>
      </c>
      <c r="K6" s="302">
        <v>56.220374677908566</v>
      </c>
      <c r="L6" s="302">
        <v>54.833576526667656</v>
      </c>
      <c r="M6" s="302">
        <v>54.363307882429424</v>
      </c>
      <c r="N6" s="302">
        <v>59.817224635520873</v>
      </c>
      <c r="O6" s="302">
        <v>65.348929169325984</v>
      </c>
      <c r="P6" s="302">
        <v>48.088598695222387</v>
      </c>
      <c r="Q6" s="67"/>
    </row>
    <row r="7" spans="2:17" ht="16" thickBot="1" x14ac:dyDescent="0.4">
      <c r="B7" s="57">
        <v>2</v>
      </c>
      <c r="C7" s="299">
        <f>C6+1</f>
        <v>2026</v>
      </c>
      <c r="D7" s="302">
        <v>54.604219678006487</v>
      </c>
      <c r="E7" s="302">
        <v>51.567911214988129</v>
      </c>
      <c r="F7" s="302">
        <v>29.360049446350764</v>
      </c>
      <c r="G7" s="302">
        <v>27.449295739307999</v>
      </c>
      <c r="H7" s="302">
        <v>27.023374208252505</v>
      </c>
      <c r="I7" s="302">
        <v>27.125314757054841</v>
      </c>
      <c r="J7" s="302">
        <v>50.587044479086707</v>
      </c>
      <c r="K7" s="302">
        <v>54.710115271369034</v>
      </c>
      <c r="L7" s="302">
        <v>52.047635869053124</v>
      </c>
      <c r="M7" s="302">
        <v>50.338797958147552</v>
      </c>
      <c r="N7" s="302">
        <v>56.702975384752506</v>
      </c>
      <c r="O7" s="302">
        <v>61.674961890391224</v>
      </c>
      <c r="P7" s="302">
        <v>45.262777033984783</v>
      </c>
      <c r="Q7" s="69"/>
    </row>
    <row r="8" spans="2:17" ht="16" thickBot="1" x14ac:dyDescent="0.4">
      <c r="B8" s="57">
        <v>3</v>
      </c>
      <c r="C8" s="299">
        <f t="shared" ref="C8:C26" si="0">C7+1</f>
        <v>2027</v>
      </c>
      <c r="D8" s="302">
        <v>49.585977852854967</v>
      </c>
      <c r="E8" s="302">
        <v>45.973124844162022</v>
      </c>
      <c r="F8" s="302">
        <v>26.199479136925778</v>
      </c>
      <c r="G8" s="302">
        <v>24.796438954894462</v>
      </c>
      <c r="H8" s="302">
        <v>23.899842560231992</v>
      </c>
      <c r="I8" s="302">
        <v>24.206473640919796</v>
      </c>
      <c r="J8" s="302">
        <v>46.235003035875025</v>
      </c>
      <c r="K8" s="302">
        <v>50.552282828149536</v>
      </c>
      <c r="L8" s="302">
        <v>46.550667073321627</v>
      </c>
      <c r="M8" s="302">
        <v>45.506836197672442</v>
      </c>
      <c r="N8" s="302">
        <v>52.692301636804082</v>
      </c>
      <c r="O8" s="302">
        <v>55.691603472601884</v>
      </c>
      <c r="P8" s="302">
        <v>40.992947157338115</v>
      </c>
      <c r="Q8" s="69"/>
    </row>
    <row r="9" spans="2:17" ht="16" thickBot="1" x14ac:dyDescent="0.4">
      <c r="B9" s="195">
        <v>4</v>
      </c>
      <c r="C9" s="299">
        <f t="shared" si="0"/>
        <v>2028</v>
      </c>
      <c r="D9" s="302">
        <v>45.27548747204559</v>
      </c>
      <c r="E9" s="302">
        <v>44.146196764123808</v>
      </c>
      <c r="F9" s="302">
        <v>23.064532903006093</v>
      </c>
      <c r="G9" s="302">
        <v>22.067554861241632</v>
      </c>
      <c r="H9" s="302">
        <v>21.165494080653136</v>
      </c>
      <c r="I9" s="302">
        <v>23.315924738699561</v>
      </c>
      <c r="J9" s="302">
        <v>44.801167399985488</v>
      </c>
      <c r="K9" s="302">
        <v>48.03783960054345</v>
      </c>
      <c r="L9" s="302">
        <v>44.925753166198078</v>
      </c>
      <c r="M9" s="302">
        <v>45.592505083027177</v>
      </c>
      <c r="N9" s="302">
        <v>51.826543108150936</v>
      </c>
      <c r="O9" s="302">
        <v>55.637764109959917</v>
      </c>
      <c r="P9" s="302">
        <v>39.167025935830942</v>
      </c>
      <c r="Q9" s="69"/>
    </row>
    <row r="10" spans="2:17" ht="16" thickBot="1" x14ac:dyDescent="0.4">
      <c r="B10" s="57">
        <v>5</v>
      </c>
      <c r="C10" s="299">
        <f t="shared" si="0"/>
        <v>2029</v>
      </c>
      <c r="D10" s="302">
        <v>41.382957909111177</v>
      </c>
      <c r="E10" s="302">
        <v>40.562680002264699</v>
      </c>
      <c r="F10" s="302">
        <v>22.150395353425427</v>
      </c>
      <c r="G10" s="302">
        <v>21.213430848467954</v>
      </c>
      <c r="H10" s="302">
        <v>19.260857941046559</v>
      </c>
      <c r="I10" s="302">
        <v>21.410952859208102</v>
      </c>
      <c r="J10" s="302">
        <v>45.206805511332298</v>
      </c>
      <c r="K10" s="302">
        <v>49.148711334723878</v>
      </c>
      <c r="L10" s="302">
        <v>46.570836397360829</v>
      </c>
      <c r="M10" s="302">
        <v>43.574442243992216</v>
      </c>
      <c r="N10" s="302">
        <v>49.782659814214739</v>
      </c>
      <c r="O10" s="302">
        <v>53.933961487950917</v>
      </c>
      <c r="P10" s="302">
        <v>37.861626090054841</v>
      </c>
      <c r="Q10" s="69"/>
    </row>
    <row r="11" spans="2:17" ht="16" thickBot="1" x14ac:dyDescent="0.4">
      <c r="B11" s="57">
        <v>6</v>
      </c>
      <c r="C11" s="299">
        <f t="shared" si="0"/>
        <v>2030</v>
      </c>
      <c r="D11" s="302">
        <v>46.123182477232071</v>
      </c>
      <c r="E11" s="302">
        <v>46.534324710619998</v>
      </c>
      <c r="F11" s="302">
        <v>22.396732780539278</v>
      </c>
      <c r="G11" s="302">
        <v>23.336510835750495</v>
      </c>
      <c r="H11" s="302">
        <v>21.127408656496407</v>
      </c>
      <c r="I11" s="302">
        <v>23.872780078000829</v>
      </c>
      <c r="J11" s="302">
        <v>56.081693459928182</v>
      </c>
      <c r="K11" s="302">
        <v>60.72655552910858</v>
      </c>
      <c r="L11" s="302">
        <v>59.640893002674844</v>
      </c>
      <c r="M11" s="302">
        <v>50.539725514577412</v>
      </c>
      <c r="N11" s="302">
        <v>57.563505105597393</v>
      </c>
      <c r="O11" s="302">
        <v>63.140237101710987</v>
      </c>
      <c r="P11" s="302">
        <v>44.272803736069768</v>
      </c>
      <c r="Q11" s="69"/>
    </row>
    <row r="12" spans="2:17" ht="16" thickBot="1" x14ac:dyDescent="0.4">
      <c r="B12" s="195">
        <v>7</v>
      </c>
      <c r="C12" s="299">
        <f t="shared" si="0"/>
        <v>2031</v>
      </c>
      <c r="D12" s="302">
        <v>43.992516747360689</v>
      </c>
      <c r="E12" s="302">
        <v>43.010723372431528</v>
      </c>
      <c r="F12" s="302">
        <v>20.963861874968746</v>
      </c>
      <c r="G12" s="302">
        <v>22.611896390632413</v>
      </c>
      <c r="H12" s="302">
        <v>20.39578620516841</v>
      </c>
      <c r="I12" s="302">
        <v>22.504866254603598</v>
      </c>
      <c r="J12" s="302">
        <v>57.276841115839012</v>
      </c>
      <c r="K12" s="302">
        <v>62.612849241145753</v>
      </c>
      <c r="L12" s="302">
        <v>61.328264065683499</v>
      </c>
      <c r="M12" s="302">
        <v>51.443520663613157</v>
      </c>
      <c r="N12" s="302">
        <v>58.474371881040753</v>
      </c>
      <c r="O12" s="302">
        <v>65.327035143494754</v>
      </c>
      <c r="P12" s="302">
        <v>44.203471103907411</v>
      </c>
      <c r="Q12" s="69"/>
    </row>
    <row r="13" spans="2:17" ht="16" thickBot="1" x14ac:dyDescent="0.4">
      <c r="B13" s="57">
        <v>8</v>
      </c>
      <c r="C13" s="299">
        <f t="shared" si="0"/>
        <v>2032</v>
      </c>
      <c r="D13" s="302">
        <v>41.705383428674139</v>
      </c>
      <c r="E13" s="302">
        <v>40.62577904459858</v>
      </c>
      <c r="F13" s="302">
        <v>19.814438095919069</v>
      </c>
      <c r="G13" s="302">
        <v>20.648702761888138</v>
      </c>
      <c r="H13" s="302">
        <v>21.027417443510828</v>
      </c>
      <c r="I13" s="302">
        <v>21.151378505029321</v>
      </c>
      <c r="J13" s="302">
        <v>56.010243111609213</v>
      </c>
      <c r="K13" s="302">
        <v>61.382415454100922</v>
      </c>
      <c r="L13" s="302">
        <v>57.636647859021977</v>
      </c>
      <c r="M13" s="302">
        <v>50.427646534972034</v>
      </c>
      <c r="N13" s="302">
        <v>56.344635766892566</v>
      </c>
      <c r="O13" s="302">
        <v>62.014813748607537</v>
      </c>
      <c r="P13" s="302">
        <v>42.446561834474068</v>
      </c>
      <c r="Q13" s="69"/>
    </row>
    <row r="14" spans="2:17" ht="16" thickBot="1" x14ac:dyDescent="0.4">
      <c r="B14" s="57">
        <v>9</v>
      </c>
      <c r="C14" s="299">
        <f t="shared" si="0"/>
        <v>2033</v>
      </c>
      <c r="D14" s="302">
        <v>43.952607237467994</v>
      </c>
      <c r="E14" s="302">
        <v>41.209040822436158</v>
      </c>
      <c r="F14" s="302">
        <v>21.060653665911268</v>
      </c>
      <c r="G14" s="302">
        <v>22.404141445839866</v>
      </c>
      <c r="H14" s="302">
        <v>22.037468179052834</v>
      </c>
      <c r="I14" s="302">
        <v>22.848683249086641</v>
      </c>
      <c r="J14" s="302">
        <v>60.615278731045258</v>
      </c>
      <c r="K14" s="302">
        <v>64.739324511053042</v>
      </c>
      <c r="L14" s="302">
        <v>60.997687185686722</v>
      </c>
      <c r="M14" s="302">
        <v>54.488699345996253</v>
      </c>
      <c r="N14" s="302">
        <v>60.078565261055431</v>
      </c>
      <c r="O14" s="302">
        <v>67.831035769261177</v>
      </c>
      <c r="P14" s="302">
        <v>45.260828898388169</v>
      </c>
      <c r="Q14" s="69"/>
    </row>
    <row r="15" spans="2:17" ht="16" thickBot="1" x14ac:dyDescent="0.4">
      <c r="B15" s="195">
        <v>10</v>
      </c>
      <c r="C15" s="299">
        <f t="shared" si="0"/>
        <v>2034</v>
      </c>
      <c r="D15" s="302">
        <v>44.021770814491262</v>
      </c>
      <c r="E15" s="302">
        <v>42.888434328983713</v>
      </c>
      <c r="F15" s="302">
        <v>21.112112323991884</v>
      </c>
      <c r="G15" s="302">
        <v>22.238473101814172</v>
      </c>
      <c r="H15" s="302">
        <v>21.874117284677563</v>
      </c>
      <c r="I15" s="302">
        <v>23.114958624955833</v>
      </c>
      <c r="J15" s="302">
        <v>62.227269598515761</v>
      </c>
      <c r="K15" s="302">
        <v>65.517418232590245</v>
      </c>
      <c r="L15" s="302">
        <v>63.018897097924935</v>
      </c>
      <c r="M15" s="302">
        <v>56.26792641384052</v>
      </c>
      <c r="N15" s="302">
        <v>62.505478391923333</v>
      </c>
      <c r="O15" s="302">
        <v>68.125516563223499</v>
      </c>
      <c r="P15" s="302">
        <v>46.139014920222955</v>
      </c>
      <c r="Q15" s="69"/>
    </row>
    <row r="16" spans="2:17" ht="16" thickBot="1" x14ac:dyDescent="0.4">
      <c r="B16" s="57">
        <v>11</v>
      </c>
      <c r="C16" s="299">
        <f t="shared" si="0"/>
        <v>2035</v>
      </c>
      <c r="D16" s="302">
        <v>45.909316114405925</v>
      </c>
      <c r="E16" s="302">
        <v>47.750266717585546</v>
      </c>
      <c r="F16" s="302">
        <v>23.468934086941069</v>
      </c>
      <c r="G16" s="302">
        <v>25.785553737163035</v>
      </c>
      <c r="H16" s="302">
        <v>22.856868505013505</v>
      </c>
      <c r="I16" s="302">
        <v>23.821499673168304</v>
      </c>
      <c r="J16" s="302">
        <v>66.253486435142904</v>
      </c>
      <c r="K16" s="302">
        <v>72.235904600614063</v>
      </c>
      <c r="L16" s="302">
        <v>71.167096478399429</v>
      </c>
      <c r="M16" s="302">
        <v>60.234774137922336</v>
      </c>
      <c r="N16" s="302">
        <v>63.759351020594671</v>
      </c>
      <c r="O16" s="302">
        <v>74.0302971724267</v>
      </c>
      <c r="P16" s="302">
        <v>49.82928632328381</v>
      </c>
      <c r="Q16" s="69"/>
    </row>
    <row r="17" spans="2:17" ht="16" thickBot="1" x14ac:dyDescent="0.4">
      <c r="B17" s="57">
        <v>12</v>
      </c>
      <c r="C17" s="299">
        <f t="shared" si="0"/>
        <v>2036</v>
      </c>
      <c r="D17" s="302">
        <v>54.309412684297769</v>
      </c>
      <c r="E17" s="302">
        <v>52.501546007257588</v>
      </c>
      <c r="F17" s="302">
        <v>24.454272389170949</v>
      </c>
      <c r="G17" s="302">
        <v>27.026742244377218</v>
      </c>
      <c r="H17" s="302">
        <v>24.282289497594867</v>
      </c>
      <c r="I17" s="302">
        <v>26.300038658404169</v>
      </c>
      <c r="J17" s="302">
        <v>70.971171143044572</v>
      </c>
      <c r="K17" s="302">
        <v>79.361530758774563</v>
      </c>
      <c r="L17" s="302">
        <v>76.326241186385261</v>
      </c>
      <c r="M17" s="302">
        <v>63.756731116058937</v>
      </c>
      <c r="N17" s="302">
        <v>72.873155505974566</v>
      </c>
      <c r="O17" s="302">
        <v>77.982368930772466</v>
      </c>
      <c r="P17" s="302">
        <v>54.226724683540468</v>
      </c>
      <c r="Q17" s="69"/>
    </row>
    <row r="18" spans="2:17" ht="16" thickBot="1" x14ac:dyDescent="0.4">
      <c r="B18" s="195">
        <v>13</v>
      </c>
      <c r="C18" s="299">
        <f t="shared" si="0"/>
        <v>2037</v>
      </c>
      <c r="D18" s="302">
        <v>54.566620993593908</v>
      </c>
      <c r="E18" s="302">
        <v>54.573695573049818</v>
      </c>
      <c r="F18" s="302">
        <v>25.260491235545956</v>
      </c>
      <c r="G18" s="302">
        <v>27.97489455421929</v>
      </c>
      <c r="H18" s="302">
        <v>26.215465110508308</v>
      </c>
      <c r="I18" s="302">
        <v>25.63461999244598</v>
      </c>
      <c r="J18" s="302">
        <v>72.520947726193882</v>
      </c>
      <c r="K18" s="302">
        <v>81.083037373069715</v>
      </c>
      <c r="L18" s="302">
        <v>77.920906040418075</v>
      </c>
      <c r="M18" s="302">
        <v>65.763895902276886</v>
      </c>
      <c r="N18" s="302">
        <v>73.655190570506406</v>
      </c>
      <c r="O18" s="302">
        <v>80.254950030761094</v>
      </c>
      <c r="P18" s="302">
        <v>55.50482046658491</v>
      </c>
      <c r="Q18" s="69"/>
    </row>
    <row r="19" spans="2:17" ht="16" thickBot="1" x14ac:dyDescent="0.4">
      <c r="B19" s="57">
        <v>14</v>
      </c>
      <c r="C19" s="299">
        <f t="shared" si="0"/>
        <v>2038</v>
      </c>
      <c r="D19" s="302">
        <v>58.019335178333392</v>
      </c>
      <c r="E19" s="302">
        <v>56.684985969014093</v>
      </c>
      <c r="F19" s="302">
        <v>24.616175054423739</v>
      </c>
      <c r="G19" s="302">
        <v>27.754434455189603</v>
      </c>
      <c r="H19" s="302">
        <v>26.606990099940571</v>
      </c>
      <c r="I19" s="302">
        <v>25.622620208840004</v>
      </c>
      <c r="J19" s="302">
        <v>75.98101534666165</v>
      </c>
      <c r="K19" s="302">
        <v>82.53685441946655</v>
      </c>
      <c r="L19" s="302">
        <v>78.467983298882785</v>
      </c>
      <c r="M19" s="302">
        <v>69.880967096177343</v>
      </c>
      <c r="N19" s="302">
        <v>76.393060098684145</v>
      </c>
      <c r="O19" s="302">
        <v>84.079349692064184</v>
      </c>
      <c r="P19" s="302">
        <v>57.281270801313447</v>
      </c>
      <c r="Q19" s="69"/>
    </row>
    <row r="20" spans="2:17" ht="16" thickBot="1" x14ac:dyDescent="0.4">
      <c r="B20" s="57">
        <v>15</v>
      </c>
      <c r="C20" s="299">
        <f t="shared" si="0"/>
        <v>2039</v>
      </c>
      <c r="D20" s="302">
        <v>58.782961942887098</v>
      </c>
      <c r="E20" s="302">
        <v>58.061558682960992</v>
      </c>
      <c r="F20" s="302">
        <v>27.663631162294053</v>
      </c>
      <c r="G20" s="302">
        <v>31.840690007815823</v>
      </c>
      <c r="H20" s="302">
        <v>29.237043501483338</v>
      </c>
      <c r="I20" s="302">
        <v>29.826126849919643</v>
      </c>
      <c r="J20" s="302">
        <v>81.683204623400641</v>
      </c>
      <c r="K20" s="302">
        <v>87.188467929436513</v>
      </c>
      <c r="L20" s="302">
        <v>82.980000480129206</v>
      </c>
      <c r="M20" s="302">
        <v>76.514522524679009</v>
      </c>
      <c r="N20" s="302">
        <v>81.506241016007166</v>
      </c>
      <c r="O20" s="302">
        <v>92.8183867097665</v>
      </c>
      <c r="P20" s="302">
        <v>61.59137031219575</v>
      </c>
      <c r="Q20" s="69"/>
    </row>
    <row r="21" spans="2:17" ht="16" thickBot="1" x14ac:dyDescent="0.4">
      <c r="B21" s="195">
        <v>16</v>
      </c>
      <c r="C21" s="299">
        <f t="shared" si="0"/>
        <v>2040</v>
      </c>
      <c r="D21" s="302">
        <v>57.748861886592316</v>
      </c>
      <c r="E21" s="302">
        <v>57.462068101860524</v>
      </c>
      <c r="F21" s="302">
        <v>26.152554026866852</v>
      </c>
      <c r="G21" s="302">
        <v>30.828241009288643</v>
      </c>
      <c r="H21" s="302">
        <v>27.193123212855259</v>
      </c>
      <c r="I21" s="302">
        <v>32.090283703412624</v>
      </c>
      <c r="J21" s="302">
        <v>85.560700294542755</v>
      </c>
      <c r="K21" s="302">
        <v>85.331748046802289</v>
      </c>
      <c r="L21" s="302">
        <v>85.526197406844744</v>
      </c>
      <c r="M21" s="302">
        <v>79.040985552088586</v>
      </c>
      <c r="N21" s="302">
        <v>82.62224445653834</v>
      </c>
      <c r="O21" s="302">
        <v>94.774824015737082</v>
      </c>
      <c r="P21" s="302">
        <v>62.099168525509796</v>
      </c>
      <c r="Q21" s="69"/>
    </row>
    <row r="22" spans="2:17" ht="16" thickBot="1" x14ac:dyDescent="0.4">
      <c r="B22" s="57">
        <v>17</v>
      </c>
      <c r="C22" s="299">
        <f t="shared" si="0"/>
        <v>2041</v>
      </c>
      <c r="D22" s="302">
        <v>60.303377772287938</v>
      </c>
      <c r="E22" s="302">
        <v>62.067911002994109</v>
      </c>
      <c r="F22" s="302">
        <v>29.98938011117821</v>
      </c>
      <c r="G22" s="302">
        <v>33.452724079167439</v>
      </c>
      <c r="H22" s="302">
        <v>27.127662333222943</v>
      </c>
      <c r="I22" s="302">
        <v>29.18061210807894</v>
      </c>
      <c r="J22" s="302">
        <v>85.971543642462564</v>
      </c>
      <c r="K22" s="302">
        <v>95.012584238563846</v>
      </c>
      <c r="L22" s="302">
        <v>95.332281362071853</v>
      </c>
      <c r="M22" s="302">
        <v>84.630325550084194</v>
      </c>
      <c r="N22" s="302">
        <v>84.41494768954766</v>
      </c>
      <c r="O22" s="302">
        <v>99.750198455349363</v>
      </c>
      <c r="P22" s="302">
        <v>65.686727946431219</v>
      </c>
      <c r="Q22" s="69"/>
    </row>
    <row r="23" spans="2:17" ht="16" thickBot="1" x14ac:dyDescent="0.4">
      <c r="B23" s="57">
        <v>18</v>
      </c>
      <c r="C23" s="299">
        <f t="shared" si="0"/>
        <v>2042</v>
      </c>
      <c r="D23" s="302">
        <v>61.126688462028611</v>
      </c>
      <c r="E23" s="302">
        <v>65.189356550665735</v>
      </c>
      <c r="F23" s="302">
        <v>30.919397308594895</v>
      </c>
      <c r="G23" s="302">
        <v>34.274774329179841</v>
      </c>
      <c r="H23" s="302">
        <v>28.672917927489163</v>
      </c>
      <c r="I23" s="302">
        <v>31.289313727209638</v>
      </c>
      <c r="J23" s="302">
        <v>91.657681973136178</v>
      </c>
      <c r="K23" s="302">
        <v>101.24593834814232</v>
      </c>
      <c r="L23" s="302">
        <v>95.123414124386883</v>
      </c>
      <c r="M23" s="302">
        <v>85.692356870979495</v>
      </c>
      <c r="N23" s="302">
        <v>87.203896101186729</v>
      </c>
      <c r="O23" s="302">
        <v>105.87709061216395</v>
      </c>
      <c r="P23" s="302">
        <v>68.282186708099076</v>
      </c>
      <c r="Q23" s="69"/>
    </row>
    <row r="24" spans="2:17" ht="16" thickBot="1" x14ac:dyDescent="0.4">
      <c r="B24" s="195">
        <v>19</v>
      </c>
      <c r="C24" s="299">
        <f t="shared" si="0"/>
        <v>2043</v>
      </c>
      <c r="D24" s="302">
        <v>60.230144628290532</v>
      </c>
      <c r="E24" s="302">
        <v>60.561094040853774</v>
      </c>
      <c r="F24" s="302">
        <v>31.161047788705204</v>
      </c>
      <c r="G24" s="302">
        <v>31.763578768203185</v>
      </c>
      <c r="H24" s="302">
        <v>29.486051474113108</v>
      </c>
      <c r="I24" s="302">
        <v>29.683911211964716</v>
      </c>
      <c r="J24" s="302">
        <v>91.098302691599159</v>
      </c>
      <c r="K24" s="302">
        <v>101.07017665855008</v>
      </c>
      <c r="L24" s="302">
        <v>92.388404536845414</v>
      </c>
      <c r="M24" s="302">
        <v>83.646610242760815</v>
      </c>
      <c r="N24" s="302">
        <v>83.482760201531619</v>
      </c>
      <c r="O24" s="302">
        <v>104.2702990985585</v>
      </c>
      <c r="P24" s="302">
        <v>66.698936670575833</v>
      </c>
      <c r="Q24" s="69"/>
    </row>
    <row r="25" spans="2:17" ht="16" thickBot="1" x14ac:dyDescent="0.4">
      <c r="B25" s="57">
        <v>20</v>
      </c>
      <c r="C25" s="299">
        <f t="shared" si="0"/>
        <v>2044</v>
      </c>
      <c r="D25" s="302">
        <v>60.783248568689615</v>
      </c>
      <c r="E25" s="302">
        <v>59.460495135445832</v>
      </c>
      <c r="F25" s="302">
        <v>30.103204736161722</v>
      </c>
      <c r="G25" s="302">
        <v>30.273356231975256</v>
      </c>
      <c r="H25" s="302">
        <v>30.105546489025233</v>
      </c>
      <c r="I25" s="302">
        <v>31.269240160917253</v>
      </c>
      <c r="J25" s="302">
        <v>96.561803455330576</v>
      </c>
      <c r="K25" s="302">
        <v>95.669750751525442</v>
      </c>
      <c r="L25" s="302">
        <v>89.136835652943645</v>
      </c>
      <c r="M25" s="302">
        <v>81.94213259396696</v>
      </c>
      <c r="N25" s="302">
        <v>82.166474705763918</v>
      </c>
      <c r="O25" s="302">
        <v>109.99289308185067</v>
      </c>
      <c r="P25" s="302">
        <v>66.583736424723853</v>
      </c>
      <c r="Q25" s="69"/>
    </row>
    <row r="26" spans="2:17" ht="16" thickBot="1" x14ac:dyDescent="0.4">
      <c r="B26" s="57">
        <v>21</v>
      </c>
      <c r="C26" s="299">
        <f t="shared" si="0"/>
        <v>2045</v>
      </c>
      <c r="D26" s="302">
        <v>58.455629120560353</v>
      </c>
      <c r="E26" s="302">
        <v>58.226691013734701</v>
      </c>
      <c r="F26" s="302">
        <v>29.589408877954934</v>
      </c>
      <c r="G26" s="302">
        <v>28.057327411880294</v>
      </c>
      <c r="H26" s="302">
        <v>30.091265700766556</v>
      </c>
      <c r="I26" s="302">
        <v>32.683425458476762</v>
      </c>
      <c r="J26" s="302">
        <v>100.84329008255402</v>
      </c>
      <c r="K26" s="302">
        <v>95.452532389828264</v>
      </c>
      <c r="L26" s="302">
        <v>88.583528958334099</v>
      </c>
      <c r="M26" s="302">
        <v>83.390462112589105</v>
      </c>
      <c r="N26" s="302">
        <v>81.072227314043076</v>
      </c>
      <c r="O26" s="302">
        <v>115.07243091374932</v>
      </c>
      <c r="P26" s="302">
        <v>66.964351281656747</v>
      </c>
      <c r="Q26" s="69"/>
    </row>
    <row r="27" spans="2:17" ht="16" thickBot="1" x14ac:dyDescent="0.4">
      <c r="C27" s="59"/>
      <c r="D27" s="60"/>
      <c r="E27" s="60"/>
      <c r="F27" s="60"/>
      <c r="G27" s="60"/>
      <c r="H27" s="60"/>
      <c r="I27" s="60"/>
      <c r="J27" s="60"/>
      <c r="K27" s="60"/>
      <c r="L27" s="60"/>
      <c r="M27" s="60"/>
      <c r="N27" s="60"/>
      <c r="O27" s="60"/>
      <c r="P27" s="61"/>
      <c r="Q27" s="68"/>
    </row>
    <row r="28" spans="2:17" ht="16" thickBot="1" x14ac:dyDescent="0.4">
      <c r="O28" s="62" t="s">
        <v>56</v>
      </c>
      <c r="P28" s="63">
        <f>-PMT(Rate_of_Return,20,NPV(Rate_of_Return,P6:P25))</f>
        <v>48.798142579842654</v>
      </c>
      <c r="Q28" s="67"/>
    </row>
    <row r="29" spans="2:17" ht="16" thickBot="1" x14ac:dyDescent="0.4">
      <c r="O29" s="62" t="s">
        <v>57</v>
      </c>
      <c r="P29" s="240">
        <f>-PMT(Rate_of_Return,15,NPV(Rate_of_Return,P6:P20))</f>
        <v>46.081468571412962</v>
      </c>
      <c r="Q29" s="67"/>
    </row>
    <row r="31" spans="2:17" x14ac:dyDescent="0.35">
      <c r="B31"/>
      <c r="C31"/>
      <c r="D31"/>
      <c r="E31"/>
      <c r="F31"/>
      <c r="G31"/>
      <c r="H31"/>
      <c r="I31"/>
      <c r="J31"/>
      <c r="K31"/>
      <c r="L31"/>
      <c r="M31"/>
      <c r="N31"/>
      <c r="O31"/>
      <c r="P31"/>
      <c r="Q31"/>
    </row>
    <row r="32" spans="2:17" x14ac:dyDescent="0.35">
      <c r="B32"/>
      <c r="C32"/>
      <c r="D32"/>
      <c r="E32"/>
      <c r="F32"/>
      <c r="G32"/>
      <c r="H32"/>
      <c r="I32"/>
      <c r="J32"/>
      <c r="K32"/>
      <c r="L32"/>
      <c r="M32"/>
      <c r="N32"/>
      <c r="O32"/>
      <c r="P32"/>
      <c r="Q32"/>
    </row>
    <row r="33" spans="2:17" x14ac:dyDescent="0.35">
      <c r="B33"/>
      <c r="C33"/>
      <c r="D33"/>
      <c r="E33"/>
      <c r="F33"/>
      <c r="G33"/>
      <c r="H33"/>
      <c r="I33"/>
      <c r="J33"/>
      <c r="K33"/>
      <c r="L33"/>
      <c r="M33"/>
      <c r="N33"/>
      <c r="O33"/>
      <c r="P33"/>
      <c r="Q33"/>
    </row>
    <row r="34" spans="2:17" x14ac:dyDescent="0.35">
      <c r="B34"/>
      <c r="C34"/>
      <c r="D34"/>
      <c r="E34"/>
      <c r="F34"/>
      <c r="G34"/>
      <c r="H34"/>
      <c r="I34"/>
      <c r="J34"/>
      <c r="K34"/>
      <c r="L34"/>
      <c r="M34"/>
      <c r="N34"/>
      <c r="O34"/>
      <c r="P34"/>
      <c r="Q34"/>
    </row>
    <row r="35" spans="2:17" ht="15.65" customHeight="1" x14ac:dyDescent="0.35">
      <c r="B35"/>
      <c r="C35"/>
      <c r="D35"/>
      <c r="E35"/>
      <c r="F35"/>
      <c r="G35"/>
      <c r="H35"/>
      <c r="I35"/>
      <c r="J35"/>
      <c r="K35"/>
      <c r="L35"/>
      <c r="M35"/>
      <c r="N35"/>
      <c r="O35"/>
      <c r="P35"/>
      <c r="Q35"/>
    </row>
    <row r="36" spans="2:17" x14ac:dyDescent="0.35">
      <c r="B36"/>
      <c r="C36"/>
      <c r="D36"/>
      <c r="E36"/>
      <c r="F36"/>
      <c r="G36"/>
      <c r="H36"/>
      <c r="I36"/>
      <c r="J36"/>
      <c r="K36"/>
      <c r="L36"/>
      <c r="M36"/>
      <c r="N36"/>
      <c r="O36"/>
      <c r="P36"/>
      <c r="Q36"/>
    </row>
    <row r="37" spans="2:17" ht="41.15" customHeight="1" x14ac:dyDescent="0.35">
      <c r="B37"/>
      <c r="C37"/>
      <c r="D37"/>
      <c r="E37"/>
      <c r="F37"/>
      <c r="G37"/>
      <c r="H37"/>
      <c r="I37"/>
      <c r="J37"/>
      <c r="K37"/>
      <c r="L37"/>
      <c r="M37"/>
      <c r="N37"/>
      <c r="O37"/>
      <c r="P37"/>
      <c r="Q37"/>
    </row>
    <row r="38" spans="2:17" x14ac:dyDescent="0.35">
      <c r="B38"/>
      <c r="C38"/>
      <c r="D38"/>
      <c r="E38"/>
      <c r="F38"/>
      <c r="G38"/>
      <c r="H38"/>
      <c r="I38"/>
      <c r="J38"/>
      <c r="K38"/>
      <c r="L38"/>
      <c r="M38"/>
      <c r="N38"/>
      <c r="O38"/>
      <c r="P38"/>
      <c r="Q38"/>
    </row>
    <row r="39" spans="2:17" x14ac:dyDescent="0.35">
      <c r="B39"/>
      <c r="C39"/>
      <c r="D39"/>
      <c r="E39"/>
      <c r="F39"/>
      <c r="G39"/>
      <c r="H39"/>
      <c r="I39"/>
      <c r="J39"/>
      <c r="K39"/>
      <c r="L39"/>
      <c r="M39"/>
      <c r="N39"/>
      <c r="O39"/>
      <c r="P39"/>
      <c r="Q39"/>
    </row>
    <row r="40" spans="2:17" x14ac:dyDescent="0.35">
      <c r="B40"/>
      <c r="C40"/>
      <c r="D40"/>
      <c r="E40"/>
      <c r="F40"/>
      <c r="G40"/>
      <c r="H40"/>
      <c r="I40"/>
      <c r="J40"/>
      <c r="K40"/>
      <c r="L40"/>
      <c r="M40"/>
      <c r="N40"/>
      <c r="O40"/>
      <c r="P40"/>
      <c r="Q40"/>
    </row>
    <row r="41" spans="2:17" x14ac:dyDescent="0.35">
      <c r="B41"/>
      <c r="C41"/>
      <c r="D41"/>
      <c r="E41"/>
      <c r="F41"/>
      <c r="G41"/>
      <c r="H41"/>
      <c r="I41"/>
      <c r="J41"/>
      <c r="K41"/>
      <c r="L41"/>
      <c r="M41"/>
      <c r="N41"/>
      <c r="O41"/>
      <c r="P41"/>
      <c r="Q41"/>
    </row>
    <row r="42" spans="2:17" ht="93.65" customHeight="1" x14ac:dyDescent="0.35">
      <c r="B42"/>
      <c r="C42"/>
      <c r="D42"/>
      <c r="E42"/>
      <c r="F42"/>
      <c r="G42"/>
      <c r="H42"/>
      <c r="I42"/>
      <c r="J42"/>
      <c r="K42"/>
      <c r="L42"/>
      <c r="M42"/>
      <c r="N42"/>
      <c r="O42"/>
      <c r="P42"/>
      <c r="Q42"/>
    </row>
    <row r="43" spans="2:17" ht="80.5" customHeight="1" x14ac:dyDescent="0.35">
      <c r="B43"/>
      <c r="C43"/>
      <c r="D43"/>
      <c r="E43"/>
      <c r="F43"/>
      <c r="G43"/>
      <c r="H43"/>
      <c r="I43"/>
      <c r="J43"/>
      <c r="K43"/>
      <c r="L43"/>
      <c r="M43"/>
      <c r="N43"/>
      <c r="O43"/>
      <c r="P43"/>
      <c r="Q43"/>
    </row>
    <row r="44" spans="2:17" x14ac:dyDescent="0.35">
      <c r="B44"/>
      <c r="C44"/>
      <c r="D44"/>
      <c r="E44"/>
      <c r="F44"/>
      <c r="G44"/>
      <c r="H44"/>
      <c r="I44"/>
      <c r="J44"/>
      <c r="K44"/>
      <c r="L44"/>
      <c r="M44"/>
      <c r="N44"/>
      <c r="O44"/>
      <c r="P44"/>
      <c r="Q44"/>
    </row>
    <row r="45" spans="2:17" x14ac:dyDescent="0.35">
      <c r="B45"/>
      <c r="C45"/>
      <c r="D45"/>
      <c r="E45"/>
      <c r="F45"/>
      <c r="G45"/>
      <c r="H45"/>
      <c r="I45"/>
      <c r="J45"/>
      <c r="K45"/>
      <c r="L45"/>
      <c r="M45"/>
      <c r="N45"/>
      <c r="O45"/>
      <c r="P45"/>
      <c r="Q45"/>
    </row>
    <row r="46" spans="2:17" x14ac:dyDescent="0.35">
      <c r="B46"/>
      <c r="C46"/>
      <c r="D46"/>
      <c r="E46"/>
      <c r="F46"/>
      <c r="G46"/>
      <c r="H46"/>
      <c r="I46"/>
      <c r="J46"/>
      <c r="K46"/>
      <c r="L46"/>
      <c r="M46"/>
      <c r="N46"/>
      <c r="O46"/>
      <c r="P46"/>
      <c r="Q46"/>
    </row>
    <row r="47" spans="2:17" x14ac:dyDescent="0.35">
      <c r="B47"/>
      <c r="C47"/>
      <c r="D47"/>
      <c r="E47"/>
      <c r="F47"/>
      <c r="G47"/>
      <c r="H47"/>
      <c r="I47"/>
      <c r="J47"/>
      <c r="K47"/>
      <c r="L47"/>
      <c r="M47"/>
      <c r="N47"/>
      <c r="O47"/>
      <c r="P47"/>
      <c r="Q47"/>
    </row>
    <row r="48" spans="2:17" x14ac:dyDescent="0.35">
      <c r="B48"/>
      <c r="C48"/>
      <c r="D48"/>
      <c r="E48"/>
      <c r="F48"/>
      <c r="G48"/>
      <c r="H48"/>
      <c r="I48"/>
      <c r="J48"/>
      <c r="K48"/>
      <c r="L48"/>
      <c r="M48"/>
      <c r="N48"/>
      <c r="O48"/>
      <c r="P48"/>
      <c r="Q48"/>
    </row>
    <row r="49" spans="2:17" x14ac:dyDescent="0.35">
      <c r="B49"/>
      <c r="C49"/>
      <c r="D49"/>
      <c r="E49"/>
      <c r="F49"/>
      <c r="G49"/>
      <c r="H49"/>
      <c r="I49"/>
      <c r="J49"/>
      <c r="K49"/>
      <c r="L49"/>
      <c r="M49"/>
      <c r="N49"/>
      <c r="O49"/>
      <c r="P49"/>
      <c r="Q49"/>
    </row>
    <row r="50" spans="2:17" x14ac:dyDescent="0.35">
      <c r="B50"/>
      <c r="C50"/>
      <c r="D50"/>
      <c r="E50"/>
      <c r="F50"/>
      <c r="G50"/>
      <c r="H50"/>
      <c r="I50"/>
      <c r="J50"/>
      <c r="K50"/>
      <c r="L50"/>
      <c r="M50"/>
      <c r="N50"/>
      <c r="O50"/>
      <c r="P50"/>
      <c r="Q50"/>
    </row>
    <row r="51" spans="2:17" x14ac:dyDescent="0.35">
      <c r="B51"/>
      <c r="C51"/>
      <c r="D51"/>
      <c r="E51"/>
      <c r="F51"/>
      <c r="G51"/>
      <c r="H51"/>
      <c r="I51"/>
      <c r="J51"/>
      <c r="K51"/>
      <c r="L51"/>
      <c r="M51"/>
      <c r="N51"/>
      <c r="O51"/>
      <c r="P51"/>
      <c r="Q51"/>
    </row>
    <row r="52" spans="2:17" x14ac:dyDescent="0.35">
      <c r="B52"/>
      <c r="C52"/>
      <c r="D52"/>
      <c r="E52"/>
      <c r="F52"/>
      <c r="G52"/>
      <c r="H52"/>
      <c r="I52"/>
      <c r="J52"/>
      <c r="K52"/>
      <c r="L52"/>
      <c r="M52"/>
      <c r="N52"/>
      <c r="O52"/>
      <c r="P52"/>
      <c r="Q52"/>
    </row>
    <row r="53" spans="2:17" x14ac:dyDescent="0.35">
      <c r="B53"/>
      <c r="C53"/>
      <c r="D53"/>
      <c r="E53"/>
      <c r="F53"/>
      <c r="G53"/>
      <c r="H53"/>
      <c r="I53"/>
      <c r="J53"/>
      <c r="K53"/>
      <c r="L53"/>
      <c r="M53"/>
      <c r="N53"/>
      <c r="O53"/>
      <c r="P53"/>
      <c r="Q53"/>
    </row>
    <row r="54" spans="2:17" x14ac:dyDescent="0.35">
      <c r="B54"/>
      <c r="C54"/>
      <c r="D54"/>
      <c r="E54"/>
      <c r="F54"/>
      <c r="G54"/>
      <c r="H54"/>
      <c r="I54"/>
      <c r="J54"/>
      <c r="K54"/>
      <c r="L54"/>
      <c r="M54"/>
      <c r="N54"/>
      <c r="O54"/>
      <c r="P54"/>
      <c r="Q54"/>
    </row>
    <row r="55" spans="2:17" x14ac:dyDescent="0.35">
      <c r="B55"/>
      <c r="C55"/>
      <c r="D55"/>
      <c r="E55"/>
      <c r="F55"/>
      <c r="G55"/>
      <c r="H55"/>
      <c r="I55"/>
      <c r="J55"/>
      <c r="K55"/>
      <c r="L55"/>
      <c r="M55"/>
      <c r="N55"/>
      <c r="O55"/>
      <c r="P55"/>
      <c r="Q55"/>
    </row>
    <row r="56" spans="2:17" x14ac:dyDescent="0.35">
      <c r="B56"/>
      <c r="C56"/>
      <c r="D56"/>
      <c r="E56"/>
      <c r="F56"/>
      <c r="G56"/>
      <c r="H56"/>
      <c r="I56"/>
      <c r="J56"/>
      <c r="K56"/>
      <c r="L56"/>
      <c r="M56"/>
      <c r="N56"/>
      <c r="O56"/>
      <c r="P56"/>
      <c r="Q56"/>
    </row>
    <row r="57" spans="2:17" x14ac:dyDescent="0.35">
      <c r="B57"/>
      <c r="C57"/>
      <c r="D57"/>
      <c r="E57"/>
      <c r="F57"/>
      <c r="G57"/>
      <c r="H57"/>
      <c r="I57"/>
      <c r="J57"/>
      <c r="K57"/>
      <c r="L57"/>
      <c r="M57"/>
      <c r="N57"/>
      <c r="O57"/>
      <c r="P57"/>
      <c r="Q57"/>
    </row>
    <row r="58" spans="2:17" x14ac:dyDescent="0.35">
      <c r="B58"/>
      <c r="C58"/>
      <c r="D58"/>
      <c r="E58"/>
      <c r="F58"/>
      <c r="G58"/>
      <c r="H58"/>
      <c r="I58"/>
      <c r="J58"/>
      <c r="K58"/>
      <c r="L58"/>
      <c r="M58"/>
      <c r="N58"/>
      <c r="O58"/>
      <c r="P58"/>
      <c r="Q58"/>
    </row>
    <row r="59" spans="2:17" x14ac:dyDescent="0.35">
      <c r="B59"/>
      <c r="C59"/>
      <c r="D59"/>
      <c r="E59"/>
      <c r="F59"/>
      <c r="G59"/>
      <c r="H59"/>
      <c r="I59"/>
      <c r="J59"/>
      <c r="K59"/>
      <c r="L59"/>
      <c r="M59"/>
      <c r="N59"/>
      <c r="O59"/>
      <c r="P59"/>
      <c r="Q59"/>
    </row>
    <row r="60" spans="2:17" x14ac:dyDescent="0.35">
      <c r="B60"/>
      <c r="C60"/>
      <c r="D60"/>
      <c r="E60"/>
      <c r="F60"/>
      <c r="G60"/>
      <c r="H60"/>
      <c r="I60"/>
      <c r="J60"/>
      <c r="K60"/>
      <c r="L60"/>
      <c r="M60"/>
      <c r="N60"/>
      <c r="O60"/>
      <c r="P60"/>
      <c r="Q60"/>
    </row>
    <row r="61" spans="2:17" x14ac:dyDescent="0.35">
      <c r="B61"/>
      <c r="C61"/>
      <c r="D61"/>
      <c r="E61"/>
      <c r="F61"/>
      <c r="G61"/>
      <c r="H61"/>
      <c r="I61"/>
      <c r="J61"/>
      <c r="K61"/>
      <c r="L61"/>
      <c r="M61"/>
      <c r="N61"/>
      <c r="O61"/>
      <c r="P61"/>
      <c r="Q61"/>
    </row>
    <row r="62" spans="2:17" x14ac:dyDescent="0.35">
      <c r="B62"/>
      <c r="C62"/>
      <c r="D62"/>
      <c r="E62"/>
      <c r="F62"/>
      <c r="G62"/>
      <c r="H62"/>
      <c r="I62"/>
      <c r="J62"/>
      <c r="K62"/>
      <c r="L62"/>
      <c r="M62"/>
      <c r="N62"/>
      <c r="O62"/>
      <c r="P62"/>
      <c r="Q62"/>
    </row>
    <row r="63" spans="2:17" x14ac:dyDescent="0.35">
      <c r="B63"/>
      <c r="C63"/>
      <c r="D63"/>
      <c r="E63"/>
      <c r="F63"/>
      <c r="G63"/>
      <c r="H63"/>
      <c r="I63"/>
      <c r="J63"/>
      <c r="K63"/>
      <c r="L63"/>
      <c r="M63"/>
      <c r="N63"/>
      <c r="O63"/>
      <c r="P63"/>
      <c r="Q63"/>
    </row>
    <row r="64" spans="2:17" x14ac:dyDescent="0.35">
      <c r="B64"/>
      <c r="C64"/>
      <c r="D64"/>
      <c r="E64"/>
      <c r="F64"/>
      <c r="G64"/>
      <c r="H64"/>
      <c r="I64"/>
      <c r="J64"/>
      <c r="K64"/>
      <c r="L64"/>
      <c r="M64"/>
      <c r="N64"/>
      <c r="O64"/>
      <c r="P64"/>
      <c r="Q64"/>
    </row>
    <row r="65" spans="2:17" x14ac:dyDescent="0.35">
      <c r="B65"/>
      <c r="C65"/>
      <c r="D65"/>
      <c r="E65"/>
      <c r="F65"/>
      <c r="G65"/>
      <c r="H65"/>
      <c r="I65"/>
      <c r="J65"/>
      <c r="K65"/>
      <c r="L65"/>
      <c r="M65"/>
      <c r="N65"/>
      <c r="O65"/>
      <c r="P65"/>
      <c r="Q65"/>
    </row>
    <row r="66" spans="2:17" x14ac:dyDescent="0.35">
      <c r="B66"/>
      <c r="C66"/>
      <c r="D66"/>
      <c r="E66"/>
      <c r="F66"/>
      <c r="G66"/>
      <c r="H66"/>
      <c r="I66"/>
      <c r="J66"/>
      <c r="K66"/>
      <c r="L66"/>
      <c r="M66"/>
      <c r="N66"/>
      <c r="O66"/>
      <c r="P66"/>
      <c r="Q66"/>
    </row>
    <row r="67" spans="2:17" x14ac:dyDescent="0.35">
      <c r="B67"/>
      <c r="C67"/>
      <c r="D67"/>
      <c r="E67"/>
      <c r="F67"/>
      <c r="G67"/>
      <c r="H67"/>
      <c r="I67"/>
      <c r="J67"/>
      <c r="K67"/>
      <c r="L67"/>
      <c r="M67"/>
      <c r="N67"/>
      <c r="O67"/>
      <c r="P67"/>
      <c r="Q67"/>
    </row>
    <row r="68" spans="2:17" x14ac:dyDescent="0.35">
      <c r="B68"/>
      <c r="C68"/>
      <c r="D68"/>
      <c r="E68"/>
      <c r="F68"/>
      <c r="G68"/>
      <c r="H68"/>
      <c r="I68"/>
      <c r="J68"/>
      <c r="K68"/>
      <c r="L68"/>
      <c r="M68"/>
      <c r="N68"/>
      <c r="O68"/>
      <c r="P68"/>
      <c r="Q68"/>
    </row>
    <row r="69" spans="2:17" x14ac:dyDescent="0.35">
      <c r="B69"/>
      <c r="C69"/>
      <c r="D69"/>
      <c r="E69"/>
      <c r="F69"/>
      <c r="G69"/>
      <c r="H69"/>
      <c r="I69"/>
      <c r="J69"/>
      <c r="K69"/>
      <c r="L69"/>
      <c r="M69"/>
      <c r="N69"/>
      <c r="O69"/>
      <c r="P69"/>
      <c r="Q69"/>
    </row>
    <row r="70" spans="2:17" x14ac:dyDescent="0.35">
      <c r="B70"/>
      <c r="C70"/>
      <c r="D70"/>
      <c r="E70"/>
      <c r="F70"/>
      <c r="G70"/>
      <c r="H70"/>
      <c r="I70"/>
      <c r="J70"/>
      <c r="K70"/>
      <c r="L70"/>
      <c r="M70"/>
      <c r="N70"/>
      <c r="O70"/>
      <c r="P70"/>
      <c r="Q70"/>
    </row>
    <row r="71" spans="2:17" x14ac:dyDescent="0.35">
      <c r="B71"/>
      <c r="C71"/>
      <c r="D71"/>
      <c r="E71"/>
      <c r="F71"/>
      <c r="G71"/>
      <c r="H71"/>
      <c r="I71"/>
      <c r="J71"/>
      <c r="K71"/>
      <c r="L71"/>
      <c r="M71"/>
      <c r="N71"/>
      <c r="O71"/>
      <c r="P71"/>
      <c r="Q71"/>
    </row>
    <row r="72" spans="2:17" x14ac:dyDescent="0.35">
      <c r="B72"/>
      <c r="C72"/>
      <c r="D72"/>
      <c r="E72"/>
      <c r="F72"/>
      <c r="G72"/>
      <c r="H72"/>
      <c r="I72"/>
      <c r="J72"/>
      <c r="K72"/>
      <c r="L72"/>
      <c r="M72"/>
      <c r="N72"/>
      <c r="O72"/>
      <c r="P72"/>
      <c r="Q72"/>
    </row>
    <row r="73" spans="2:17" x14ac:dyDescent="0.35">
      <c r="B73"/>
      <c r="C73"/>
      <c r="D73"/>
      <c r="E73"/>
      <c r="F73"/>
      <c r="G73"/>
      <c r="H73"/>
      <c r="I73"/>
      <c r="J73"/>
      <c r="K73"/>
      <c r="L73"/>
      <c r="M73"/>
      <c r="N73"/>
      <c r="O73"/>
      <c r="P73"/>
      <c r="Q73"/>
    </row>
    <row r="74" spans="2:17" x14ac:dyDescent="0.35">
      <c r="B74"/>
      <c r="C74"/>
      <c r="D74"/>
      <c r="E74"/>
      <c r="F74"/>
      <c r="G74"/>
      <c r="H74"/>
      <c r="I74"/>
      <c r="J74"/>
      <c r="K74"/>
      <c r="L74"/>
      <c r="M74"/>
      <c r="N74"/>
      <c r="O74"/>
      <c r="P74"/>
      <c r="Q74"/>
    </row>
    <row r="75" spans="2:17" x14ac:dyDescent="0.35">
      <c r="B75"/>
      <c r="C75"/>
      <c r="D75"/>
      <c r="E75"/>
      <c r="F75"/>
      <c r="G75"/>
      <c r="H75"/>
      <c r="I75"/>
      <c r="J75"/>
      <c r="K75"/>
      <c r="L75"/>
      <c r="M75"/>
      <c r="N75"/>
      <c r="O75"/>
      <c r="P75"/>
      <c r="Q75"/>
    </row>
    <row r="76" spans="2:17" x14ac:dyDescent="0.35">
      <c r="B76"/>
      <c r="C76"/>
      <c r="D76"/>
      <c r="E76"/>
      <c r="F76"/>
      <c r="G76"/>
      <c r="H76"/>
      <c r="I76"/>
      <c r="J76"/>
      <c r="K76"/>
      <c r="L76"/>
      <c r="M76"/>
      <c r="N76"/>
      <c r="O76"/>
      <c r="P76"/>
      <c r="Q76"/>
    </row>
    <row r="77" spans="2:17" x14ac:dyDescent="0.35">
      <c r="B77"/>
      <c r="C77"/>
      <c r="D77"/>
      <c r="E77"/>
      <c r="F77"/>
      <c r="G77"/>
      <c r="H77"/>
      <c r="I77"/>
      <c r="J77"/>
      <c r="K77"/>
      <c r="L77"/>
      <c r="M77"/>
      <c r="N77"/>
      <c r="O77"/>
      <c r="P77"/>
      <c r="Q77"/>
    </row>
    <row r="78" spans="2:17" x14ac:dyDescent="0.35">
      <c r="B78"/>
      <c r="C78"/>
      <c r="D78"/>
      <c r="E78"/>
      <c r="F78"/>
      <c r="G78"/>
      <c r="H78"/>
      <c r="I78"/>
      <c r="J78"/>
      <c r="K78"/>
      <c r="L78"/>
      <c r="M78"/>
      <c r="N78"/>
      <c r="O78"/>
      <c r="P78"/>
      <c r="Q78"/>
    </row>
    <row r="79" spans="2:17" x14ac:dyDescent="0.35">
      <c r="B79"/>
      <c r="C79"/>
      <c r="D79"/>
      <c r="E79"/>
      <c r="F79"/>
      <c r="G79"/>
      <c r="H79"/>
      <c r="I79"/>
      <c r="J79"/>
      <c r="K79"/>
      <c r="L79"/>
      <c r="M79"/>
      <c r="N79"/>
      <c r="O79"/>
      <c r="P79"/>
      <c r="Q79"/>
    </row>
    <row r="80" spans="2:17" x14ac:dyDescent="0.35">
      <c r="B80"/>
      <c r="C80"/>
      <c r="D80"/>
      <c r="E80"/>
      <c r="F80"/>
      <c r="G80"/>
      <c r="H80"/>
      <c r="I80"/>
      <c r="J80"/>
      <c r="K80"/>
      <c r="L80"/>
      <c r="M80"/>
      <c r="N80"/>
      <c r="O80"/>
      <c r="P80"/>
      <c r="Q80"/>
    </row>
    <row r="81" spans="2:17" x14ac:dyDescent="0.35">
      <c r="B81"/>
      <c r="C81"/>
      <c r="D81"/>
      <c r="E81"/>
      <c r="F81"/>
      <c r="G81"/>
      <c r="H81"/>
      <c r="I81"/>
      <c r="J81"/>
      <c r="K81"/>
      <c r="L81"/>
      <c r="M81"/>
      <c r="N81"/>
      <c r="O81"/>
      <c r="P81"/>
      <c r="Q81"/>
    </row>
    <row r="82" spans="2:17" x14ac:dyDescent="0.35">
      <c r="B82"/>
      <c r="C82"/>
      <c r="D82"/>
      <c r="E82"/>
      <c r="F82"/>
      <c r="G82"/>
      <c r="H82"/>
      <c r="I82"/>
      <c r="J82"/>
      <c r="K82"/>
      <c r="L82"/>
      <c r="M82"/>
      <c r="N82"/>
      <c r="O82"/>
      <c r="P82"/>
      <c r="Q82"/>
    </row>
    <row r="83" spans="2:17" x14ac:dyDescent="0.35">
      <c r="B83"/>
      <c r="C83"/>
      <c r="D83"/>
      <c r="E83"/>
      <c r="F83"/>
      <c r="G83"/>
      <c r="H83"/>
      <c r="I83"/>
      <c r="J83"/>
      <c r="K83"/>
      <c r="L83"/>
      <c r="M83"/>
      <c r="N83"/>
      <c r="O83"/>
      <c r="P83"/>
      <c r="Q83"/>
    </row>
    <row r="84" spans="2:17" x14ac:dyDescent="0.35">
      <c r="B84"/>
      <c r="C84"/>
      <c r="D84"/>
      <c r="E84"/>
      <c r="F84"/>
      <c r="G84"/>
      <c r="H84"/>
      <c r="I84"/>
      <c r="J84"/>
      <c r="K84"/>
      <c r="L84"/>
      <c r="M84"/>
      <c r="N84"/>
      <c r="O84"/>
      <c r="P84"/>
      <c r="Q84"/>
    </row>
    <row r="85" spans="2:17" x14ac:dyDescent="0.35">
      <c r="B85"/>
      <c r="C85"/>
      <c r="D85"/>
      <c r="E85"/>
      <c r="F85"/>
      <c r="G85"/>
      <c r="H85"/>
      <c r="I85"/>
      <c r="J85"/>
      <c r="K85"/>
      <c r="L85"/>
      <c r="M85"/>
      <c r="N85"/>
      <c r="O85"/>
      <c r="P85"/>
      <c r="Q85"/>
    </row>
    <row r="86" spans="2:17" x14ac:dyDescent="0.35">
      <c r="B86"/>
      <c r="C86"/>
      <c r="D86"/>
      <c r="E86"/>
      <c r="F86"/>
      <c r="G86"/>
      <c r="H86"/>
      <c r="I86"/>
      <c r="J86"/>
      <c r="K86"/>
      <c r="L86"/>
      <c r="M86"/>
      <c r="N86"/>
      <c r="O86"/>
      <c r="P86"/>
      <c r="Q86"/>
    </row>
    <row r="87" spans="2:17" x14ac:dyDescent="0.35">
      <c r="B87"/>
      <c r="C87"/>
      <c r="D87"/>
      <c r="E87"/>
      <c r="F87"/>
      <c r="G87"/>
      <c r="H87"/>
      <c r="I87"/>
      <c r="J87"/>
      <c r="K87"/>
      <c r="L87"/>
      <c r="M87"/>
      <c r="N87"/>
      <c r="O87"/>
      <c r="P87"/>
      <c r="Q87"/>
    </row>
    <row r="88" spans="2:17" x14ac:dyDescent="0.35">
      <c r="B88"/>
      <c r="C88"/>
      <c r="D88"/>
      <c r="E88"/>
      <c r="F88"/>
      <c r="G88"/>
      <c r="H88"/>
      <c r="I88"/>
      <c r="J88"/>
      <c r="K88"/>
      <c r="L88"/>
      <c r="M88"/>
      <c r="N88"/>
      <c r="O88"/>
      <c r="P88"/>
      <c r="Q88"/>
    </row>
    <row r="89" spans="2:17" x14ac:dyDescent="0.35">
      <c r="B89"/>
      <c r="C89"/>
      <c r="D89"/>
      <c r="E89"/>
      <c r="F89"/>
      <c r="G89"/>
      <c r="H89"/>
      <c r="I89"/>
      <c r="J89"/>
      <c r="K89"/>
      <c r="L89"/>
      <c r="M89"/>
      <c r="N89"/>
      <c r="O89"/>
      <c r="P89"/>
      <c r="Q89"/>
    </row>
    <row r="90" spans="2:17" x14ac:dyDescent="0.35">
      <c r="B90"/>
      <c r="C90"/>
      <c r="D90"/>
      <c r="E90"/>
      <c r="F90"/>
      <c r="G90"/>
      <c r="H90"/>
      <c r="I90"/>
      <c r="J90"/>
      <c r="K90"/>
      <c r="L90"/>
      <c r="M90"/>
      <c r="N90"/>
      <c r="O90"/>
      <c r="P90"/>
      <c r="Q90"/>
    </row>
    <row r="91" spans="2:17" x14ac:dyDescent="0.35">
      <c r="B91"/>
      <c r="C91"/>
      <c r="D91"/>
      <c r="E91"/>
      <c r="F91"/>
      <c r="G91"/>
      <c r="H91"/>
      <c r="I91"/>
      <c r="J91"/>
      <c r="K91"/>
      <c r="L91"/>
      <c r="M91"/>
      <c r="N91"/>
      <c r="O91"/>
      <c r="P91"/>
      <c r="Q91"/>
    </row>
    <row r="92" spans="2:17" x14ac:dyDescent="0.35">
      <c r="B92"/>
      <c r="C92"/>
      <c r="D92"/>
      <c r="E92"/>
      <c r="F92"/>
      <c r="G92"/>
      <c r="H92"/>
      <c r="I92"/>
      <c r="J92"/>
      <c r="K92"/>
      <c r="L92"/>
      <c r="M92"/>
      <c r="N92"/>
      <c r="O92"/>
      <c r="P92"/>
      <c r="Q92"/>
    </row>
    <row r="93" spans="2:17" x14ac:dyDescent="0.35">
      <c r="B93"/>
      <c r="C93"/>
      <c r="D93"/>
      <c r="E93"/>
      <c r="F93"/>
      <c r="G93"/>
      <c r="H93"/>
      <c r="I93"/>
      <c r="J93"/>
      <c r="K93"/>
      <c r="L93"/>
      <c r="M93"/>
      <c r="N93"/>
      <c r="O93"/>
      <c r="P93"/>
      <c r="Q93"/>
    </row>
    <row r="94" spans="2:17" x14ac:dyDescent="0.35">
      <c r="B94"/>
      <c r="C94"/>
      <c r="D94"/>
      <c r="E94"/>
      <c r="F94"/>
      <c r="G94"/>
      <c r="H94"/>
      <c r="I94"/>
      <c r="J94"/>
      <c r="K94"/>
      <c r="L94"/>
      <c r="M94"/>
      <c r="N94"/>
      <c r="O94"/>
      <c r="P94"/>
      <c r="Q94"/>
    </row>
    <row r="95" spans="2:17" x14ac:dyDescent="0.35">
      <c r="B95"/>
      <c r="C95"/>
      <c r="D95"/>
      <c r="E95"/>
      <c r="F95"/>
      <c r="G95"/>
      <c r="H95"/>
      <c r="I95"/>
      <c r="J95"/>
      <c r="K95"/>
      <c r="L95"/>
      <c r="M95"/>
      <c r="N95"/>
      <c r="O95"/>
      <c r="P95"/>
      <c r="Q95"/>
    </row>
    <row r="96" spans="2:17" x14ac:dyDescent="0.35">
      <c r="B96"/>
      <c r="C96"/>
      <c r="D96"/>
      <c r="E96"/>
      <c r="F96"/>
      <c r="G96"/>
      <c r="H96"/>
      <c r="I96"/>
      <c r="J96"/>
      <c r="K96"/>
      <c r="L96"/>
      <c r="M96"/>
      <c r="N96"/>
      <c r="O96"/>
      <c r="P96"/>
      <c r="Q96"/>
    </row>
  </sheetData>
  <mergeCells count="1">
    <mergeCell ref="C2:Q2"/>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S40"/>
  <sheetViews>
    <sheetView workbookViewId="0">
      <selection activeCell="S33" sqref="S33"/>
    </sheetView>
  </sheetViews>
  <sheetFormatPr defaultColWidth="8.81640625" defaultRowHeight="12.5" x14ac:dyDescent="0.25"/>
  <cols>
    <col min="1" max="1" width="2.54296875" style="209" customWidth="1"/>
    <col min="2" max="2" width="3.81640625" style="209" bestFit="1" customWidth="1"/>
    <col min="3" max="3" width="9" style="209" bestFit="1" customWidth="1"/>
    <col min="4" max="4" width="23" style="209" customWidth="1"/>
    <col min="5" max="5" width="24.54296875" style="209" customWidth="1"/>
    <col min="6" max="6" width="2.1796875" style="163" customWidth="1"/>
    <col min="7" max="7" width="17.453125" style="209" bestFit="1" customWidth="1"/>
    <col min="8" max="9" width="13.81640625" style="209" bestFit="1" customWidth="1"/>
    <col min="10" max="10" width="2.1796875" style="163" customWidth="1"/>
    <col min="11" max="11" width="8.81640625" style="209"/>
    <col min="12" max="12" width="11.1796875" style="209" customWidth="1"/>
    <col min="13" max="13" width="2.1796875" style="163" customWidth="1"/>
    <col min="14" max="14" width="14" style="209" customWidth="1"/>
    <col min="15" max="15" width="11.453125" style="209" bestFit="1" customWidth="1"/>
    <col min="16" max="16" width="11.54296875" style="209" customWidth="1"/>
    <col min="17" max="17" width="10.1796875" style="209" bestFit="1" customWidth="1"/>
    <col min="18" max="18" width="12.1796875" style="209" customWidth="1"/>
    <col min="19" max="19" width="11.453125" style="209" bestFit="1" customWidth="1"/>
    <col min="20" max="16384" width="8.81640625" style="209"/>
  </cols>
  <sheetData>
    <row r="1" spans="1:19" x14ac:dyDescent="0.25">
      <c r="O1" s="238"/>
      <c r="Q1" s="238"/>
    </row>
    <row r="2" spans="1:19" x14ac:dyDescent="0.25">
      <c r="K2" s="163"/>
      <c r="L2" s="163"/>
      <c r="O2" s="239"/>
      <c r="P2" s="163"/>
      <c r="Q2" s="239"/>
      <c r="R2" s="163"/>
      <c r="S2" s="239"/>
    </row>
    <row r="3" spans="1:19" s="278" customFormat="1" ht="27.65" customHeight="1" thickBot="1" x14ac:dyDescent="0.35">
      <c r="D3" s="360" t="s">
        <v>43</v>
      </c>
      <c r="E3" s="360"/>
      <c r="F3" s="256"/>
      <c r="G3" s="353" t="s">
        <v>88</v>
      </c>
      <c r="H3" s="353"/>
      <c r="I3" s="353"/>
      <c r="J3" s="256"/>
      <c r="K3" s="256"/>
      <c r="L3" s="256"/>
      <c r="M3" s="256"/>
      <c r="N3" s="353" t="s">
        <v>89</v>
      </c>
      <c r="O3" s="353"/>
      <c r="P3" s="353"/>
      <c r="Q3" s="353"/>
      <c r="R3" s="353"/>
      <c r="S3" s="353"/>
    </row>
    <row r="4" spans="1:19" s="278" customFormat="1" ht="86.15" customHeight="1" x14ac:dyDescent="0.25">
      <c r="D4" s="260" t="s">
        <v>44</v>
      </c>
      <c r="E4" s="270" t="s">
        <v>90</v>
      </c>
      <c r="F4" s="256"/>
      <c r="G4" s="279" t="s">
        <v>106</v>
      </c>
      <c r="H4" s="330" t="s">
        <v>162</v>
      </c>
      <c r="I4" s="280" t="s">
        <v>123</v>
      </c>
      <c r="J4" s="211"/>
      <c r="K4" s="354" t="s">
        <v>107</v>
      </c>
      <c r="L4" s="357" t="s">
        <v>108</v>
      </c>
      <c r="M4" s="211"/>
      <c r="N4" s="281" t="s">
        <v>109</v>
      </c>
      <c r="O4" s="282" t="s">
        <v>110</v>
      </c>
      <c r="P4" s="331" t="s">
        <v>163</v>
      </c>
      <c r="Q4" s="282" t="s">
        <v>170</v>
      </c>
      <c r="R4" s="283" t="s">
        <v>164</v>
      </c>
      <c r="S4" s="282" t="s">
        <v>112</v>
      </c>
    </row>
    <row r="5" spans="1:19" s="278" customFormat="1" x14ac:dyDescent="0.25">
      <c r="C5" s="284"/>
      <c r="D5" s="262"/>
      <c r="E5" s="263"/>
      <c r="F5" s="256"/>
      <c r="G5" s="295">
        <v>1</v>
      </c>
      <c r="H5" s="296">
        <v>0.13</v>
      </c>
      <c r="I5" s="297">
        <v>0.04</v>
      </c>
      <c r="J5" s="211"/>
      <c r="K5" s="355"/>
      <c r="L5" s="358"/>
      <c r="M5" s="211"/>
      <c r="N5" s="285">
        <v>1</v>
      </c>
      <c r="O5" s="286"/>
      <c r="P5" s="285">
        <v>0.37</v>
      </c>
      <c r="Q5" s="286"/>
      <c r="R5" s="309">
        <v>0.25</v>
      </c>
      <c r="S5" s="287"/>
    </row>
    <row r="6" spans="1:19" s="278" customFormat="1" ht="25.5" thickBot="1" x14ac:dyDescent="0.3">
      <c r="B6" s="284"/>
      <c r="C6" s="288"/>
      <c r="D6" s="264"/>
      <c r="E6" s="265" t="s">
        <v>92</v>
      </c>
      <c r="F6" s="256"/>
      <c r="G6" s="289" t="s">
        <v>92</v>
      </c>
      <c r="H6" s="289" t="s">
        <v>92</v>
      </c>
      <c r="I6" s="290" t="s">
        <v>92</v>
      </c>
      <c r="J6" s="256"/>
      <c r="K6" s="356"/>
      <c r="L6" s="359"/>
      <c r="M6" s="211"/>
      <c r="N6" s="291" t="s">
        <v>91</v>
      </c>
      <c r="O6" s="292" t="s">
        <v>14</v>
      </c>
      <c r="P6" s="291" t="s">
        <v>91</v>
      </c>
      <c r="Q6" s="292" t="s">
        <v>14</v>
      </c>
      <c r="R6" s="293" t="s">
        <v>91</v>
      </c>
      <c r="S6" s="292" t="s">
        <v>14</v>
      </c>
    </row>
    <row r="7" spans="1:19" x14ac:dyDescent="0.25">
      <c r="A7" s="212"/>
      <c r="B7" s="271">
        <v>1</v>
      </c>
      <c r="C7" s="261">
        <v>2025</v>
      </c>
      <c r="D7" s="215"/>
      <c r="E7" s="307">
        <v>135.69</v>
      </c>
      <c r="G7" s="217">
        <f t="shared" ref="G7:I27" si="0">G$5*$E7</f>
        <v>135.69</v>
      </c>
      <c r="H7" s="217">
        <f>H$5*$E7</f>
        <v>17.639700000000001</v>
      </c>
      <c r="I7" s="219">
        <f>I$5*$E7</f>
        <v>5.4276</v>
      </c>
      <c r="K7" s="216">
        <f t="shared" ref="K7:K28" si="1">C7</f>
        <v>2025</v>
      </c>
      <c r="L7" s="199">
        <v>8760</v>
      </c>
      <c r="M7" s="210"/>
      <c r="N7" s="207">
        <f t="shared" ref="N7:N28" si="2">L7*$N$5</f>
        <v>8760</v>
      </c>
      <c r="O7" s="208">
        <f>(+G7*1000)/$N7</f>
        <v>15.489726027397261</v>
      </c>
      <c r="P7" s="207">
        <f>L7*$P$5</f>
        <v>3241.2</v>
      </c>
      <c r="Q7" s="208">
        <f>(+H7*1000)/$P7</f>
        <v>5.4423361717882273</v>
      </c>
      <c r="R7" s="221">
        <f t="shared" ref="R7:R28" si="3">L7*$R$5</f>
        <v>2190</v>
      </c>
      <c r="S7" s="208">
        <f>(+I7*1000)/$R7</f>
        <v>2.4783561643835617</v>
      </c>
    </row>
    <row r="8" spans="1:19" x14ac:dyDescent="0.25">
      <c r="A8" s="212"/>
      <c r="B8" s="272">
        <f t="shared" ref="B8:B28" si="4">+B7+1</f>
        <v>2</v>
      </c>
      <c r="C8" s="213">
        <f>C7+1</f>
        <v>2026</v>
      </c>
      <c r="D8" s="215"/>
      <c r="E8" s="308">
        <v>135.69</v>
      </c>
      <c r="G8" s="218">
        <f t="shared" si="0"/>
        <v>135.69</v>
      </c>
      <c r="H8" s="217">
        <f t="shared" si="0"/>
        <v>17.639700000000001</v>
      </c>
      <c r="I8" s="220">
        <f t="shared" si="0"/>
        <v>5.4276</v>
      </c>
      <c r="K8" s="200">
        <f t="shared" si="1"/>
        <v>2026</v>
      </c>
      <c r="L8" s="201">
        <v>8760</v>
      </c>
      <c r="M8" s="210"/>
      <c r="N8" s="203">
        <f t="shared" si="2"/>
        <v>8760</v>
      </c>
      <c r="O8" s="204">
        <f>(+G8*1000)/$N8</f>
        <v>15.489726027397261</v>
      </c>
      <c r="P8" s="203">
        <f t="shared" ref="P8:P28" si="5">L8*$P$5</f>
        <v>3241.2</v>
      </c>
      <c r="Q8" s="204">
        <f t="shared" ref="Q8:Q28" si="6">(+H8*1000)/$P8</f>
        <v>5.4423361717882273</v>
      </c>
      <c r="R8" s="222">
        <f>L8*$R$5</f>
        <v>2190</v>
      </c>
      <c r="S8" s="204">
        <f>(+I8*1000)/$R8</f>
        <v>2.4783561643835617</v>
      </c>
    </row>
    <row r="9" spans="1:19" x14ac:dyDescent="0.25">
      <c r="A9" s="212"/>
      <c r="B9" s="272">
        <f t="shared" si="4"/>
        <v>3</v>
      </c>
      <c r="C9" s="213">
        <f>+C8+1</f>
        <v>2027</v>
      </c>
      <c r="D9" s="215"/>
      <c r="E9" s="308">
        <v>135.69</v>
      </c>
      <c r="G9" s="218">
        <f t="shared" si="0"/>
        <v>135.69</v>
      </c>
      <c r="H9" s="217">
        <f t="shared" si="0"/>
        <v>17.639700000000001</v>
      </c>
      <c r="I9" s="220">
        <f t="shared" si="0"/>
        <v>5.4276</v>
      </c>
      <c r="K9" s="200">
        <f t="shared" si="1"/>
        <v>2027</v>
      </c>
      <c r="L9" s="201">
        <v>8760</v>
      </c>
      <c r="M9" s="210"/>
      <c r="N9" s="203">
        <f t="shared" si="2"/>
        <v>8760</v>
      </c>
      <c r="O9" s="204">
        <f t="shared" ref="O9:O28" si="7">(+G9*1000)/$N9</f>
        <v>15.489726027397261</v>
      </c>
      <c r="P9" s="203">
        <f t="shared" si="5"/>
        <v>3241.2</v>
      </c>
      <c r="Q9" s="204">
        <f t="shared" si="6"/>
        <v>5.4423361717882273</v>
      </c>
      <c r="R9" s="222">
        <f t="shared" si="3"/>
        <v>2190</v>
      </c>
      <c r="S9" s="204">
        <f t="shared" ref="S9:S28" si="8">(+I9*1000)/$R9</f>
        <v>2.4783561643835617</v>
      </c>
    </row>
    <row r="10" spans="1:19" x14ac:dyDescent="0.25">
      <c r="A10" s="212"/>
      <c r="B10" s="272">
        <f t="shared" si="4"/>
        <v>4</v>
      </c>
      <c r="C10" s="213">
        <f t="shared" ref="C10:C28" si="9">+C9+1</f>
        <v>2028</v>
      </c>
      <c r="D10" s="215"/>
      <c r="E10" s="266">
        <v>135.69</v>
      </c>
      <c r="G10" s="218">
        <f t="shared" si="0"/>
        <v>135.69</v>
      </c>
      <c r="H10" s="217">
        <f t="shared" si="0"/>
        <v>17.639700000000001</v>
      </c>
      <c r="I10" s="220">
        <f t="shared" si="0"/>
        <v>5.4276</v>
      </c>
      <c r="K10" s="200">
        <f t="shared" si="1"/>
        <v>2028</v>
      </c>
      <c r="L10" s="201">
        <v>8784</v>
      </c>
      <c r="M10" s="210"/>
      <c r="N10" s="203">
        <f t="shared" si="2"/>
        <v>8784</v>
      </c>
      <c r="O10" s="204">
        <f t="shared" si="7"/>
        <v>15.4474043715847</v>
      </c>
      <c r="P10" s="203">
        <f t="shared" si="5"/>
        <v>3250.08</v>
      </c>
      <c r="Q10" s="204">
        <f t="shared" si="6"/>
        <v>5.4274664008270568</v>
      </c>
      <c r="R10" s="222">
        <f t="shared" si="3"/>
        <v>2196</v>
      </c>
      <c r="S10" s="204">
        <f t="shared" si="8"/>
        <v>2.471584699453552</v>
      </c>
    </row>
    <row r="11" spans="1:19" x14ac:dyDescent="0.25">
      <c r="A11" s="212"/>
      <c r="B11" s="272">
        <f t="shared" si="4"/>
        <v>5</v>
      </c>
      <c r="C11" s="213">
        <f t="shared" si="9"/>
        <v>2029</v>
      </c>
      <c r="D11" s="215"/>
      <c r="E11" s="266">
        <v>135.69</v>
      </c>
      <c r="G11" s="218">
        <f t="shared" si="0"/>
        <v>135.69</v>
      </c>
      <c r="H11" s="217">
        <f t="shared" si="0"/>
        <v>17.639700000000001</v>
      </c>
      <c r="I11" s="220">
        <f t="shared" si="0"/>
        <v>5.4276</v>
      </c>
      <c r="K11" s="200">
        <f t="shared" si="1"/>
        <v>2029</v>
      </c>
      <c r="L11" s="201">
        <v>8760</v>
      </c>
      <c r="M11" s="210"/>
      <c r="N11" s="203">
        <f t="shared" si="2"/>
        <v>8760</v>
      </c>
      <c r="O11" s="204">
        <f t="shared" si="7"/>
        <v>15.489726027397261</v>
      </c>
      <c r="P11" s="203">
        <f t="shared" si="5"/>
        <v>3241.2</v>
      </c>
      <c r="Q11" s="204">
        <f t="shared" si="6"/>
        <v>5.4423361717882273</v>
      </c>
      <c r="R11" s="222">
        <f t="shared" si="3"/>
        <v>2190</v>
      </c>
      <c r="S11" s="204">
        <f t="shared" si="8"/>
        <v>2.4783561643835617</v>
      </c>
    </row>
    <row r="12" spans="1:19" x14ac:dyDescent="0.25">
      <c r="A12" s="212"/>
      <c r="B12" s="272">
        <f t="shared" si="4"/>
        <v>6</v>
      </c>
      <c r="C12" s="213">
        <f t="shared" si="9"/>
        <v>2030</v>
      </c>
      <c r="D12" s="215"/>
      <c r="E12" s="266">
        <v>135.69</v>
      </c>
      <c r="G12" s="218">
        <f t="shared" si="0"/>
        <v>135.69</v>
      </c>
      <c r="H12" s="217">
        <f t="shared" si="0"/>
        <v>17.639700000000001</v>
      </c>
      <c r="I12" s="220">
        <f t="shared" si="0"/>
        <v>5.4276</v>
      </c>
      <c r="K12" s="200">
        <f t="shared" si="1"/>
        <v>2030</v>
      </c>
      <c r="L12" s="201">
        <v>8760</v>
      </c>
      <c r="M12" s="210"/>
      <c r="N12" s="203">
        <f t="shared" si="2"/>
        <v>8760</v>
      </c>
      <c r="O12" s="204">
        <f t="shared" si="7"/>
        <v>15.489726027397261</v>
      </c>
      <c r="P12" s="203">
        <f t="shared" si="5"/>
        <v>3241.2</v>
      </c>
      <c r="Q12" s="204">
        <f t="shared" si="6"/>
        <v>5.4423361717882273</v>
      </c>
      <c r="R12" s="222">
        <f t="shared" si="3"/>
        <v>2190</v>
      </c>
      <c r="S12" s="204">
        <f t="shared" si="8"/>
        <v>2.4783561643835617</v>
      </c>
    </row>
    <row r="13" spans="1:19" x14ac:dyDescent="0.25">
      <c r="A13" s="212"/>
      <c r="B13" s="272">
        <f t="shared" si="4"/>
        <v>7</v>
      </c>
      <c r="C13" s="213">
        <f t="shared" si="9"/>
        <v>2031</v>
      </c>
      <c r="D13" s="215"/>
      <c r="E13" s="266">
        <v>135.69</v>
      </c>
      <c r="G13" s="218">
        <f t="shared" si="0"/>
        <v>135.69</v>
      </c>
      <c r="H13" s="217">
        <f t="shared" si="0"/>
        <v>17.639700000000001</v>
      </c>
      <c r="I13" s="220">
        <f t="shared" si="0"/>
        <v>5.4276</v>
      </c>
      <c r="K13" s="200">
        <f t="shared" si="1"/>
        <v>2031</v>
      </c>
      <c r="L13" s="201">
        <v>8760</v>
      </c>
      <c r="M13" s="210"/>
      <c r="N13" s="203">
        <f t="shared" si="2"/>
        <v>8760</v>
      </c>
      <c r="O13" s="204">
        <f t="shared" si="7"/>
        <v>15.489726027397261</v>
      </c>
      <c r="P13" s="203">
        <f t="shared" si="5"/>
        <v>3241.2</v>
      </c>
      <c r="Q13" s="204">
        <f t="shared" si="6"/>
        <v>5.4423361717882273</v>
      </c>
      <c r="R13" s="222">
        <f t="shared" si="3"/>
        <v>2190</v>
      </c>
      <c r="S13" s="204">
        <f t="shared" si="8"/>
        <v>2.4783561643835617</v>
      </c>
    </row>
    <row r="14" spans="1:19" x14ac:dyDescent="0.25">
      <c r="A14" s="212"/>
      <c r="B14" s="272">
        <f t="shared" si="4"/>
        <v>8</v>
      </c>
      <c r="C14" s="213">
        <f t="shared" si="9"/>
        <v>2032</v>
      </c>
      <c r="D14" s="215"/>
      <c r="E14" s="266">
        <v>135.69</v>
      </c>
      <c r="G14" s="218">
        <f t="shared" si="0"/>
        <v>135.69</v>
      </c>
      <c r="H14" s="217">
        <f t="shared" si="0"/>
        <v>17.639700000000001</v>
      </c>
      <c r="I14" s="220">
        <f t="shared" si="0"/>
        <v>5.4276</v>
      </c>
      <c r="K14" s="200">
        <f t="shared" si="1"/>
        <v>2032</v>
      </c>
      <c r="L14" s="201">
        <v>8784</v>
      </c>
      <c r="M14" s="210"/>
      <c r="N14" s="203">
        <f t="shared" si="2"/>
        <v>8784</v>
      </c>
      <c r="O14" s="204">
        <f t="shared" si="7"/>
        <v>15.4474043715847</v>
      </c>
      <c r="P14" s="203">
        <f t="shared" si="5"/>
        <v>3250.08</v>
      </c>
      <c r="Q14" s="204">
        <f t="shared" si="6"/>
        <v>5.4274664008270568</v>
      </c>
      <c r="R14" s="222">
        <f t="shared" si="3"/>
        <v>2196</v>
      </c>
      <c r="S14" s="204">
        <f t="shared" si="8"/>
        <v>2.471584699453552</v>
      </c>
    </row>
    <row r="15" spans="1:19" x14ac:dyDescent="0.25">
      <c r="A15" s="212"/>
      <c r="B15" s="272">
        <f t="shared" si="4"/>
        <v>9</v>
      </c>
      <c r="C15" s="213">
        <f t="shared" si="9"/>
        <v>2033</v>
      </c>
      <c r="D15" s="215"/>
      <c r="E15" s="266">
        <v>135.69</v>
      </c>
      <c r="G15" s="218">
        <f t="shared" si="0"/>
        <v>135.69</v>
      </c>
      <c r="H15" s="217">
        <f t="shared" si="0"/>
        <v>17.639700000000001</v>
      </c>
      <c r="I15" s="220">
        <f t="shared" si="0"/>
        <v>5.4276</v>
      </c>
      <c r="K15" s="200">
        <f t="shared" si="1"/>
        <v>2033</v>
      </c>
      <c r="L15" s="201">
        <v>8760</v>
      </c>
      <c r="M15" s="210"/>
      <c r="N15" s="203">
        <f t="shared" si="2"/>
        <v>8760</v>
      </c>
      <c r="O15" s="204">
        <f t="shared" si="7"/>
        <v>15.489726027397261</v>
      </c>
      <c r="P15" s="203">
        <f t="shared" si="5"/>
        <v>3241.2</v>
      </c>
      <c r="Q15" s="204">
        <f t="shared" si="6"/>
        <v>5.4423361717882273</v>
      </c>
      <c r="R15" s="222">
        <f t="shared" si="3"/>
        <v>2190</v>
      </c>
      <c r="S15" s="204">
        <f t="shared" si="8"/>
        <v>2.4783561643835617</v>
      </c>
    </row>
    <row r="16" spans="1:19" x14ac:dyDescent="0.25">
      <c r="A16" s="212"/>
      <c r="B16" s="272">
        <f t="shared" si="4"/>
        <v>10</v>
      </c>
      <c r="C16" s="213">
        <f t="shared" si="9"/>
        <v>2034</v>
      </c>
      <c r="D16" s="215"/>
      <c r="E16" s="266">
        <v>135.69</v>
      </c>
      <c r="G16" s="218">
        <f t="shared" si="0"/>
        <v>135.69</v>
      </c>
      <c r="H16" s="217">
        <f t="shared" si="0"/>
        <v>17.639700000000001</v>
      </c>
      <c r="I16" s="220">
        <f t="shared" si="0"/>
        <v>5.4276</v>
      </c>
      <c r="K16" s="200">
        <f t="shared" si="1"/>
        <v>2034</v>
      </c>
      <c r="L16" s="201">
        <v>8760</v>
      </c>
      <c r="M16" s="210"/>
      <c r="N16" s="203">
        <f t="shared" si="2"/>
        <v>8760</v>
      </c>
      <c r="O16" s="204">
        <f t="shared" si="7"/>
        <v>15.489726027397261</v>
      </c>
      <c r="P16" s="203">
        <f t="shared" si="5"/>
        <v>3241.2</v>
      </c>
      <c r="Q16" s="204">
        <f t="shared" si="6"/>
        <v>5.4423361717882273</v>
      </c>
      <c r="R16" s="222">
        <f t="shared" si="3"/>
        <v>2190</v>
      </c>
      <c r="S16" s="204">
        <f t="shared" si="8"/>
        <v>2.4783561643835617</v>
      </c>
    </row>
    <row r="17" spans="1:19" x14ac:dyDescent="0.25">
      <c r="A17" s="212"/>
      <c r="B17" s="272">
        <f t="shared" si="4"/>
        <v>11</v>
      </c>
      <c r="C17" s="213">
        <f t="shared" si="9"/>
        <v>2035</v>
      </c>
      <c r="D17" s="215"/>
      <c r="E17" s="266">
        <v>135.69</v>
      </c>
      <c r="G17" s="218">
        <f t="shared" si="0"/>
        <v>135.69</v>
      </c>
      <c r="H17" s="217">
        <f t="shared" si="0"/>
        <v>17.639700000000001</v>
      </c>
      <c r="I17" s="220">
        <f t="shared" si="0"/>
        <v>5.4276</v>
      </c>
      <c r="K17" s="200">
        <f t="shared" si="1"/>
        <v>2035</v>
      </c>
      <c r="L17" s="201">
        <v>8760</v>
      </c>
      <c r="M17" s="210"/>
      <c r="N17" s="203">
        <f t="shared" si="2"/>
        <v>8760</v>
      </c>
      <c r="O17" s="204">
        <f t="shared" si="7"/>
        <v>15.489726027397261</v>
      </c>
      <c r="P17" s="203">
        <f t="shared" si="5"/>
        <v>3241.2</v>
      </c>
      <c r="Q17" s="204">
        <f t="shared" si="6"/>
        <v>5.4423361717882273</v>
      </c>
      <c r="R17" s="222">
        <f t="shared" si="3"/>
        <v>2190</v>
      </c>
      <c r="S17" s="204">
        <f t="shared" si="8"/>
        <v>2.4783561643835617</v>
      </c>
    </row>
    <row r="18" spans="1:19" x14ac:dyDescent="0.25">
      <c r="A18" s="212"/>
      <c r="B18" s="272">
        <f t="shared" si="4"/>
        <v>12</v>
      </c>
      <c r="C18" s="213">
        <f t="shared" si="9"/>
        <v>2036</v>
      </c>
      <c r="D18" s="215"/>
      <c r="E18" s="266">
        <v>135.69</v>
      </c>
      <c r="G18" s="218">
        <f t="shared" si="0"/>
        <v>135.69</v>
      </c>
      <c r="H18" s="217">
        <f t="shared" si="0"/>
        <v>17.639700000000001</v>
      </c>
      <c r="I18" s="220">
        <f t="shared" si="0"/>
        <v>5.4276</v>
      </c>
      <c r="K18" s="200">
        <f t="shared" si="1"/>
        <v>2036</v>
      </c>
      <c r="L18" s="201">
        <v>8784</v>
      </c>
      <c r="M18" s="210"/>
      <c r="N18" s="203">
        <f t="shared" si="2"/>
        <v>8784</v>
      </c>
      <c r="O18" s="204">
        <f t="shared" si="7"/>
        <v>15.4474043715847</v>
      </c>
      <c r="P18" s="203">
        <f t="shared" si="5"/>
        <v>3250.08</v>
      </c>
      <c r="Q18" s="204">
        <f t="shared" si="6"/>
        <v>5.4274664008270568</v>
      </c>
      <c r="R18" s="222">
        <f t="shared" si="3"/>
        <v>2196</v>
      </c>
      <c r="S18" s="204">
        <f t="shared" si="8"/>
        <v>2.471584699453552</v>
      </c>
    </row>
    <row r="19" spans="1:19" x14ac:dyDescent="0.25">
      <c r="A19" s="212"/>
      <c r="B19" s="272">
        <f t="shared" si="4"/>
        <v>13</v>
      </c>
      <c r="C19" s="213">
        <f t="shared" si="9"/>
        <v>2037</v>
      </c>
      <c r="D19" s="215"/>
      <c r="E19" s="266">
        <v>135.69</v>
      </c>
      <c r="G19" s="218">
        <f t="shared" si="0"/>
        <v>135.69</v>
      </c>
      <c r="H19" s="217">
        <f t="shared" si="0"/>
        <v>17.639700000000001</v>
      </c>
      <c r="I19" s="220">
        <f t="shared" si="0"/>
        <v>5.4276</v>
      </c>
      <c r="K19" s="200">
        <f t="shared" si="1"/>
        <v>2037</v>
      </c>
      <c r="L19" s="201">
        <v>8760</v>
      </c>
      <c r="M19" s="210"/>
      <c r="N19" s="203">
        <f t="shared" si="2"/>
        <v>8760</v>
      </c>
      <c r="O19" s="204">
        <f t="shared" si="7"/>
        <v>15.489726027397261</v>
      </c>
      <c r="P19" s="203">
        <f t="shared" si="5"/>
        <v>3241.2</v>
      </c>
      <c r="Q19" s="204">
        <f t="shared" si="6"/>
        <v>5.4423361717882273</v>
      </c>
      <c r="R19" s="222">
        <f t="shared" si="3"/>
        <v>2190</v>
      </c>
      <c r="S19" s="204">
        <f t="shared" si="8"/>
        <v>2.4783561643835617</v>
      </c>
    </row>
    <row r="20" spans="1:19" x14ac:dyDescent="0.25">
      <c r="A20" s="212"/>
      <c r="B20" s="272">
        <f t="shared" si="4"/>
        <v>14</v>
      </c>
      <c r="C20" s="213">
        <f t="shared" si="9"/>
        <v>2038</v>
      </c>
      <c r="D20" s="215"/>
      <c r="E20" s="266">
        <v>135.69</v>
      </c>
      <c r="G20" s="218">
        <f t="shared" si="0"/>
        <v>135.69</v>
      </c>
      <c r="H20" s="217">
        <f t="shared" si="0"/>
        <v>17.639700000000001</v>
      </c>
      <c r="I20" s="220">
        <f t="shared" si="0"/>
        <v>5.4276</v>
      </c>
      <c r="K20" s="200">
        <f t="shared" si="1"/>
        <v>2038</v>
      </c>
      <c r="L20" s="201">
        <v>8760</v>
      </c>
      <c r="M20" s="210"/>
      <c r="N20" s="203">
        <f t="shared" si="2"/>
        <v>8760</v>
      </c>
      <c r="O20" s="204">
        <f t="shared" si="7"/>
        <v>15.489726027397261</v>
      </c>
      <c r="P20" s="203">
        <f t="shared" si="5"/>
        <v>3241.2</v>
      </c>
      <c r="Q20" s="204">
        <f t="shared" si="6"/>
        <v>5.4423361717882273</v>
      </c>
      <c r="R20" s="222">
        <f t="shared" si="3"/>
        <v>2190</v>
      </c>
      <c r="S20" s="204">
        <f t="shared" si="8"/>
        <v>2.4783561643835617</v>
      </c>
    </row>
    <row r="21" spans="1:19" x14ac:dyDescent="0.25">
      <c r="A21" s="212"/>
      <c r="B21" s="272">
        <f t="shared" si="4"/>
        <v>15</v>
      </c>
      <c r="C21" s="213">
        <f t="shared" si="9"/>
        <v>2039</v>
      </c>
      <c r="D21" s="215"/>
      <c r="E21" s="266">
        <v>135.69</v>
      </c>
      <c r="G21" s="218">
        <f t="shared" si="0"/>
        <v>135.69</v>
      </c>
      <c r="H21" s="217">
        <f t="shared" si="0"/>
        <v>17.639700000000001</v>
      </c>
      <c r="I21" s="220">
        <f t="shared" si="0"/>
        <v>5.4276</v>
      </c>
      <c r="K21" s="200">
        <f t="shared" si="1"/>
        <v>2039</v>
      </c>
      <c r="L21" s="201">
        <v>8760</v>
      </c>
      <c r="M21" s="210"/>
      <c r="N21" s="203">
        <f t="shared" si="2"/>
        <v>8760</v>
      </c>
      <c r="O21" s="204">
        <f t="shared" si="7"/>
        <v>15.489726027397261</v>
      </c>
      <c r="P21" s="203">
        <f t="shared" si="5"/>
        <v>3241.2</v>
      </c>
      <c r="Q21" s="204">
        <f t="shared" si="6"/>
        <v>5.4423361717882273</v>
      </c>
      <c r="R21" s="222">
        <f t="shared" si="3"/>
        <v>2190</v>
      </c>
      <c r="S21" s="204">
        <f t="shared" si="8"/>
        <v>2.4783561643835617</v>
      </c>
    </row>
    <row r="22" spans="1:19" x14ac:dyDescent="0.25">
      <c r="A22" s="212"/>
      <c r="B22" s="272">
        <f t="shared" si="4"/>
        <v>16</v>
      </c>
      <c r="C22" s="213">
        <f t="shared" si="9"/>
        <v>2040</v>
      </c>
      <c r="D22" s="215"/>
      <c r="E22" s="266">
        <v>135.69</v>
      </c>
      <c r="G22" s="218">
        <f t="shared" si="0"/>
        <v>135.69</v>
      </c>
      <c r="H22" s="217">
        <f t="shared" si="0"/>
        <v>17.639700000000001</v>
      </c>
      <c r="I22" s="220">
        <f t="shared" si="0"/>
        <v>5.4276</v>
      </c>
      <c r="K22" s="200">
        <f t="shared" si="1"/>
        <v>2040</v>
      </c>
      <c r="L22" s="201">
        <v>8784</v>
      </c>
      <c r="M22" s="210"/>
      <c r="N22" s="203">
        <f t="shared" si="2"/>
        <v>8784</v>
      </c>
      <c r="O22" s="204">
        <f t="shared" si="7"/>
        <v>15.4474043715847</v>
      </c>
      <c r="P22" s="203">
        <f t="shared" si="5"/>
        <v>3250.08</v>
      </c>
      <c r="Q22" s="204">
        <f t="shared" si="6"/>
        <v>5.4274664008270568</v>
      </c>
      <c r="R22" s="222">
        <f t="shared" si="3"/>
        <v>2196</v>
      </c>
      <c r="S22" s="204">
        <f t="shared" si="8"/>
        <v>2.471584699453552</v>
      </c>
    </row>
    <row r="23" spans="1:19" x14ac:dyDescent="0.25">
      <c r="A23" s="212"/>
      <c r="B23" s="272">
        <f t="shared" si="4"/>
        <v>17</v>
      </c>
      <c r="C23" s="213">
        <f t="shared" si="9"/>
        <v>2041</v>
      </c>
      <c r="D23" s="215"/>
      <c r="E23" s="266">
        <v>135.69</v>
      </c>
      <c r="G23" s="218">
        <f t="shared" si="0"/>
        <v>135.69</v>
      </c>
      <c r="H23" s="217">
        <f t="shared" si="0"/>
        <v>17.639700000000001</v>
      </c>
      <c r="I23" s="220">
        <f t="shared" si="0"/>
        <v>5.4276</v>
      </c>
      <c r="K23" s="200">
        <f t="shared" si="1"/>
        <v>2041</v>
      </c>
      <c r="L23" s="201">
        <v>8760</v>
      </c>
      <c r="M23" s="210"/>
      <c r="N23" s="203">
        <f t="shared" si="2"/>
        <v>8760</v>
      </c>
      <c r="O23" s="204">
        <f t="shared" si="7"/>
        <v>15.489726027397261</v>
      </c>
      <c r="P23" s="203">
        <f t="shared" si="5"/>
        <v>3241.2</v>
      </c>
      <c r="Q23" s="204">
        <f t="shared" si="6"/>
        <v>5.4423361717882273</v>
      </c>
      <c r="R23" s="222">
        <f t="shared" si="3"/>
        <v>2190</v>
      </c>
      <c r="S23" s="204">
        <f t="shared" si="8"/>
        <v>2.4783561643835617</v>
      </c>
    </row>
    <row r="24" spans="1:19" x14ac:dyDescent="0.25">
      <c r="A24" s="212"/>
      <c r="B24" s="272">
        <f t="shared" si="4"/>
        <v>18</v>
      </c>
      <c r="C24" s="213">
        <f t="shared" si="9"/>
        <v>2042</v>
      </c>
      <c r="D24" s="215"/>
      <c r="E24" s="267">
        <v>135.69</v>
      </c>
      <c r="G24" s="218">
        <f t="shared" si="0"/>
        <v>135.69</v>
      </c>
      <c r="H24" s="217">
        <f t="shared" si="0"/>
        <v>17.639700000000001</v>
      </c>
      <c r="I24" s="220">
        <f t="shared" si="0"/>
        <v>5.4276</v>
      </c>
      <c r="K24" s="200">
        <f t="shared" si="1"/>
        <v>2042</v>
      </c>
      <c r="L24" s="201">
        <v>8760</v>
      </c>
      <c r="M24" s="210"/>
      <c r="N24" s="203">
        <f t="shared" si="2"/>
        <v>8760</v>
      </c>
      <c r="O24" s="204">
        <f t="shared" si="7"/>
        <v>15.489726027397261</v>
      </c>
      <c r="P24" s="203">
        <f t="shared" si="5"/>
        <v>3241.2</v>
      </c>
      <c r="Q24" s="204">
        <f t="shared" si="6"/>
        <v>5.4423361717882273</v>
      </c>
      <c r="R24" s="222">
        <f t="shared" si="3"/>
        <v>2190</v>
      </c>
      <c r="S24" s="204">
        <f t="shared" si="8"/>
        <v>2.4783561643835617</v>
      </c>
    </row>
    <row r="25" spans="1:19" x14ac:dyDescent="0.25">
      <c r="A25" s="212"/>
      <c r="B25" s="272">
        <f t="shared" si="4"/>
        <v>19</v>
      </c>
      <c r="C25" s="213">
        <f t="shared" si="9"/>
        <v>2043</v>
      </c>
      <c r="D25" s="215"/>
      <c r="E25" s="267">
        <v>135.69</v>
      </c>
      <c r="G25" s="218">
        <f t="shared" si="0"/>
        <v>135.69</v>
      </c>
      <c r="H25" s="217">
        <f t="shared" si="0"/>
        <v>17.639700000000001</v>
      </c>
      <c r="I25" s="220">
        <f t="shared" si="0"/>
        <v>5.4276</v>
      </c>
      <c r="K25" s="200">
        <f t="shared" si="1"/>
        <v>2043</v>
      </c>
      <c r="L25" s="201">
        <v>8760</v>
      </c>
      <c r="M25" s="210"/>
      <c r="N25" s="203">
        <f t="shared" si="2"/>
        <v>8760</v>
      </c>
      <c r="O25" s="204">
        <f t="shared" si="7"/>
        <v>15.489726027397261</v>
      </c>
      <c r="P25" s="203">
        <f t="shared" si="5"/>
        <v>3241.2</v>
      </c>
      <c r="Q25" s="204">
        <f t="shared" si="6"/>
        <v>5.4423361717882273</v>
      </c>
      <c r="R25" s="222">
        <f t="shared" si="3"/>
        <v>2190</v>
      </c>
      <c r="S25" s="204">
        <f t="shared" si="8"/>
        <v>2.4783561643835617</v>
      </c>
    </row>
    <row r="26" spans="1:19" x14ac:dyDescent="0.25">
      <c r="A26" s="212"/>
      <c r="B26" s="272">
        <f t="shared" si="4"/>
        <v>20</v>
      </c>
      <c r="C26" s="213">
        <f t="shared" si="9"/>
        <v>2044</v>
      </c>
      <c r="D26" s="215"/>
      <c r="E26" s="267">
        <v>135.69</v>
      </c>
      <c r="G26" s="218">
        <f t="shared" si="0"/>
        <v>135.69</v>
      </c>
      <c r="H26" s="217">
        <f t="shared" si="0"/>
        <v>17.639700000000001</v>
      </c>
      <c r="I26" s="220">
        <f t="shared" si="0"/>
        <v>5.4276</v>
      </c>
      <c r="K26" s="200">
        <f t="shared" si="1"/>
        <v>2044</v>
      </c>
      <c r="L26" s="201">
        <v>8784</v>
      </c>
      <c r="M26" s="210"/>
      <c r="N26" s="203">
        <f t="shared" si="2"/>
        <v>8784</v>
      </c>
      <c r="O26" s="204">
        <f t="shared" si="7"/>
        <v>15.4474043715847</v>
      </c>
      <c r="P26" s="203">
        <f t="shared" si="5"/>
        <v>3250.08</v>
      </c>
      <c r="Q26" s="204">
        <f t="shared" si="6"/>
        <v>5.4274664008270568</v>
      </c>
      <c r="R26" s="222">
        <f t="shared" si="3"/>
        <v>2196</v>
      </c>
      <c r="S26" s="204">
        <f t="shared" si="8"/>
        <v>2.471584699453552</v>
      </c>
    </row>
    <row r="27" spans="1:19" x14ac:dyDescent="0.25">
      <c r="A27" s="212"/>
      <c r="B27" s="272">
        <f t="shared" si="4"/>
        <v>21</v>
      </c>
      <c r="C27" s="213">
        <f t="shared" si="9"/>
        <v>2045</v>
      </c>
      <c r="D27" s="215"/>
      <c r="E27" s="267">
        <v>135.69</v>
      </c>
      <c r="G27" s="218">
        <f t="shared" si="0"/>
        <v>135.69</v>
      </c>
      <c r="H27" s="217">
        <f t="shared" si="0"/>
        <v>17.639700000000001</v>
      </c>
      <c r="I27" s="220">
        <f t="shared" si="0"/>
        <v>5.4276</v>
      </c>
      <c r="K27" s="200">
        <f t="shared" si="1"/>
        <v>2045</v>
      </c>
      <c r="L27" s="201">
        <v>8760</v>
      </c>
      <c r="M27" s="210"/>
      <c r="N27" s="203">
        <f t="shared" si="2"/>
        <v>8760</v>
      </c>
      <c r="O27" s="204">
        <f t="shared" si="7"/>
        <v>15.489726027397261</v>
      </c>
      <c r="P27" s="203">
        <f t="shared" si="5"/>
        <v>3241.2</v>
      </c>
      <c r="Q27" s="204">
        <f t="shared" si="6"/>
        <v>5.4423361717882273</v>
      </c>
      <c r="R27" s="222">
        <f t="shared" si="3"/>
        <v>2190</v>
      </c>
      <c r="S27" s="204">
        <f t="shared" si="8"/>
        <v>2.4783561643835617</v>
      </c>
    </row>
    <row r="28" spans="1:19" ht="13" thickBot="1" x14ac:dyDescent="0.3">
      <c r="A28" s="212"/>
      <c r="B28" s="273">
        <f t="shared" si="4"/>
        <v>22</v>
      </c>
      <c r="C28" s="241">
        <f t="shared" si="9"/>
        <v>2046</v>
      </c>
      <c r="D28" s="268"/>
      <c r="E28" s="269">
        <v>135.69</v>
      </c>
      <c r="G28" s="242">
        <f>G27</f>
        <v>135.69</v>
      </c>
      <c r="H28" s="243">
        <f>H27</f>
        <v>17.639700000000001</v>
      </c>
      <c r="I28" s="244">
        <f>I27</f>
        <v>5.4276</v>
      </c>
      <c r="J28" s="211"/>
      <c r="K28" s="198">
        <f t="shared" si="1"/>
        <v>2046</v>
      </c>
      <c r="L28" s="202">
        <v>8760</v>
      </c>
      <c r="M28" s="211"/>
      <c r="N28" s="205">
        <f t="shared" si="2"/>
        <v>8760</v>
      </c>
      <c r="O28" s="206">
        <f t="shared" si="7"/>
        <v>15.489726027397261</v>
      </c>
      <c r="P28" s="205">
        <f t="shared" si="5"/>
        <v>3241.2</v>
      </c>
      <c r="Q28" s="206">
        <f t="shared" si="6"/>
        <v>5.4423361717882273</v>
      </c>
      <c r="R28" s="223">
        <f t="shared" si="3"/>
        <v>2190</v>
      </c>
      <c r="S28" s="206">
        <f t="shared" si="8"/>
        <v>2.4783561643835617</v>
      </c>
    </row>
    <row r="29" spans="1:19" x14ac:dyDescent="0.25">
      <c r="B29" s="212"/>
      <c r="C29" s="212"/>
      <c r="D29" s="212"/>
      <c r="E29" s="212"/>
      <c r="G29" s="212"/>
      <c r="H29" s="212"/>
      <c r="I29" s="212"/>
    </row>
    <row r="30" spans="1:19" x14ac:dyDescent="0.25">
      <c r="B30" s="306" t="s">
        <v>160</v>
      </c>
      <c r="F30" s="209"/>
      <c r="J30" s="209"/>
      <c r="M30" s="209"/>
    </row>
    <row r="31" spans="1:19" x14ac:dyDescent="0.25">
      <c r="B31" s="304"/>
      <c r="F31" s="209"/>
      <c r="J31" s="209"/>
      <c r="M31" s="209"/>
    </row>
    <row r="32" spans="1:19" x14ac:dyDescent="0.25">
      <c r="C32" s="304" t="s">
        <v>159</v>
      </c>
      <c r="D32" s="214"/>
    </row>
    <row r="33" spans="3:19" x14ac:dyDescent="0.25">
      <c r="C33" s="304"/>
      <c r="D33" s="214"/>
    </row>
    <row r="34" spans="3:19" x14ac:dyDescent="0.25">
      <c r="C34" s="304" t="s">
        <v>161</v>
      </c>
      <c r="D34" s="214"/>
    </row>
    <row r="35" spans="3:19" x14ac:dyDescent="0.25">
      <c r="D35" s="305" t="s">
        <v>115</v>
      </c>
    </row>
    <row r="36" spans="3:19" x14ac:dyDescent="0.25">
      <c r="D36" s="214"/>
    </row>
    <row r="37" spans="3:19" x14ac:dyDescent="0.25">
      <c r="C37" s="351" t="s">
        <v>93</v>
      </c>
      <c r="D37" s="351"/>
      <c r="E37" s="351"/>
      <c r="F37" s="351"/>
      <c r="G37" s="351"/>
      <c r="H37" s="351"/>
      <c r="I37" s="351"/>
      <c r="J37" s="351"/>
      <c r="K37" s="351"/>
      <c r="L37" s="351"/>
      <c r="M37" s="351"/>
      <c r="N37" s="351"/>
      <c r="O37" s="351"/>
      <c r="P37" s="351"/>
      <c r="Q37" s="351"/>
      <c r="R37" s="351"/>
      <c r="S37" s="351"/>
    </row>
    <row r="38" spans="3:19" x14ac:dyDescent="0.25">
      <c r="D38" s="214"/>
    </row>
    <row r="39" spans="3:19" x14ac:dyDescent="0.25">
      <c r="C39" s="352" t="s">
        <v>114</v>
      </c>
      <c r="D39" s="352"/>
      <c r="E39" s="352"/>
      <c r="F39" s="352"/>
      <c r="G39" s="352"/>
      <c r="H39" s="352"/>
      <c r="I39" s="352"/>
      <c r="J39" s="352"/>
      <c r="K39" s="352"/>
      <c r="L39" s="352"/>
      <c r="M39" s="352"/>
      <c r="N39" s="352"/>
      <c r="O39" s="352"/>
      <c r="P39" s="352"/>
      <c r="Q39" s="352"/>
    </row>
    <row r="40" spans="3:19" x14ac:dyDescent="0.25">
      <c r="C40" s="352"/>
      <c r="D40" s="352"/>
      <c r="E40" s="352"/>
      <c r="F40" s="352"/>
      <c r="G40" s="352"/>
      <c r="H40" s="352"/>
      <c r="I40" s="352"/>
      <c r="J40" s="352"/>
      <c r="K40" s="352"/>
      <c r="L40" s="352"/>
      <c r="M40" s="352"/>
      <c r="N40" s="352"/>
      <c r="O40" s="352"/>
      <c r="P40" s="352"/>
      <c r="Q40" s="352"/>
    </row>
  </sheetData>
  <mergeCells count="7">
    <mergeCell ref="C37:S37"/>
    <mergeCell ref="C39:Q40"/>
    <mergeCell ref="G3:I3"/>
    <mergeCell ref="N3:S3"/>
    <mergeCell ref="K4:K6"/>
    <mergeCell ref="L4:L6"/>
    <mergeCell ref="D3:E3"/>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L41" sqref="L41"/>
    </sheetView>
  </sheetViews>
  <sheetFormatPr defaultColWidth="9.1796875" defaultRowHeight="14.5" x14ac:dyDescent="0.35"/>
  <cols>
    <col min="1" max="1" width="2.54296875" style="70" customWidth="1"/>
    <col min="2" max="2" width="41.453125" style="70" bestFit="1" customWidth="1"/>
    <col min="3" max="3" width="32.81640625" style="70" bestFit="1" customWidth="1"/>
    <col min="4" max="4" width="11.54296875" style="70" bestFit="1" customWidth="1"/>
    <col min="5" max="5" width="7.54296875" style="70" bestFit="1" customWidth="1"/>
    <col min="6" max="6" width="19.81640625" style="70" bestFit="1" customWidth="1"/>
    <col min="7" max="16384" width="9.1796875" style="70"/>
  </cols>
  <sheetData>
    <row r="1" spans="2:6" ht="15" thickBot="1" x14ac:dyDescent="0.4"/>
    <row r="2" spans="2:6" x14ac:dyDescent="0.35">
      <c r="B2" s="71"/>
      <c r="C2" s="72"/>
      <c r="D2" s="72"/>
      <c r="E2" s="72"/>
      <c r="F2" s="73" t="s">
        <v>165</v>
      </c>
    </row>
    <row r="3" spans="2:6" x14ac:dyDescent="0.35">
      <c r="B3" s="74"/>
      <c r="C3" s="75"/>
      <c r="D3" s="75"/>
      <c r="E3" s="75"/>
      <c r="F3" s="76"/>
    </row>
    <row r="4" spans="2:6" x14ac:dyDescent="0.35">
      <c r="B4" s="361" t="s">
        <v>60</v>
      </c>
      <c r="C4" s="362"/>
      <c r="D4" s="362"/>
      <c r="E4" s="362"/>
      <c r="F4" s="364"/>
    </row>
    <row r="5" spans="2:6" x14ac:dyDescent="0.35">
      <c r="B5" s="361" t="s">
        <v>166</v>
      </c>
      <c r="C5" s="362"/>
      <c r="D5" s="362"/>
      <c r="E5" s="362"/>
      <c r="F5" s="364"/>
    </row>
    <row r="6" spans="2:6" x14ac:dyDescent="0.35">
      <c r="B6" s="361" t="s">
        <v>167</v>
      </c>
      <c r="C6" s="362"/>
      <c r="D6" s="362"/>
      <c r="E6" s="362"/>
      <c r="F6" s="363"/>
    </row>
    <row r="7" spans="2:6" x14ac:dyDescent="0.35">
      <c r="B7" s="361"/>
      <c r="C7" s="362"/>
      <c r="D7" s="362"/>
      <c r="E7" s="362"/>
      <c r="F7" s="363"/>
    </row>
    <row r="8" spans="2:6" x14ac:dyDescent="0.35">
      <c r="B8" s="78"/>
      <c r="C8" s="75"/>
      <c r="D8" s="75"/>
      <c r="E8" s="75"/>
      <c r="F8" s="79"/>
    </row>
    <row r="9" spans="2:6" x14ac:dyDescent="0.35">
      <c r="B9" s="78"/>
      <c r="C9" s="75"/>
      <c r="D9" s="75"/>
      <c r="E9" s="75"/>
      <c r="F9" s="79"/>
    </row>
    <row r="10" spans="2:6" x14ac:dyDescent="0.35">
      <c r="B10" s="77"/>
      <c r="C10" s="75"/>
      <c r="D10" s="75"/>
      <c r="E10" s="75"/>
      <c r="F10" s="80"/>
    </row>
    <row r="11" spans="2:6" x14ac:dyDescent="0.35">
      <c r="B11" s="78" t="s">
        <v>61</v>
      </c>
      <c r="C11" s="75"/>
      <c r="D11" s="81" t="s">
        <v>62</v>
      </c>
      <c r="E11" s="75"/>
      <c r="F11" s="82" t="s">
        <v>63</v>
      </c>
    </row>
    <row r="12" spans="2:6" ht="15" thickBot="1" x14ac:dyDescent="0.4">
      <c r="B12" s="83" t="s">
        <v>64</v>
      </c>
      <c r="C12" s="84" t="s">
        <v>65</v>
      </c>
      <c r="D12" s="85" t="s">
        <v>66</v>
      </c>
      <c r="E12" s="85" t="s">
        <v>67</v>
      </c>
      <c r="F12" s="86" t="s">
        <v>68</v>
      </c>
    </row>
    <row r="13" spans="2:6" x14ac:dyDescent="0.35">
      <c r="B13" s="77"/>
      <c r="C13" s="75"/>
      <c r="D13" s="75"/>
      <c r="E13" s="75"/>
      <c r="F13" s="80"/>
    </row>
    <row r="14" spans="2:6" x14ac:dyDescent="0.35">
      <c r="B14" s="87">
        <v>1</v>
      </c>
      <c r="C14" s="88" t="s">
        <v>69</v>
      </c>
      <c r="D14" s="332">
        <v>0.51</v>
      </c>
      <c r="E14" s="332">
        <v>0.05</v>
      </c>
      <c r="F14" s="333">
        <v>2.5499999999999998E-2</v>
      </c>
    </row>
    <row r="15" spans="2:6" ht="15" thickBot="1" x14ac:dyDescent="0.4">
      <c r="B15" s="87">
        <v>2</v>
      </c>
      <c r="C15" s="88" t="s">
        <v>70</v>
      </c>
      <c r="D15" s="332">
        <v>0.49</v>
      </c>
      <c r="E15" s="334">
        <v>9.4E-2</v>
      </c>
      <c r="F15" s="333">
        <v>4.6100000000000002E-2</v>
      </c>
    </row>
    <row r="16" spans="2:6" x14ac:dyDescent="0.35">
      <c r="B16" s="87">
        <v>3</v>
      </c>
      <c r="C16" s="88" t="s">
        <v>71</v>
      </c>
      <c r="D16" s="335">
        <v>1</v>
      </c>
      <c r="E16" s="336"/>
      <c r="F16" s="337">
        <f>SUM(F14:F15)</f>
        <v>7.1599999999999997E-2</v>
      </c>
    </row>
    <row r="17" spans="2:7" x14ac:dyDescent="0.35">
      <c r="B17" s="87">
        <v>4</v>
      </c>
      <c r="C17" s="75"/>
      <c r="D17" s="75"/>
      <c r="E17" s="75"/>
      <c r="F17" s="80"/>
    </row>
    <row r="18" spans="2:7" x14ac:dyDescent="0.35">
      <c r="B18" s="87">
        <v>5</v>
      </c>
      <c r="C18" s="88" t="s">
        <v>72</v>
      </c>
      <c r="D18" s="89">
        <v>0.51</v>
      </c>
      <c r="E18" s="89">
        <v>3.9500000000000007E-2</v>
      </c>
      <c r="F18" s="90">
        <v>2.01E-2</v>
      </c>
      <c r="G18" s="91"/>
    </row>
    <row r="19" spans="2:7" ht="15" thickBot="1" x14ac:dyDescent="0.4">
      <c r="B19" s="87">
        <v>6</v>
      </c>
      <c r="C19" s="88" t="s">
        <v>70</v>
      </c>
      <c r="D19" s="89">
        <v>0.49</v>
      </c>
      <c r="E19" s="92">
        <v>9.4E-2</v>
      </c>
      <c r="F19" s="90">
        <v>4.6100000000000002E-2</v>
      </c>
    </row>
    <row r="20" spans="2:7" x14ac:dyDescent="0.35">
      <c r="B20" s="87">
        <v>7</v>
      </c>
      <c r="C20" s="88" t="s">
        <v>73</v>
      </c>
      <c r="D20" s="93">
        <v>1</v>
      </c>
      <c r="E20" s="75"/>
      <c r="F20" s="94">
        <f>SUM(F18:F19)</f>
        <v>6.6200000000000009E-2</v>
      </c>
    </row>
    <row r="21" spans="2:7" ht="15" thickBot="1" x14ac:dyDescent="0.4">
      <c r="B21" s="95"/>
      <c r="C21" s="96"/>
      <c r="D21" s="96"/>
      <c r="E21" s="96"/>
      <c r="F21" s="97"/>
    </row>
  </sheetData>
  <mergeCells count="4">
    <mergeCell ref="B6:F6"/>
    <mergeCell ref="B7:F7"/>
    <mergeCell ref="B4:F4"/>
    <mergeCell ref="B5:F5"/>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83"/>
  <sheetViews>
    <sheetView workbookViewId="0">
      <selection activeCell="I19" sqref="I19"/>
    </sheetView>
  </sheetViews>
  <sheetFormatPr defaultColWidth="9.1796875" defaultRowHeight="15.5" x14ac:dyDescent="0.35"/>
  <cols>
    <col min="1" max="1" width="30.54296875" style="53" bestFit="1" customWidth="1"/>
    <col min="2" max="2" width="11.54296875" style="53" customWidth="1"/>
    <col min="3" max="3" width="9.1796875" style="53"/>
    <col min="4" max="4" width="11.54296875" style="53" bestFit="1" customWidth="1"/>
    <col min="5" max="5" width="11.54296875" style="53" customWidth="1"/>
    <col min="6" max="16384" width="9.1796875" style="53"/>
  </cols>
  <sheetData>
    <row r="1" spans="1:5" x14ac:dyDescent="0.35">
      <c r="A1" s="5" t="s">
        <v>139</v>
      </c>
    </row>
    <row r="3" spans="1:5" x14ac:dyDescent="0.35">
      <c r="A3" s="5" t="s">
        <v>116</v>
      </c>
    </row>
    <row r="5" spans="1:5" ht="31" x14ac:dyDescent="0.35">
      <c r="B5" s="3" t="s">
        <v>176</v>
      </c>
      <c r="E5" s="3" t="s">
        <v>156</v>
      </c>
    </row>
    <row r="7" spans="1:5" x14ac:dyDescent="0.35">
      <c r="A7" s="53">
        <v>2025</v>
      </c>
      <c r="B7" s="118">
        <f>'Energy Prices'!P6</f>
        <v>48.088598695222387</v>
      </c>
      <c r="D7" s="53">
        <v>2024</v>
      </c>
      <c r="E7" s="118">
        <v>34.596454546131412</v>
      </c>
    </row>
    <row r="8" spans="1:5" x14ac:dyDescent="0.35">
      <c r="A8" s="53">
        <f>A7+1</f>
        <v>2026</v>
      </c>
      <c r="B8" s="118">
        <f>'Energy Prices'!P7</f>
        <v>45.262777033984783</v>
      </c>
      <c r="D8" s="53">
        <v>2025</v>
      </c>
      <c r="E8" s="118">
        <v>35.070436061334384</v>
      </c>
    </row>
    <row r="9" spans="1:5" x14ac:dyDescent="0.35">
      <c r="A9" s="53">
        <f t="shared" ref="A9:A27" si="0">A8+1</f>
        <v>2027</v>
      </c>
      <c r="B9" s="118">
        <f>'Energy Prices'!P8</f>
        <v>40.992947157338115</v>
      </c>
      <c r="D9" s="53">
        <v>2026</v>
      </c>
      <c r="E9" s="118">
        <v>37.540151969641975</v>
      </c>
    </row>
    <row r="10" spans="1:5" x14ac:dyDescent="0.35">
      <c r="A10" s="53">
        <f t="shared" si="0"/>
        <v>2028</v>
      </c>
      <c r="B10" s="118">
        <f>'Energy Prices'!P9</f>
        <v>39.167025935830942</v>
      </c>
      <c r="D10" s="53">
        <v>2027</v>
      </c>
      <c r="E10" s="118">
        <v>42.001204945392658</v>
      </c>
    </row>
    <row r="11" spans="1:5" x14ac:dyDescent="0.35">
      <c r="A11" s="53">
        <f t="shared" si="0"/>
        <v>2029</v>
      </c>
      <c r="B11" s="118">
        <f>'Energy Prices'!P10</f>
        <v>37.861626090054841</v>
      </c>
      <c r="D11" s="53">
        <v>2028</v>
      </c>
      <c r="E11" s="118">
        <v>43.420310196516546</v>
      </c>
    </row>
    <row r="12" spans="1:5" x14ac:dyDescent="0.35">
      <c r="A12" s="53">
        <f t="shared" si="0"/>
        <v>2030</v>
      </c>
      <c r="B12" s="118">
        <f>'Energy Prices'!P11</f>
        <v>44.272803736069768</v>
      </c>
      <c r="D12" s="53">
        <v>2029</v>
      </c>
      <c r="E12" s="118">
        <v>43.621537398628909</v>
      </c>
    </row>
    <row r="13" spans="1:5" x14ac:dyDescent="0.35">
      <c r="A13" s="53">
        <f t="shared" si="0"/>
        <v>2031</v>
      </c>
      <c r="B13" s="118">
        <f>'Energy Prices'!P12</f>
        <v>44.203471103907411</v>
      </c>
      <c r="D13" s="53">
        <v>2030</v>
      </c>
      <c r="E13" s="118">
        <v>43.106352287817842</v>
      </c>
    </row>
    <row r="14" spans="1:5" x14ac:dyDescent="0.35">
      <c r="A14" s="53">
        <f t="shared" si="0"/>
        <v>2032</v>
      </c>
      <c r="B14" s="118">
        <f>'Energy Prices'!P13</f>
        <v>42.446561834474068</v>
      </c>
      <c r="D14" s="53">
        <v>2031</v>
      </c>
      <c r="E14" s="118">
        <v>43.347656803115463</v>
      </c>
    </row>
    <row r="15" spans="1:5" x14ac:dyDescent="0.35">
      <c r="A15" s="53">
        <f t="shared" si="0"/>
        <v>2033</v>
      </c>
      <c r="B15" s="118">
        <f>'Energy Prices'!P14</f>
        <v>45.260828898388169</v>
      </c>
      <c r="D15" s="53">
        <v>2032</v>
      </c>
      <c r="E15" s="118">
        <v>44.050031525100842</v>
      </c>
    </row>
    <row r="16" spans="1:5" x14ac:dyDescent="0.35">
      <c r="A16" s="53">
        <f t="shared" si="0"/>
        <v>2034</v>
      </c>
      <c r="B16" s="118">
        <f>'Energy Prices'!P15</f>
        <v>46.139014920222955</v>
      </c>
      <c r="D16" s="53">
        <v>2033</v>
      </c>
      <c r="E16" s="118">
        <v>46.076699024393896</v>
      </c>
    </row>
    <row r="17" spans="1:5" x14ac:dyDescent="0.35">
      <c r="A17" s="53">
        <f t="shared" si="0"/>
        <v>2035</v>
      </c>
      <c r="B17" s="118">
        <f>'Energy Prices'!P16</f>
        <v>49.82928632328381</v>
      </c>
      <c r="D17" s="53">
        <v>2034</v>
      </c>
      <c r="E17" s="118">
        <v>46.842809324336052</v>
      </c>
    </row>
    <row r="18" spans="1:5" x14ac:dyDescent="0.35">
      <c r="A18" s="53">
        <f t="shared" si="0"/>
        <v>2036</v>
      </c>
      <c r="B18" s="118">
        <f>'Energy Prices'!P17</f>
        <v>54.226724683540468</v>
      </c>
      <c r="D18" s="53">
        <v>2035</v>
      </c>
      <c r="E18" s="118">
        <v>49.568788266486955</v>
      </c>
    </row>
    <row r="19" spans="1:5" x14ac:dyDescent="0.35">
      <c r="A19" s="53">
        <f t="shared" si="0"/>
        <v>2037</v>
      </c>
      <c r="B19" s="118">
        <f>'Energy Prices'!P18</f>
        <v>55.50482046658491</v>
      </c>
      <c r="D19" s="53">
        <v>2036</v>
      </c>
      <c r="E19" s="118">
        <v>50.045797038450637</v>
      </c>
    </row>
    <row r="20" spans="1:5" x14ac:dyDescent="0.35">
      <c r="A20" s="53">
        <f t="shared" si="0"/>
        <v>2038</v>
      </c>
      <c r="B20" s="118">
        <f>'Energy Prices'!P19</f>
        <v>57.281270801313447</v>
      </c>
      <c r="D20" s="53">
        <v>2037</v>
      </c>
      <c r="E20" s="118">
        <v>51.45092858290873</v>
      </c>
    </row>
    <row r="21" spans="1:5" x14ac:dyDescent="0.35">
      <c r="A21" s="53">
        <f t="shared" si="0"/>
        <v>2039</v>
      </c>
      <c r="B21" s="118">
        <f>'Energy Prices'!P20</f>
        <v>61.59137031219575</v>
      </c>
      <c r="D21" s="53">
        <v>2038</v>
      </c>
      <c r="E21" s="118">
        <v>51.929505413253892</v>
      </c>
    </row>
    <row r="22" spans="1:5" x14ac:dyDescent="0.35">
      <c r="A22" s="53">
        <f t="shared" si="0"/>
        <v>2040</v>
      </c>
      <c r="B22" s="118">
        <f>'Energy Prices'!P21</f>
        <v>62.099168525509796</v>
      </c>
      <c r="D22" s="53">
        <v>2039</v>
      </c>
      <c r="E22" s="118">
        <v>53.736573937015542</v>
      </c>
    </row>
    <row r="23" spans="1:5" x14ac:dyDescent="0.35">
      <c r="A23" s="53">
        <f t="shared" si="0"/>
        <v>2041</v>
      </c>
      <c r="B23" s="118">
        <f>'Energy Prices'!P22</f>
        <v>65.686727946431219</v>
      </c>
      <c r="D23" s="53">
        <v>2040</v>
      </c>
      <c r="E23" s="118">
        <v>54.445913760881787</v>
      </c>
    </row>
    <row r="24" spans="1:5" x14ac:dyDescent="0.35">
      <c r="A24" s="53">
        <f t="shared" si="0"/>
        <v>2042</v>
      </c>
      <c r="B24" s="118">
        <f>'Energy Prices'!P23</f>
        <v>68.282186708099076</v>
      </c>
      <c r="D24" s="53">
        <v>2041</v>
      </c>
      <c r="E24" s="118">
        <v>57.113433817802267</v>
      </c>
    </row>
    <row r="25" spans="1:5" x14ac:dyDescent="0.35">
      <c r="A25" s="53">
        <f t="shared" si="0"/>
        <v>2043</v>
      </c>
      <c r="B25" s="118">
        <f>'Energy Prices'!P24</f>
        <v>66.698936670575833</v>
      </c>
      <c r="D25" s="53">
        <v>2042</v>
      </c>
      <c r="E25" s="118">
        <v>59.272512208452937</v>
      </c>
    </row>
    <row r="26" spans="1:5" x14ac:dyDescent="0.35">
      <c r="A26" s="53">
        <f t="shared" si="0"/>
        <v>2044</v>
      </c>
      <c r="B26" s="118">
        <f>'Energy Prices'!P25</f>
        <v>66.583736424723853</v>
      </c>
      <c r="D26" s="53">
        <v>2043</v>
      </c>
      <c r="E26" s="118">
        <v>61.160414269182276</v>
      </c>
    </row>
    <row r="27" spans="1:5" ht="16" thickBot="1" x14ac:dyDescent="0.4">
      <c r="A27" s="53">
        <f t="shared" si="0"/>
        <v>2045</v>
      </c>
      <c r="B27" s="118">
        <f>'Energy Prices'!P26</f>
        <v>66.964351281656747</v>
      </c>
      <c r="D27" s="53">
        <v>2044</v>
      </c>
      <c r="E27" s="118">
        <v>66.579513008295208</v>
      </c>
    </row>
    <row r="28" spans="1:5" ht="16" thickBot="1" x14ac:dyDescent="0.4">
      <c r="A28" s="5" t="s">
        <v>117</v>
      </c>
      <c r="B28" s="311">
        <f>-PMT(Rate_of_Return,20,NPV(Rate_of_Return,B7:B26))</f>
        <v>48.798142579842654</v>
      </c>
      <c r="E28" s="311">
        <f>-PMT(Rate_of_Return,20,NPV(Rate_of_Return,E7:E26))</f>
        <v>44.635706001774231</v>
      </c>
    </row>
    <row r="31" spans="1:5" x14ac:dyDescent="0.35">
      <c r="A31" s="5" t="s">
        <v>118</v>
      </c>
    </row>
    <row r="32" spans="1:5" x14ac:dyDescent="0.35">
      <c r="A32" s="53" t="s">
        <v>119</v>
      </c>
      <c r="B32" s="115">
        <f>'Capacity Delivered'!G5</f>
        <v>1</v>
      </c>
      <c r="E32" s="115">
        <v>1</v>
      </c>
    </row>
    <row r="33" spans="1:5" x14ac:dyDescent="0.35">
      <c r="A33" s="53" t="s">
        <v>45</v>
      </c>
      <c r="B33" s="312">
        <f>'Capacity Delivered'!H5</f>
        <v>0.13</v>
      </c>
      <c r="E33" s="312">
        <v>0.13</v>
      </c>
    </row>
    <row r="34" spans="1:5" x14ac:dyDescent="0.35">
      <c r="A34" s="53" t="s">
        <v>46</v>
      </c>
      <c r="B34" s="313">
        <f>'Capacity Delivered'!I5</f>
        <v>0.04</v>
      </c>
      <c r="E34" s="313">
        <v>0.04</v>
      </c>
    </row>
    <row r="35" spans="1:5" x14ac:dyDescent="0.35">
      <c r="B35" s="313"/>
      <c r="E35" s="313"/>
    </row>
    <row r="36" spans="1:5" x14ac:dyDescent="0.35">
      <c r="A36" s="5" t="s">
        <v>140</v>
      </c>
    </row>
    <row r="37" spans="1:5" x14ac:dyDescent="0.35">
      <c r="A37" s="53" t="s">
        <v>45</v>
      </c>
      <c r="B37" s="312">
        <f>'Capacity Delivered'!P5</f>
        <v>0.37</v>
      </c>
      <c r="E37" s="312">
        <v>0.37</v>
      </c>
    </row>
    <row r="38" spans="1:5" x14ac:dyDescent="0.35">
      <c r="A38" s="53" t="s">
        <v>46</v>
      </c>
      <c r="B38" s="313">
        <f>'Capacity Delivered'!R5</f>
        <v>0.25</v>
      </c>
      <c r="E38" s="313">
        <v>0.25</v>
      </c>
    </row>
    <row r="39" spans="1:5" x14ac:dyDescent="0.35">
      <c r="B39" s="313"/>
      <c r="E39" s="313"/>
    </row>
    <row r="40" spans="1:5" x14ac:dyDescent="0.35">
      <c r="A40" s="5" t="s">
        <v>120</v>
      </c>
    </row>
    <row r="41" spans="1:5" x14ac:dyDescent="0.35">
      <c r="A41" s="53">
        <f>'Capacity Delivered'!C7</f>
        <v>2025</v>
      </c>
      <c r="B41" s="101">
        <f>'Capacity Delivered'!E7</f>
        <v>135.69</v>
      </c>
      <c r="D41" s="53">
        <v>2024</v>
      </c>
      <c r="E41" s="101">
        <v>135.69</v>
      </c>
    </row>
    <row r="42" spans="1:5" x14ac:dyDescent="0.35">
      <c r="A42" s="53">
        <f>A41+1</f>
        <v>2026</v>
      </c>
      <c r="B42" s="101">
        <f>'Capacity Delivered'!E8</f>
        <v>135.69</v>
      </c>
      <c r="D42" s="53">
        <v>2025</v>
      </c>
      <c r="E42" s="101">
        <v>135.69</v>
      </c>
    </row>
    <row r="43" spans="1:5" x14ac:dyDescent="0.35">
      <c r="A43" s="53">
        <f t="shared" ref="A43:A61" si="1">A42+1</f>
        <v>2027</v>
      </c>
      <c r="B43" s="101">
        <f>'Capacity Delivered'!E9</f>
        <v>135.69</v>
      </c>
      <c r="D43" s="53">
        <v>2026</v>
      </c>
      <c r="E43" s="101">
        <v>135.69</v>
      </c>
    </row>
    <row r="44" spans="1:5" x14ac:dyDescent="0.35">
      <c r="A44" s="53">
        <f t="shared" si="1"/>
        <v>2028</v>
      </c>
      <c r="B44" s="101">
        <f>'Capacity Delivered'!E10</f>
        <v>135.69</v>
      </c>
      <c r="D44" s="53">
        <v>2027</v>
      </c>
      <c r="E44" s="101">
        <v>135.69</v>
      </c>
    </row>
    <row r="45" spans="1:5" x14ac:dyDescent="0.35">
      <c r="A45" s="53">
        <f t="shared" si="1"/>
        <v>2029</v>
      </c>
      <c r="B45" s="101">
        <f>'Capacity Delivered'!E11</f>
        <v>135.69</v>
      </c>
      <c r="D45" s="53">
        <v>2028</v>
      </c>
      <c r="E45" s="101">
        <v>135.69</v>
      </c>
    </row>
    <row r="46" spans="1:5" x14ac:dyDescent="0.35">
      <c r="A46" s="53">
        <f t="shared" si="1"/>
        <v>2030</v>
      </c>
      <c r="B46" s="101">
        <f>'Capacity Delivered'!E12</f>
        <v>135.69</v>
      </c>
      <c r="D46" s="53">
        <v>2029</v>
      </c>
      <c r="E46" s="101">
        <v>135.69</v>
      </c>
    </row>
    <row r="47" spans="1:5" x14ac:dyDescent="0.35">
      <c r="A47" s="53">
        <f t="shared" si="1"/>
        <v>2031</v>
      </c>
      <c r="B47" s="101">
        <f>'Capacity Delivered'!E13</f>
        <v>135.69</v>
      </c>
      <c r="D47" s="53">
        <v>2030</v>
      </c>
      <c r="E47" s="101">
        <v>135.69</v>
      </c>
    </row>
    <row r="48" spans="1:5" x14ac:dyDescent="0.35">
      <c r="A48" s="53">
        <f t="shared" si="1"/>
        <v>2032</v>
      </c>
      <c r="B48" s="101">
        <f>'Capacity Delivered'!E14</f>
        <v>135.69</v>
      </c>
      <c r="D48" s="53">
        <v>2031</v>
      </c>
      <c r="E48" s="101">
        <v>135.69</v>
      </c>
    </row>
    <row r="49" spans="1:5" x14ac:dyDescent="0.35">
      <c r="A49" s="53">
        <f t="shared" si="1"/>
        <v>2033</v>
      </c>
      <c r="B49" s="101">
        <f>'Capacity Delivered'!E15</f>
        <v>135.69</v>
      </c>
      <c r="D49" s="53">
        <v>2032</v>
      </c>
      <c r="E49" s="101">
        <v>135.69</v>
      </c>
    </row>
    <row r="50" spans="1:5" x14ac:dyDescent="0.35">
      <c r="A50" s="53">
        <f t="shared" si="1"/>
        <v>2034</v>
      </c>
      <c r="B50" s="101">
        <f>'Capacity Delivered'!E16</f>
        <v>135.69</v>
      </c>
      <c r="D50" s="53">
        <v>2033</v>
      </c>
      <c r="E50" s="101">
        <v>135.69</v>
      </c>
    </row>
    <row r="51" spans="1:5" x14ac:dyDescent="0.35">
      <c r="A51" s="53">
        <f t="shared" si="1"/>
        <v>2035</v>
      </c>
      <c r="B51" s="101">
        <f>'Capacity Delivered'!E17</f>
        <v>135.69</v>
      </c>
      <c r="D51" s="53">
        <v>2034</v>
      </c>
      <c r="E51" s="101">
        <v>135.69</v>
      </c>
    </row>
    <row r="52" spans="1:5" x14ac:dyDescent="0.35">
      <c r="A52" s="53">
        <f t="shared" si="1"/>
        <v>2036</v>
      </c>
      <c r="B52" s="101">
        <f>'Capacity Delivered'!E18</f>
        <v>135.69</v>
      </c>
      <c r="D52" s="53">
        <v>2035</v>
      </c>
      <c r="E52" s="101">
        <v>135.69</v>
      </c>
    </row>
    <row r="53" spans="1:5" x14ac:dyDescent="0.35">
      <c r="A53" s="53">
        <f t="shared" si="1"/>
        <v>2037</v>
      </c>
      <c r="B53" s="101">
        <f>'Capacity Delivered'!E19</f>
        <v>135.69</v>
      </c>
      <c r="D53" s="53">
        <v>2036</v>
      </c>
      <c r="E53" s="101">
        <v>135.69</v>
      </c>
    </row>
    <row r="54" spans="1:5" x14ac:dyDescent="0.35">
      <c r="A54" s="53">
        <f t="shared" si="1"/>
        <v>2038</v>
      </c>
      <c r="B54" s="101">
        <f>'Capacity Delivered'!E20</f>
        <v>135.69</v>
      </c>
      <c r="D54" s="53">
        <v>2037</v>
      </c>
      <c r="E54" s="101">
        <v>135.69</v>
      </c>
    </row>
    <row r="55" spans="1:5" x14ac:dyDescent="0.35">
      <c r="A55" s="53">
        <f t="shared" si="1"/>
        <v>2039</v>
      </c>
      <c r="B55" s="101">
        <f>'Capacity Delivered'!E21</f>
        <v>135.69</v>
      </c>
      <c r="D55" s="53">
        <v>2038</v>
      </c>
      <c r="E55" s="101">
        <v>135.69</v>
      </c>
    </row>
    <row r="56" spans="1:5" x14ac:dyDescent="0.35">
      <c r="A56" s="53">
        <f t="shared" si="1"/>
        <v>2040</v>
      </c>
      <c r="B56" s="101">
        <f>'Capacity Delivered'!E22</f>
        <v>135.69</v>
      </c>
      <c r="D56" s="53">
        <v>2039</v>
      </c>
      <c r="E56" s="101">
        <v>135.69</v>
      </c>
    </row>
    <row r="57" spans="1:5" x14ac:dyDescent="0.35">
      <c r="A57" s="53">
        <f t="shared" si="1"/>
        <v>2041</v>
      </c>
      <c r="B57" s="101">
        <f>'Capacity Delivered'!E23</f>
        <v>135.69</v>
      </c>
      <c r="D57" s="53">
        <v>2040</v>
      </c>
      <c r="E57" s="101">
        <v>135.69</v>
      </c>
    </row>
    <row r="58" spans="1:5" x14ac:dyDescent="0.35">
      <c r="A58" s="53">
        <f t="shared" si="1"/>
        <v>2042</v>
      </c>
      <c r="B58" s="101">
        <f>'Capacity Delivered'!E24</f>
        <v>135.69</v>
      </c>
      <c r="D58" s="53">
        <v>2041</v>
      </c>
      <c r="E58" s="101">
        <v>135.69</v>
      </c>
    </row>
    <row r="59" spans="1:5" x14ac:dyDescent="0.35">
      <c r="A59" s="53">
        <f t="shared" si="1"/>
        <v>2043</v>
      </c>
      <c r="B59" s="101">
        <f>'Capacity Delivered'!E25</f>
        <v>135.69</v>
      </c>
      <c r="D59" s="53">
        <v>2042</v>
      </c>
      <c r="E59" s="101">
        <v>135.69</v>
      </c>
    </row>
    <row r="60" spans="1:5" x14ac:dyDescent="0.35">
      <c r="A60" s="53">
        <f t="shared" si="1"/>
        <v>2044</v>
      </c>
      <c r="B60" s="101">
        <f>'Capacity Delivered'!E26</f>
        <v>135.69</v>
      </c>
      <c r="D60" s="53">
        <v>2043</v>
      </c>
      <c r="E60" s="101">
        <v>135.69</v>
      </c>
    </row>
    <row r="61" spans="1:5" x14ac:dyDescent="0.35">
      <c r="A61" s="53">
        <f t="shared" si="1"/>
        <v>2045</v>
      </c>
      <c r="B61" s="101">
        <f>'Capacity Delivered'!E27</f>
        <v>135.69</v>
      </c>
      <c r="D61" s="53">
        <v>2044</v>
      </c>
      <c r="E61" s="101">
        <v>135.69</v>
      </c>
    </row>
    <row r="63" spans="1:5" x14ac:dyDescent="0.35">
      <c r="A63" s="5" t="s">
        <v>121</v>
      </c>
      <c r="B63" s="101">
        <f>'Baseload Avoided Capacity Calcs'!D6</f>
        <v>0</v>
      </c>
      <c r="E63" s="101">
        <v>0</v>
      </c>
    </row>
    <row r="65" spans="1:7" x14ac:dyDescent="0.35">
      <c r="A65" s="5" t="s">
        <v>122</v>
      </c>
    </row>
    <row r="66" spans="1:7" x14ac:dyDescent="0.35">
      <c r="G66" s="101"/>
    </row>
    <row r="67" spans="1:7" x14ac:dyDescent="0.35">
      <c r="A67" s="5"/>
    </row>
    <row r="68" spans="1:7" x14ac:dyDescent="0.35">
      <c r="A68" s="113"/>
      <c r="B68" s="314" t="s">
        <v>102</v>
      </c>
      <c r="C68" s="113"/>
      <c r="D68" s="117"/>
      <c r="E68" s="314" t="s">
        <v>102</v>
      </c>
    </row>
    <row r="69" spans="1:7" x14ac:dyDescent="0.35">
      <c r="A69" s="315" t="s">
        <v>96</v>
      </c>
      <c r="B69" s="316">
        <f>'Output - Summary'!F6</f>
        <v>56.389347984792089</v>
      </c>
      <c r="C69" s="117"/>
      <c r="D69" s="117"/>
      <c r="E69" s="316">
        <v>52.067778604767369</v>
      </c>
    </row>
    <row r="70" spans="1:7" x14ac:dyDescent="0.35">
      <c r="A70" s="315" t="s">
        <v>97</v>
      </c>
      <c r="B70" s="316">
        <f>'Output - Summary'!F7</f>
        <v>57.095980685590959</v>
      </c>
      <c r="C70" s="117"/>
      <c r="D70" s="117"/>
      <c r="E70" s="316">
        <v>54.347704707460416</v>
      </c>
    </row>
    <row r="71" spans="1:7" x14ac:dyDescent="0.35">
      <c r="A71" s="315" t="s">
        <v>95</v>
      </c>
      <c r="B71" s="316">
        <f>'Output - Summary'!F8</f>
        <v>59.724058760845885</v>
      </c>
      <c r="C71" s="117"/>
      <c r="D71" s="117"/>
      <c r="E71" s="316">
        <v>56.41644052551279</v>
      </c>
    </row>
    <row r="72" spans="1:7" x14ac:dyDescent="0.35">
      <c r="A72" s="113"/>
      <c r="B72" s="114"/>
      <c r="C72" s="317"/>
      <c r="D72" s="117"/>
      <c r="E72" s="114"/>
    </row>
    <row r="73" spans="1:7" x14ac:dyDescent="0.35">
      <c r="A73" s="117"/>
      <c r="B73" s="114"/>
      <c r="C73" s="317"/>
      <c r="D73" s="117"/>
      <c r="E73" s="114"/>
    </row>
    <row r="74" spans="1:7" x14ac:dyDescent="0.35">
      <c r="A74" s="117"/>
      <c r="B74" s="318"/>
      <c r="C74" s="117"/>
      <c r="D74" s="117"/>
      <c r="E74" s="318"/>
    </row>
    <row r="75" spans="1:7" x14ac:dyDescent="0.35">
      <c r="A75" s="113"/>
      <c r="B75" s="314" t="s">
        <v>102</v>
      </c>
      <c r="C75" s="113"/>
      <c r="D75" s="117"/>
      <c r="E75" s="314" t="s">
        <v>102</v>
      </c>
    </row>
    <row r="76" spans="1:7" x14ac:dyDescent="0.35">
      <c r="A76" s="315" t="s">
        <v>98</v>
      </c>
      <c r="B76" s="316">
        <f>'Output - Summary'!F13</f>
        <v>47.3500125256502</v>
      </c>
      <c r="C76" s="117"/>
      <c r="D76" s="117"/>
      <c r="E76" s="316">
        <v>44.628364875825511</v>
      </c>
    </row>
    <row r="77" spans="1:7" x14ac:dyDescent="0.35">
      <c r="A77" s="315" t="s">
        <v>99</v>
      </c>
      <c r="B77" s="316">
        <f>'Output - Summary'!F14</f>
        <v>49.978090600905134</v>
      </c>
      <c r="C77" s="117"/>
      <c r="D77" s="117"/>
      <c r="E77" s="316">
        <v>46.670472365572039</v>
      </c>
    </row>
    <row r="78" spans="1:7" x14ac:dyDescent="0.35">
      <c r="A78" s="117"/>
      <c r="B78" s="117"/>
      <c r="C78" s="117"/>
      <c r="D78" s="117"/>
      <c r="E78" s="117"/>
    </row>
    <row r="79" spans="1:7" x14ac:dyDescent="0.35">
      <c r="A79" s="117"/>
      <c r="B79" s="117"/>
      <c r="C79" s="117"/>
      <c r="D79" s="117"/>
      <c r="E79" s="117"/>
    </row>
    <row r="80" spans="1:7" x14ac:dyDescent="0.35">
      <c r="A80" s="117"/>
      <c r="B80" s="318"/>
      <c r="C80" s="117"/>
      <c r="D80" s="117"/>
      <c r="E80" s="318"/>
    </row>
    <row r="81" spans="1:5" x14ac:dyDescent="0.35">
      <c r="A81" s="113"/>
      <c r="B81" s="314" t="s">
        <v>102</v>
      </c>
      <c r="C81" s="113"/>
      <c r="D81" s="117"/>
      <c r="E81" s="314" t="s">
        <v>102</v>
      </c>
    </row>
    <row r="82" spans="1:5" x14ac:dyDescent="0.35">
      <c r="A82" s="315" t="s">
        <v>100</v>
      </c>
      <c r="B82" s="316">
        <f>'Output - Summary'!F19</f>
        <v>44.474951918467681</v>
      </c>
      <c r="C82" s="117"/>
      <c r="D82" s="117"/>
      <c r="E82" s="316">
        <v>41.761159625493207</v>
      </c>
    </row>
    <row r="83" spans="1:5" x14ac:dyDescent="0.35">
      <c r="A83" s="315" t="s">
        <v>101</v>
      </c>
      <c r="B83" s="316">
        <f>'Output - Summary'!F20</f>
        <v>47.103029993722608</v>
      </c>
      <c r="C83" s="117"/>
      <c r="D83" s="117"/>
      <c r="E83" s="316">
        <v>43.795411758389513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zoomScale="122" zoomScaleNormal="122" workbookViewId="0"/>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8" width="12.453125" style="53" customWidth="1"/>
    <col min="29" max="16384" width="9.1796875" style="53"/>
  </cols>
  <sheetData>
    <row r="2" spans="2:29" ht="19.5" customHeight="1" x14ac:dyDescent="0.35">
      <c r="C2" s="197" t="s">
        <v>149</v>
      </c>
      <c r="D2" s="197"/>
      <c r="E2" s="197"/>
      <c r="F2" s="197"/>
      <c r="G2" s="197"/>
      <c r="H2" s="197"/>
      <c r="I2" s="197"/>
      <c r="J2" s="197"/>
      <c r="K2" s="197"/>
      <c r="L2" s="197"/>
    </row>
    <row r="3" spans="2:29" x14ac:dyDescent="0.35">
      <c r="C3" s="42"/>
    </row>
    <row r="4" spans="2:29" x14ac:dyDescent="0.35">
      <c r="C4" s="5" t="s">
        <v>104</v>
      </c>
      <c r="W4" s="40"/>
      <c r="X4" s="40"/>
      <c r="Y4" s="40"/>
      <c r="Z4" s="40"/>
    </row>
    <row r="5" spans="2:29" x14ac:dyDescent="0.35">
      <c r="B5" s="102"/>
      <c r="C5" s="102"/>
      <c r="D5" s="100"/>
      <c r="E5" s="102"/>
      <c r="F5" s="112" t="s">
        <v>102</v>
      </c>
      <c r="Y5" s="114"/>
      <c r="Z5" s="114"/>
      <c r="AC5" s="115"/>
    </row>
    <row r="6" spans="2:29" x14ac:dyDescent="0.35">
      <c r="B6" s="102"/>
      <c r="C6" s="193" t="s">
        <v>96</v>
      </c>
      <c r="D6" s="102"/>
      <c r="F6" s="144">
        <f>'Output - 5yr Baseload'!F9</f>
        <v>56.389347984792089</v>
      </c>
      <c r="H6" s="294"/>
      <c r="Y6" s="114"/>
      <c r="Z6" s="114"/>
      <c r="AC6" s="115"/>
    </row>
    <row r="7" spans="2:29" x14ac:dyDescent="0.35">
      <c r="B7" s="102"/>
      <c r="C7" s="193" t="s">
        <v>97</v>
      </c>
      <c r="D7" s="102"/>
      <c r="F7" s="144">
        <f>'Output - 10yr Baseload'!F9</f>
        <v>57.095980685590959</v>
      </c>
      <c r="H7" s="294"/>
      <c r="Y7" s="114"/>
      <c r="Z7" s="114"/>
      <c r="AC7" s="115"/>
    </row>
    <row r="8" spans="2:29" x14ac:dyDescent="0.35">
      <c r="C8" s="193" t="s">
        <v>95</v>
      </c>
      <c r="D8" s="102"/>
      <c r="F8" s="144">
        <f>'Output - 15yr Baseload'!F9</f>
        <v>59.724058760845885</v>
      </c>
      <c r="H8" s="294"/>
      <c r="Y8" s="108"/>
      <c r="Z8" s="108"/>
      <c r="AA8" s="107"/>
      <c r="AB8" s="102"/>
    </row>
    <row r="9" spans="2:29" x14ac:dyDescent="0.35">
      <c r="C9" s="113"/>
      <c r="E9" s="116"/>
      <c r="F9" s="114"/>
      <c r="H9" s="294"/>
      <c r="Y9" s="108"/>
      <c r="Z9" s="108"/>
      <c r="AA9" s="108"/>
    </row>
    <row r="10" spans="2:29" x14ac:dyDescent="0.35">
      <c r="C10" s="117"/>
      <c r="E10" s="116"/>
      <c r="F10" s="114"/>
      <c r="H10" s="294"/>
    </row>
    <row r="11" spans="2:29" x14ac:dyDescent="0.35">
      <c r="F11" s="192"/>
      <c r="H11" s="294"/>
    </row>
    <row r="12" spans="2:29" x14ac:dyDescent="0.35">
      <c r="C12" s="102"/>
      <c r="D12" s="100"/>
      <c r="E12" s="102"/>
      <c r="F12" s="112" t="s">
        <v>102</v>
      </c>
      <c r="H12" s="294"/>
    </row>
    <row r="13" spans="2:29" x14ac:dyDescent="0.35">
      <c r="C13" s="193" t="s">
        <v>98</v>
      </c>
      <c r="D13" s="102"/>
      <c r="F13" s="144">
        <f>'Output - 10yr Wind'!F9</f>
        <v>47.3500125256502</v>
      </c>
      <c r="H13" s="294"/>
    </row>
    <row r="14" spans="2:29" x14ac:dyDescent="0.35">
      <c r="C14" s="193" t="s">
        <v>99</v>
      </c>
      <c r="D14" s="102"/>
      <c r="F14" s="144">
        <f>'Output - 15yr Wind'!F9</f>
        <v>49.978090600905134</v>
      </c>
      <c r="H14" s="294"/>
    </row>
    <row r="15" spans="2:29" x14ac:dyDescent="0.35">
      <c r="H15" s="294"/>
    </row>
    <row r="16" spans="2:29" x14ac:dyDescent="0.35">
      <c r="H16" s="294"/>
    </row>
    <row r="17" spans="3:22" x14ac:dyDescent="0.35">
      <c r="F17" s="192"/>
      <c r="H17" s="294"/>
    </row>
    <row r="18" spans="3:22" x14ac:dyDescent="0.35">
      <c r="C18" s="102"/>
      <c r="D18" s="100"/>
      <c r="E18" s="102"/>
      <c r="F18" s="112" t="s">
        <v>102</v>
      </c>
      <c r="H18" s="294"/>
    </row>
    <row r="19" spans="3:22" x14ac:dyDescent="0.35">
      <c r="C19" s="193" t="s">
        <v>100</v>
      </c>
      <c r="D19" s="102"/>
      <c r="F19" s="144">
        <f>'Output - 10yr Solar'!F9</f>
        <v>44.474951918467681</v>
      </c>
      <c r="H19" s="294"/>
    </row>
    <row r="20" spans="3:22" x14ac:dyDescent="0.35">
      <c r="C20" s="193" t="s">
        <v>101</v>
      </c>
      <c r="D20" s="102"/>
      <c r="F20" s="144">
        <f>'Output - 15yr Solar'!F9</f>
        <v>47.103029993722608</v>
      </c>
      <c r="H20" s="294"/>
    </row>
    <row r="24" spans="3:22" x14ac:dyDescent="0.35">
      <c r="C24" s="5" t="s">
        <v>103</v>
      </c>
    </row>
    <row r="25" spans="3:22" x14ac:dyDescent="0.35">
      <c r="F25" s="192">
        <v>1</v>
      </c>
      <c r="G25" s="192">
        <v>2</v>
      </c>
      <c r="H25" s="192">
        <v>3</v>
      </c>
      <c r="I25" s="192">
        <v>4</v>
      </c>
      <c r="J25" s="192">
        <v>5</v>
      </c>
      <c r="K25" s="192">
        <v>6</v>
      </c>
      <c r="L25" s="192">
        <v>7</v>
      </c>
      <c r="M25" s="192">
        <v>8</v>
      </c>
      <c r="N25" s="192">
        <v>9</v>
      </c>
      <c r="O25" s="192">
        <v>10</v>
      </c>
      <c r="P25" s="192">
        <v>11</v>
      </c>
      <c r="Q25" s="192">
        <v>12</v>
      </c>
      <c r="R25" s="192">
        <v>13</v>
      </c>
      <c r="S25" s="192">
        <v>14</v>
      </c>
      <c r="T25" s="192">
        <v>15</v>
      </c>
      <c r="U25" s="192">
        <v>16</v>
      </c>
      <c r="V25" s="192">
        <v>17</v>
      </c>
    </row>
    <row r="26" spans="3:22" x14ac:dyDescent="0.35">
      <c r="C26" s="102"/>
      <c r="D26" s="100"/>
      <c r="E26" s="102"/>
      <c r="F26" s="112">
        <f>'Energy Prices'!$C$6</f>
        <v>2025</v>
      </c>
      <c r="G26" s="112">
        <f>F26+1</f>
        <v>2026</v>
      </c>
      <c r="H26" s="112">
        <f>G26+1</f>
        <v>2027</v>
      </c>
      <c r="I26" s="112">
        <f t="shared" ref="I26:T26" si="0">H26+1</f>
        <v>2028</v>
      </c>
      <c r="J26" s="112">
        <f t="shared" si="0"/>
        <v>2029</v>
      </c>
      <c r="K26" s="112">
        <f t="shared" si="0"/>
        <v>2030</v>
      </c>
      <c r="L26" s="112">
        <f t="shared" si="0"/>
        <v>2031</v>
      </c>
      <c r="M26" s="112">
        <f t="shared" si="0"/>
        <v>2032</v>
      </c>
      <c r="N26" s="112">
        <f t="shared" si="0"/>
        <v>2033</v>
      </c>
      <c r="O26" s="112">
        <f t="shared" si="0"/>
        <v>2034</v>
      </c>
      <c r="P26" s="112">
        <f t="shared" si="0"/>
        <v>2035</v>
      </c>
      <c r="Q26" s="112">
        <f t="shared" si="0"/>
        <v>2036</v>
      </c>
      <c r="R26" s="112">
        <f t="shared" si="0"/>
        <v>2037</v>
      </c>
      <c r="S26" s="112">
        <f t="shared" si="0"/>
        <v>2038</v>
      </c>
      <c r="T26" s="112">
        <f t="shared" si="0"/>
        <v>2039</v>
      </c>
      <c r="U26" s="112">
        <f>T26+1</f>
        <v>2040</v>
      </c>
      <c r="V26" s="112">
        <f>U26+1</f>
        <v>2041</v>
      </c>
    </row>
    <row r="27" spans="3:22" x14ac:dyDescent="0.35">
      <c r="C27" s="193" t="s">
        <v>96</v>
      </c>
      <c r="D27" s="102"/>
      <c r="F27" s="144">
        <f>'Output - 5yr Baseload'!F13</f>
        <v>53.82275616643394</v>
      </c>
      <c r="G27" s="144">
        <f>'Output - 5yr Baseload'!G13</f>
        <v>55.168325070594783</v>
      </c>
      <c r="H27" s="144">
        <f>'Output - 5yr Baseload'!H13</f>
        <v>56.547533197359634</v>
      </c>
      <c r="I27" s="144">
        <f>'Output - 5yr Baseload'!I13</f>
        <v>57.961221527293631</v>
      </c>
      <c r="J27" s="144">
        <f>'Output - 5yr Baseload'!J13</f>
        <v>59.410252065475966</v>
      </c>
      <c r="K27" s="189">
        <f>'Output - 5yr Baseload'!K13</f>
        <v>60.895508367112861</v>
      </c>
      <c r="L27" s="189">
        <f>'Output - 5yr Baseload'!L13</f>
        <v>62.417896076290674</v>
      </c>
      <c r="M27" s="189"/>
      <c r="N27" s="189"/>
      <c r="O27" s="189"/>
      <c r="P27" s="189"/>
      <c r="Q27" s="189"/>
      <c r="R27" s="189"/>
      <c r="S27" s="189"/>
      <c r="T27" s="189"/>
      <c r="U27" s="189"/>
      <c r="V27" s="189"/>
    </row>
    <row r="28" spans="3:22" x14ac:dyDescent="0.35">
      <c r="C28" s="193" t="s">
        <v>97</v>
      </c>
      <c r="D28" s="102"/>
      <c r="F28" s="144">
        <f>'Output - 10yr Baseload'!F13</f>
        <v>51.682745531396179</v>
      </c>
      <c r="G28" s="144">
        <f>'Output - 10yr Baseload'!G13</f>
        <v>52.974814169681075</v>
      </c>
      <c r="H28" s="144">
        <f>'Output - 10yr Baseload'!H13</f>
        <v>54.299184523923095</v>
      </c>
      <c r="I28" s="144">
        <f>'Output - 10yr Baseload'!I13</f>
        <v>55.656664137021167</v>
      </c>
      <c r="J28" s="144">
        <f>'Output - 10yr Baseload'!J13</f>
        <v>57.0480807404467</v>
      </c>
      <c r="K28" s="144">
        <f>'Output - 10yr Baseload'!K13</f>
        <v>58.474282758957862</v>
      </c>
      <c r="L28" s="144">
        <f>'Output - 10yr Baseload'!L13</f>
        <v>59.936139827931804</v>
      </c>
      <c r="M28" s="144">
        <f>'Output - 10yr Baseload'!M13</f>
        <v>61.434543323630088</v>
      </c>
      <c r="N28" s="144">
        <f>'Output - 10yr Baseload'!N13</f>
        <v>62.970406906720839</v>
      </c>
      <c r="O28" s="144">
        <f>'Output - 10yr Baseload'!O13</f>
        <v>64.544667079388844</v>
      </c>
      <c r="P28" s="189">
        <f>'Output - 10yr Baseload'!P13</f>
        <v>66.158283756373564</v>
      </c>
      <c r="Q28" s="189">
        <f>'Output - 10yr Baseload'!Q13</f>
        <v>67.81224085028289</v>
      </c>
      <c r="R28" s="189"/>
      <c r="S28" s="189"/>
      <c r="T28" s="189"/>
      <c r="U28" s="189"/>
      <c r="V28" s="189"/>
    </row>
    <row r="29" spans="3:22" x14ac:dyDescent="0.35">
      <c r="C29" s="193" t="s">
        <v>95</v>
      </c>
      <c r="D29" s="102"/>
      <c r="F29" s="144">
        <f>'Output - 15yr Baseload'!F13</f>
        <v>51.559855319412939</v>
      </c>
      <c r="G29" s="145">
        <f>'Output - 15yr Baseload'!G13</f>
        <v>52.84885170239825</v>
      </c>
      <c r="H29" s="146">
        <f>'Output - 15yr Baseload'!H13</f>
        <v>54.170072994958197</v>
      </c>
      <c r="I29" s="146">
        <f>'Output - 15yr Baseload'!I13</f>
        <v>55.524324819832152</v>
      </c>
      <c r="J29" s="146">
        <f>'Output - 15yr Baseload'!J13</f>
        <v>56.912432940327953</v>
      </c>
      <c r="K29" s="146">
        <f>'Output - 15yr Baseload'!K13</f>
        <v>58.335243763836147</v>
      </c>
      <c r="L29" s="146">
        <f>'Output - 15yr Baseload'!L13</f>
        <v>59.793624857932045</v>
      </c>
      <c r="M29" s="146">
        <f>'Output - 15yr Baseload'!M13</f>
        <v>61.288465479380335</v>
      </c>
      <c r="N29" s="146">
        <f>'Output - 15yr Baseload'!N13</f>
        <v>62.820677116364841</v>
      </c>
      <c r="O29" s="146">
        <f>'Output - 15yr Baseload'!O13</f>
        <v>64.391194044273959</v>
      </c>
      <c r="P29" s="146">
        <f>'Output - 15yr Baseload'!P13</f>
        <v>66.000973895380795</v>
      </c>
      <c r="Q29" s="146">
        <f>'Output - 15yr Baseload'!Q13</f>
        <v>67.650998242765311</v>
      </c>
      <c r="R29" s="146">
        <f>'Output - 15yr Baseload'!R13</f>
        <v>69.342273198834434</v>
      </c>
      <c r="S29" s="146">
        <f>'Output - 15yr Baseload'!S13</f>
        <v>71.075830028805285</v>
      </c>
      <c r="T29" s="146">
        <f>'Output - 15yr Baseload'!T13</f>
        <v>72.852725779525414</v>
      </c>
      <c r="U29" s="189">
        <f>'Output - 15yr Baseload'!U13</f>
        <v>74.674043924013546</v>
      </c>
      <c r="V29" s="189">
        <f>'Output - 15yr Baseload'!V13</f>
        <v>76.540895022113872</v>
      </c>
    </row>
    <row r="30" spans="3:22" x14ac:dyDescent="0.35">
      <c r="C30" s="113"/>
      <c r="E30" s="116"/>
      <c r="F30" s="114"/>
      <c r="G30" s="114"/>
      <c r="H30" s="114"/>
      <c r="I30" s="114"/>
      <c r="J30" s="114"/>
      <c r="K30" s="114"/>
      <c r="L30" s="114"/>
      <c r="M30" s="114"/>
      <c r="N30" s="114"/>
      <c r="O30" s="114"/>
      <c r="P30" s="114"/>
      <c r="Q30" s="114"/>
      <c r="R30" s="114"/>
      <c r="S30" s="114"/>
      <c r="T30" s="114"/>
      <c r="U30" s="114"/>
      <c r="V30" s="114"/>
    </row>
    <row r="31" spans="3:22" x14ac:dyDescent="0.35">
      <c r="C31" s="117"/>
      <c r="E31" s="116"/>
      <c r="F31" s="114"/>
      <c r="G31" s="114"/>
      <c r="H31" s="114"/>
      <c r="I31" s="114"/>
      <c r="J31" s="114"/>
      <c r="K31" s="114"/>
      <c r="L31" s="114"/>
      <c r="M31" s="114"/>
      <c r="N31" s="114"/>
      <c r="O31" s="114"/>
      <c r="P31" s="114"/>
      <c r="Q31" s="114"/>
      <c r="R31" s="114"/>
      <c r="S31" s="114"/>
      <c r="T31" s="114"/>
      <c r="U31" s="114"/>
      <c r="V31" s="114"/>
    </row>
    <row r="32" spans="3:22" x14ac:dyDescent="0.35">
      <c r="F32" s="192">
        <v>1</v>
      </c>
      <c r="G32" s="192">
        <v>2</v>
      </c>
      <c r="H32" s="192">
        <v>3</v>
      </c>
      <c r="I32" s="192">
        <v>4</v>
      </c>
      <c r="J32" s="192">
        <v>5</v>
      </c>
      <c r="K32" s="192">
        <v>6</v>
      </c>
      <c r="L32" s="192">
        <v>7</v>
      </c>
      <c r="M32" s="192">
        <v>8</v>
      </c>
      <c r="N32" s="192">
        <v>9</v>
      </c>
      <c r="O32" s="192">
        <v>10</v>
      </c>
      <c r="P32" s="192">
        <v>11</v>
      </c>
      <c r="Q32" s="192">
        <v>12</v>
      </c>
      <c r="R32" s="192">
        <v>13</v>
      </c>
      <c r="S32" s="192">
        <v>14</v>
      </c>
      <c r="T32" s="192">
        <v>15</v>
      </c>
      <c r="U32" s="192">
        <v>16</v>
      </c>
      <c r="V32" s="192">
        <v>17</v>
      </c>
    </row>
    <row r="33" spans="3:22" x14ac:dyDescent="0.35">
      <c r="C33" s="102"/>
      <c r="D33" s="100"/>
      <c r="E33" s="102"/>
      <c r="F33" s="112">
        <f>'Energy Prices'!$C$6</f>
        <v>2025</v>
      </c>
      <c r="G33" s="112">
        <f>F33+1</f>
        <v>2026</v>
      </c>
      <c r="H33" s="112">
        <f>G33+1</f>
        <v>2027</v>
      </c>
      <c r="I33" s="112">
        <f t="shared" ref="I33" si="1">H33+1</f>
        <v>2028</v>
      </c>
      <c r="J33" s="112">
        <f t="shared" ref="J33" si="2">I33+1</f>
        <v>2029</v>
      </c>
      <c r="K33" s="112">
        <f t="shared" ref="K33" si="3">J33+1</f>
        <v>2030</v>
      </c>
      <c r="L33" s="112">
        <f t="shared" ref="L33" si="4">K33+1</f>
        <v>2031</v>
      </c>
      <c r="M33" s="112">
        <f t="shared" ref="M33" si="5">L33+1</f>
        <v>2032</v>
      </c>
      <c r="N33" s="112">
        <f t="shared" ref="N33" si="6">M33+1</f>
        <v>2033</v>
      </c>
      <c r="O33" s="112">
        <f t="shared" ref="O33" si="7">N33+1</f>
        <v>2034</v>
      </c>
      <c r="P33" s="112">
        <f t="shared" ref="P33" si="8">O33+1</f>
        <v>2035</v>
      </c>
      <c r="Q33" s="112">
        <f t="shared" ref="Q33" si="9">P33+1</f>
        <v>2036</v>
      </c>
      <c r="R33" s="112">
        <f t="shared" ref="R33" si="10">Q33+1</f>
        <v>2037</v>
      </c>
      <c r="S33" s="112">
        <f t="shared" ref="S33" si="11">R33+1</f>
        <v>2038</v>
      </c>
      <c r="T33" s="112">
        <f t="shared" ref="T33" si="12">S33+1</f>
        <v>2039</v>
      </c>
      <c r="U33" s="112">
        <f>T33+1</f>
        <v>2040</v>
      </c>
      <c r="V33" s="112">
        <f>U33+1</f>
        <v>2041</v>
      </c>
    </row>
    <row r="34" spans="3:22" x14ac:dyDescent="0.35">
      <c r="C34" s="193" t="s">
        <v>98</v>
      </c>
      <c r="D34" s="102"/>
      <c r="F34" s="144">
        <f>'Output - 10yr Wind'!F13</f>
        <v>42.860786676866446</v>
      </c>
      <c r="G34" s="144">
        <f>'Output - 10yr Wind'!G13</f>
        <v>43.932306343788099</v>
      </c>
      <c r="H34" s="144">
        <f>'Output - 10yr Wind'!H13</f>
        <v>45.030614002382798</v>
      </c>
      <c r="I34" s="144">
        <f>'Output - 10yr Wind'!I13</f>
        <v>46.156379352442364</v>
      </c>
      <c r="J34" s="144">
        <f>'Output - 10yr Wind'!J13</f>
        <v>47.310288836253427</v>
      </c>
      <c r="K34" s="144">
        <f>'Output - 10yr Wind'!K13</f>
        <v>48.493046057159759</v>
      </c>
      <c r="L34" s="144">
        <f>'Output - 10yr Wind'!L13</f>
        <v>49.705372208588742</v>
      </c>
      <c r="M34" s="144">
        <f>'Output - 10yr Wind'!M13</f>
        <v>50.948006513803456</v>
      </c>
      <c r="N34" s="144">
        <f>'Output - 10yr Wind'!N13</f>
        <v>52.221706676648537</v>
      </c>
      <c r="O34" s="144">
        <f>'Output - 10yr Wind'!O13</f>
        <v>53.527249343564748</v>
      </c>
      <c r="P34" s="189">
        <f>'Output - 10yr Wind'!P13</f>
        <v>54.865430577153859</v>
      </c>
      <c r="Q34" s="189">
        <f>'Output - 10yr Wind'!Q13</f>
        <v>56.237066341582704</v>
      </c>
      <c r="R34" s="189"/>
      <c r="S34" s="189"/>
      <c r="T34" s="189"/>
      <c r="U34" s="189"/>
      <c r="V34" s="189"/>
    </row>
    <row r="35" spans="3:22" x14ac:dyDescent="0.35">
      <c r="C35" s="193" t="s">
        <v>99</v>
      </c>
      <c r="D35" s="102"/>
      <c r="F35" s="144">
        <f>'Output - 15yr Wind'!F13</f>
        <v>43.14614870435647</v>
      </c>
      <c r="G35" s="145">
        <f>'Output - 15yr Wind'!G13</f>
        <v>44.224802421965371</v>
      </c>
      <c r="H35" s="146">
        <f>'Output - 15yr Wind'!H13</f>
        <v>45.3304224825145</v>
      </c>
      <c r="I35" s="146">
        <f>'Output - 15yr Wind'!I13</f>
        <v>46.463683044577358</v>
      </c>
      <c r="J35" s="146">
        <f>'Output - 15yr Wind'!J13</f>
        <v>47.625275120691789</v>
      </c>
      <c r="K35" s="146">
        <f>'Output - 15yr Wind'!K13</f>
        <v>48.815906998709082</v>
      </c>
      <c r="L35" s="146">
        <f>'Output - 15yr Wind'!L13</f>
        <v>50.036304673676803</v>
      </c>
      <c r="M35" s="146">
        <f>'Output - 15yr Wind'!M13</f>
        <v>51.287212290518717</v>
      </c>
      <c r="N35" s="146">
        <f>'Output - 15yr Wind'!N13</f>
        <v>52.569392597781679</v>
      </c>
      <c r="O35" s="146">
        <f>'Output - 15yr Wind'!O13</f>
        <v>53.88362741272622</v>
      </c>
      <c r="P35" s="146">
        <f>'Output - 15yr Wind'!P13</f>
        <v>55.230718098044363</v>
      </c>
      <c r="Q35" s="146">
        <f>'Output - 15yr Wind'!Q13</f>
        <v>56.611486050495472</v>
      </c>
      <c r="R35" s="146">
        <f>'Output - 15yr Wind'!R13</f>
        <v>58.026773201757848</v>
      </c>
      <c r="S35" s="146">
        <f>'Output - 15yr Wind'!S13</f>
        <v>59.477442531801792</v>
      </c>
      <c r="T35" s="146">
        <f>'Output - 15yr Wind'!T13</f>
        <v>60.964378595096832</v>
      </c>
      <c r="U35" s="189">
        <f>'Output - 15yr Wind'!U13</f>
        <v>62.488488059974244</v>
      </c>
      <c r="V35" s="189">
        <f>'Output - 15yr Wind'!V13</f>
        <v>64.050700261473594</v>
      </c>
    </row>
    <row r="38" spans="3:22" x14ac:dyDescent="0.35">
      <c r="F38" s="192">
        <v>1</v>
      </c>
      <c r="G38" s="192">
        <v>2</v>
      </c>
      <c r="H38" s="192">
        <v>3</v>
      </c>
      <c r="I38" s="192">
        <v>4</v>
      </c>
      <c r="J38" s="192">
        <v>5</v>
      </c>
      <c r="K38" s="192">
        <v>6</v>
      </c>
      <c r="L38" s="192">
        <v>7</v>
      </c>
      <c r="M38" s="192">
        <v>8</v>
      </c>
      <c r="N38" s="192">
        <v>9</v>
      </c>
      <c r="O38" s="192">
        <v>10</v>
      </c>
      <c r="P38" s="192">
        <v>11</v>
      </c>
      <c r="Q38" s="192">
        <v>12</v>
      </c>
      <c r="R38" s="192">
        <v>13</v>
      </c>
      <c r="S38" s="192">
        <v>14</v>
      </c>
      <c r="T38" s="192">
        <v>15</v>
      </c>
      <c r="U38" s="192">
        <v>16</v>
      </c>
      <c r="V38" s="192">
        <v>17</v>
      </c>
    </row>
    <row r="39" spans="3:22" x14ac:dyDescent="0.35">
      <c r="C39" s="102"/>
      <c r="D39" s="100"/>
      <c r="E39" s="102"/>
      <c r="F39" s="112">
        <f>'Energy Prices'!$C$6</f>
        <v>2025</v>
      </c>
      <c r="G39" s="112">
        <f>F39+1</f>
        <v>2026</v>
      </c>
      <c r="H39" s="112">
        <f>G39+1</f>
        <v>2027</v>
      </c>
      <c r="I39" s="112">
        <f t="shared" ref="I39" si="13">H39+1</f>
        <v>2028</v>
      </c>
      <c r="J39" s="112">
        <f t="shared" ref="J39" si="14">I39+1</f>
        <v>2029</v>
      </c>
      <c r="K39" s="112">
        <f t="shared" ref="K39" si="15">J39+1</f>
        <v>2030</v>
      </c>
      <c r="L39" s="112">
        <f t="shared" ref="L39" si="16">K39+1</f>
        <v>2031</v>
      </c>
      <c r="M39" s="112">
        <f t="shared" ref="M39" si="17">L39+1</f>
        <v>2032</v>
      </c>
      <c r="N39" s="112">
        <f t="shared" ref="N39" si="18">M39+1</f>
        <v>2033</v>
      </c>
      <c r="O39" s="112">
        <f t="shared" ref="O39" si="19">N39+1</f>
        <v>2034</v>
      </c>
      <c r="P39" s="112">
        <f t="shared" ref="P39" si="20">O39+1</f>
        <v>2035</v>
      </c>
      <c r="Q39" s="112">
        <f t="shared" ref="Q39" si="21">P39+1</f>
        <v>2036</v>
      </c>
      <c r="R39" s="112">
        <f t="shared" ref="R39" si="22">Q39+1</f>
        <v>2037</v>
      </c>
      <c r="S39" s="112">
        <f t="shared" ref="S39" si="23">R39+1</f>
        <v>2038</v>
      </c>
      <c r="T39" s="112">
        <f t="shared" ref="T39" si="24">S39+1</f>
        <v>2039</v>
      </c>
      <c r="U39" s="112">
        <f>T39+1</f>
        <v>2040</v>
      </c>
      <c r="V39" s="112">
        <f>U39+1</f>
        <v>2041</v>
      </c>
    </row>
    <row r="40" spans="3:22" x14ac:dyDescent="0.35">
      <c r="C40" s="193" t="s">
        <v>100</v>
      </c>
      <c r="D40" s="102"/>
      <c r="F40" s="144">
        <f>'Output - 10yr Solar'!F13</f>
        <v>40.258308814780179</v>
      </c>
      <c r="G40" s="144">
        <f>'Output - 10yr Solar'!G13</f>
        <v>41.264766535149676</v>
      </c>
      <c r="H40" s="144">
        <f>'Output - 10yr Solar'!H13</f>
        <v>42.296385698528418</v>
      </c>
      <c r="I40" s="144">
        <f>'Output - 10yr Solar'!I13</f>
        <v>43.353795340991624</v>
      </c>
      <c r="J40" s="144">
        <f>'Output - 10yr Solar'!J13</f>
        <v>44.437640224516414</v>
      </c>
      <c r="K40" s="144">
        <f>'Output - 10yr Solar'!K13</f>
        <v>45.548581230129322</v>
      </c>
      <c r="L40" s="144">
        <f>'Output - 10yr Solar'!L13</f>
        <v>46.687295760882549</v>
      </c>
      <c r="M40" s="144">
        <f>'Output - 10yr Solar'!M13</f>
        <v>47.854478154904605</v>
      </c>
      <c r="N40" s="144">
        <f>'Output - 10yr Solar'!N13</f>
        <v>49.050840108777216</v>
      </c>
      <c r="O40" s="144">
        <f>'Output - 10yr Solar'!O13</f>
        <v>50.277111111496644</v>
      </c>
      <c r="P40" s="189">
        <f>'Output - 10yr Solar'!P13</f>
        <v>51.534038889284055</v>
      </c>
      <c r="Q40" s="189">
        <f>'Output - 10yr Solar'!Q13</f>
        <v>52.82238986151615</v>
      </c>
      <c r="R40" s="189"/>
      <c r="S40" s="189"/>
      <c r="T40" s="189"/>
      <c r="U40" s="189"/>
      <c r="V40" s="189"/>
    </row>
    <row r="41" spans="3:22" x14ac:dyDescent="0.35">
      <c r="C41" s="193" t="s">
        <v>101</v>
      </c>
      <c r="D41" s="102"/>
      <c r="F41" s="144">
        <f>'Output - 15yr Solar'!F13</f>
        <v>40.664105252914808</v>
      </c>
      <c r="G41" s="145">
        <f>'Output - 15yr Solar'!G13</f>
        <v>41.68070788423767</v>
      </c>
      <c r="H41" s="146">
        <f>'Output - 15yr Solar'!H13</f>
        <v>42.722725581343603</v>
      </c>
      <c r="I41" s="146">
        <f>'Output - 15yr Solar'!I13</f>
        <v>43.790793720877197</v>
      </c>
      <c r="J41" s="146">
        <f>'Output - 15yr Solar'!J13</f>
        <v>44.885563563899119</v>
      </c>
      <c r="K41" s="146">
        <f>'Output - 15yr Solar'!K13</f>
        <v>46.007702652996592</v>
      </c>
      <c r="L41" s="146">
        <f>'Output - 15yr Solar'!L13</f>
        <v>47.157895219321503</v>
      </c>
      <c r="M41" s="146">
        <f>'Output - 15yr Solar'!M13</f>
        <v>48.336842599804534</v>
      </c>
      <c r="N41" s="146">
        <f>'Output - 15yr Solar'!N13</f>
        <v>49.545263664799641</v>
      </c>
      <c r="O41" s="146">
        <f>'Output - 15yr Solar'!O13</f>
        <v>50.783895256419633</v>
      </c>
      <c r="P41" s="146">
        <f>'Output - 15yr Solar'!P13</f>
        <v>52.053492637830111</v>
      </c>
      <c r="Q41" s="146">
        <f>'Output - 15yr Solar'!Q13</f>
        <v>53.354829953775862</v>
      </c>
      <c r="R41" s="146">
        <f>'Output - 15yr Solar'!R13</f>
        <v>54.688700702620253</v>
      </c>
      <c r="S41" s="146">
        <f>'Output - 15yr Solar'!S13</f>
        <v>56.055918220185752</v>
      </c>
      <c r="T41" s="146">
        <f>'Output - 15yr Solar'!T13</f>
        <v>57.457316175690394</v>
      </c>
      <c r="U41" s="189">
        <f>'Output - 15yr Solar'!U13</f>
        <v>58.89374908008265</v>
      </c>
      <c r="V41" s="189">
        <f>'Output - 15yr Solar'!V13</f>
        <v>60.366092807084712</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workbookViewId="0">
      <selection activeCell="J22" sqref="J22"/>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29" width="12.453125" style="53" customWidth="1"/>
    <col min="30" max="16384" width="9.1796875" style="53"/>
  </cols>
  <sheetData>
    <row r="2" spans="2:29" ht="19.5" customHeight="1" x14ac:dyDescent="0.35">
      <c r="C2" s="197" t="s">
        <v>86</v>
      </c>
      <c r="D2" s="197"/>
      <c r="E2" s="197"/>
      <c r="F2" s="197"/>
      <c r="G2" s="197"/>
      <c r="H2" s="197"/>
      <c r="I2" s="197"/>
      <c r="J2" s="197"/>
      <c r="K2" s="197"/>
      <c r="L2" s="197"/>
    </row>
    <row r="3" spans="2:29" x14ac:dyDescent="0.35">
      <c r="C3" s="42" t="s">
        <v>87</v>
      </c>
    </row>
    <row r="4" spans="2:29" s="99" customFormat="1" ht="46.5" x14ac:dyDescent="0.35">
      <c r="B4" s="98"/>
      <c r="C4" s="133" t="s">
        <v>0</v>
      </c>
      <c r="D4" s="133"/>
      <c r="E4" s="133" t="s">
        <v>1</v>
      </c>
      <c r="F4" s="133" t="s">
        <v>2</v>
      </c>
      <c r="G4" s="133" t="s">
        <v>3</v>
      </c>
      <c r="H4" s="133" t="s">
        <v>4</v>
      </c>
      <c r="I4" s="133" t="s">
        <v>5</v>
      </c>
      <c r="J4" s="133" t="s">
        <v>6</v>
      </c>
      <c r="K4" s="133" t="s">
        <v>7</v>
      </c>
      <c r="L4" s="134" t="s">
        <v>14</v>
      </c>
      <c r="M4" s="134"/>
    </row>
    <row r="5" spans="2:29" x14ac:dyDescent="0.35">
      <c r="C5" s="136"/>
      <c r="D5" s="137"/>
      <c r="E5" s="138">
        <v>5</v>
      </c>
      <c r="F5" s="277">
        <f>+'Capacity Delivered'!$G$5</f>
        <v>1</v>
      </c>
      <c r="G5" s="139" t="s">
        <v>8</v>
      </c>
      <c r="H5" s="140">
        <f>'Electric EES CE Std Energy'!D13</f>
        <v>4.2643622410532739E-2</v>
      </c>
      <c r="I5" s="141">
        <f>'Baseload Avoided Capacity Calcs'!X11</f>
        <v>1.5489726027397253E-2</v>
      </c>
      <c r="J5" s="141">
        <f>H5+I5</f>
        <v>5.8133348437929992E-2</v>
      </c>
      <c r="K5" s="142">
        <f>J5</f>
        <v>5.8133348437929992E-2</v>
      </c>
      <c r="L5" s="143">
        <f>K5*1000</f>
        <v>58.133348437929989</v>
      </c>
      <c r="M5" s="127"/>
    </row>
    <row r="6" spans="2:29" x14ac:dyDescent="0.35">
      <c r="C6" s="135"/>
      <c r="D6" s="135"/>
      <c r="E6" s="102"/>
      <c r="F6" s="102"/>
      <c r="G6" s="102"/>
      <c r="H6" s="32">
        <f>H5*1000</f>
        <v>42.643622410532736</v>
      </c>
      <c r="I6" s="32">
        <f t="shared" ref="I6:K6" si="0">I5*1000</f>
        <v>15.489726027397253</v>
      </c>
      <c r="J6" s="32">
        <f t="shared" si="0"/>
        <v>58.133348437929989</v>
      </c>
      <c r="K6" s="32">
        <f t="shared" si="0"/>
        <v>58.133348437929989</v>
      </c>
      <c r="L6" s="104">
        <f>L5*(1-M6)</f>
        <v>56.389347984792089</v>
      </c>
      <c r="M6" s="224">
        <v>0.03</v>
      </c>
      <c r="N6" s="105" t="s">
        <v>40</v>
      </c>
    </row>
    <row r="7" spans="2:29" x14ac:dyDescent="0.35">
      <c r="C7" s="106"/>
      <c r="D7" s="103"/>
      <c r="H7" s="40"/>
      <c r="I7" s="101"/>
      <c r="J7" s="40"/>
      <c r="K7" s="101"/>
      <c r="L7" s="101"/>
      <c r="M7" s="102"/>
    </row>
    <row r="8" spans="2:29" x14ac:dyDescent="0.35">
      <c r="C8" s="102"/>
      <c r="D8" s="102"/>
      <c r="E8" s="102"/>
      <c r="F8" s="102"/>
      <c r="G8" s="102"/>
      <c r="H8" s="107"/>
      <c r="I8" s="107"/>
      <c r="J8" s="107"/>
      <c r="K8" s="107"/>
      <c r="L8" s="107"/>
      <c r="M8" s="107"/>
      <c r="N8" s="107"/>
      <c r="O8" s="107"/>
      <c r="P8" s="107"/>
      <c r="S8" s="107"/>
      <c r="T8" s="107"/>
      <c r="U8" s="108"/>
      <c r="V8" s="108"/>
      <c r="X8" s="188" t="s">
        <v>76</v>
      </c>
      <c r="Y8" s="107"/>
      <c r="Z8" s="108"/>
      <c r="AA8" s="108"/>
      <c r="AB8" s="107"/>
      <c r="AC8" s="102"/>
    </row>
    <row r="9" spans="2:29" x14ac:dyDescent="0.35">
      <c r="C9" s="109" t="s">
        <v>9</v>
      </c>
      <c r="D9" s="109"/>
      <c r="E9" s="109"/>
      <c r="F9" s="110">
        <f>+L6</f>
        <v>56.389347984792089</v>
      </c>
      <c r="G9" s="110">
        <f t="shared" ref="G9:J9" si="1">F9</f>
        <v>56.389347984792089</v>
      </c>
      <c r="H9" s="110">
        <f t="shared" si="1"/>
        <v>56.389347984792089</v>
      </c>
      <c r="I9" s="110">
        <f t="shared" si="1"/>
        <v>56.389347984792089</v>
      </c>
      <c r="J9" s="110">
        <f t="shared" si="1"/>
        <v>56.389347984792089</v>
      </c>
      <c r="K9" s="107"/>
      <c r="L9" s="107"/>
      <c r="M9" s="107"/>
      <c r="N9" s="107"/>
      <c r="O9" s="108"/>
      <c r="P9" s="40"/>
      <c r="S9" s="40"/>
      <c r="T9" s="40"/>
      <c r="U9" s="40"/>
      <c r="X9" s="187">
        <f>NPV(Rate_of_Return,F9:J9)</f>
        <v>230.22032470653758</v>
      </c>
      <c r="Y9" s="187">
        <f>-PMT(Rate_of_Return,E5,X9)</f>
        <v>56.389347984792067</v>
      </c>
    </row>
    <row r="10" spans="2:29" x14ac:dyDescent="0.35">
      <c r="C10" s="102"/>
      <c r="D10" s="102"/>
      <c r="E10" s="102"/>
      <c r="F10" s="111"/>
      <c r="G10" s="111"/>
      <c r="H10" s="111"/>
      <c r="I10" s="111"/>
      <c r="J10" s="111"/>
      <c r="K10" s="107"/>
      <c r="L10" s="107"/>
      <c r="M10" s="107"/>
      <c r="N10" s="107"/>
      <c r="O10" s="108"/>
      <c r="P10" s="40"/>
      <c r="S10" s="40"/>
      <c r="T10" s="40"/>
      <c r="U10" s="40"/>
      <c r="X10" s="32"/>
      <c r="Y10" s="32"/>
    </row>
    <row r="11" spans="2:29" x14ac:dyDescent="0.35">
      <c r="C11" s="53" t="s">
        <v>58</v>
      </c>
      <c r="F11" s="192">
        <v>1</v>
      </c>
      <c r="G11" s="192">
        <v>2</v>
      </c>
      <c r="H11" s="192">
        <v>3</v>
      </c>
      <c r="I11" s="192">
        <v>4</v>
      </c>
      <c r="J11" s="192">
        <v>5</v>
      </c>
      <c r="K11" s="192">
        <v>6</v>
      </c>
      <c r="L11" s="192">
        <v>7</v>
      </c>
      <c r="M11" s="107"/>
      <c r="N11" s="107"/>
      <c r="O11" s="108"/>
      <c r="P11" s="40"/>
      <c r="S11" s="40"/>
      <c r="T11" s="40"/>
      <c r="U11" s="40"/>
      <c r="X11" s="40"/>
      <c r="Y11" s="40"/>
    </row>
    <row r="12" spans="2:29" x14ac:dyDescent="0.35">
      <c r="C12" s="102"/>
      <c r="D12" s="100"/>
      <c r="E12" s="102"/>
      <c r="F12" s="112">
        <f>'Energy Prices'!$C$6</f>
        <v>2025</v>
      </c>
      <c r="G12" s="112">
        <f>F12+1</f>
        <v>2026</v>
      </c>
      <c r="H12" s="112">
        <f>G12+1</f>
        <v>2027</v>
      </c>
      <c r="I12" s="112">
        <f t="shared" ref="I12:L12" si="2">H12+1</f>
        <v>2028</v>
      </c>
      <c r="J12" s="112">
        <f t="shared" si="2"/>
        <v>2029</v>
      </c>
      <c r="K12" s="112">
        <f t="shared" si="2"/>
        <v>2030</v>
      </c>
      <c r="L12" s="112">
        <f t="shared" si="2"/>
        <v>2031</v>
      </c>
      <c r="M12" s="107"/>
      <c r="N12" s="107"/>
      <c r="O12" s="108"/>
      <c r="P12" s="190"/>
      <c r="S12" s="108"/>
      <c r="T12" s="108"/>
      <c r="U12" s="108"/>
      <c r="X12" s="188" t="s">
        <v>76</v>
      </c>
      <c r="Y12" s="32"/>
    </row>
    <row r="13" spans="2:29" ht="53.15" customHeight="1" x14ac:dyDescent="0.35">
      <c r="B13" s="102"/>
      <c r="C13" s="193" t="s">
        <v>94</v>
      </c>
      <c r="D13" s="102"/>
      <c r="F13" s="144">
        <f>F$9*F$20</f>
        <v>53.82275616643394</v>
      </c>
      <c r="G13" s="145">
        <f t="shared" ref="G13:J13" si="3">G$9*G$20</f>
        <v>55.168325070594783</v>
      </c>
      <c r="H13" s="146">
        <f t="shared" si="3"/>
        <v>56.547533197359634</v>
      </c>
      <c r="I13" s="146">
        <f t="shared" si="3"/>
        <v>57.961221527293631</v>
      </c>
      <c r="J13" s="146">
        <f t="shared" si="3"/>
        <v>59.410252065475966</v>
      </c>
      <c r="K13" s="189">
        <f>J13*1.025</f>
        <v>60.895508367112861</v>
      </c>
      <c r="L13" s="189">
        <f>K13*1.025</f>
        <v>62.417896076290674</v>
      </c>
      <c r="M13" s="107"/>
      <c r="N13" s="107"/>
      <c r="O13" s="108"/>
      <c r="P13" s="114"/>
      <c r="S13" s="114"/>
      <c r="T13" s="114"/>
      <c r="U13" s="114"/>
      <c r="X13" s="187">
        <f>NPV(Rate_of_Return,F13:J13)</f>
        <v>230.2203247065377</v>
      </c>
      <c r="Y13" s="187">
        <f>-PMT(Rate_of_Return,E5,X13)</f>
        <v>56.389347984792103</v>
      </c>
    </row>
    <row r="14" spans="2:29" x14ac:dyDescent="0.35">
      <c r="C14" s="113"/>
      <c r="E14" s="116"/>
      <c r="F14" s="114"/>
      <c r="G14" s="114"/>
      <c r="H14" s="114"/>
      <c r="I14" s="114"/>
      <c r="J14" s="114"/>
      <c r="K14" s="107"/>
      <c r="L14" s="107"/>
      <c r="M14" s="107"/>
      <c r="N14" s="107"/>
      <c r="O14" s="108"/>
      <c r="P14" s="114"/>
      <c r="S14" s="108"/>
      <c r="T14" s="108"/>
      <c r="U14" s="108"/>
      <c r="V14" s="107"/>
      <c r="W14" s="102"/>
      <c r="X14" s="108"/>
      <c r="Y14" s="108"/>
    </row>
    <row r="15" spans="2:29" x14ac:dyDescent="0.35">
      <c r="C15" s="117"/>
      <c r="E15" s="116"/>
      <c r="F15" s="114"/>
      <c r="G15" s="114"/>
      <c r="H15" s="114"/>
      <c r="I15" s="114"/>
      <c r="J15" s="114"/>
      <c r="K15" s="107"/>
      <c r="L15" s="107"/>
      <c r="M15" s="107"/>
      <c r="N15" s="107"/>
      <c r="O15" s="108"/>
      <c r="P15" s="114"/>
      <c r="S15" s="108"/>
      <c r="T15" s="108"/>
      <c r="U15" s="108"/>
      <c r="V15" s="108"/>
      <c r="X15" s="108"/>
      <c r="Y15" s="108"/>
    </row>
    <row r="16" spans="2:29" x14ac:dyDescent="0.35">
      <c r="C16" s="53" t="s">
        <v>10</v>
      </c>
      <c r="K16" s="107"/>
      <c r="L16" s="107"/>
      <c r="M16" s="107"/>
      <c r="N16" s="107"/>
      <c r="O16" s="108"/>
    </row>
    <row r="17" spans="2:25" x14ac:dyDescent="0.35">
      <c r="K17" s="107"/>
      <c r="L17" s="107"/>
      <c r="M17" s="107"/>
      <c r="N17" s="107"/>
      <c r="O17" s="108"/>
    </row>
    <row r="18" spans="2:25" x14ac:dyDescent="0.35">
      <c r="C18" s="102"/>
      <c r="D18" s="102"/>
      <c r="E18" s="102"/>
      <c r="F18" s="102"/>
      <c r="G18" s="102"/>
      <c r="H18" s="102"/>
      <c r="I18" s="102"/>
      <c r="J18" s="102"/>
      <c r="K18" s="107"/>
      <c r="L18" s="107"/>
      <c r="M18" s="107"/>
      <c r="N18" s="107"/>
      <c r="O18" s="108"/>
      <c r="X18" s="188" t="s">
        <v>76</v>
      </c>
      <c r="Y18" s="102"/>
    </row>
    <row r="19" spans="2:25" x14ac:dyDescent="0.35">
      <c r="C19" s="109" t="s">
        <v>11</v>
      </c>
      <c r="D19" s="109"/>
      <c r="E19" s="109"/>
      <c r="F19" s="128">
        <v>100</v>
      </c>
      <c r="G19" s="128">
        <f t="shared" ref="G19:J19" si="4">F19*1.025</f>
        <v>102.49999999999999</v>
      </c>
      <c r="H19" s="128">
        <f t="shared" si="4"/>
        <v>105.06249999999997</v>
      </c>
      <c r="I19" s="128">
        <f t="shared" si="4"/>
        <v>107.68906249999996</v>
      </c>
      <c r="J19" s="128">
        <f t="shared" si="4"/>
        <v>110.38128906249996</v>
      </c>
      <c r="K19" s="107"/>
      <c r="L19" s="107"/>
      <c r="M19" s="107"/>
      <c r="N19" s="107"/>
      <c r="O19" s="108"/>
      <c r="P19" s="118"/>
      <c r="S19" s="108"/>
      <c r="T19" s="108"/>
      <c r="U19" s="108"/>
      <c r="X19" s="148">
        <f>NPV(Rate_of_Return,F19:J19)</f>
        <v>427.73789583468493</v>
      </c>
      <c r="Y19" s="148">
        <f>-PMT(Rate_of_Return,E5,X19)</f>
        <v>104.76859975438936</v>
      </c>
    </row>
    <row r="20" spans="2:25" x14ac:dyDescent="0.35">
      <c r="C20" s="131" t="s">
        <v>12</v>
      </c>
      <c r="D20" s="131"/>
      <c r="E20" s="131"/>
      <c r="F20" s="132">
        <f>F19/$Y$19</f>
        <v>0.95448445654930525</v>
      </c>
      <c r="G20" s="132">
        <f>G19/$Y$19</f>
        <v>0.97834656796303776</v>
      </c>
      <c r="H20" s="132">
        <f>H19/$Y$19</f>
        <v>1.0028052321621135</v>
      </c>
      <c r="I20" s="132">
        <f>I19/$Y$19</f>
        <v>1.0278753629661663</v>
      </c>
      <c r="J20" s="132">
        <f>J19/$Y$19</f>
        <v>1.0535722470403204</v>
      </c>
      <c r="K20" s="107"/>
      <c r="L20" s="107"/>
      <c r="M20" s="107"/>
      <c r="N20" s="107"/>
      <c r="O20" s="108"/>
      <c r="P20" s="119"/>
      <c r="S20" s="108"/>
      <c r="T20" s="108"/>
      <c r="U20" s="108"/>
      <c r="X20" s="147">
        <f>NPV(Rate_of_Return,F20:J20)</f>
        <v>4.0826917305131261</v>
      </c>
      <c r="Y20" s="147">
        <f>-PMT(Rate_of_Return,E5,X20)</f>
        <v>1</v>
      </c>
    </row>
    <row r="21" spans="2:25" x14ac:dyDescent="0.35">
      <c r="C21" s="102"/>
      <c r="D21" s="102"/>
      <c r="E21" s="129"/>
      <c r="F21" s="129"/>
      <c r="G21" s="129"/>
      <c r="H21" s="129"/>
      <c r="I21" s="129"/>
      <c r="J21" s="129"/>
      <c r="K21" s="129"/>
      <c r="L21" s="129"/>
      <c r="M21" s="130"/>
      <c r="N21" s="130"/>
      <c r="O21" s="130"/>
      <c r="P21" s="107"/>
      <c r="S21" s="107"/>
      <c r="T21" s="107"/>
      <c r="U21" s="108"/>
      <c r="W21" s="102"/>
      <c r="X21" s="107"/>
      <c r="Y21" s="107"/>
    </row>
    <row r="22" spans="2:25" x14ac:dyDescent="0.35">
      <c r="B22" s="120" t="s">
        <v>13</v>
      </c>
      <c r="C22" s="121"/>
      <c r="D22" s="122"/>
      <c r="E22" s="122"/>
      <c r="F22" s="122"/>
      <c r="G22" s="122"/>
      <c r="H22" s="122"/>
      <c r="I22" s="122"/>
      <c r="J22" s="122"/>
      <c r="K22" s="122"/>
      <c r="L22" s="122"/>
      <c r="M22" s="122"/>
      <c r="N22" s="122"/>
      <c r="O22" s="122"/>
      <c r="Y22" s="117"/>
    </row>
    <row r="23" spans="2:25" x14ac:dyDescent="0.35">
      <c r="B23" s="123">
        <v>1</v>
      </c>
      <c r="C23" s="274" t="s">
        <v>111</v>
      </c>
      <c r="D23" s="122"/>
      <c r="E23" s="122"/>
      <c r="F23" s="122"/>
      <c r="G23" s="122"/>
      <c r="H23" s="122"/>
      <c r="I23" s="122"/>
      <c r="J23" s="122"/>
      <c r="K23" s="122"/>
      <c r="L23" s="122"/>
      <c r="M23" s="122"/>
      <c r="N23" s="122"/>
      <c r="O23" s="122"/>
      <c r="Y23" s="113"/>
    </row>
    <row r="24" spans="2:25" x14ac:dyDescent="0.35">
      <c r="B24" s="123">
        <v>2</v>
      </c>
      <c r="C24" s="122" t="s">
        <v>177</v>
      </c>
      <c r="D24" s="122"/>
      <c r="E24" s="122"/>
      <c r="F24" s="122"/>
      <c r="G24" s="122"/>
      <c r="H24" s="122"/>
      <c r="I24" s="122"/>
      <c r="J24" s="122"/>
      <c r="K24" s="122"/>
      <c r="L24" s="122"/>
      <c r="M24" s="122"/>
      <c r="N24" s="122"/>
      <c r="O24" s="122"/>
      <c r="Y24" s="114"/>
    </row>
    <row r="25" spans="2:25" x14ac:dyDescent="0.35">
      <c r="B25" s="123">
        <v>3</v>
      </c>
      <c r="C25" s="122" t="s">
        <v>47</v>
      </c>
      <c r="D25" s="122"/>
      <c r="E25" s="122"/>
      <c r="F25" s="122"/>
      <c r="G25" s="122"/>
      <c r="H25" s="122"/>
      <c r="I25" s="122"/>
      <c r="J25" s="122"/>
      <c r="K25" s="122"/>
      <c r="L25" s="122"/>
      <c r="M25" s="122"/>
      <c r="N25" s="122"/>
      <c r="O25" s="122"/>
      <c r="Y25" s="124"/>
    </row>
    <row r="26" spans="2:25" x14ac:dyDescent="0.35">
      <c r="B26" s="123">
        <v>4</v>
      </c>
      <c r="C26" s="122" t="s">
        <v>124</v>
      </c>
      <c r="D26" s="122"/>
      <c r="E26" s="122"/>
      <c r="F26" s="122"/>
      <c r="G26" s="122"/>
      <c r="H26" s="122"/>
      <c r="I26" s="122"/>
      <c r="J26" s="122"/>
      <c r="K26" s="122"/>
      <c r="L26" s="122"/>
      <c r="M26" s="122"/>
      <c r="N26" s="122"/>
      <c r="O26" s="122"/>
      <c r="Y26" s="124"/>
    </row>
    <row r="27" spans="2:25" x14ac:dyDescent="0.35">
      <c r="B27" s="123">
        <v>5</v>
      </c>
      <c r="C27" s="122" t="s">
        <v>81</v>
      </c>
      <c r="D27" s="122"/>
      <c r="E27" s="122"/>
      <c r="F27" s="122"/>
      <c r="G27" s="122"/>
      <c r="H27" s="122"/>
      <c r="I27" s="122"/>
      <c r="J27" s="122"/>
      <c r="K27" s="122"/>
      <c r="L27" s="122"/>
      <c r="M27" s="122"/>
      <c r="N27" s="122"/>
      <c r="O27" s="122"/>
      <c r="Y27" s="113"/>
    </row>
    <row r="28" spans="2:25" x14ac:dyDescent="0.35">
      <c r="B28" s="123">
        <v>6</v>
      </c>
      <c r="C28" s="122" t="s">
        <v>82</v>
      </c>
      <c r="D28" s="122"/>
      <c r="E28" s="122"/>
      <c r="F28" s="122"/>
      <c r="G28" s="122"/>
      <c r="H28" s="122"/>
      <c r="I28" s="122"/>
      <c r="J28" s="122"/>
      <c r="K28" s="122"/>
      <c r="L28" s="122"/>
      <c r="M28" s="122"/>
      <c r="N28" s="122"/>
      <c r="O28" s="122"/>
      <c r="Y28" s="114"/>
    </row>
    <row r="29" spans="2:25" x14ac:dyDescent="0.35">
      <c r="B29" s="123">
        <v>7</v>
      </c>
      <c r="C29" s="122" t="s">
        <v>83</v>
      </c>
      <c r="D29" s="122"/>
      <c r="E29" s="122"/>
      <c r="F29" s="122"/>
      <c r="G29" s="122"/>
      <c r="H29" s="122"/>
      <c r="I29" s="122"/>
      <c r="J29" s="122"/>
      <c r="K29" s="122"/>
      <c r="L29" s="122"/>
      <c r="M29" s="122"/>
      <c r="N29" s="122"/>
      <c r="O29" s="122"/>
      <c r="P29" s="122"/>
      <c r="Q29" s="122"/>
    </row>
    <row r="30" spans="2:25" x14ac:dyDescent="0.35">
      <c r="B30" s="123">
        <v>8</v>
      </c>
      <c r="C30" s="122" t="s">
        <v>53</v>
      </c>
      <c r="D30" s="122"/>
      <c r="E30" s="122"/>
      <c r="F30" s="122"/>
      <c r="G30" s="122"/>
      <c r="H30" s="122"/>
      <c r="I30" s="122"/>
      <c r="J30" s="122"/>
      <c r="K30" s="122"/>
      <c r="L30" s="122"/>
      <c r="M30" s="122"/>
      <c r="N30" s="122"/>
      <c r="O30" s="122"/>
      <c r="P30" s="122"/>
      <c r="Q30" s="122"/>
    </row>
    <row r="31" spans="2:25" x14ac:dyDescent="0.35">
      <c r="B31" s="123">
        <v>9</v>
      </c>
      <c r="C31" s="122" t="s">
        <v>84</v>
      </c>
      <c r="D31" s="122"/>
      <c r="E31" s="122"/>
      <c r="F31" s="122"/>
      <c r="G31" s="122"/>
      <c r="H31" s="122"/>
      <c r="I31" s="122"/>
      <c r="J31" s="122"/>
      <c r="K31" s="122"/>
      <c r="L31" s="122"/>
      <c r="M31" s="122"/>
      <c r="N31" s="122"/>
      <c r="O31" s="122"/>
      <c r="P31" s="122"/>
      <c r="Q31" s="122"/>
    </row>
    <row r="32" spans="2:25" x14ac:dyDescent="0.35">
      <c r="B32" s="123">
        <v>10</v>
      </c>
      <c r="C32" s="53" t="s">
        <v>85</v>
      </c>
    </row>
    <row r="33" spans="2:20" x14ac:dyDescent="0.35">
      <c r="B33" s="123">
        <v>11</v>
      </c>
      <c r="C33" s="53" t="s">
        <v>105</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workbookViewId="0">
      <selection activeCell="C25" sqref="C25"/>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29" width="12.453125" style="53" customWidth="1"/>
    <col min="30" max="16384" width="9.1796875" style="53"/>
  </cols>
  <sheetData>
    <row r="2" spans="2:30" ht="19.5" customHeight="1" x14ac:dyDescent="0.35">
      <c r="C2" s="197" t="s">
        <v>86</v>
      </c>
      <c r="D2" s="197"/>
      <c r="E2" s="197"/>
      <c r="F2" s="197"/>
      <c r="G2" s="197"/>
      <c r="H2" s="197"/>
      <c r="I2" s="197"/>
      <c r="J2" s="197"/>
      <c r="K2" s="197"/>
      <c r="L2" s="197"/>
    </row>
    <row r="3" spans="2:30" x14ac:dyDescent="0.35">
      <c r="C3" s="42" t="s">
        <v>87</v>
      </c>
    </row>
    <row r="4" spans="2:30" s="99" customFormat="1" ht="46.5" x14ac:dyDescent="0.35">
      <c r="B4" s="98"/>
      <c r="C4" s="133" t="s">
        <v>0</v>
      </c>
      <c r="D4" s="133"/>
      <c r="E4" s="133" t="s">
        <v>1</v>
      </c>
      <c r="F4" s="133" t="s">
        <v>2</v>
      </c>
      <c r="G4" s="133" t="s">
        <v>3</v>
      </c>
      <c r="H4" s="133" t="s">
        <v>4</v>
      </c>
      <c r="I4" s="133" t="s">
        <v>5</v>
      </c>
      <c r="J4" s="133" t="s">
        <v>6</v>
      </c>
      <c r="K4" s="133" t="s">
        <v>7</v>
      </c>
      <c r="L4" s="134" t="s">
        <v>14</v>
      </c>
      <c r="M4" s="134"/>
    </row>
    <row r="5" spans="2:30" x14ac:dyDescent="0.35">
      <c r="C5" s="136"/>
      <c r="D5" s="137"/>
      <c r="E5" s="138">
        <v>10</v>
      </c>
      <c r="F5" s="277">
        <f>+'Capacity Delivered'!$G$5</f>
        <v>1</v>
      </c>
      <c r="G5" s="139" t="s">
        <v>8</v>
      </c>
      <c r="H5" s="140">
        <f>'Electric EES CE Std Energy'!D18</f>
        <v>4.3372109730943943E-2</v>
      </c>
      <c r="I5" s="141">
        <f>'Baseload Avoided Capacity Calcs'!X16</f>
        <v>1.548972602739725E-2</v>
      </c>
      <c r="J5" s="141">
        <f>H5+I5</f>
        <v>5.8861835758341197E-2</v>
      </c>
      <c r="K5" s="142">
        <f>J5</f>
        <v>5.8861835758341197E-2</v>
      </c>
      <c r="L5" s="143">
        <f>K5*1000</f>
        <v>58.861835758341194</v>
      </c>
      <c r="M5" s="127"/>
    </row>
    <row r="6" spans="2:30" x14ac:dyDescent="0.35">
      <c r="C6" s="135"/>
      <c r="D6" s="135"/>
      <c r="E6" s="102"/>
      <c r="F6" s="102"/>
      <c r="G6" s="102"/>
      <c r="H6" s="32">
        <f>H5*1000</f>
        <v>43.37210973094394</v>
      </c>
      <c r="I6" s="32">
        <f t="shared" ref="I6:K6" si="0">I5*1000</f>
        <v>15.48972602739725</v>
      </c>
      <c r="J6" s="32">
        <f t="shared" si="0"/>
        <v>58.861835758341194</v>
      </c>
      <c r="K6" s="32">
        <f t="shared" si="0"/>
        <v>58.861835758341194</v>
      </c>
      <c r="L6" s="104">
        <f>L5*(1-M6)</f>
        <v>57.095980685590959</v>
      </c>
      <c r="M6" s="224">
        <v>0.03</v>
      </c>
      <c r="N6" s="105" t="s">
        <v>40</v>
      </c>
    </row>
    <row r="7" spans="2:30" x14ac:dyDescent="0.35">
      <c r="C7" s="106"/>
      <c r="D7" s="103"/>
      <c r="H7" s="40"/>
      <c r="I7" s="101"/>
      <c r="J7" s="40"/>
      <c r="K7" s="101"/>
      <c r="L7" s="101"/>
      <c r="M7" s="102"/>
    </row>
    <row r="8" spans="2:30" x14ac:dyDescent="0.35">
      <c r="C8" s="102"/>
      <c r="D8" s="102"/>
      <c r="E8" s="102"/>
      <c r="F8" s="102"/>
      <c r="G8" s="102"/>
      <c r="H8" s="107"/>
      <c r="I8" s="107"/>
      <c r="J8" s="107"/>
      <c r="K8" s="107"/>
      <c r="L8" s="107"/>
      <c r="M8" s="107"/>
      <c r="N8" s="107"/>
      <c r="O8" s="107"/>
      <c r="P8" s="107"/>
      <c r="Q8" s="107"/>
      <c r="R8" s="107"/>
      <c r="U8" s="108"/>
      <c r="V8" s="108"/>
      <c r="X8" s="188" t="s">
        <v>76</v>
      </c>
      <c r="Y8" s="108"/>
      <c r="Z8" s="108"/>
      <c r="AA8" s="108"/>
      <c r="AB8" s="107"/>
      <c r="AC8" s="102"/>
    </row>
    <row r="9" spans="2:30" x14ac:dyDescent="0.35">
      <c r="C9" s="109" t="s">
        <v>9</v>
      </c>
      <c r="D9" s="109"/>
      <c r="E9" s="109"/>
      <c r="F9" s="110">
        <f>+L6</f>
        <v>57.095980685590959</v>
      </c>
      <c r="G9" s="110">
        <f t="shared" ref="G9:O9" si="1">F9</f>
        <v>57.095980685590959</v>
      </c>
      <c r="H9" s="110">
        <f t="shared" si="1"/>
        <v>57.095980685590959</v>
      </c>
      <c r="I9" s="110">
        <f t="shared" si="1"/>
        <v>57.095980685590959</v>
      </c>
      <c r="J9" s="110">
        <f t="shared" si="1"/>
        <v>57.095980685590959</v>
      </c>
      <c r="K9" s="110">
        <f t="shared" si="1"/>
        <v>57.095980685590959</v>
      </c>
      <c r="L9" s="110">
        <f t="shared" si="1"/>
        <v>57.095980685590959</v>
      </c>
      <c r="M9" s="110">
        <f t="shared" si="1"/>
        <v>57.095980685590959</v>
      </c>
      <c r="N9" s="110">
        <f t="shared" si="1"/>
        <v>57.095980685590959</v>
      </c>
      <c r="O9" s="110">
        <f t="shared" si="1"/>
        <v>57.095980685590959</v>
      </c>
      <c r="P9" s="107"/>
      <c r="Q9" s="107"/>
      <c r="R9" s="107"/>
      <c r="U9" s="108"/>
      <c r="V9" s="40"/>
      <c r="X9" s="187">
        <f>NPV(Rate_of_Return,F9:O9)</f>
        <v>398.06906885887832</v>
      </c>
      <c r="Y9" s="187">
        <f>-PMT(Rate_of_Return,10,X9)</f>
        <v>57.095980685590938</v>
      </c>
      <c r="Z9" s="40"/>
      <c r="AA9" s="40"/>
    </row>
    <row r="10" spans="2:30" x14ac:dyDescent="0.35">
      <c r="C10" s="102"/>
      <c r="D10" s="102"/>
      <c r="E10" s="102"/>
      <c r="F10" s="111"/>
      <c r="G10" s="111"/>
      <c r="H10" s="111"/>
      <c r="I10" s="111"/>
      <c r="J10" s="111"/>
      <c r="K10" s="111"/>
      <c r="L10" s="111"/>
      <c r="M10" s="111"/>
      <c r="N10" s="111"/>
      <c r="O10" s="111"/>
      <c r="P10" s="107"/>
      <c r="Q10" s="107"/>
      <c r="R10" s="107"/>
      <c r="U10" s="108"/>
      <c r="V10" s="40"/>
      <c r="X10" s="32"/>
      <c r="Y10" s="32"/>
      <c r="Z10" s="40"/>
      <c r="AA10" s="40"/>
    </row>
    <row r="11" spans="2:30" x14ac:dyDescent="0.35">
      <c r="C11" s="53" t="s">
        <v>58</v>
      </c>
      <c r="F11" s="192">
        <v>1</v>
      </c>
      <c r="G11" s="192">
        <v>2</v>
      </c>
      <c r="H11" s="192">
        <v>3</v>
      </c>
      <c r="I11" s="192">
        <v>4</v>
      </c>
      <c r="J11" s="192">
        <v>5</v>
      </c>
      <c r="K11" s="192">
        <v>6</v>
      </c>
      <c r="L11" s="192">
        <v>7</v>
      </c>
      <c r="M11" s="192">
        <v>8</v>
      </c>
      <c r="N11" s="192">
        <v>9</v>
      </c>
      <c r="O11" s="192">
        <v>10</v>
      </c>
      <c r="P11" s="192">
        <v>11</v>
      </c>
      <c r="Q11" s="192">
        <v>12</v>
      </c>
      <c r="R11" s="107"/>
      <c r="U11" s="108"/>
      <c r="V11" s="40"/>
      <c r="X11" s="40"/>
      <c r="Y11" s="40"/>
      <c r="Z11" s="40"/>
      <c r="AA11" s="40"/>
    </row>
    <row r="12" spans="2:30" x14ac:dyDescent="0.35">
      <c r="C12" s="102"/>
      <c r="D12" s="100"/>
      <c r="E12" s="102"/>
      <c r="F12" s="112">
        <f>'Energy Prices'!$C$6</f>
        <v>2025</v>
      </c>
      <c r="G12" s="112">
        <f>F12+1</f>
        <v>2026</v>
      </c>
      <c r="H12" s="112">
        <f>G12+1</f>
        <v>2027</v>
      </c>
      <c r="I12" s="112">
        <f t="shared" ref="I12:O12" si="2">H12+1</f>
        <v>2028</v>
      </c>
      <c r="J12" s="112">
        <f t="shared" si="2"/>
        <v>2029</v>
      </c>
      <c r="K12" s="112">
        <f t="shared" si="2"/>
        <v>2030</v>
      </c>
      <c r="L12" s="112">
        <f t="shared" si="2"/>
        <v>2031</v>
      </c>
      <c r="M12" s="112">
        <f t="shared" si="2"/>
        <v>2032</v>
      </c>
      <c r="N12" s="112">
        <f t="shared" si="2"/>
        <v>2033</v>
      </c>
      <c r="O12" s="112">
        <f t="shared" si="2"/>
        <v>2034</v>
      </c>
      <c r="P12" s="112">
        <f t="shared" ref="P12:Q12" si="3">O12+1</f>
        <v>2035</v>
      </c>
      <c r="Q12" s="112">
        <f t="shared" si="3"/>
        <v>2036</v>
      </c>
      <c r="R12" s="107"/>
      <c r="U12" s="108"/>
      <c r="V12" s="190"/>
      <c r="X12" s="188" t="s">
        <v>76</v>
      </c>
      <c r="Y12" s="32"/>
      <c r="Z12" s="108"/>
      <c r="AA12" s="108"/>
    </row>
    <row r="13" spans="2:30" ht="53.15" customHeight="1" x14ac:dyDescent="0.35">
      <c r="B13" s="102"/>
      <c r="C13" s="193" t="s">
        <v>94</v>
      </c>
      <c r="D13" s="102"/>
      <c r="F13" s="144">
        <f>F$9*F$20</f>
        <v>51.682745531396179</v>
      </c>
      <c r="G13" s="145">
        <f t="shared" ref="G13:O13" si="4">G$9*G$20</f>
        <v>52.974814169681075</v>
      </c>
      <c r="H13" s="146">
        <f t="shared" si="4"/>
        <v>54.299184523923095</v>
      </c>
      <c r="I13" s="146">
        <f t="shared" si="4"/>
        <v>55.656664137021167</v>
      </c>
      <c r="J13" s="146">
        <f t="shared" si="4"/>
        <v>57.0480807404467</v>
      </c>
      <c r="K13" s="146">
        <f t="shared" si="4"/>
        <v>58.474282758957862</v>
      </c>
      <c r="L13" s="146">
        <f t="shared" si="4"/>
        <v>59.936139827931804</v>
      </c>
      <c r="M13" s="146">
        <f t="shared" si="4"/>
        <v>61.434543323630088</v>
      </c>
      <c r="N13" s="146">
        <f t="shared" si="4"/>
        <v>62.970406906720839</v>
      </c>
      <c r="O13" s="146">
        <f t="shared" si="4"/>
        <v>64.544667079388844</v>
      </c>
      <c r="P13" s="189">
        <f>O13*1.025</f>
        <v>66.158283756373564</v>
      </c>
      <c r="Q13" s="189">
        <f>P13*1.025</f>
        <v>67.81224085028289</v>
      </c>
      <c r="R13" s="107"/>
      <c r="U13" s="108"/>
      <c r="V13" s="114"/>
      <c r="X13" s="187">
        <f>NPV(Rate_of_Return,F13:O13)</f>
        <v>398.0690688588785</v>
      </c>
      <c r="Y13" s="187">
        <f>-PMT(Rate_of_Return,10,X13)</f>
        <v>57.095980685590959</v>
      </c>
      <c r="Z13" s="114"/>
      <c r="AA13" s="114"/>
      <c r="AD13" s="115"/>
    </row>
    <row r="14" spans="2:30" x14ac:dyDescent="0.35">
      <c r="C14" s="113"/>
      <c r="E14" s="116"/>
      <c r="F14" s="114"/>
      <c r="G14" s="114"/>
      <c r="H14" s="114"/>
      <c r="I14" s="114"/>
      <c r="J14" s="114"/>
      <c r="K14" s="114"/>
      <c r="L14" s="114"/>
      <c r="M14" s="114"/>
      <c r="N14" s="114"/>
      <c r="O14" s="114"/>
      <c r="P14" s="107"/>
      <c r="Q14" s="107"/>
      <c r="R14" s="107"/>
      <c r="U14" s="108"/>
      <c r="V14" s="114"/>
      <c r="X14" s="108"/>
      <c r="Y14" s="108"/>
      <c r="Z14" s="108"/>
      <c r="AA14" s="108"/>
      <c r="AB14" s="107"/>
      <c r="AC14" s="102"/>
    </row>
    <row r="15" spans="2:30" x14ac:dyDescent="0.35">
      <c r="C15" s="117"/>
      <c r="E15" s="116"/>
      <c r="F15" s="114"/>
      <c r="G15" s="114"/>
      <c r="H15" s="114"/>
      <c r="I15" s="114"/>
      <c r="J15" s="114"/>
      <c r="K15" s="114"/>
      <c r="L15" s="114"/>
      <c r="M15" s="114"/>
      <c r="N15" s="114"/>
      <c r="O15" s="114"/>
      <c r="P15" s="107"/>
      <c r="Q15" s="107"/>
      <c r="R15" s="107"/>
      <c r="U15" s="108"/>
      <c r="V15" s="114"/>
      <c r="X15" s="108"/>
      <c r="Y15" s="108"/>
      <c r="Z15" s="108"/>
      <c r="AA15" s="108"/>
      <c r="AB15" s="108"/>
    </row>
    <row r="16" spans="2:30" x14ac:dyDescent="0.35">
      <c r="C16" s="53" t="s">
        <v>10</v>
      </c>
      <c r="P16" s="107"/>
      <c r="Q16" s="107"/>
      <c r="R16" s="107"/>
      <c r="U16" s="108"/>
    </row>
    <row r="17" spans="2:27" x14ac:dyDescent="0.35">
      <c r="P17" s="107"/>
      <c r="Q17" s="107"/>
      <c r="R17" s="107"/>
      <c r="U17" s="108"/>
    </row>
    <row r="18" spans="2:27" x14ac:dyDescent="0.35">
      <c r="C18" s="102"/>
      <c r="D18" s="102"/>
      <c r="E18" s="102"/>
      <c r="F18" s="102"/>
      <c r="G18" s="102"/>
      <c r="H18" s="102"/>
      <c r="I18" s="102"/>
      <c r="J18" s="102"/>
      <c r="K18" s="102"/>
      <c r="L18" s="102"/>
      <c r="M18" s="102"/>
      <c r="N18" s="102"/>
      <c r="O18" s="102"/>
      <c r="P18" s="107"/>
      <c r="Q18" s="107"/>
      <c r="R18" s="107"/>
      <c r="U18" s="108"/>
      <c r="X18" s="188" t="s">
        <v>76</v>
      </c>
      <c r="Y18" s="102"/>
    </row>
    <row r="19" spans="2:27" x14ac:dyDescent="0.35">
      <c r="C19" s="109" t="s">
        <v>11</v>
      </c>
      <c r="D19" s="109"/>
      <c r="E19" s="109"/>
      <c r="F19" s="128">
        <v>100</v>
      </c>
      <c r="G19" s="128">
        <f t="shared" ref="G19:O19" si="5">F19*1.025</f>
        <v>102.49999999999999</v>
      </c>
      <c r="H19" s="128">
        <f t="shared" si="5"/>
        <v>105.06249999999997</v>
      </c>
      <c r="I19" s="128">
        <f t="shared" si="5"/>
        <v>107.68906249999996</v>
      </c>
      <c r="J19" s="128">
        <f t="shared" si="5"/>
        <v>110.38128906249996</v>
      </c>
      <c r="K19" s="128">
        <f t="shared" si="5"/>
        <v>113.14082128906244</v>
      </c>
      <c r="L19" s="128">
        <f t="shared" si="5"/>
        <v>115.96934182128899</v>
      </c>
      <c r="M19" s="128">
        <f t="shared" si="5"/>
        <v>118.8685753668212</v>
      </c>
      <c r="N19" s="128">
        <f t="shared" si="5"/>
        <v>121.84028975099173</v>
      </c>
      <c r="O19" s="128">
        <f t="shared" si="5"/>
        <v>124.88629699476651</v>
      </c>
      <c r="P19" s="107"/>
      <c r="Q19" s="107"/>
      <c r="R19" s="107"/>
      <c r="U19" s="108"/>
      <c r="V19" s="118"/>
      <c r="X19" s="148">
        <f>NPV(Rate_of_Return,F19:O19)</f>
        <v>770.2165679589524</v>
      </c>
      <c r="Y19" s="148">
        <f>-PMT(Rate_of_Return,10,X19)</f>
        <v>110.47396979114887</v>
      </c>
      <c r="Z19" s="108"/>
      <c r="AA19" s="108"/>
    </row>
    <row r="20" spans="2:27" x14ac:dyDescent="0.35">
      <c r="C20" s="131" t="s">
        <v>12</v>
      </c>
      <c r="D20" s="131"/>
      <c r="E20" s="131"/>
      <c r="F20" s="132">
        <f t="shared" ref="F20:O20" si="6">F19/$Y$19</f>
        <v>0.90519060905523785</v>
      </c>
      <c r="G20" s="132">
        <f t="shared" si="6"/>
        <v>0.92782037428161868</v>
      </c>
      <c r="H20" s="132">
        <f t="shared" si="6"/>
        <v>0.95101588363865908</v>
      </c>
      <c r="I20" s="132">
        <f t="shared" si="6"/>
        <v>0.9747912807296254</v>
      </c>
      <c r="J20" s="132">
        <f t="shared" si="6"/>
        <v>0.99916106274786609</v>
      </c>
      <c r="K20" s="132">
        <f t="shared" si="6"/>
        <v>1.0241400893165626</v>
      </c>
      <c r="L20" s="132">
        <f t="shared" si="6"/>
        <v>1.0497435915494766</v>
      </c>
      <c r="M20" s="132">
        <f t="shared" si="6"/>
        <v>1.0759871813382134</v>
      </c>
      <c r="N20" s="132">
        <f t="shared" si="6"/>
        <v>1.1028868608716687</v>
      </c>
      <c r="O20" s="132">
        <f t="shared" si="6"/>
        <v>1.1304590323934602</v>
      </c>
      <c r="P20" s="107"/>
      <c r="Q20" s="107"/>
      <c r="R20" s="107"/>
      <c r="U20" s="108"/>
      <c r="V20" s="119"/>
      <c r="X20" s="147">
        <f>NPV(Rate_of_Return,F20:O20)</f>
        <v>6.9719280425519923</v>
      </c>
      <c r="Y20" s="147">
        <f>-PMT(Rate_of_Return,10,X20)</f>
        <v>1.0000000000000002</v>
      </c>
      <c r="Z20" s="108"/>
      <c r="AA20" s="108"/>
    </row>
    <row r="21" spans="2:27" x14ac:dyDescent="0.35">
      <c r="C21" s="102"/>
      <c r="D21" s="102"/>
      <c r="E21" s="129"/>
      <c r="F21" s="129"/>
      <c r="G21" s="129"/>
      <c r="H21" s="129"/>
      <c r="I21" s="129"/>
      <c r="J21" s="129"/>
      <c r="K21" s="129"/>
      <c r="L21" s="129"/>
      <c r="M21" s="130"/>
      <c r="N21" s="130"/>
      <c r="O21" s="130"/>
      <c r="P21" s="107"/>
      <c r="Q21" s="107"/>
      <c r="R21" s="107"/>
      <c r="S21" s="107"/>
      <c r="T21" s="107"/>
      <c r="U21" s="108"/>
      <c r="W21" s="102"/>
      <c r="X21" s="102"/>
    </row>
    <row r="22" spans="2:27" x14ac:dyDescent="0.35">
      <c r="B22" s="120" t="s">
        <v>13</v>
      </c>
      <c r="C22" s="121"/>
      <c r="D22" s="122"/>
      <c r="E22" s="122"/>
      <c r="F22" s="122"/>
      <c r="G22" s="122"/>
      <c r="H22" s="122"/>
      <c r="I22" s="122"/>
      <c r="J22" s="122"/>
      <c r="K22" s="122"/>
      <c r="L22" s="122"/>
      <c r="M22" s="122"/>
      <c r="N22" s="122"/>
      <c r="O22" s="122"/>
      <c r="Y22" s="117"/>
    </row>
    <row r="23" spans="2:27" x14ac:dyDescent="0.35">
      <c r="B23" s="123">
        <v>1</v>
      </c>
      <c r="C23" s="274" t="s">
        <v>111</v>
      </c>
      <c r="D23" s="122"/>
      <c r="E23" s="122"/>
      <c r="F23" s="122"/>
      <c r="G23" s="122"/>
      <c r="H23" s="122"/>
      <c r="I23" s="122"/>
      <c r="J23" s="122"/>
      <c r="K23" s="122"/>
      <c r="L23" s="122"/>
      <c r="M23" s="122"/>
      <c r="N23" s="122"/>
      <c r="O23" s="122"/>
      <c r="Y23" s="113"/>
    </row>
    <row r="24" spans="2:27" x14ac:dyDescent="0.35">
      <c r="B24" s="123">
        <v>2</v>
      </c>
      <c r="C24" s="122" t="s">
        <v>177</v>
      </c>
      <c r="D24" s="122"/>
      <c r="E24" s="122"/>
      <c r="F24" s="122"/>
      <c r="G24" s="122"/>
      <c r="H24" s="122"/>
      <c r="I24" s="122"/>
      <c r="J24" s="122"/>
      <c r="K24" s="122"/>
      <c r="L24" s="122"/>
      <c r="M24" s="122"/>
      <c r="N24" s="122"/>
      <c r="O24" s="122"/>
      <c r="Y24" s="114"/>
    </row>
    <row r="25" spans="2:27" x14ac:dyDescent="0.35">
      <c r="B25" s="123">
        <v>3</v>
      </c>
      <c r="C25" s="122" t="s">
        <v>47</v>
      </c>
      <c r="D25" s="122"/>
      <c r="E25" s="122"/>
      <c r="F25" s="122"/>
      <c r="G25" s="122"/>
      <c r="H25" s="122"/>
      <c r="I25" s="122"/>
      <c r="J25" s="122"/>
      <c r="K25" s="122"/>
      <c r="L25" s="122"/>
      <c r="M25" s="122"/>
      <c r="N25" s="122"/>
      <c r="O25" s="122"/>
      <c r="Y25" s="124"/>
    </row>
    <row r="26" spans="2:27" x14ac:dyDescent="0.35">
      <c r="B26" s="123">
        <v>4</v>
      </c>
      <c r="C26" s="122" t="s">
        <v>124</v>
      </c>
      <c r="D26" s="122"/>
      <c r="E26" s="122"/>
      <c r="F26" s="122"/>
      <c r="G26" s="122"/>
      <c r="H26" s="122"/>
      <c r="I26" s="122"/>
      <c r="J26" s="122"/>
      <c r="K26" s="122"/>
      <c r="L26" s="122"/>
      <c r="M26" s="122"/>
      <c r="N26" s="122"/>
      <c r="O26" s="122"/>
      <c r="Y26" s="124"/>
    </row>
    <row r="27" spans="2:27" x14ac:dyDescent="0.35">
      <c r="B27" s="123">
        <v>5</v>
      </c>
      <c r="C27" s="122" t="s">
        <v>81</v>
      </c>
      <c r="D27" s="122"/>
      <c r="E27" s="122"/>
      <c r="F27" s="122"/>
      <c r="G27" s="122"/>
      <c r="H27" s="122"/>
      <c r="I27" s="122"/>
      <c r="J27" s="122"/>
      <c r="K27" s="122"/>
      <c r="L27" s="122"/>
      <c r="M27" s="122"/>
      <c r="N27" s="122"/>
      <c r="O27" s="122"/>
      <c r="Y27" s="113"/>
    </row>
    <row r="28" spans="2:27" x14ac:dyDescent="0.35">
      <c r="B28" s="123">
        <v>6</v>
      </c>
      <c r="C28" s="122" t="s">
        <v>82</v>
      </c>
      <c r="D28" s="122"/>
      <c r="E28" s="122"/>
      <c r="F28" s="122"/>
      <c r="G28" s="122"/>
      <c r="H28" s="122"/>
      <c r="I28" s="122"/>
      <c r="J28" s="122"/>
      <c r="K28" s="122"/>
      <c r="L28" s="122"/>
      <c r="M28" s="122"/>
      <c r="N28" s="122"/>
      <c r="O28" s="122"/>
      <c r="Y28" s="114"/>
    </row>
    <row r="29" spans="2:27" x14ac:dyDescent="0.35">
      <c r="B29" s="123">
        <v>7</v>
      </c>
      <c r="C29" s="122" t="s">
        <v>83</v>
      </c>
      <c r="D29" s="122"/>
      <c r="E29" s="122"/>
      <c r="F29" s="122"/>
      <c r="G29" s="122"/>
      <c r="H29" s="122"/>
      <c r="I29" s="122"/>
      <c r="J29" s="122"/>
      <c r="K29" s="122"/>
      <c r="L29" s="122"/>
      <c r="M29" s="122"/>
      <c r="N29" s="122"/>
      <c r="O29" s="122"/>
      <c r="P29" s="122"/>
      <c r="Q29" s="122"/>
    </row>
    <row r="30" spans="2:27" x14ac:dyDescent="0.35">
      <c r="B30" s="123">
        <v>8</v>
      </c>
      <c r="C30" s="122" t="s">
        <v>53</v>
      </c>
      <c r="D30" s="122"/>
      <c r="E30" s="122"/>
      <c r="F30" s="122"/>
      <c r="G30" s="122"/>
      <c r="H30" s="122"/>
      <c r="I30" s="122"/>
      <c r="J30" s="122"/>
      <c r="K30" s="122"/>
      <c r="L30" s="122"/>
      <c r="M30" s="122"/>
      <c r="N30" s="122"/>
      <c r="O30" s="122"/>
      <c r="P30" s="122"/>
      <c r="Q30" s="122"/>
    </row>
    <row r="31" spans="2:27" x14ac:dyDescent="0.35">
      <c r="B31" s="123">
        <v>9</v>
      </c>
      <c r="C31" s="122" t="s">
        <v>84</v>
      </c>
      <c r="D31" s="122"/>
      <c r="E31" s="122"/>
      <c r="F31" s="122"/>
      <c r="G31" s="122"/>
      <c r="H31" s="122"/>
      <c r="I31" s="122"/>
      <c r="J31" s="122"/>
      <c r="K31" s="122"/>
      <c r="L31" s="122"/>
      <c r="M31" s="122"/>
      <c r="N31" s="122"/>
      <c r="O31" s="122"/>
      <c r="P31" s="122"/>
      <c r="Q31" s="122"/>
    </row>
    <row r="32" spans="2:27" x14ac:dyDescent="0.35">
      <c r="B32" s="123">
        <v>10</v>
      </c>
      <c r="C32" s="53" t="s">
        <v>85</v>
      </c>
    </row>
    <row r="33" spans="2:20" x14ac:dyDescent="0.35">
      <c r="B33" s="123">
        <v>11</v>
      </c>
      <c r="C33" s="53" t="s">
        <v>105</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13" workbookViewId="0">
      <selection activeCell="C25" sqref="C25"/>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30" width="12.453125" style="53" customWidth="1"/>
    <col min="31" max="16384" width="9.1796875" style="53"/>
  </cols>
  <sheetData>
    <row r="2" spans="2:31" ht="19.5" customHeight="1" x14ac:dyDescent="0.35">
      <c r="C2" s="197" t="s">
        <v>86</v>
      </c>
      <c r="D2" s="197"/>
      <c r="E2" s="197"/>
      <c r="F2" s="197"/>
      <c r="G2" s="197"/>
      <c r="H2" s="197"/>
      <c r="I2" s="197"/>
      <c r="J2" s="197"/>
      <c r="K2" s="197"/>
      <c r="L2" s="197"/>
    </row>
    <row r="3" spans="2:31" x14ac:dyDescent="0.35">
      <c r="C3" s="42" t="s">
        <v>87</v>
      </c>
    </row>
    <row r="4" spans="2:31" s="99" customFormat="1" ht="46.5" x14ac:dyDescent="0.35">
      <c r="B4" s="98"/>
      <c r="C4" s="133" t="s">
        <v>0</v>
      </c>
      <c r="D4" s="133"/>
      <c r="E4" s="133" t="s">
        <v>1</v>
      </c>
      <c r="F4" s="133" t="s">
        <v>2</v>
      </c>
      <c r="G4" s="133" t="s">
        <v>3</v>
      </c>
      <c r="H4" s="133" t="s">
        <v>4</v>
      </c>
      <c r="I4" s="133" t="s">
        <v>5</v>
      </c>
      <c r="J4" s="133" t="s">
        <v>6</v>
      </c>
      <c r="K4" s="133" t="s">
        <v>7</v>
      </c>
      <c r="L4" s="134" t="s">
        <v>14</v>
      </c>
      <c r="M4" s="134"/>
    </row>
    <row r="5" spans="2:31" x14ac:dyDescent="0.35">
      <c r="C5" s="136"/>
      <c r="D5" s="137"/>
      <c r="E5" s="138">
        <v>15</v>
      </c>
      <c r="F5" s="277">
        <f>+'Capacity Delivered'!$G$5</f>
        <v>1</v>
      </c>
      <c r="G5" s="139" t="s">
        <v>8</v>
      </c>
      <c r="H5" s="140">
        <f>'Electric EES CE Std Energy'!D23</f>
        <v>4.6081468571412945E-2</v>
      </c>
      <c r="I5" s="141">
        <f>'Baseload Avoided Capacity Calcs'!X21</f>
        <v>1.548972602739725E-2</v>
      </c>
      <c r="J5" s="141">
        <f>H5+I5</f>
        <v>6.1571194598810192E-2</v>
      </c>
      <c r="K5" s="142">
        <f>J5</f>
        <v>6.1571194598810192E-2</v>
      </c>
      <c r="L5" s="143">
        <f>K5*1000</f>
        <v>61.571194598810195</v>
      </c>
      <c r="M5" s="127"/>
    </row>
    <row r="6" spans="2:31" x14ac:dyDescent="0.35">
      <c r="C6" s="135"/>
      <c r="D6" s="135"/>
      <c r="E6" s="102"/>
      <c r="F6" s="102"/>
      <c r="G6" s="102"/>
      <c r="H6" s="32">
        <f>H5*1000</f>
        <v>46.081468571412948</v>
      </c>
      <c r="I6" s="32">
        <f t="shared" ref="I6:K6" si="0">I5*1000</f>
        <v>15.48972602739725</v>
      </c>
      <c r="J6" s="32">
        <f t="shared" si="0"/>
        <v>61.571194598810195</v>
      </c>
      <c r="K6" s="32">
        <f t="shared" si="0"/>
        <v>61.571194598810195</v>
      </c>
      <c r="L6" s="104">
        <f>L5*(1-M6)</f>
        <v>59.724058760845885</v>
      </c>
      <c r="M6" s="224">
        <v>0.03</v>
      </c>
      <c r="N6" s="105" t="s">
        <v>40</v>
      </c>
    </row>
    <row r="7" spans="2:31" x14ac:dyDescent="0.35">
      <c r="C7" s="106"/>
      <c r="D7" s="103"/>
      <c r="H7" s="40"/>
      <c r="I7" s="101"/>
      <c r="J7" s="40"/>
      <c r="K7" s="101"/>
      <c r="L7" s="101"/>
      <c r="M7" s="102"/>
    </row>
    <row r="8" spans="2:31" x14ac:dyDescent="0.35">
      <c r="C8" s="102"/>
      <c r="D8" s="102"/>
      <c r="E8" s="102"/>
      <c r="F8" s="102"/>
      <c r="G8" s="102"/>
      <c r="H8" s="107"/>
      <c r="I8" s="107"/>
      <c r="J8" s="107"/>
      <c r="K8" s="107"/>
      <c r="L8" s="107"/>
      <c r="M8" s="107"/>
      <c r="N8" s="107"/>
      <c r="O8" s="107"/>
      <c r="P8" s="107"/>
      <c r="Q8" s="107"/>
      <c r="R8" s="107"/>
      <c r="S8" s="107"/>
      <c r="T8" s="107"/>
      <c r="U8" s="108"/>
      <c r="V8" s="108"/>
      <c r="W8" s="108"/>
      <c r="X8" s="188" t="s">
        <v>76</v>
      </c>
      <c r="Y8" s="108"/>
      <c r="Z8" s="108"/>
      <c r="AA8" s="108"/>
      <c r="AB8" s="108"/>
      <c r="AC8" s="107"/>
      <c r="AD8" s="102"/>
    </row>
    <row r="9" spans="2:31" x14ac:dyDescent="0.35">
      <c r="C9" s="109" t="s">
        <v>9</v>
      </c>
      <c r="D9" s="109"/>
      <c r="E9" s="109"/>
      <c r="F9" s="110">
        <f>+L6</f>
        <v>59.724058760845885</v>
      </c>
      <c r="G9" s="110">
        <f t="shared" ref="G9:T9" si="1">F9</f>
        <v>59.724058760845885</v>
      </c>
      <c r="H9" s="110">
        <f t="shared" si="1"/>
        <v>59.724058760845885</v>
      </c>
      <c r="I9" s="110">
        <f t="shared" si="1"/>
        <v>59.724058760845885</v>
      </c>
      <c r="J9" s="110">
        <f t="shared" si="1"/>
        <v>59.724058760845885</v>
      </c>
      <c r="K9" s="110">
        <f t="shared" si="1"/>
        <v>59.724058760845885</v>
      </c>
      <c r="L9" s="110">
        <f t="shared" si="1"/>
        <v>59.724058760845885</v>
      </c>
      <c r="M9" s="110">
        <f t="shared" si="1"/>
        <v>59.724058760845885</v>
      </c>
      <c r="N9" s="110">
        <f t="shared" si="1"/>
        <v>59.724058760845885</v>
      </c>
      <c r="O9" s="110">
        <f t="shared" si="1"/>
        <v>59.724058760845885</v>
      </c>
      <c r="P9" s="110">
        <f t="shared" si="1"/>
        <v>59.724058760845885</v>
      </c>
      <c r="Q9" s="110">
        <f t="shared" si="1"/>
        <v>59.724058760845885</v>
      </c>
      <c r="R9" s="110">
        <f t="shared" si="1"/>
        <v>59.724058760845885</v>
      </c>
      <c r="S9" s="110">
        <f t="shared" si="1"/>
        <v>59.724058760845885</v>
      </c>
      <c r="T9" s="110">
        <f t="shared" si="1"/>
        <v>59.724058760845885</v>
      </c>
      <c r="U9" s="40"/>
      <c r="V9" s="40"/>
      <c r="W9" s="40"/>
      <c r="X9" s="187">
        <f>NPV(Rate_of_Return,F9:T9)</f>
        <v>538.50679511671558</v>
      </c>
      <c r="Y9" s="187">
        <f>-PMT(Rate_of_Return,15,X9)</f>
        <v>59.72405876084585</v>
      </c>
      <c r="Z9" s="40"/>
      <c r="AA9" s="40"/>
      <c r="AB9" s="40"/>
    </row>
    <row r="10" spans="2:31" x14ac:dyDescent="0.3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c r="AB10" s="40"/>
    </row>
    <row r="11" spans="2:31" x14ac:dyDescent="0.35">
      <c r="C11" s="53" t="s">
        <v>58</v>
      </c>
      <c r="F11" s="192">
        <v>1</v>
      </c>
      <c r="G11" s="192">
        <v>2</v>
      </c>
      <c r="H11" s="192">
        <v>3</v>
      </c>
      <c r="I11" s="192">
        <v>4</v>
      </c>
      <c r="J11" s="192">
        <v>5</v>
      </c>
      <c r="K11" s="192">
        <v>6</v>
      </c>
      <c r="L11" s="192">
        <v>7</v>
      </c>
      <c r="M11" s="192">
        <v>8</v>
      </c>
      <c r="N11" s="192">
        <v>9</v>
      </c>
      <c r="O11" s="192">
        <v>10</v>
      </c>
      <c r="P11" s="192">
        <v>11</v>
      </c>
      <c r="Q11" s="192">
        <v>12</v>
      </c>
      <c r="R11" s="192">
        <v>13</v>
      </c>
      <c r="S11" s="192">
        <v>14</v>
      </c>
      <c r="T11" s="192">
        <v>15</v>
      </c>
      <c r="U11" s="192">
        <v>16</v>
      </c>
      <c r="V11" s="192">
        <v>17</v>
      </c>
      <c r="W11" s="40"/>
      <c r="X11" s="40"/>
      <c r="Y11" s="40"/>
      <c r="Z11" s="40"/>
      <c r="AA11" s="40"/>
      <c r="AB11" s="40"/>
    </row>
    <row r="12" spans="2:31" x14ac:dyDescent="0.35">
      <c r="C12" s="102"/>
      <c r="D12" s="100"/>
      <c r="E12" s="102"/>
      <c r="F12" s="112">
        <f>'Energy Prices'!$C$6</f>
        <v>2025</v>
      </c>
      <c r="G12" s="112">
        <f>F12+1</f>
        <v>2026</v>
      </c>
      <c r="H12" s="112">
        <f>G12+1</f>
        <v>2027</v>
      </c>
      <c r="I12" s="112">
        <f t="shared" ref="I12:T12" si="2">H12+1</f>
        <v>2028</v>
      </c>
      <c r="J12" s="112">
        <f t="shared" si="2"/>
        <v>2029</v>
      </c>
      <c r="K12" s="112">
        <f t="shared" si="2"/>
        <v>2030</v>
      </c>
      <c r="L12" s="112">
        <f t="shared" si="2"/>
        <v>2031</v>
      </c>
      <c r="M12" s="112">
        <f t="shared" si="2"/>
        <v>2032</v>
      </c>
      <c r="N12" s="112">
        <f t="shared" si="2"/>
        <v>2033</v>
      </c>
      <c r="O12" s="112">
        <f t="shared" si="2"/>
        <v>2034</v>
      </c>
      <c r="P12" s="112">
        <f t="shared" si="2"/>
        <v>2035</v>
      </c>
      <c r="Q12" s="112">
        <f t="shared" si="2"/>
        <v>2036</v>
      </c>
      <c r="R12" s="112">
        <f t="shared" si="2"/>
        <v>2037</v>
      </c>
      <c r="S12" s="112">
        <f t="shared" si="2"/>
        <v>2038</v>
      </c>
      <c r="T12" s="112">
        <f t="shared" si="2"/>
        <v>2039</v>
      </c>
      <c r="U12" s="112">
        <f>T12+1</f>
        <v>2040</v>
      </c>
      <c r="V12" s="112">
        <f>U12+1</f>
        <v>2041</v>
      </c>
      <c r="W12" s="190"/>
      <c r="X12" s="188" t="s">
        <v>76</v>
      </c>
      <c r="Y12" s="32"/>
      <c r="Z12" s="108"/>
      <c r="AA12" s="108"/>
      <c r="AB12" s="108"/>
    </row>
    <row r="13" spans="2:31" ht="52.5" customHeight="1" x14ac:dyDescent="0.35">
      <c r="B13" s="102"/>
      <c r="C13" s="193" t="s">
        <v>94</v>
      </c>
      <c r="D13" s="102"/>
      <c r="F13" s="144">
        <f>F$9*F$20</f>
        <v>51.559855319412939</v>
      </c>
      <c r="G13" s="145">
        <f t="shared" ref="G13:T13" si="3">G$9*G$20</f>
        <v>52.84885170239825</v>
      </c>
      <c r="H13" s="146">
        <f t="shared" si="3"/>
        <v>54.170072994958197</v>
      </c>
      <c r="I13" s="146">
        <f t="shared" si="3"/>
        <v>55.524324819832152</v>
      </c>
      <c r="J13" s="146">
        <f t="shared" si="3"/>
        <v>56.912432940327953</v>
      </c>
      <c r="K13" s="146">
        <f t="shared" si="3"/>
        <v>58.335243763836147</v>
      </c>
      <c r="L13" s="146">
        <f t="shared" si="3"/>
        <v>59.793624857932045</v>
      </c>
      <c r="M13" s="146">
        <f t="shared" si="3"/>
        <v>61.288465479380335</v>
      </c>
      <c r="N13" s="146">
        <f t="shared" si="3"/>
        <v>62.820677116364841</v>
      </c>
      <c r="O13" s="146">
        <f t="shared" si="3"/>
        <v>64.391194044273959</v>
      </c>
      <c r="P13" s="146">
        <f t="shared" si="3"/>
        <v>66.000973895380795</v>
      </c>
      <c r="Q13" s="146">
        <f t="shared" si="3"/>
        <v>67.650998242765311</v>
      </c>
      <c r="R13" s="146">
        <f t="shared" si="3"/>
        <v>69.342273198834434</v>
      </c>
      <c r="S13" s="146">
        <f t="shared" si="3"/>
        <v>71.075830028805285</v>
      </c>
      <c r="T13" s="146">
        <f t="shared" si="3"/>
        <v>72.852725779525414</v>
      </c>
      <c r="U13" s="189">
        <f>T13*1.025</f>
        <v>74.674043924013546</v>
      </c>
      <c r="V13" s="189">
        <f>U13*1.025</f>
        <v>76.540895022113872</v>
      </c>
      <c r="W13" s="114"/>
      <c r="X13" s="187">
        <f>NPV(Rate_of_Return,F13:T13)</f>
        <v>538.50679511671581</v>
      </c>
      <c r="Y13" s="187">
        <f>-PMT(Rate_of_Return,15,X13)</f>
        <v>59.724058760845871</v>
      </c>
      <c r="Z13" s="114"/>
      <c r="AA13" s="114"/>
      <c r="AB13" s="114"/>
      <c r="AE13" s="115"/>
    </row>
    <row r="14" spans="2:31" x14ac:dyDescent="0.3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c r="AB14" s="108"/>
      <c r="AC14" s="107"/>
      <c r="AD14" s="102"/>
    </row>
    <row r="15" spans="2:31" x14ac:dyDescent="0.35">
      <c r="C15" s="117"/>
      <c r="E15" s="116"/>
      <c r="F15" s="114"/>
      <c r="G15" s="114"/>
      <c r="H15" s="114"/>
      <c r="I15" s="114"/>
      <c r="J15" s="114"/>
      <c r="K15" s="114"/>
      <c r="L15" s="114"/>
      <c r="M15" s="114"/>
      <c r="N15" s="114"/>
      <c r="O15" s="114"/>
      <c r="P15" s="114"/>
      <c r="Q15" s="114"/>
      <c r="R15" s="114"/>
      <c r="S15" s="114"/>
      <c r="T15" s="114"/>
      <c r="U15" s="114"/>
      <c r="V15" s="114"/>
      <c r="W15" s="114"/>
      <c r="X15" s="108"/>
      <c r="Y15" s="108"/>
      <c r="Z15" s="108"/>
      <c r="AA15" s="108"/>
      <c r="AB15" s="108"/>
      <c r="AC15" s="108"/>
    </row>
    <row r="16" spans="2:31" x14ac:dyDescent="0.35">
      <c r="C16" s="53" t="s">
        <v>10</v>
      </c>
      <c r="Q16" s="108"/>
      <c r="R16" s="108"/>
    </row>
    <row r="17" spans="2:28" x14ac:dyDescent="0.35">
      <c r="Q17" s="108"/>
      <c r="R17" s="108"/>
    </row>
    <row r="18" spans="2:28" x14ac:dyDescent="0.35">
      <c r="C18" s="102"/>
      <c r="D18" s="102"/>
      <c r="E18" s="102"/>
      <c r="F18" s="102"/>
      <c r="G18" s="102"/>
      <c r="H18" s="102"/>
      <c r="I18" s="102"/>
      <c r="J18" s="102"/>
      <c r="K18" s="102"/>
      <c r="L18" s="102"/>
      <c r="M18" s="102"/>
      <c r="N18" s="102"/>
      <c r="O18" s="102"/>
      <c r="P18" s="102"/>
      <c r="Q18" s="107"/>
      <c r="R18" s="107"/>
      <c r="S18" s="102"/>
      <c r="T18" s="102"/>
      <c r="X18" s="188" t="s">
        <v>76</v>
      </c>
      <c r="Y18" s="102"/>
    </row>
    <row r="19" spans="2:28" x14ac:dyDescent="0.3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c r="AB19" s="108"/>
    </row>
    <row r="20" spans="2:28" x14ac:dyDescent="0.3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c r="AB20" s="108"/>
    </row>
    <row r="21" spans="2:28" x14ac:dyDescent="0.35">
      <c r="C21" s="102"/>
      <c r="D21" s="102"/>
      <c r="E21" s="129"/>
      <c r="F21" s="129"/>
      <c r="G21" s="129"/>
      <c r="H21" s="129"/>
      <c r="I21" s="129"/>
      <c r="J21" s="129"/>
      <c r="K21" s="129"/>
      <c r="L21" s="129"/>
      <c r="M21" s="130"/>
      <c r="N21" s="130"/>
      <c r="O21" s="130"/>
      <c r="P21" s="130"/>
      <c r="Q21" s="130"/>
      <c r="R21" s="130"/>
      <c r="S21" s="130"/>
      <c r="T21" s="130"/>
      <c r="X21" s="102"/>
      <c r="Y21" s="102"/>
    </row>
    <row r="22" spans="2:28" x14ac:dyDescent="0.35">
      <c r="B22" s="120" t="s">
        <v>13</v>
      </c>
      <c r="C22" s="121"/>
      <c r="D22" s="122"/>
      <c r="E22" s="122"/>
      <c r="F22" s="122"/>
      <c r="G22" s="122"/>
      <c r="H22" s="122"/>
      <c r="I22" s="122"/>
      <c r="J22" s="122"/>
      <c r="K22" s="122"/>
      <c r="L22" s="122"/>
      <c r="M22" s="122"/>
      <c r="N22" s="122"/>
      <c r="O22" s="122"/>
      <c r="Z22" s="117"/>
    </row>
    <row r="23" spans="2:28" x14ac:dyDescent="0.35">
      <c r="B23" s="123">
        <v>1</v>
      </c>
      <c r="C23" s="274" t="s">
        <v>111</v>
      </c>
      <c r="D23" s="122"/>
      <c r="E23" s="122"/>
      <c r="F23" s="122"/>
      <c r="G23" s="122"/>
      <c r="H23" s="122"/>
      <c r="I23" s="122"/>
      <c r="J23" s="122"/>
      <c r="K23" s="122"/>
      <c r="L23" s="122"/>
      <c r="M23" s="122"/>
      <c r="N23" s="122"/>
      <c r="O23" s="122"/>
      <c r="Z23" s="113"/>
    </row>
    <row r="24" spans="2:28" x14ac:dyDescent="0.35">
      <c r="B24" s="123">
        <v>2</v>
      </c>
      <c r="C24" s="122" t="s">
        <v>177</v>
      </c>
      <c r="D24" s="122"/>
      <c r="E24" s="122"/>
      <c r="F24" s="122"/>
      <c r="G24" s="122"/>
      <c r="H24" s="122"/>
      <c r="I24" s="122"/>
      <c r="J24" s="122"/>
      <c r="K24" s="122"/>
      <c r="L24" s="122"/>
      <c r="M24" s="122"/>
      <c r="N24" s="122"/>
      <c r="O24" s="122"/>
      <c r="Z24" s="114"/>
    </row>
    <row r="25" spans="2:28" x14ac:dyDescent="0.35">
      <c r="B25" s="123">
        <v>3</v>
      </c>
      <c r="C25" s="122" t="s">
        <v>47</v>
      </c>
      <c r="D25" s="122"/>
      <c r="E25" s="122"/>
      <c r="F25" s="122"/>
      <c r="G25" s="122"/>
      <c r="H25" s="122"/>
      <c r="I25" s="122"/>
      <c r="J25" s="122"/>
      <c r="K25" s="122"/>
      <c r="L25" s="122"/>
      <c r="M25" s="122"/>
      <c r="N25" s="122"/>
      <c r="O25" s="122"/>
      <c r="Z25" s="124"/>
    </row>
    <row r="26" spans="2:28" x14ac:dyDescent="0.35">
      <c r="B26" s="123">
        <v>4</v>
      </c>
      <c r="C26" s="122" t="s">
        <v>124</v>
      </c>
      <c r="D26" s="122"/>
      <c r="E26" s="122"/>
      <c r="F26" s="122"/>
      <c r="G26" s="122"/>
      <c r="H26" s="122"/>
      <c r="I26" s="122"/>
      <c r="J26" s="122"/>
      <c r="K26" s="122"/>
      <c r="L26" s="122"/>
      <c r="M26" s="122"/>
      <c r="N26" s="122"/>
      <c r="O26" s="122"/>
      <c r="Z26" s="124"/>
    </row>
    <row r="27" spans="2:28" x14ac:dyDescent="0.35">
      <c r="B27" s="123">
        <v>5</v>
      </c>
      <c r="C27" s="122" t="s">
        <v>81</v>
      </c>
      <c r="D27" s="122"/>
      <c r="E27" s="122"/>
      <c r="F27" s="122"/>
      <c r="G27" s="122"/>
      <c r="H27" s="122"/>
      <c r="I27" s="122"/>
      <c r="J27" s="122"/>
      <c r="K27" s="122"/>
      <c r="L27" s="122"/>
      <c r="M27" s="122"/>
      <c r="N27" s="122"/>
      <c r="O27" s="122"/>
      <c r="Z27" s="113"/>
    </row>
    <row r="28" spans="2:28" x14ac:dyDescent="0.35">
      <c r="B28" s="123">
        <v>6</v>
      </c>
      <c r="C28" s="122" t="s">
        <v>82</v>
      </c>
      <c r="D28" s="122"/>
      <c r="E28" s="122"/>
      <c r="F28" s="122"/>
      <c r="G28" s="122"/>
      <c r="H28" s="122"/>
      <c r="I28" s="122"/>
      <c r="J28" s="122"/>
      <c r="K28" s="122"/>
      <c r="L28" s="122"/>
      <c r="M28" s="122"/>
      <c r="N28" s="122"/>
      <c r="O28" s="122"/>
      <c r="Z28" s="114"/>
    </row>
    <row r="29" spans="2:28" x14ac:dyDescent="0.35">
      <c r="B29" s="123">
        <v>7</v>
      </c>
      <c r="C29" s="122" t="s">
        <v>83</v>
      </c>
      <c r="D29" s="122"/>
      <c r="E29" s="122"/>
      <c r="F29" s="122"/>
      <c r="G29" s="122"/>
      <c r="H29" s="122"/>
      <c r="I29" s="122"/>
      <c r="J29" s="122"/>
      <c r="K29" s="122"/>
      <c r="L29" s="122"/>
      <c r="M29" s="122"/>
      <c r="N29" s="122"/>
      <c r="O29" s="122"/>
      <c r="P29" s="122"/>
      <c r="Q29" s="122"/>
    </row>
    <row r="30" spans="2:28" x14ac:dyDescent="0.35">
      <c r="B30" s="123">
        <v>8</v>
      </c>
      <c r="C30" s="122" t="s">
        <v>53</v>
      </c>
      <c r="D30" s="122"/>
      <c r="E30" s="122"/>
      <c r="F30" s="122"/>
      <c r="G30" s="122"/>
      <c r="H30" s="122"/>
      <c r="I30" s="122"/>
      <c r="J30" s="122"/>
      <c r="K30" s="122"/>
      <c r="L30" s="122"/>
      <c r="M30" s="122"/>
      <c r="N30" s="122"/>
      <c r="O30" s="122"/>
      <c r="P30" s="122"/>
      <c r="Q30" s="122"/>
    </row>
    <row r="31" spans="2:28" x14ac:dyDescent="0.35">
      <c r="B31" s="123">
        <v>9</v>
      </c>
      <c r="C31" s="122" t="s">
        <v>84</v>
      </c>
      <c r="D31" s="122"/>
      <c r="E31" s="122"/>
      <c r="F31" s="122"/>
      <c r="G31" s="122"/>
      <c r="H31" s="122"/>
      <c r="I31" s="122"/>
      <c r="J31" s="122"/>
      <c r="K31" s="122"/>
      <c r="L31" s="122"/>
      <c r="M31" s="122"/>
      <c r="N31" s="122"/>
      <c r="O31" s="122"/>
      <c r="P31" s="122"/>
      <c r="Q31" s="122"/>
    </row>
    <row r="32" spans="2:28" x14ac:dyDescent="0.35">
      <c r="B32" s="123">
        <v>10</v>
      </c>
      <c r="C32" s="53" t="s">
        <v>85</v>
      </c>
    </row>
    <row r="33" spans="2:20" x14ac:dyDescent="0.35">
      <c r="B33" s="123">
        <v>11</v>
      </c>
      <c r="C33" s="53" t="s">
        <v>105</v>
      </c>
    </row>
    <row r="34" spans="2:20" x14ac:dyDescent="0.35">
      <c r="B34" s="125"/>
      <c r="C34" s="5"/>
      <c r="D34" s="5"/>
      <c r="E34" s="5"/>
      <c r="F34" s="5"/>
    </row>
    <row r="35" spans="2:20" x14ac:dyDescent="0.35">
      <c r="B35" s="125"/>
      <c r="C35" s="5"/>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phoneticPr fontId="8"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C25" sqref="C25"/>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29" width="12.453125" style="53" customWidth="1"/>
    <col min="30" max="16384" width="9.1796875" style="53"/>
  </cols>
  <sheetData>
    <row r="2" spans="2:30" ht="19.5" customHeight="1" x14ac:dyDescent="0.35">
      <c r="C2" s="197" t="s">
        <v>86</v>
      </c>
      <c r="D2" s="197"/>
      <c r="E2" s="197"/>
      <c r="F2" s="197"/>
      <c r="G2" s="197"/>
      <c r="H2" s="197"/>
      <c r="I2" s="197"/>
      <c r="J2" s="197"/>
      <c r="K2" s="197"/>
      <c r="L2" s="197"/>
    </row>
    <row r="3" spans="2:30" x14ac:dyDescent="0.35">
      <c r="C3" s="42" t="s">
        <v>45</v>
      </c>
    </row>
    <row r="4" spans="2:30" s="99" customFormat="1" ht="46.5" x14ac:dyDescent="0.35">
      <c r="B4" s="98"/>
      <c r="C4" s="133" t="s">
        <v>0</v>
      </c>
      <c r="D4" s="133"/>
      <c r="E4" s="133" t="s">
        <v>1</v>
      </c>
      <c r="F4" s="133" t="s">
        <v>2</v>
      </c>
      <c r="G4" s="133" t="s">
        <v>3</v>
      </c>
      <c r="H4" s="133" t="s">
        <v>4</v>
      </c>
      <c r="I4" s="133" t="s">
        <v>5</v>
      </c>
      <c r="J4" s="133" t="s">
        <v>6</v>
      </c>
      <c r="K4" s="133" t="s">
        <v>7</v>
      </c>
      <c r="L4" s="134" t="s">
        <v>14</v>
      </c>
      <c r="M4" s="134"/>
    </row>
    <row r="5" spans="2:30" x14ac:dyDescent="0.35">
      <c r="C5" s="136"/>
      <c r="D5" s="137"/>
      <c r="E5" s="138">
        <v>10</v>
      </c>
      <c r="F5" s="277">
        <f>+'Capacity Delivered'!$H$5</f>
        <v>0.13</v>
      </c>
      <c r="G5" s="139" t="s">
        <v>8</v>
      </c>
      <c r="H5" s="140">
        <f>'Electric EES CE Std Energy'!D18</f>
        <v>4.3372109730943943E-2</v>
      </c>
      <c r="I5" s="141">
        <f>'Wind Avoided Capacity Calcs'!X16</f>
        <v>5.442336171788225E-3</v>
      </c>
      <c r="J5" s="141">
        <f>H5+I5</f>
        <v>4.8814445902732165E-2</v>
      </c>
      <c r="K5" s="142">
        <f>J5</f>
        <v>4.8814445902732165E-2</v>
      </c>
      <c r="L5" s="143">
        <f>K5*1000</f>
        <v>48.814445902732167</v>
      </c>
      <c r="M5" s="127"/>
    </row>
    <row r="6" spans="2:30" x14ac:dyDescent="0.35">
      <c r="C6" s="135"/>
      <c r="D6" s="135"/>
      <c r="E6" s="102"/>
      <c r="F6" s="102"/>
      <c r="G6" s="102"/>
      <c r="H6" s="32">
        <f>H5*1000</f>
        <v>43.37210973094394</v>
      </c>
      <c r="I6" s="32">
        <f t="shared" ref="I6:K6" si="0">I5*1000</f>
        <v>5.4423361717882246</v>
      </c>
      <c r="J6" s="32">
        <f t="shared" si="0"/>
        <v>48.814445902732167</v>
      </c>
      <c r="K6" s="32">
        <f t="shared" si="0"/>
        <v>48.814445902732167</v>
      </c>
      <c r="L6" s="104">
        <f>L5*(1-M6)</f>
        <v>47.3500125256502</v>
      </c>
      <c r="M6" s="224">
        <v>0.03</v>
      </c>
      <c r="N6" s="105" t="s">
        <v>40</v>
      </c>
    </row>
    <row r="7" spans="2:30" x14ac:dyDescent="0.35">
      <c r="C7" s="106"/>
      <c r="D7" s="103"/>
      <c r="H7" s="40"/>
      <c r="I7" s="101"/>
      <c r="J7" s="40"/>
      <c r="K7" s="101"/>
      <c r="L7" s="101"/>
      <c r="M7" s="102"/>
    </row>
    <row r="8" spans="2:30" x14ac:dyDescent="0.35">
      <c r="C8" s="102"/>
      <c r="D8" s="102"/>
      <c r="E8" s="102"/>
      <c r="F8" s="102"/>
      <c r="G8" s="102"/>
      <c r="H8" s="107"/>
      <c r="I8" s="107"/>
      <c r="J8" s="107"/>
      <c r="K8" s="107"/>
      <c r="L8" s="107"/>
      <c r="M8" s="107"/>
      <c r="N8" s="107"/>
      <c r="O8" s="107"/>
      <c r="P8" s="107"/>
      <c r="Q8" s="107"/>
      <c r="R8" s="107"/>
      <c r="U8" s="108"/>
      <c r="V8" s="108"/>
      <c r="X8" s="188" t="s">
        <v>76</v>
      </c>
      <c r="Y8" s="108"/>
      <c r="Z8" s="108"/>
      <c r="AA8" s="108"/>
      <c r="AB8" s="108"/>
    </row>
    <row r="9" spans="2:30" x14ac:dyDescent="0.35">
      <c r="C9" s="109" t="s">
        <v>9</v>
      </c>
      <c r="D9" s="109"/>
      <c r="E9" s="109"/>
      <c r="F9" s="110">
        <f>+L6</f>
        <v>47.3500125256502</v>
      </c>
      <c r="G9" s="110">
        <f t="shared" ref="G9:O9" si="1">F9</f>
        <v>47.3500125256502</v>
      </c>
      <c r="H9" s="110">
        <f t="shared" si="1"/>
        <v>47.3500125256502</v>
      </c>
      <c r="I9" s="110">
        <f t="shared" si="1"/>
        <v>47.3500125256502</v>
      </c>
      <c r="J9" s="110">
        <f t="shared" si="1"/>
        <v>47.3500125256502</v>
      </c>
      <c r="K9" s="110">
        <f t="shared" si="1"/>
        <v>47.3500125256502</v>
      </c>
      <c r="L9" s="110">
        <f t="shared" si="1"/>
        <v>47.3500125256502</v>
      </c>
      <c r="M9" s="110">
        <f t="shared" si="1"/>
        <v>47.3500125256502</v>
      </c>
      <c r="N9" s="110">
        <f t="shared" si="1"/>
        <v>47.3500125256502</v>
      </c>
      <c r="O9" s="110">
        <f t="shared" si="1"/>
        <v>47.3500125256502</v>
      </c>
      <c r="P9" s="107"/>
      <c r="Q9" s="107"/>
      <c r="R9" s="107"/>
      <c r="U9" s="108"/>
      <c r="V9" s="40"/>
      <c r="X9" s="187">
        <f>NPV(Rate_of_Return,F9:O9)</f>
        <v>330.12088014276856</v>
      </c>
      <c r="Y9" s="187">
        <f>-PMT(Rate_of_Return,$E$5,X9)</f>
        <v>47.350012525650179</v>
      </c>
      <c r="Z9" s="40"/>
      <c r="AA9" s="40"/>
    </row>
    <row r="10" spans="2:30" x14ac:dyDescent="0.35">
      <c r="C10" s="102"/>
      <c r="D10" s="102"/>
      <c r="E10" s="102"/>
      <c r="F10" s="111"/>
      <c r="G10" s="111"/>
      <c r="H10" s="111"/>
      <c r="I10" s="111"/>
      <c r="J10" s="111"/>
      <c r="K10" s="111"/>
      <c r="L10" s="111"/>
      <c r="M10" s="111"/>
      <c r="N10" s="111"/>
      <c r="O10" s="111"/>
      <c r="P10" s="107"/>
      <c r="Q10" s="107"/>
      <c r="R10" s="107"/>
      <c r="U10" s="108"/>
      <c r="V10" s="40"/>
      <c r="X10" s="32"/>
      <c r="Y10" s="32"/>
      <c r="Z10" s="40"/>
      <c r="AA10" s="40"/>
    </row>
    <row r="11" spans="2:30" x14ac:dyDescent="0.35">
      <c r="C11" s="53" t="s">
        <v>58</v>
      </c>
      <c r="F11" s="192">
        <v>1</v>
      </c>
      <c r="G11" s="192">
        <v>2</v>
      </c>
      <c r="H11" s="192">
        <v>3</v>
      </c>
      <c r="I11" s="192">
        <v>4</v>
      </c>
      <c r="J11" s="192">
        <v>5</v>
      </c>
      <c r="K11" s="192">
        <v>6</v>
      </c>
      <c r="L11" s="192">
        <v>7</v>
      </c>
      <c r="M11" s="192">
        <v>8</v>
      </c>
      <c r="N11" s="192">
        <v>9</v>
      </c>
      <c r="O11" s="192">
        <v>10</v>
      </c>
      <c r="P11" s="192">
        <v>11</v>
      </c>
      <c r="Q11" s="192">
        <v>12</v>
      </c>
      <c r="R11" s="107"/>
      <c r="U11" s="108"/>
      <c r="V11" s="40"/>
      <c r="X11" s="40"/>
      <c r="Y11" s="40"/>
      <c r="Z11" s="40"/>
      <c r="AA11" s="40"/>
    </row>
    <row r="12" spans="2:30" x14ac:dyDescent="0.35">
      <c r="C12" s="102"/>
      <c r="D12" s="100"/>
      <c r="E12" s="102"/>
      <c r="F12" s="112">
        <f>'Energy Prices'!$C$6</f>
        <v>2025</v>
      </c>
      <c r="G12" s="112">
        <f>F12+1</f>
        <v>2026</v>
      </c>
      <c r="H12" s="112">
        <f>G12+1</f>
        <v>2027</v>
      </c>
      <c r="I12" s="112">
        <f t="shared" ref="I12:O12" si="2">H12+1</f>
        <v>2028</v>
      </c>
      <c r="J12" s="112">
        <f t="shared" si="2"/>
        <v>2029</v>
      </c>
      <c r="K12" s="112">
        <f t="shared" si="2"/>
        <v>2030</v>
      </c>
      <c r="L12" s="112">
        <f t="shared" si="2"/>
        <v>2031</v>
      </c>
      <c r="M12" s="112">
        <f t="shared" si="2"/>
        <v>2032</v>
      </c>
      <c r="N12" s="112">
        <f t="shared" si="2"/>
        <v>2033</v>
      </c>
      <c r="O12" s="112">
        <f t="shared" si="2"/>
        <v>2034</v>
      </c>
      <c r="P12" s="112">
        <f>O12+1</f>
        <v>2035</v>
      </c>
      <c r="Q12" s="112">
        <f>P12+1</f>
        <v>2036</v>
      </c>
      <c r="R12" s="107"/>
      <c r="U12" s="108"/>
      <c r="V12" s="190"/>
      <c r="X12" s="188" t="s">
        <v>76</v>
      </c>
      <c r="Y12" s="32"/>
      <c r="Z12" s="108"/>
      <c r="AA12" s="108"/>
    </row>
    <row r="13" spans="2:30" ht="53.15" customHeight="1" x14ac:dyDescent="0.35">
      <c r="B13" s="102"/>
      <c r="C13" s="194" t="s">
        <v>79</v>
      </c>
      <c r="D13" s="102"/>
      <c r="F13" s="144">
        <f t="shared" ref="F13:O13" si="3">F$9*F$20</f>
        <v>42.860786676866446</v>
      </c>
      <c r="G13" s="145">
        <f t="shared" si="3"/>
        <v>43.932306343788099</v>
      </c>
      <c r="H13" s="146">
        <f t="shared" si="3"/>
        <v>45.030614002382798</v>
      </c>
      <c r="I13" s="146">
        <f t="shared" si="3"/>
        <v>46.156379352442364</v>
      </c>
      <c r="J13" s="146">
        <f t="shared" si="3"/>
        <v>47.310288836253427</v>
      </c>
      <c r="K13" s="146">
        <f t="shared" si="3"/>
        <v>48.493046057159759</v>
      </c>
      <c r="L13" s="146">
        <f t="shared" si="3"/>
        <v>49.705372208588742</v>
      </c>
      <c r="M13" s="146">
        <f t="shared" si="3"/>
        <v>50.948006513803456</v>
      </c>
      <c r="N13" s="146">
        <f t="shared" si="3"/>
        <v>52.221706676648537</v>
      </c>
      <c r="O13" s="146">
        <f t="shared" si="3"/>
        <v>53.527249343564748</v>
      </c>
      <c r="P13" s="189">
        <f>O13*1.025</f>
        <v>54.865430577153859</v>
      </c>
      <c r="Q13" s="189">
        <f>P13*1.025</f>
        <v>56.237066341582704</v>
      </c>
      <c r="R13" s="107"/>
      <c r="U13" s="108"/>
      <c r="V13" s="114"/>
      <c r="X13" s="187">
        <f>NPV(Rate_of_Return,F13:O13)</f>
        <v>330.12088014276873</v>
      </c>
      <c r="Y13" s="187">
        <f>-PMT(Rate_of_Return,$E$5,X13)</f>
        <v>47.350012525650207</v>
      </c>
      <c r="Z13" s="114"/>
      <c r="AA13" s="114"/>
      <c r="AD13" s="115"/>
    </row>
    <row r="14" spans="2:30" x14ac:dyDescent="0.35">
      <c r="C14" s="113"/>
      <c r="E14" s="116"/>
      <c r="F14" s="114"/>
      <c r="G14" s="114"/>
      <c r="H14" s="114"/>
      <c r="I14" s="114"/>
      <c r="J14" s="114"/>
      <c r="K14" s="114"/>
      <c r="L14" s="114"/>
      <c r="M14" s="114"/>
      <c r="N14" s="114"/>
      <c r="O14" s="114"/>
      <c r="P14" s="107"/>
      <c r="Q14" s="107"/>
      <c r="R14" s="107"/>
      <c r="U14" s="108"/>
      <c r="V14" s="114"/>
      <c r="X14" s="108"/>
      <c r="Y14" s="108"/>
      <c r="Z14" s="108"/>
      <c r="AA14" s="108"/>
      <c r="AB14" s="108"/>
    </row>
    <row r="15" spans="2:30" x14ac:dyDescent="0.35">
      <c r="C15" s="117"/>
      <c r="E15" s="116"/>
      <c r="F15" s="114"/>
      <c r="G15" s="114"/>
      <c r="H15" s="114"/>
      <c r="I15" s="114"/>
      <c r="J15" s="114"/>
      <c r="K15" s="114"/>
      <c r="L15" s="114"/>
      <c r="M15" s="114"/>
      <c r="N15" s="114"/>
      <c r="O15" s="114"/>
      <c r="P15" s="107"/>
      <c r="Q15" s="107"/>
      <c r="R15" s="107"/>
      <c r="U15" s="108"/>
      <c r="V15" s="114"/>
      <c r="X15" s="108"/>
      <c r="Y15" s="108"/>
      <c r="Z15" s="108"/>
      <c r="AA15" s="108"/>
      <c r="AB15" s="108"/>
    </row>
    <row r="16" spans="2:30" x14ac:dyDescent="0.35">
      <c r="C16" s="53" t="s">
        <v>10</v>
      </c>
      <c r="P16" s="107"/>
      <c r="Q16" s="107"/>
      <c r="R16" s="107"/>
      <c r="U16" s="108"/>
    </row>
    <row r="17" spans="2:27" x14ac:dyDescent="0.35">
      <c r="P17" s="107"/>
      <c r="Q17" s="107"/>
      <c r="R17" s="107"/>
      <c r="U17" s="108"/>
    </row>
    <row r="18" spans="2:27" x14ac:dyDescent="0.35">
      <c r="C18" s="102"/>
      <c r="D18" s="102"/>
      <c r="E18" s="102"/>
      <c r="F18" s="102"/>
      <c r="G18" s="102"/>
      <c r="H18" s="102"/>
      <c r="I18" s="102"/>
      <c r="J18" s="102"/>
      <c r="K18" s="102"/>
      <c r="L18" s="102"/>
      <c r="M18" s="102"/>
      <c r="N18" s="102"/>
      <c r="O18" s="102"/>
      <c r="P18" s="107"/>
      <c r="Q18" s="107"/>
      <c r="R18" s="107"/>
      <c r="U18" s="108"/>
      <c r="X18" s="188" t="s">
        <v>76</v>
      </c>
      <c r="Y18" s="102"/>
    </row>
    <row r="19" spans="2:27" x14ac:dyDescent="0.35">
      <c r="C19" s="109" t="s">
        <v>11</v>
      </c>
      <c r="D19" s="109"/>
      <c r="E19" s="109"/>
      <c r="F19" s="128">
        <v>100</v>
      </c>
      <c r="G19" s="128">
        <f t="shared" ref="G19:O19" si="4">F19*1.025</f>
        <v>102.49999999999999</v>
      </c>
      <c r="H19" s="128">
        <f t="shared" si="4"/>
        <v>105.06249999999997</v>
      </c>
      <c r="I19" s="128">
        <f t="shared" si="4"/>
        <v>107.68906249999996</v>
      </c>
      <c r="J19" s="128">
        <f t="shared" si="4"/>
        <v>110.38128906249996</v>
      </c>
      <c r="K19" s="128">
        <f t="shared" si="4"/>
        <v>113.14082128906244</v>
      </c>
      <c r="L19" s="128">
        <f>K19*1.025</f>
        <v>115.96934182128899</v>
      </c>
      <c r="M19" s="128">
        <f t="shared" si="4"/>
        <v>118.8685753668212</v>
      </c>
      <c r="N19" s="128">
        <f t="shared" si="4"/>
        <v>121.84028975099173</v>
      </c>
      <c r="O19" s="128">
        <f t="shared" si="4"/>
        <v>124.88629699476651</v>
      </c>
      <c r="P19" s="107"/>
      <c r="Q19" s="107"/>
      <c r="R19" s="107"/>
      <c r="U19" s="108"/>
      <c r="V19" s="118"/>
      <c r="X19" s="187">
        <f>NPV(Rate_of_Return,F19:O19)</f>
        <v>770.2165679589524</v>
      </c>
      <c r="Y19" s="187">
        <f>-PMT(Rate_of_Return,$E$5,X19)</f>
        <v>110.47396979114887</v>
      </c>
      <c r="Z19" s="108"/>
      <c r="AA19" s="108"/>
    </row>
    <row r="20" spans="2:27" x14ac:dyDescent="0.35">
      <c r="C20" s="131" t="s">
        <v>12</v>
      </c>
      <c r="D20" s="131"/>
      <c r="E20" s="131"/>
      <c r="F20" s="132">
        <f t="shared" ref="F20:O20" si="5">F19/$Y$19</f>
        <v>0.90519060905523785</v>
      </c>
      <c r="G20" s="132">
        <f t="shared" si="5"/>
        <v>0.92782037428161868</v>
      </c>
      <c r="H20" s="132">
        <f t="shared" si="5"/>
        <v>0.95101588363865908</v>
      </c>
      <c r="I20" s="132">
        <f t="shared" si="5"/>
        <v>0.9747912807296254</v>
      </c>
      <c r="J20" s="132">
        <f t="shared" si="5"/>
        <v>0.99916106274786609</v>
      </c>
      <c r="K20" s="132">
        <f t="shared" si="5"/>
        <v>1.0241400893165626</v>
      </c>
      <c r="L20" s="132">
        <f t="shared" si="5"/>
        <v>1.0497435915494766</v>
      </c>
      <c r="M20" s="132">
        <f t="shared" si="5"/>
        <v>1.0759871813382134</v>
      </c>
      <c r="N20" s="132">
        <f t="shared" si="5"/>
        <v>1.1028868608716687</v>
      </c>
      <c r="O20" s="132">
        <f t="shared" si="5"/>
        <v>1.1304590323934602</v>
      </c>
      <c r="P20" s="107"/>
      <c r="Q20" s="107"/>
      <c r="R20" s="107"/>
      <c r="U20" s="108"/>
      <c r="V20" s="119"/>
      <c r="X20" s="187">
        <f>NPV(Rate_of_Return,F20:O20)</f>
        <v>6.9719280425519923</v>
      </c>
      <c r="Y20" s="187">
        <f>-PMT(Rate_of_Return,$E$5,X20)</f>
        <v>1.0000000000000002</v>
      </c>
      <c r="Z20" s="108"/>
      <c r="AA20" s="108"/>
    </row>
    <row r="21" spans="2:27" x14ac:dyDescent="0.35">
      <c r="C21" s="102"/>
      <c r="D21" s="102"/>
      <c r="E21" s="129"/>
      <c r="F21" s="129"/>
      <c r="G21" s="129"/>
      <c r="H21" s="129"/>
      <c r="I21" s="129"/>
      <c r="J21" s="129"/>
      <c r="K21" s="129"/>
      <c r="L21" s="129"/>
      <c r="M21" s="130"/>
      <c r="N21" s="130"/>
      <c r="O21" s="130"/>
      <c r="P21" s="130"/>
      <c r="Q21" s="130"/>
      <c r="R21" s="130"/>
      <c r="S21" s="130"/>
      <c r="T21" s="130"/>
      <c r="W21" s="102"/>
      <c r="X21" s="102"/>
    </row>
    <row r="22" spans="2:27" x14ac:dyDescent="0.35">
      <c r="B22" s="120" t="s">
        <v>13</v>
      </c>
      <c r="C22" s="121"/>
      <c r="D22" s="122"/>
      <c r="E22" s="122"/>
      <c r="F22" s="122"/>
      <c r="G22" s="122"/>
      <c r="H22" s="122"/>
      <c r="I22" s="122"/>
      <c r="J22" s="122"/>
      <c r="K22" s="122"/>
      <c r="L22" s="122"/>
      <c r="M22" s="122"/>
      <c r="N22" s="122"/>
      <c r="O22" s="122"/>
      <c r="Y22" s="117"/>
    </row>
    <row r="23" spans="2:27" x14ac:dyDescent="0.35">
      <c r="B23" s="123">
        <v>1</v>
      </c>
      <c r="C23" s="274" t="s">
        <v>111</v>
      </c>
      <c r="D23" s="122"/>
      <c r="E23" s="122"/>
      <c r="F23" s="122"/>
      <c r="G23" s="122"/>
      <c r="H23" s="122"/>
      <c r="I23" s="122"/>
      <c r="J23" s="122"/>
      <c r="K23" s="122"/>
      <c r="L23" s="122"/>
      <c r="M23" s="122"/>
      <c r="N23" s="122"/>
      <c r="O23" s="122"/>
      <c r="Y23" s="113"/>
    </row>
    <row r="24" spans="2:27" x14ac:dyDescent="0.35">
      <c r="B24" s="123">
        <v>2</v>
      </c>
      <c r="C24" s="122" t="s">
        <v>177</v>
      </c>
      <c r="D24" s="122"/>
      <c r="E24" s="122"/>
      <c r="F24" s="122"/>
      <c r="G24" s="122"/>
      <c r="H24" s="122"/>
      <c r="I24" s="122"/>
      <c r="J24" s="122"/>
      <c r="K24" s="122"/>
      <c r="L24" s="122"/>
      <c r="M24" s="122"/>
      <c r="N24" s="122"/>
      <c r="O24" s="122"/>
      <c r="Y24" s="114"/>
    </row>
    <row r="25" spans="2:27" x14ac:dyDescent="0.35">
      <c r="B25" s="123">
        <v>3</v>
      </c>
      <c r="C25" s="122" t="s">
        <v>47</v>
      </c>
      <c r="D25" s="122"/>
      <c r="E25" s="122"/>
      <c r="F25" s="122"/>
      <c r="G25" s="122"/>
      <c r="H25" s="122"/>
      <c r="I25" s="122"/>
      <c r="J25" s="122"/>
      <c r="K25" s="122"/>
      <c r="L25" s="122"/>
      <c r="M25" s="122"/>
      <c r="N25" s="122"/>
      <c r="O25" s="122"/>
      <c r="Y25" s="124"/>
    </row>
    <row r="26" spans="2:27" x14ac:dyDescent="0.35">
      <c r="B26" s="123">
        <v>4</v>
      </c>
      <c r="C26" s="122" t="s">
        <v>157</v>
      </c>
      <c r="D26" s="122"/>
      <c r="E26" s="122"/>
      <c r="F26" s="122"/>
      <c r="G26" s="122"/>
      <c r="H26" s="122"/>
      <c r="I26" s="122"/>
      <c r="J26" s="122"/>
      <c r="K26" s="122"/>
      <c r="L26" s="122"/>
      <c r="M26" s="122"/>
      <c r="N26" s="122"/>
      <c r="O26" s="122"/>
      <c r="Y26" s="124"/>
    </row>
    <row r="27" spans="2:27" x14ac:dyDescent="0.35">
      <c r="B27" s="123">
        <v>5</v>
      </c>
      <c r="C27" s="122" t="s">
        <v>81</v>
      </c>
      <c r="D27" s="122"/>
      <c r="E27" s="122"/>
      <c r="F27" s="122"/>
      <c r="G27" s="122"/>
      <c r="H27" s="122"/>
      <c r="I27" s="122"/>
      <c r="J27" s="122"/>
      <c r="K27" s="122"/>
      <c r="L27" s="122"/>
      <c r="M27" s="122"/>
      <c r="N27" s="122"/>
      <c r="O27" s="122"/>
      <c r="Y27" s="113"/>
    </row>
    <row r="28" spans="2:27" x14ac:dyDescent="0.35">
      <c r="B28" s="123">
        <v>6</v>
      </c>
      <c r="C28" s="122" t="s">
        <v>82</v>
      </c>
      <c r="D28" s="122"/>
      <c r="E28" s="122"/>
      <c r="F28" s="122"/>
      <c r="G28" s="122"/>
      <c r="H28" s="122"/>
      <c r="I28" s="122"/>
      <c r="J28" s="122"/>
      <c r="K28" s="122"/>
      <c r="L28" s="122"/>
      <c r="M28" s="122"/>
      <c r="N28" s="122"/>
      <c r="O28" s="122"/>
      <c r="Y28" s="114"/>
    </row>
    <row r="29" spans="2:27" x14ac:dyDescent="0.35">
      <c r="B29" s="123">
        <v>7</v>
      </c>
      <c r="C29" s="122" t="s">
        <v>83</v>
      </c>
      <c r="D29" s="122"/>
      <c r="E29" s="122"/>
      <c r="F29" s="122"/>
      <c r="G29" s="122"/>
      <c r="H29" s="122"/>
      <c r="I29" s="122"/>
      <c r="J29" s="122"/>
      <c r="K29" s="122"/>
      <c r="L29" s="122"/>
      <c r="M29" s="122"/>
      <c r="N29" s="122"/>
      <c r="O29" s="122"/>
      <c r="P29" s="122"/>
      <c r="Q29" s="122"/>
    </row>
    <row r="30" spans="2:27" x14ac:dyDescent="0.35">
      <c r="B30" s="123">
        <v>8</v>
      </c>
      <c r="C30" s="122" t="s">
        <v>53</v>
      </c>
      <c r="D30" s="122"/>
      <c r="E30" s="122"/>
      <c r="F30" s="122"/>
      <c r="G30" s="122"/>
      <c r="H30" s="122"/>
      <c r="I30" s="122"/>
      <c r="J30" s="122"/>
      <c r="K30" s="122"/>
      <c r="L30" s="122"/>
      <c r="M30" s="122"/>
      <c r="N30" s="122"/>
      <c r="O30" s="122"/>
      <c r="P30" s="122"/>
      <c r="Q30" s="122"/>
    </row>
    <row r="31" spans="2:27" x14ac:dyDescent="0.35">
      <c r="B31" s="123">
        <v>9</v>
      </c>
      <c r="C31" s="122" t="s">
        <v>84</v>
      </c>
      <c r="D31" s="122"/>
      <c r="E31" s="122"/>
      <c r="F31" s="122"/>
      <c r="G31" s="122"/>
      <c r="H31" s="122"/>
      <c r="I31" s="122"/>
      <c r="J31" s="122"/>
      <c r="K31" s="122"/>
      <c r="L31" s="122"/>
      <c r="M31" s="122"/>
      <c r="N31" s="122"/>
      <c r="O31" s="122"/>
      <c r="P31" s="122"/>
      <c r="Q31" s="122"/>
    </row>
    <row r="32" spans="2:27" x14ac:dyDescent="0.35">
      <c r="B32" s="123">
        <v>10</v>
      </c>
      <c r="C32" s="53" t="s">
        <v>85</v>
      </c>
    </row>
    <row r="33" spans="2:20" x14ac:dyDescent="0.35">
      <c r="B33" s="123">
        <v>11</v>
      </c>
      <c r="C33" s="53" t="s">
        <v>105</v>
      </c>
    </row>
    <row r="34" spans="2:20" x14ac:dyDescent="0.35">
      <c r="B34" s="125"/>
      <c r="C34" s="5"/>
      <c r="D34" s="5"/>
      <c r="E34" s="5"/>
      <c r="F34" s="5"/>
    </row>
    <row r="35" spans="2:20" x14ac:dyDescent="0.35">
      <c r="B35" s="125"/>
      <c r="C35" s="191"/>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C25" sqref="C25"/>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22" width="12.54296875" style="53" customWidth="1"/>
    <col min="23" max="23" width="2.54296875" style="53" customWidth="1"/>
    <col min="24" max="25" width="12.54296875" style="53" customWidth="1"/>
    <col min="26" max="30" width="12.453125" style="53" customWidth="1"/>
    <col min="31" max="16384" width="9.1796875" style="53"/>
  </cols>
  <sheetData>
    <row r="2" spans="2:31" ht="19.5" customHeight="1" x14ac:dyDescent="0.35">
      <c r="C2" s="197" t="s">
        <v>86</v>
      </c>
      <c r="D2" s="197"/>
      <c r="E2" s="197"/>
      <c r="F2" s="197"/>
      <c r="G2" s="197"/>
      <c r="H2" s="197"/>
      <c r="I2" s="197"/>
      <c r="J2" s="197"/>
      <c r="K2" s="197"/>
      <c r="L2" s="197"/>
    </row>
    <row r="3" spans="2:31" x14ac:dyDescent="0.35">
      <c r="C3" s="42" t="s">
        <v>45</v>
      </c>
    </row>
    <row r="4" spans="2:31" s="99" customFormat="1" ht="46.5" x14ac:dyDescent="0.35">
      <c r="B4" s="98"/>
      <c r="C4" s="133" t="s">
        <v>0</v>
      </c>
      <c r="D4" s="133"/>
      <c r="E4" s="133" t="s">
        <v>1</v>
      </c>
      <c r="F4" s="133" t="s">
        <v>2</v>
      </c>
      <c r="G4" s="133" t="s">
        <v>3</v>
      </c>
      <c r="H4" s="133" t="s">
        <v>4</v>
      </c>
      <c r="I4" s="133" t="s">
        <v>5</v>
      </c>
      <c r="J4" s="133" t="s">
        <v>6</v>
      </c>
      <c r="K4" s="133" t="s">
        <v>7</v>
      </c>
      <c r="L4" s="134" t="s">
        <v>14</v>
      </c>
      <c r="M4" s="134"/>
    </row>
    <row r="5" spans="2:31" x14ac:dyDescent="0.35">
      <c r="C5" s="136"/>
      <c r="D5" s="137"/>
      <c r="E5" s="138">
        <v>15</v>
      </c>
      <c r="F5" s="277">
        <f>+'Capacity Delivered'!$H$5</f>
        <v>0.13</v>
      </c>
      <c r="G5" s="139" t="s">
        <v>8</v>
      </c>
      <c r="H5" s="140">
        <f>'Electric EES CE Std Energy'!D23</f>
        <v>4.6081468571412945E-2</v>
      </c>
      <c r="I5" s="141">
        <f>'Wind Avoided Capacity Calcs'!X21</f>
        <v>5.4423361717882233E-3</v>
      </c>
      <c r="J5" s="141">
        <f>H5+I5</f>
        <v>5.1523804743201167E-2</v>
      </c>
      <c r="K5" s="142">
        <f>J5</f>
        <v>5.1523804743201167E-2</v>
      </c>
      <c r="L5" s="143">
        <f>K5*1000</f>
        <v>51.523804743201168</v>
      </c>
      <c r="M5" s="127"/>
    </row>
    <row r="6" spans="2:31" x14ac:dyDescent="0.35">
      <c r="C6" s="135"/>
      <c r="D6" s="135"/>
      <c r="E6" s="102"/>
      <c r="F6" s="102"/>
      <c r="G6" s="102"/>
      <c r="H6" s="32">
        <f>H5*1000</f>
        <v>46.081468571412948</v>
      </c>
      <c r="I6" s="32">
        <f t="shared" ref="I6:K6" si="0">I5*1000</f>
        <v>5.4423361717882237</v>
      </c>
      <c r="J6" s="32">
        <f t="shared" si="0"/>
        <v>51.523804743201168</v>
      </c>
      <c r="K6" s="32">
        <f t="shared" si="0"/>
        <v>51.523804743201168</v>
      </c>
      <c r="L6" s="104">
        <f>L5*(1-M6)</f>
        <v>49.978090600905134</v>
      </c>
      <c r="M6" s="224">
        <v>0.03</v>
      </c>
      <c r="N6" s="105" t="s">
        <v>40</v>
      </c>
    </row>
    <row r="7" spans="2:31" x14ac:dyDescent="0.35">
      <c r="C7" s="106"/>
      <c r="D7" s="103"/>
      <c r="H7" s="40"/>
      <c r="I7" s="101"/>
      <c r="J7" s="40"/>
      <c r="K7" s="101"/>
      <c r="L7" s="101"/>
      <c r="M7" s="102"/>
    </row>
    <row r="8" spans="2:31" x14ac:dyDescent="0.35">
      <c r="C8" s="102"/>
      <c r="D8" s="102"/>
      <c r="E8" s="102"/>
      <c r="F8" s="102"/>
      <c r="G8" s="102"/>
      <c r="H8" s="107"/>
      <c r="I8" s="107"/>
      <c r="J8" s="107"/>
      <c r="K8" s="107"/>
      <c r="L8" s="107"/>
      <c r="M8" s="107"/>
      <c r="N8" s="107"/>
      <c r="O8" s="107"/>
      <c r="P8" s="107"/>
      <c r="Q8" s="107"/>
      <c r="R8" s="107"/>
      <c r="S8" s="107"/>
      <c r="T8" s="107"/>
      <c r="U8" s="108"/>
      <c r="V8" s="108"/>
      <c r="W8" s="108"/>
      <c r="X8" s="188" t="s">
        <v>76</v>
      </c>
      <c r="Y8" s="108"/>
      <c r="Z8" s="108"/>
      <c r="AA8" s="108"/>
      <c r="AB8" s="108"/>
      <c r="AC8" s="108"/>
    </row>
    <row r="9" spans="2:31" x14ac:dyDescent="0.35">
      <c r="C9" s="109" t="s">
        <v>9</v>
      </c>
      <c r="D9" s="109"/>
      <c r="E9" s="109"/>
      <c r="F9" s="110">
        <f>+L6</f>
        <v>49.978090600905134</v>
      </c>
      <c r="G9" s="110">
        <f t="shared" ref="G9:T9" si="1">F9</f>
        <v>49.978090600905134</v>
      </c>
      <c r="H9" s="110">
        <f t="shared" si="1"/>
        <v>49.978090600905134</v>
      </c>
      <c r="I9" s="110">
        <f t="shared" si="1"/>
        <v>49.978090600905134</v>
      </c>
      <c r="J9" s="110">
        <f t="shared" si="1"/>
        <v>49.978090600905134</v>
      </c>
      <c r="K9" s="110">
        <f t="shared" si="1"/>
        <v>49.978090600905134</v>
      </c>
      <c r="L9" s="110">
        <f t="shared" si="1"/>
        <v>49.978090600905134</v>
      </c>
      <c r="M9" s="110">
        <f t="shared" si="1"/>
        <v>49.978090600905134</v>
      </c>
      <c r="N9" s="110">
        <f t="shared" si="1"/>
        <v>49.978090600905134</v>
      </c>
      <c r="O9" s="110">
        <f t="shared" si="1"/>
        <v>49.978090600905134</v>
      </c>
      <c r="P9" s="110">
        <f t="shared" si="1"/>
        <v>49.978090600905134</v>
      </c>
      <c r="Q9" s="110">
        <f t="shared" si="1"/>
        <v>49.978090600905134</v>
      </c>
      <c r="R9" s="110">
        <f t="shared" si="1"/>
        <v>49.978090600905134</v>
      </c>
      <c r="S9" s="110">
        <f t="shared" si="1"/>
        <v>49.978090600905134</v>
      </c>
      <c r="T9" s="110">
        <f t="shared" si="1"/>
        <v>49.978090600905134</v>
      </c>
      <c r="U9" s="40"/>
      <c r="V9" s="40"/>
      <c r="W9" s="40"/>
      <c r="X9" s="187">
        <f>NPV(Rate_of_Return,F9:T9)</f>
        <v>450.63148677347334</v>
      </c>
      <c r="Y9" s="187">
        <f>-PMT(Rate_of_Return,15,X9)</f>
        <v>49.978090600905098</v>
      </c>
      <c r="Z9" s="40"/>
      <c r="AA9" s="40"/>
      <c r="AB9" s="40"/>
    </row>
    <row r="10" spans="2:31" x14ac:dyDescent="0.3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c r="AB10" s="40"/>
    </row>
    <row r="11" spans="2:31" x14ac:dyDescent="0.35">
      <c r="C11" s="53" t="s">
        <v>58</v>
      </c>
      <c r="F11" s="192">
        <v>1</v>
      </c>
      <c r="G11" s="192">
        <v>2</v>
      </c>
      <c r="H11" s="192">
        <v>3</v>
      </c>
      <c r="I11" s="192">
        <v>4</v>
      </c>
      <c r="J11" s="192">
        <v>5</v>
      </c>
      <c r="K11" s="192">
        <v>6</v>
      </c>
      <c r="L11" s="192">
        <v>7</v>
      </c>
      <c r="M11" s="192">
        <v>8</v>
      </c>
      <c r="N11" s="192">
        <v>9</v>
      </c>
      <c r="O11" s="192">
        <v>10</v>
      </c>
      <c r="P11" s="192">
        <v>11</v>
      </c>
      <c r="Q11" s="192">
        <v>12</v>
      </c>
      <c r="R11" s="192">
        <v>13</v>
      </c>
      <c r="S11" s="192">
        <v>14</v>
      </c>
      <c r="T11" s="192">
        <v>15</v>
      </c>
      <c r="U11" s="192">
        <v>16</v>
      </c>
      <c r="V11" s="192">
        <v>17</v>
      </c>
      <c r="W11" s="40"/>
      <c r="X11" s="40"/>
      <c r="Y11" s="40"/>
      <c r="Z11" s="40"/>
      <c r="AA11" s="40"/>
      <c r="AB11" s="40"/>
    </row>
    <row r="12" spans="2:31" x14ac:dyDescent="0.35">
      <c r="C12" s="102"/>
      <c r="D12" s="100"/>
      <c r="E12" s="102"/>
      <c r="F12" s="112">
        <f>'Energy Prices'!$C$6</f>
        <v>2025</v>
      </c>
      <c r="G12" s="112">
        <f>F12+1</f>
        <v>2026</v>
      </c>
      <c r="H12" s="112">
        <f>G12+1</f>
        <v>2027</v>
      </c>
      <c r="I12" s="112">
        <f t="shared" ref="I12:T12" si="2">H12+1</f>
        <v>2028</v>
      </c>
      <c r="J12" s="112">
        <f t="shared" si="2"/>
        <v>2029</v>
      </c>
      <c r="K12" s="112">
        <f t="shared" si="2"/>
        <v>2030</v>
      </c>
      <c r="L12" s="112">
        <f t="shared" si="2"/>
        <v>2031</v>
      </c>
      <c r="M12" s="112">
        <f t="shared" si="2"/>
        <v>2032</v>
      </c>
      <c r="N12" s="112">
        <f t="shared" si="2"/>
        <v>2033</v>
      </c>
      <c r="O12" s="112">
        <f t="shared" si="2"/>
        <v>2034</v>
      </c>
      <c r="P12" s="112">
        <f t="shared" si="2"/>
        <v>2035</v>
      </c>
      <c r="Q12" s="112">
        <f t="shared" si="2"/>
        <v>2036</v>
      </c>
      <c r="R12" s="112">
        <f t="shared" si="2"/>
        <v>2037</v>
      </c>
      <c r="S12" s="112">
        <f t="shared" si="2"/>
        <v>2038</v>
      </c>
      <c r="T12" s="112">
        <f t="shared" si="2"/>
        <v>2039</v>
      </c>
      <c r="U12" s="112">
        <f>T12+1</f>
        <v>2040</v>
      </c>
      <c r="V12" s="112">
        <f>U12+1</f>
        <v>2041</v>
      </c>
      <c r="W12" s="190"/>
      <c r="X12" s="188" t="s">
        <v>76</v>
      </c>
      <c r="Y12" s="32"/>
      <c r="Z12" s="108"/>
      <c r="AA12" s="108"/>
      <c r="AB12" s="108"/>
    </row>
    <row r="13" spans="2:31" ht="53.15" customHeight="1" x14ac:dyDescent="0.35">
      <c r="B13" s="102"/>
      <c r="C13" s="194" t="s">
        <v>79</v>
      </c>
      <c r="D13" s="102"/>
      <c r="F13" s="144">
        <f t="shared" ref="F13:T13" si="3">F$9*F$20</f>
        <v>43.14614870435647</v>
      </c>
      <c r="G13" s="145">
        <f t="shared" si="3"/>
        <v>44.224802421965371</v>
      </c>
      <c r="H13" s="146">
        <f t="shared" si="3"/>
        <v>45.3304224825145</v>
      </c>
      <c r="I13" s="146">
        <f t="shared" si="3"/>
        <v>46.463683044577358</v>
      </c>
      <c r="J13" s="146">
        <f t="shared" si="3"/>
        <v>47.625275120691789</v>
      </c>
      <c r="K13" s="146">
        <f t="shared" si="3"/>
        <v>48.815906998709082</v>
      </c>
      <c r="L13" s="146">
        <f t="shared" si="3"/>
        <v>50.036304673676803</v>
      </c>
      <c r="M13" s="146">
        <f t="shared" si="3"/>
        <v>51.287212290518717</v>
      </c>
      <c r="N13" s="146">
        <f t="shared" si="3"/>
        <v>52.569392597781679</v>
      </c>
      <c r="O13" s="146">
        <f t="shared" si="3"/>
        <v>53.88362741272622</v>
      </c>
      <c r="P13" s="146">
        <f t="shared" si="3"/>
        <v>55.230718098044363</v>
      </c>
      <c r="Q13" s="146">
        <f t="shared" si="3"/>
        <v>56.611486050495472</v>
      </c>
      <c r="R13" s="146">
        <f t="shared" si="3"/>
        <v>58.026773201757848</v>
      </c>
      <c r="S13" s="146">
        <f t="shared" si="3"/>
        <v>59.477442531801792</v>
      </c>
      <c r="T13" s="146">
        <f t="shared" si="3"/>
        <v>60.964378595096832</v>
      </c>
      <c r="U13" s="189">
        <f>T13*1.025</f>
        <v>62.488488059974244</v>
      </c>
      <c r="V13" s="189">
        <f>U13*1.025</f>
        <v>64.050700261473594</v>
      </c>
      <c r="W13" s="114"/>
      <c r="X13" s="187">
        <f>NPV(Rate_of_Return,F13:T13)</f>
        <v>450.63148677347357</v>
      </c>
      <c r="Y13" s="187">
        <f>-PMT(Rate_of_Return,15,X13)</f>
        <v>49.978090600905126</v>
      </c>
      <c r="Z13" s="114"/>
      <c r="AA13" s="114"/>
      <c r="AB13" s="114"/>
      <c r="AE13" s="115"/>
    </row>
    <row r="14" spans="2:31" x14ac:dyDescent="0.3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c r="AB14" s="108"/>
      <c r="AC14" s="108"/>
    </row>
    <row r="15" spans="2:31" x14ac:dyDescent="0.35">
      <c r="C15" s="117"/>
      <c r="E15" s="116"/>
      <c r="F15" s="114"/>
      <c r="G15" s="114"/>
      <c r="H15" s="114"/>
      <c r="I15" s="114"/>
      <c r="J15" s="114"/>
      <c r="K15" s="114"/>
      <c r="L15" s="114"/>
      <c r="M15" s="114"/>
      <c r="N15" s="114"/>
      <c r="O15" s="114"/>
      <c r="P15" s="114"/>
      <c r="Q15" s="114"/>
      <c r="R15" s="114"/>
      <c r="S15" s="114"/>
      <c r="T15" s="114"/>
      <c r="U15" s="114"/>
      <c r="V15" s="114"/>
      <c r="W15" s="114"/>
      <c r="X15" s="108"/>
      <c r="Y15" s="108"/>
      <c r="Z15" s="108"/>
      <c r="AA15" s="108"/>
      <c r="AB15" s="108"/>
      <c r="AC15" s="108"/>
    </row>
    <row r="16" spans="2:31" x14ac:dyDescent="0.35">
      <c r="C16" s="53" t="s">
        <v>10</v>
      </c>
      <c r="Q16" s="108"/>
      <c r="R16" s="108"/>
    </row>
    <row r="17" spans="2:28" x14ac:dyDescent="0.35">
      <c r="Q17" s="108"/>
      <c r="R17" s="108"/>
    </row>
    <row r="18" spans="2:28" x14ac:dyDescent="0.35">
      <c r="C18" s="102"/>
      <c r="D18" s="102"/>
      <c r="E18" s="102"/>
      <c r="F18" s="102"/>
      <c r="G18" s="102"/>
      <c r="H18" s="102"/>
      <c r="I18" s="102"/>
      <c r="J18" s="102"/>
      <c r="K18" s="102"/>
      <c r="L18" s="102"/>
      <c r="M18" s="102"/>
      <c r="N18" s="102"/>
      <c r="O18" s="102"/>
      <c r="P18" s="102"/>
      <c r="Q18" s="107"/>
      <c r="R18" s="107"/>
      <c r="S18" s="102"/>
      <c r="T18" s="102"/>
      <c r="X18" s="188" t="s">
        <v>76</v>
      </c>
      <c r="Y18" s="102"/>
    </row>
    <row r="19" spans="2:28" x14ac:dyDescent="0.3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K19*1.025</f>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c r="AB19" s="108"/>
    </row>
    <row r="20" spans="2:28" x14ac:dyDescent="0.3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c r="AB20" s="108"/>
    </row>
    <row r="21" spans="2:28" x14ac:dyDescent="0.35">
      <c r="C21" s="102"/>
      <c r="D21" s="102"/>
      <c r="E21" s="129"/>
      <c r="F21" s="129"/>
      <c r="G21" s="129"/>
      <c r="H21" s="129"/>
      <c r="I21" s="129"/>
      <c r="J21" s="129"/>
      <c r="K21" s="129"/>
      <c r="L21" s="129"/>
      <c r="M21" s="130"/>
      <c r="N21" s="130"/>
      <c r="O21" s="130"/>
      <c r="P21" s="130"/>
      <c r="Q21" s="130"/>
      <c r="R21" s="130"/>
      <c r="S21" s="130"/>
      <c r="T21" s="130"/>
      <c r="X21" s="102"/>
      <c r="Y21" s="102"/>
    </row>
    <row r="22" spans="2:28" x14ac:dyDescent="0.35">
      <c r="B22" s="120" t="s">
        <v>13</v>
      </c>
      <c r="C22" s="121"/>
      <c r="D22" s="122"/>
      <c r="E22" s="122"/>
      <c r="F22" s="122"/>
      <c r="G22" s="122"/>
      <c r="H22" s="122"/>
      <c r="I22" s="122"/>
      <c r="J22" s="122"/>
      <c r="K22" s="122"/>
      <c r="L22" s="122"/>
      <c r="M22" s="122"/>
      <c r="N22" s="122"/>
      <c r="O22" s="122"/>
      <c r="Z22" s="117"/>
    </row>
    <row r="23" spans="2:28" x14ac:dyDescent="0.35">
      <c r="B23" s="123">
        <v>1</v>
      </c>
      <c r="C23" s="274" t="s">
        <v>111</v>
      </c>
      <c r="D23" s="122"/>
      <c r="E23" s="122"/>
      <c r="F23" s="122"/>
      <c r="G23" s="122"/>
      <c r="H23" s="122"/>
      <c r="I23" s="122"/>
      <c r="J23" s="122"/>
      <c r="K23" s="122"/>
      <c r="L23" s="122"/>
      <c r="M23" s="122"/>
      <c r="N23" s="122"/>
      <c r="O23" s="122"/>
      <c r="Z23" s="113"/>
    </row>
    <row r="24" spans="2:28" x14ac:dyDescent="0.35">
      <c r="B24" s="123">
        <v>2</v>
      </c>
      <c r="C24" s="122" t="s">
        <v>177</v>
      </c>
      <c r="D24" s="122"/>
      <c r="E24" s="122"/>
      <c r="F24" s="122"/>
      <c r="G24" s="122"/>
      <c r="H24" s="122"/>
      <c r="I24" s="122"/>
      <c r="J24" s="122"/>
      <c r="K24" s="122"/>
      <c r="L24" s="122"/>
      <c r="M24" s="122"/>
      <c r="N24" s="122"/>
      <c r="O24" s="122"/>
      <c r="Z24" s="114"/>
    </row>
    <row r="25" spans="2:28" x14ac:dyDescent="0.35">
      <c r="B25" s="123">
        <v>3</v>
      </c>
      <c r="C25" s="122" t="s">
        <v>47</v>
      </c>
      <c r="D25" s="122"/>
      <c r="E25" s="122"/>
      <c r="F25" s="122"/>
      <c r="G25" s="122"/>
      <c r="H25" s="122"/>
      <c r="I25" s="122"/>
      <c r="J25" s="122"/>
      <c r="K25" s="122"/>
      <c r="L25" s="122"/>
      <c r="M25" s="122"/>
      <c r="N25" s="122"/>
      <c r="O25" s="122"/>
      <c r="Z25" s="124"/>
    </row>
    <row r="26" spans="2:28" x14ac:dyDescent="0.35">
      <c r="B26" s="123">
        <v>4</v>
      </c>
      <c r="C26" s="122" t="s">
        <v>157</v>
      </c>
      <c r="D26" s="122"/>
      <c r="E26" s="122"/>
      <c r="F26" s="122"/>
      <c r="G26" s="122"/>
      <c r="H26" s="122"/>
      <c r="I26" s="122"/>
      <c r="J26" s="122"/>
      <c r="K26" s="122"/>
      <c r="L26" s="122"/>
      <c r="M26" s="122"/>
      <c r="N26" s="122"/>
      <c r="O26" s="122"/>
      <c r="Z26" s="124"/>
    </row>
    <row r="27" spans="2:28" x14ac:dyDescent="0.35">
      <c r="B27" s="123">
        <v>5</v>
      </c>
      <c r="C27" s="122" t="s">
        <v>81</v>
      </c>
      <c r="D27" s="122"/>
      <c r="E27" s="122"/>
      <c r="F27" s="122"/>
      <c r="G27" s="122"/>
      <c r="H27" s="122"/>
      <c r="I27" s="122"/>
      <c r="J27" s="122"/>
      <c r="K27" s="122"/>
      <c r="L27" s="122"/>
      <c r="M27" s="122"/>
      <c r="N27" s="122"/>
      <c r="O27" s="122"/>
      <c r="Z27" s="113"/>
    </row>
    <row r="28" spans="2:28" x14ac:dyDescent="0.35">
      <c r="B28" s="123">
        <v>6</v>
      </c>
      <c r="C28" s="122" t="s">
        <v>82</v>
      </c>
      <c r="D28" s="122"/>
      <c r="E28" s="122"/>
      <c r="F28" s="122"/>
      <c r="G28" s="122"/>
      <c r="H28" s="122"/>
      <c r="I28" s="122"/>
      <c r="J28" s="122"/>
      <c r="K28" s="122"/>
      <c r="L28" s="122"/>
      <c r="M28" s="122"/>
      <c r="N28" s="122"/>
      <c r="O28" s="122"/>
      <c r="Z28" s="114"/>
    </row>
    <row r="29" spans="2:28" x14ac:dyDescent="0.35">
      <c r="B29" s="123">
        <v>7</v>
      </c>
      <c r="C29" s="122" t="s">
        <v>83</v>
      </c>
      <c r="D29" s="122"/>
      <c r="E29" s="122"/>
      <c r="F29" s="122"/>
      <c r="G29" s="122"/>
      <c r="H29" s="122"/>
      <c r="I29" s="122"/>
      <c r="J29" s="122"/>
      <c r="K29" s="122"/>
      <c r="L29" s="122"/>
      <c r="M29" s="122"/>
      <c r="N29" s="122"/>
      <c r="O29" s="122"/>
      <c r="P29" s="122"/>
      <c r="Q29" s="122"/>
    </row>
    <row r="30" spans="2:28" x14ac:dyDescent="0.35">
      <c r="B30" s="123">
        <v>8</v>
      </c>
      <c r="C30" s="122" t="s">
        <v>53</v>
      </c>
      <c r="D30" s="122"/>
      <c r="E30" s="122"/>
      <c r="F30" s="122"/>
      <c r="G30" s="122"/>
      <c r="H30" s="122"/>
      <c r="I30" s="122"/>
      <c r="J30" s="122"/>
      <c r="K30" s="122"/>
      <c r="L30" s="122"/>
      <c r="M30" s="122"/>
      <c r="N30" s="122"/>
      <c r="O30" s="122"/>
      <c r="P30" s="122"/>
      <c r="Q30" s="122"/>
    </row>
    <row r="31" spans="2:28" x14ac:dyDescent="0.35">
      <c r="B31" s="123">
        <v>9</v>
      </c>
      <c r="C31" s="122" t="s">
        <v>84</v>
      </c>
      <c r="D31" s="122"/>
      <c r="E31" s="122"/>
      <c r="F31" s="122"/>
      <c r="G31" s="122"/>
      <c r="H31" s="122"/>
      <c r="I31" s="122"/>
      <c r="J31" s="122"/>
      <c r="K31" s="122"/>
      <c r="L31" s="122"/>
      <c r="M31" s="122"/>
      <c r="N31" s="122"/>
      <c r="O31" s="122"/>
      <c r="P31" s="122"/>
      <c r="Q31" s="122"/>
    </row>
    <row r="32" spans="2:28" x14ac:dyDescent="0.35">
      <c r="B32" s="123">
        <v>10</v>
      </c>
      <c r="C32" s="53" t="s">
        <v>85</v>
      </c>
    </row>
    <row r="33" spans="2:20" x14ac:dyDescent="0.35">
      <c r="B33" s="123">
        <v>11</v>
      </c>
      <c r="C33" s="53" t="s">
        <v>105</v>
      </c>
    </row>
    <row r="34" spans="2:20" x14ac:dyDescent="0.35">
      <c r="B34" s="125"/>
      <c r="C34" s="5"/>
      <c r="D34" s="5"/>
      <c r="E34" s="5"/>
      <c r="F34" s="5"/>
    </row>
    <row r="35" spans="2:20" x14ac:dyDescent="0.35">
      <c r="B35" s="125"/>
      <c r="C35" s="191"/>
      <c r="D35" s="5"/>
      <c r="E35" s="5"/>
      <c r="F35" s="5"/>
    </row>
    <row r="37" spans="2:20" x14ac:dyDescent="0.35">
      <c r="F37" s="108"/>
      <c r="G37" s="126"/>
      <c r="H37" s="126"/>
      <c r="I37" s="126"/>
      <c r="J37" s="126"/>
      <c r="K37" s="126"/>
      <c r="L37" s="126"/>
      <c r="M37" s="126"/>
      <c r="N37" s="126"/>
      <c r="O37" s="126"/>
      <c r="P37" s="126"/>
      <c r="Q37" s="126"/>
      <c r="R37" s="126"/>
      <c r="S37" s="126"/>
      <c r="T37" s="126"/>
    </row>
    <row r="38" spans="2:20" x14ac:dyDescent="0.35">
      <c r="G38" s="126"/>
      <c r="H38" s="126"/>
      <c r="I38" s="126"/>
      <c r="J38" s="126"/>
      <c r="K38" s="126"/>
      <c r="L38" s="126"/>
      <c r="M38" s="126"/>
      <c r="N38" s="126"/>
      <c r="O38" s="126"/>
      <c r="P38" s="126"/>
      <c r="Q38" s="126"/>
      <c r="R38" s="126"/>
      <c r="S38" s="126"/>
      <c r="T38" s="126"/>
    </row>
    <row r="39" spans="2:20" x14ac:dyDescent="0.35">
      <c r="F39" s="108"/>
      <c r="G39" s="108"/>
      <c r="H39" s="108"/>
      <c r="I39" s="108"/>
      <c r="J39" s="108"/>
      <c r="K39" s="108"/>
      <c r="L39" s="108"/>
      <c r="M39" s="108"/>
      <c r="N39" s="108"/>
      <c r="O39" s="108"/>
      <c r="P39" s="108"/>
      <c r="Q39" s="108"/>
      <c r="R39" s="108"/>
      <c r="S39" s="108"/>
      <c r="T39" s="108"/>
    </row>
    <row r="40" spans="2:20" x14ac:dyDescent="0.35">
      <c r="D40" s="118"/>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workbookViewId="0">
      <selection activeCell="C25" sqref="C25"/>
    </sheetView>
  </sheetViews>
  <sheetFormatPr defaultColWidth="9.1796875" defaultRowHeight="15.5" x14ac:dyDescent="0.35"/>
  <cols>
    <col min="1" max="1" width="2.54296875" style="53" customWidth="1"/>
    <col min="2" max="2" width="5" style="53" customWidth="1"/>
    <col min="3" max="3" width="46.54296875" style="53" customWidth="1"/>
    <col min="4" max="4" width="2.54296875" style="53" customWidth="1"/>
    <col min="5" max="17" width="12.54296875" style="53" customWidth="1"/>
    <col min="18" max="20" width="12.54296875" customWidth="1"/>
    <col min="21" max="22" width="12.54296875" style="53" customWidth="1"/>
    <col min="23" max="23" width="2.54296875" style="53" customWidth="1"/>
    <col min="24" max="25" width="12.54296875" style="53" customWidth="1"/>
    <col min="26" max="29" width="12.453125" style="53" customWidth="1"/>
    <col min="30" max="16384" width="9.1796875" style="53"/>
  </cols>
  <sheetData>
    <row r="2" spans="2:30" ht="19.5" customHeight="1" x14ac:dyDescent="0.35">
      <c r="C2" s="197" t="s">
        <v>86</v>
      </c>
      <c r="D2" s="197"/>
      <c r="E2" s="197"/>
      <c r="F2" s="197"/>
      <c r="G2" s="197"/>
      <c r="H2" s="197"/>
      <c r="I2" s="197"/>
      <c r="J2" s="197"/>
      <c r="K2" s="197"/>
      <c r="L2" s="197"/>
    </row>
    <row r="3" spans="2:30" x14ac:dyDescent="0.35">
      <c r="C3" s="42" t="s">
        <v>46</v>
      </c>
    </row>
    <row r="4" spans="2:30" s="99" customFormat="1" ht="46.5" x14ac:dyDescent="0.35">
      <c r="B4" s="98"/>
      <c r="C4" s="133" t="s">
        <v>0</v>
      </c>
      <c r="D4" s="133"/>
      <c r="E4" s="133" t="s">
        <v>1</v>
      </c>
      <c r="F4" s="133" t="s">
        <v>2</v>
      </c>
      <c r="G4" s="133" t="s">
        <v>3</v>
      </c>
      <c r="H4" s="133" t="s">
        <v>4</v>
      </c>
      <c r="I4" s="133" t="s">
        <v>5</v>
      </c>
      <c r="J4" s="133" t="s">
        <v>6</v>
      </c>
      <c r="K4" s="133" t="s">
        <v>7</v>
      </c>
      <c r="L4" s="134" t="s">
        <v>14</v>
      </c>
      <c r="M4" s="134"/>
    </row>
    <row r="5" spans="2:30" x14ac:dyDescent="0.35">
      <c r="C5" s="136"/>
      <c r="D5" s="137"/>
      <c r="E5" s="138">
        <v>10</v>
      </c>
      <c r="F5" s="277">
        <f>+'Capacity Delivered'!$I$5</f>
        <v>0.04</v>
      </c>
      <c r="G5" s="139" t="s">
        <v>8</v>
      </c>
      <c r="H5" s="140">
        <f>'Electric EES CE Std Energy'!D18</f>
        <v>4.3372109730943943E-2</v>
      </c>
      <c r="I5" s="141">
        <f>'Solar Avoided Capacity Calcs'!X16</f>
        <v>2.4783561643835607E-3</v>
      </c>
      <c r="J5" s="141">
        <f>H5+I5</f>
        <v>4.5850465895327507E-2</v>
      </c>
      <c r="K5" s="142">
        <f>J5</f>
        <v>4.5850465895327507E-2</v>
      </c>
      <c r="L5" s="143">
        <f>K5*1000</f>
        <v>45.85046589532751</v>
      </c>
      <c r="M5" s="127"/>
    </row>
    <row r="6" spans="2:30" x14ac:dyDescent="0.35">
      <c r="C6" s="135"/>
      <c r="D6" s="135"/>
      <c r="E6" s="102"/>
      <c r="F6" s="102"/>
      <c r="G6" s="102"/>
      <c r="H6" s="32">
        <f>H5*1000</f>
        <v>43.37210973094394</v>
      </c>
      <c r="I6" s="32">
        <f t="shared" ref="I6:K6" si="0">I5*1000</f>
        <v>2.4783561643835608</v>
      </c>
      <c r="J6" s="32">
        <f t="shared" si="0"/>
        <v>45.85046589532751</v>
      </c>
      <c r="K6" s="32">
        <f t="shared" si="0"/>
        <v>45.85046589532751</v>
      </c>
      <c r="L6" s="104">
        <f>L5*(1-M6)</f>
        <v>44.474951918467681</v>
      </c>
      <c r="M6" s="224">
        <v>0.03</v>
      </c>
      <c r="N6" s="105" t="s">
        <v>40</v>
      </c>
    </row>
    <row r="7" spans="2:30" x14ac:dyDescent="0.35">
      <c r="C7" s="106"/>
      <c r="D7" s="103"/>
      <c r="H7" s="40"/>
      <c r="I7" s="101"/>
      <c r="J7" s="40"/>
      <c r="K7" s="101"/>
      <c r="L7" s="101"/>
      <c r="M7" s="102"/>
    </row>
    <row r="8" spans="2:30" x14ac:dyDescent="0.35">
      <c r="C8" s="102"/>
      <c r="D8" s="102"/>
      <c r="E8" s="102"/>
      <c r="F8" s="102"/>
      <c r="G8" s="102"/>
      <c r="H8" s="107"/>
      <c r="I8" s="107"/>
      <c r="J8" s="107"/>
      <c r="K8" s="107"/>
      <c r="L8" s="107"/>
      <c r="M8" s="107"/>
      <c r="N8" s="107"/>
      <c r="O8" s="107"/>
      <c r="P8" s="107"/>
      <c r="Q8" s="107"/>
      <c r="U8" s="108"/>
      <c r="V8" s="108"/>
      <c r="W8" s="107"/>
      <c r="X8" s="188" t="s">
        <v>76</v>
      </c>
      <c r="Y8" s="108"/>
      <c r="Z8" s="108"/>
    </row>
    <row r="9" spans="2:30" x14ac:dyDescent="0.35">
      <c r="C9" s="109" t="s">
        <v>9</v>
      </c>
      <c r="D9" s="109"/>
      <c r="E9" s="109"/>
      <c r="F9" s="110">
        <f>+L6</f>
        <v>44.474951918467681</v>
      </c>
      <c r="G9" s="110">
        <f t="shared" ref="G9:O9" si="1">F9</f>
        <v>44.474951918467681</v>
      </c>
      <c r="H9" s="110">
        <f t="shared" si="1"/>
        <v>44.474951918467681</v>
      </c>
      <c r="I9" s="110">
        <f t="shared" si="1"/>
        <v>44.474951918467681</v>
      </c>
      <c r="J9" s="110">
        <f t="shared" si="1"/>
        <v>44.474951918467681</v>
      </c>
      <c r="K9" s="110">
        <f t="shared" si="1"/>
        <v>44.474951918467681</v>
      </c>
      <c r="L9" s="110">
        <f t="shared" si="1"/>
        <v>44.474951918467681</v>
      </c>
      <c r="M9" s="110">
        <f t="shared" si="1"/>
        <v>44.474951918467681</v>
      </c>
      <c r="N9" s="110">
        <f t="shared" si="1"/>
        <v>44.474951918467681</v>
      </c>
      <c r="O9" s="110">
        <f t="shared" si="1"/>
        <v>44.474951918467681</v>
      </c>
      <c r="V9" s="40"/>
      <c r="X9" s="187">
        <f>NPV(Rate_of_Return,F9:O9)</f>
        <v>310.07616447151622</v>
      </c>
      <c r="Y9" s="187">
        <f>-PMT(Rate_of_Return,$E$5,X9)</f>
        <v>44.474951918467667</v>
      </c>
      <c r="Z9" s="40"/>
    </row>
    <row r="10" spans="2:30" x14ac:dyDescent="0.35">
      <c r="C10" s="102"/>
      <c r="D10" s="102"/>
      <c r="E10" s="102"/>
      <c r="F10" s="111"/>
      <c r="G10" s="111"/>
      <c r="H10" s="111"/>
      <c r="I10" s="111"/>
      <c r="J10" s="111"/>
      <c r="K10" s="111"/>
      <c r="L10" s="111"/>
      <c r="M10" s="111"/>
      <c r="N10" s="111"/>
      <c r="O10" s="111"/>
      <c r="P10" s="107"/>
      <c r="Q10" s="107"/>
      <c r="U10" s="108"/>
      <c r="V10" s="40"/>
      <c r="W10" s="107"/>
      <c r="X10" s="32"/>
      <c r="Y10" s="32"/>
      <c r="Z10" s="40"/>
    </row>
    <row r="11" spans="2:30" x14ac:dyDescent="0.35">
      <c r="C11" s="53" t="s">
        <v>58</v>
      </c>
      <c r="F11" s="192">
        <v>1</v>
      </c>
      <c r="G11" s="192">
        <v>2</v>
      </c>
      <c r="H11" s="192">
        <v>3</v>
      </c>
      <c r="I11" s="192">
        <v>4</v>
      </c>
      <c r="J11" s="192">
        <v>5</v>
      </c>
      <c r="K11" s="192">
        <v>6</v>
      </c>
      <c r="L11" s="192">
        <v>7</v>
      </c>
      <c r="M11" s="192">
        <v>8</v>
      </c>
      <c r="N11" s="192">
        <v>9</v>
      </c>
      <c r="O11" s="192">
        <v>10</v>
      </c>
      <c r="P11" s="192">
        <v>11</v>
      </c>
      <c r="Q11" s="192">
        <v>12</v>
      </c>
      <c r="V11" s="40"/>
      <c r="X11" s="40"/>
      <c r="Y11" s="40"/>
      <c r="Z11" s="40"/>
    </row>
    <row r="12" spans="2:30" x14ac:dyDescent="0.35">
      <c r="C12" s="102"/>
      <c r="D12" s="100"/>
      <c r="E12" s="102"/>
      <c r="F12" s="112">
        <f>'Energy Prices'!$C$6</f>
        <v>2025</v>
      </c>
      <c r="G12" s="112">
        <f>F12+1</f>
        <v>2026</v>
      </c>
      <c r="H12" s="112">
        <f>G12+1</f>
        <v>2027</v>
      </c>
      <c r="I12" s="112">
        <f t="shared" ref="I12:O12" si="2">H12+1</f>
        <v>2028</v>
      </c>
      <c r="J12" s="112">
        <f t="shared" si="2"/>
        <v>2029</v>
      </c>
      <c r="K12" s="112">
        <f t="shared" si="2"/>
        <v>2030</v>
      </c>
      <c r="L12" s="112">
        <f t="shared" si="2"/>
        <v>2031</v>
      </c>
      <c r="M12" s="112">
        <f t="shared" si="2"/>
        <v>2032</v>
      </c>
      <c r="N12" s="112">
        <f t="shared" si="2"/>
        <v>2033</v>
      </c>
      <c r="O12" s="112">
        <f t="shared" si="2"/>
        <v>2034</v>
      </c>
      <c r="P12" s="112">
        <f>O12+1</f>
        <v>2035</v>
      </c>
      <c r="Q12" s="112">
        <f>P12+1</f>
        <v>2036</v>
      </c>
      <c r="U12" s="108"/>
      <c r="V12" s="190"/>
      <c r="W12" s="107"/>
      <c r="X12" s="188" t="s">
        <v>76</v>
      </c>
      <c r="Y12" s="32"/>
      <c r="Z12" s="108"/>
    </row>
    <row r="13" spans="2:30" ht="53.15" customHeight="1" x14ac:dyDescent="0.35">
      <c r="B13" s="102"/>
      <c r="C13" s="193" t="s">
        <v>80</v>
      </c>
      <c r="D13" s="102"/>
      <c r="F13" s="144">
        <f t="shared" ref="F13:O13" si="3">F$9*F$20</f>
        <v>40.258308814780179</v>
      </c>
      <c r="G13" s="145">
        <f t="shared" si="3"/>
        <v>41.264766535149676</v>
      </c>
      <c r="H13" s="146">
        <f t="shared" si="3"/>
        <v>42.296385698528418</v>
      </c>
      <c r="I13" s="146">
        <f t="shared" si="3"/>
        <v>43.353795340991624</v>
      </c>
      <c r="J13" s="146">
        <f t="shared" si="3"/>
        <v>44.437640224516414</v>
      </c>
      <c r="K13" s="146">
        <f t="shared" si="3"/>
        <v>45.548581230129322</v>
      </c>
      <c r="L13" s="146">
        <f t="shared" si="3"/>
        <v>46.687295760882549</v>
      </c>
      <c r="M13" s="146">
        <f t="shared" si="3"/>
        <v>47.854478154904605</v>
      </c>
      <c r="N13" s="146">
        <f t="shared" si="3"/>
        <v>49.050840108777216</v>
      </c>
      <c r="O13" s="146">
        <f t="shared" si="3"/>
        <v>50.277111111496644</v>
      </c>
      <c r="P13" s="189">
        <f>O13*1.025</f>
        <v>51.534038889284055</v>
      </c>
      <c r="Q13" s="189">
        <f>P13*1.025</f>
        <v>52.82238986151615</v>
      </c>
      <c r="V13" s="114"/>
      <c r="X13" s="187">
        <f>NPV(Rate_of_Return,F13:O13)</f>
        <v>310.07616447151634</v>
      </c>
      <c r="Y13" s="187">
        <f>-PMT(Rate_of_Return,$E$5,X13)</f>
        <v>44.474951918467688</v>
      </c>
      <c r="Z13" s="114"/>
      <c r="AD13" s="115"/>
    </row>
    <row r="14" spans="2:30" x14ac:dyDescent="0.35">
      <c r="C14" s="113"/>
      <c r="E14" s="116"/>
      <c r="F14" s="114"/>
      <c r="G14" s="114"/>
      <c r="H14" s="114"/>
      <c r="I14" s="114"/>
      <c r="J14" s="114"/>
      <c r="K14" s="114"/>
      <c r="L14" s="114"/>
      <c r="M14" s="114"/>
      <c r="N14" s="114"/>
      <c r="O14" s="114"/>
      <c r="P14" s="107"/>
      <c r="Q14" s="107"/>
      <c r="U14" s="108"/>
      <c r="V14" s="114"/>
      <c r="W14" s="107"/>
      <c r="X14" s="108"/>
      <c r="Y14" s="108"/>
      <c r="Z14" s="108"/>
    </row>
    <row r="15" spans="2:30" x14ac:dyDescent="0.35">
      <c r="C15" s="117"/>
      <c r="E15" s="116"/>
      <c r="F15" s="114"/>
      <c r="G15" s="114"/>
      <c r="H15" s="114"/>
      <c r="I15" s="114"/>
      <c r="J15" s="114"/>
      <c r="K15" s="114"/>
      <c r="L15" s="114"/>
      <c r="M15" s="114"/>
      <c r="N15" s="114"/>
      <c r="O15" s="114"/>
      <c r="V15" s="114"/>
      <c r="X15" s="108"/>
      <c r="Y15" s="108"/>
      <c r="Z15" s="108"/>
    </row>
    <row r="16" spans="2:30" x14ac:dyDescent="0.35">
      <c r="C16" s="53" t="s">
        <v>10</v>
      </c>
      <c r="P16" s="107"/>
      <c r="Q16" s="107"/>
      <c r="U16" s="108"/>
      <c r="W16" s="107"/>
    </row>
    <row r="18" spans="2:26" x14ac:dyDescent="0.35">
      <c r="C18" s="102"/>
      <c r="D18" s="102"/>
      <c r="E18" s="102"/>
      <c r="F18" s="102"/>
      <c r="G18" s="102"/>
      <c r="H18" s="102"/>
      <c r="I18" s="102"/>
      <c r="J18" s="102"/>
      <c r="K18" s="102"/>
      <c r="L18" s="102"/>
      <c r="M18" s="102"/>
      <c r="N18" s="102"/>
      <c r="O18" s="102"/>
      <c r="P18" s="107"/>
      <c r="Q18" s="107"/>
      <c r="U18" s="108"/>
      <c r="W18" s="107"/>
      <c r="X18" s="188" t="s">
        <v>76</v>
      </c>
      <c r="Y18" s="102"/>
    </row>
    <row r="19" spans="2:26" x14ac:dyDescent="0.35">
      <c r="C19" s="109" t="s">
        <v>11</v>
      </c>
      <c r="D19" s="109"/>
      <c r="E19" s="109"/>
      <c r="F19" s="128">
        <v>100</v>
      </c>
      <c r="G19" s="128">
        <f t="shared" ref="G19:O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V19" s="118"/>
      <c r="X19" s="187">
        <f>NPV(Rate_of_Return,F19:O19)</f>
        <v>770.2165679589524</v>
      </c>
      <c r="Y19" s="187">
        <f>-PMT(Rate_of_Return,$E$5,X19)</f>
        <v>110.47396979114887</v>
      </c>
      <c r="Z19" s="108"/>
    </row>
    <row r="20" spans="2:26" x14ac:dyDescent="0.35">
      <c r="C20" s="131" t="s">
        <v>12</v>
      </c>
      <c r="D20" s="131"/>
      <c r="E20" s="131"/>
      <c r="F20" s="132">
        <f t="shared" ref="F20:O20" si="5">F19/$Y$19</f>
        <v>0.90519060905523785</v>
      </c>
      <c r="G20" s="132">
        <f t="shared" si="5"/>
        <v>0.92782037428161868</v>
      </c>
      <c r="H20" s="132">
        <f t="shared" si="5"/>
        <v>0.95101588363865908</v>
      </c>
      <c r="I20" s="132">
        <f t="shared" si="5"/>
        <v>0.9747912807296254</v>
      </c>
      <c r="J20" s="132">
        <f t="shared" si="5"/>
        <v>0.99916106274786609</v>
      </c>
      <c r="K20" s="132">
        <f t="shared" si="5"/>
        <v>1.0241400893165626</v>
      </c>
      <c r="L20" s="132">
        <f t="shared" si="5"/>
        <v>1.0497435915494766</v>
      </c>
      <c r="M20" s="132">
        <f t="shared" si="5"/>
        <v>1.0759871813382134</v>
      </c>
      <c r="N20" s="132">
        <f t="shared" si="5"/>
        <v>1.1028868608716687</v>
      </c>
      <c r="O20" s="132">
        <f t="shared" si="5"/>
        <v>1.1304590323934602</v>
      </c>
      <c r="P20" s="107"/>
      <c r="Q20" s="107"/>
      <c r="U20" s="108"/>
      <c r="V20" s="119"/>
      <c r="W20" s="107"/>
      <c r="X20" s="187">
        <f>NPV(Rate_of_Return,F20:O20)</f>
        <v>6.9719280425519923</v>
      </c>
      <c r="Y20" s="187">
        <f>-PMT(Rate_of_Return,$E$5,X20)</f>
        <v>1.0000000000000002</v>
      </c>
      <c r="Z20" s="108"/>
    </row>
    <row r="21" spans="2:26" x14ac:dyDescent="0.35">
      <c r="C21" s="102"/>
      <c r="D21" s="102"/>
      <c r="E21" s="129"/>
      <c r="F21" s="129"/>
      <c r="G21" s="129"/>
      <c r="H21" s="129"/>
      <c r="I21" s="129"/>
      <c r="J21" s="129"/>
      <c r="K21" s="129"/>
      <c r="L21" s="129"/>
      <c r="M21" s="130"/>
      <c r="N21" s="130"/>
      <c r="O21" s="130"/>
      <c r="P21" s="130"/>
      <c r="Q21" s="130"/>
      <c r="W21" s="130"/>
      <c r="X21" s="130"/>
      <c r="Y21" s="130"/>
    </row>
    <row r="22" spans="2:26" x14ac:dyDescent="0.35">
      <c r="B22" s="120" t="s">
        <v>13</v>
      </c>
      <c r="C22" s="121"/>
      <c r="D22" s="122"/>
      <c r="E22" s="122"/>
      <c r="F22" s="122"/>
      <c r="G22" s="122"/>
      <c r="H22" s="122"/>
      <c r="I22" s="122"/>
      <c r="J22" s="122"/>
      <c r="K22" s="122"/>
      <c r="L22" s="122"/>
      <c r="M22" s="122"/>
      <c r="N22" s="122"/>
      <c r="O22" s="122"/>
    </row>
    <row r="23" spans="2:26" x14ac:dyDescent="0.35">
      <c r="B23" s="123">
        <v>1</v>
      </c>
      <c r="C23" s="274" t="s">
        <v>111</v>
      </c>
      <c r="D23" s="122"/>
      <c r="E23" s="122"/>
      <c r="F23" s="122"/>
      <c r="G23" s="122"/>
      <c r="H23" s="122"/>
      <c r="I23" s="122"/>
      <c r="J23" s="122"/>
      <c r="K23" s="122"/>
      <c r="L23" s="122"/>
      <c r="M23" s="122"/>
      <c r="N23" s="122"/>
      <c r="O23" s="122"/>
    </row>
    <row r="24" spans="2:26" x14ac:dyDescent="0.35">
      <c r="B24" s="123">
        <v>2</v>
      </c>
      <c r="C24" s="122" t="s">
        <v>177</v>
      </c>
      <c r="D24" s="122"/>
      <c r="E24" s="122"/>
      <c r="F24" s="122"/>
      <c r="G24" s="122"/>
      <c r="H24" s="122"/>
      <c r="I24" s="122"/>
      <c r="J24" s="122"/>
      <c r="K24" s="122"/>
      <c r="L24" s="122"/>
      <c r="M24" s="122"/>
      <c r="N24" s="122"/>
      <c r="O24" s="122"/>
    </row>
    <row r="25" spans="2:26" x14ac:dyDescent="0.35">
      <c r="B25" s="123">
        <v>3</v>
      </c>
      <c r="C25" s="122" t="s">
        <v>47</v>
      </c>
      <c r="D25" s="122"/>
      <c r="E25" s="122"/>
      <c r="F25" s="122"/>
      <c r="G25" s="122"/>
      <c r="H25" s="122"/>
      <c r="I25" s="122"/>
      <c r="J25" s="122"/>
      <c r="K25" s="122"/>
      <c r="L25" s="122"/>
      <c r="M25" s="122"/>
      <c r="N25" s="122"/>
      <c r="O25" s="122"/>
    </row>
    <row r="26" spans="2:26" x14ac:dyDescent="0.35">
      <c r="B26" s="123">
        <v>4</v>
      </c>
      <c r="C26" s="122" t="s">
        <v>158</v>
      </c>
      <c r="D26" s="122"/>
      <c r="E26" s="122"/>
      <c r="F26" s="122"/>
      <c r="G26" s="122"/>
      <c r="H26" s="122"/>
      <c r="I26" s="122"/>
      <c r="J26" s="122"/>
      <c r="K26" s="122"/>
      <c r="L26" s="122"/>
      <c r="M26" s="122"/>
      <c r="N26" s="122"/>
      <c r="O26" s="122"/>
    </row>
    <row r="27" spans="2:26" x14ac:dyDescent="0.35">
      <c r="B27" s="123">
        <v>5</v>
      </c>
      <c r="C27" s="122" t="s">
        <v>81</v>
      </c>
      <c r="D27" s="122"/>
      <c r="E27" s="122"/>
      <c r="F27" s="122"/>
      <c r="G27" s="122"/>
      <c r="H27" s="122"/>
      <c r="I27" s="122"/>
      <c r="J27" s="122"/>
      <c r="K27" s="122"/>
      <c r="L27" s="122"/>
      <c r="M27" s="122"/>
      <c r="N27" s="122"/>
      <c r="O27" s="122"/>
    </row>
    <row r="28" spans="2:26" x14ac:dyDescent="0.35">
      <c r="B28" s="123">
        <v>6</v>
      </c>
      <c r="C28" s="122" t="s">
        <v>82</v>
      </c>
      <c r="D28" s="122"/>
      <c r="E28" s="122"/>
      <c r="F28" s="122"/>
      <c r="G28" s="122"/>
      <c r="H28" s="122"/>
      <c r="I28" s="122"/>
      <c r="J28" s="122"/>
      <c r="K28" s="122"/>
      <c r="L28" s="122"/>
      <c r="M28" s="122"/>
      <c r="N28" s="122"/>
      <c r="O28" s="122"/>
    </row>
    <row r="29" spans="2:26" x14ac:dyDescent="0.35">
      <c r="B29" s="123">
        <v>7</v>
      </c>
      <c r="C29" s="122" t="s">
        <v>83</v>
      </c>
      <c r="D29" s="122"/>
      <c r="E29" s="122"/>
      <c r="F29" s="122"/>
      <c r="G29" s="122"/>
      <c r="H29" s="122"/>
      <c r="I29" s="122"/>
      <c r="J29" s="122"/>
      <c r="K29" s="122"/>
      <c r="L29" s="122"/>
      <c r="M29" s="122"/>
      <c r="N29" s="122"/>
      <c r="O29" s="122"/>
      <c r="P29" s="122"/>
      <c r="Q29" s="122"/>
    </row>
    <row r="30" spans="2:26" x14ac:dyDescent="0.35">
      <c r="B30" s="123">
        <v>8</v>
      </c>
      <c r="C30" s="122" t="s">
        <v>53</v>
      </c>
      <c r="D30" s="122"/>
      <c r="E30" s="122"/>
      <c r="F30" s="122"/>
      <c r="G30" s="122"/>
      <c r="H30" s="122"/>
      <c r="I30" s="122"/>
      <c r="J30" s="122"/>
      <c r="K30" s="122"/>
      <c r="L30" s="122"/>
      <c r="M30" s="122"/>
      <c r="N30" s="122"/>
      <c r="O30" s="122"/>
      <c r="P30" s="122"/>
      <c r="Q30" s="122"/>
    </row>
    <row r="31" spans="2:26" x14ac:dyDescent="0.35">
      <c r="B31" s="123">
        <v>9</v>
      </c>
      <c r="C31" s="122" t="s">
        <v>84</v>
      </c>
      <c r="D31" s="122"/>
      <c r="E31" s="122"/>
      <c r="F31" s="122"/>
      <c r="G31" s="122"/>
      <c r="H31" s="122"/>
      <c r="I31" s="122"/>
      <c r="J31" s="122"/>
      <c r="K31" s="122"/>
      <c r="L31" s="122"/>
      <c r="M31" s="122"/>
      <c r="N31" s="122"/>
      <c r="O31" s="122"/>
      <c r="P31" s="122"/>
      <c r="Q31" s="122"/>
    </row>
    <row r="32" spans="2:26" x14ac:dyDescent="0.35">
      <c r="B32" s="123">
        <v>10</v>
      </c>
      <c r="C32" s="53" t="s">
        <v>85</v>
      </c>
    </row>
    <row r="33" spans="2:25" x14ac:dyDescent="0.35">
      <c r="B33" s="123">
        <v>11</v>
      </c>
      <c r="C33" s="53" t="s">
        <v>105</v>
      </c>
    </row>
    <row r="34" spans="2:25" x14ac:dyDescent="0.35">
      <c r="B34" s="125"/>
      <c r="C34" s="5"/>
      <c r="D34" s="5"/>
      <c r="E34" s="5"/>
      <c r="F34" s="5"/>
    </row>
    <row r="35" spans="2:25" x14ac:dyDescent="0.35">
      <c r="B35" s="125"/>
      <c r="C35" s="5"/>
      <c r="D35" s="5"/>
      <c r="E35" s="5"/>
      <c r="F35" s="5"/>
    </row>
    <row r="37" spans="2:25" x14ac:dyDescent="0.35">
      <c r="F37" s="108"/>
      <c r="G37" s="126"/>
      <c r="H37" s="126"/>
      <c r="I37" s="126"/>
      <c r="J37" s="126"/>
      <c r="K37" s="126"/>
      <c r="L37" s="126"/>
      <c r="M37" s="126"/>
      <c r="N37" s="126"/>
      <c r="O37" s="126"/>
      <c r="P37" s="126"/>
      <c r="Q37" s="126"/>
      <c r="W37" s="126"/>
      <c r="X37" s="126"/>
      <c r="Y37" s="126"/>
    </row>
    <row r="38" spans="2:25" x14ac:dyDescent="0.35">
      <c r="G38" s="126"/>
      <c r="H38" s="126"/>
      <c r="I38" s="126"/>
      <c r="J38" s="126"/>
      <c r="K38" s="126"/>
      <c r="L38" s="126"/>
      <c r="M38" s="126"/>
      <c r="N38" s="126"/>
      <c r="O38" s="126"/>
      <c r="P38" s="126"/>
      <c r="Q38" s="126"/>
      <c r="W38" s="126"/>
      <c r="X38" s="126"/>
      <c r="Y38" s="126"/>
    </row>
    <row r="39" spans="2:25" x14ac:dyDescent="0.35">
      <c r="F39" s="108"/>
      <c r="G39" s="108"/>
      <c r="H39" s="108"/>
      <c r="I39" s="108"/>
      <c r="J39" s="108"/>
      <c r="K39" s="108"/>
      <c r="L39" s="108"/>
      <c r="M39" s="108"/>
      <c r="N39" s="108"/>
      <c r="O39" s="108"/>
      <c r="P39" s="108"/>
      <c r="Q39" s="108"/>
      <c r="W39" s="108"/>
      <c r="X39" s="108"/>
      <c r="Y39" s="108"/>
    </row>
    <row r="40" spans="2:25" x14ac:dyDescent="0.35">
      <c r="D40" s="118"/>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Pending</CaseStatus>
    <OpenedDate xmlns="dc463f71-b30c-4ab2-9473-d307f9d35888">2024-11-01T07:00:00+00:00</OpenedDate>
    <SignificantOrder xmlns="dc463f71-b30c-4ab2-9473-d307f9d35888">false</SignificantOrder>
    <Date1 xmlns="dc463f71-b30c-4ab2-9473-d307f9d35888">2024-11-01T07:00:00+00:00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240830</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12B1FDDC7C79443BF8D2415791A2CA6" ma:contentTypeVersion="12" ma:contentTypeDescription="" ma:contentTypeScope="" ma:versionID="a8f80609bcb77585cc469f271cec585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3D7932-8BA6-4675-966E-1443A812A2A5}">
  <ds:schemaRefs>
    <ds:schemaRef ds:uri="Microsoft.SharePoint.Taxonomy.ContentTypeSync"/>
  </ds:schemaRefs>
</ds:datastoreItem>
</file>

<file path=customXml/itemProps2.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3.xml><?xml version="1.0" encoding="utf-8"?>
<ds:datastoreItem xmlns:ds="http://schemas.openxmlformats.org/officeDocument/2006/customXml" ds:itemID="{03E0F919-B37F-4217-AEE8-BC978C1FFF41}">
  <ds:schemaRefs>
    <ds:schemaRef ds:uri="http://schemas.microsoft.com/office/2006/documentManagement/types"/>
    <ds:schemaRef ds:uri="dc463f71-b30c-4ab2-9473-d307f9d35888"/>
    <ds:schemaRef ds:uri="http://schemas.microsoft.com/sharepoint/v3"/>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76212D02-E007-41A0-9D65-8AE0811380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READ ME</vt:lpstr>
      <vt:lpstr>Comparison</vt: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2024-10-28T18:45:41Z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0x0101006E56B4D1795A2E4DB2F0B01679ED314A00012B1FDDC7C79443BF8D2415791A2CA6</vt:lpwstr>
  </property>
  <property fmtid="{D5CDD505-2E9C-101B-9397-08002B2CF9AE}" pid="3" name="_docset_NoMedatataSyncRequired">
    <vt:lpwstr>False</vt:lpwstr>
  </property>
  <property fmtid="{D5CDD505-2E9C-101B-9397-08002B2CF9AE}" pid="4" name="IsEFSEC">
    <vt:bool>false</vt:bool>
  </property>
</Properties>
</file>