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32.bin" ContentType="application/vnd.openxmlformats-officedocument.spreadsheetml.customProperty"/>
  <Override PartName="/xl/customProperty31.bin" ContentType="application/vnd.openxmlformats-officedocument.spreadsheetml.customProperty"/>
  <Override PartName="/xl/customProperty33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4.bin" ContentType="application/vnd.openxmlformats-officedocument.spreadsheetml.customProperty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I:\GrpRevnu\PUBLIC\Schedules\Schedule 141N-R\2024\"/>
    </mc:Choice>
  </mc:AlternateContent>
  <bookViews>
    <workbookView xWindow="0" yWindow="0" windowWidth="19200" windowHeight="6540" tabRatio="867"/>
  </bookViews>
  <sheets>
    <sheet name="Elec Rev Req for COS" sheetId="41" r:id="rId1"/>
    <sheet name="Gas Rev Req for COS" sheetId="42" r:id="rId2"/>
    <sheet name="Electric Closings Summary" sheetId="1" r:id="rId3"/>
    <sheet name="Gas Closings Summary" sheetId="7" r:id="rId4"/>
    <sheet name="Rev Req Comparison" sheetId="8" r:id="rId5"/>
    <sheet name="2022 GRC SEF-23 Adds" sheetId="34" r:id="rId6"/>
    <sheet name="2022 GRC SEF-23 Retires" sheetId="33" r:id="rId7"/>
    <sheet name="2022 GRC SEF-24 Adds" sheetId="31" r:id="rId8"/>
    <sheet name="2022 GRC SEF-24 Retires" sheetId="32" r:id="rId9"/>
    <sheet name="SEF-23" sheetId="12" r:id="rId10"/>
    <sheet name="SEF-24" sheetId="13" r:id="rId11"/>
    <sheet name="2023 YE Gross Plant Detail" sheetId="2" r:id="rId12"/>
    <sheet name="2023 YE Accum Depr Detail" sheetId="3" r:id="rId13"/>
    <sheet name="2023 YE Def Tax Detail" sheetId="4" r:id="rId14"/>
    <sheet name="2023 YE Depr Expense" sheetId="5" r:id="rId15"/>
    <sheet name="2023 Retirement Depr Adj" sheetId="9" r:id="rId16"/>
    <sheet name="Calc Program Gross Plant" sheetId="37" r:id="rId17"/>
    <sheet name="Calc DG Gross Plant" sheetId="38" r:id="rId18"/>
    <sheet name="Calc Program Accum Depreciation" sheetId="39" r:id="rId19"/>
    <sheet name="Calc Program Deprec Exp" sheetId="40" r:id="rId20"/>
  </sheets>
  <definedNames>
    <definedName name="_xlnm._FilterDatabase" localSheetId="17" hidden="1">'Calc DG Gross Plant'!$A$4:$AE$511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1" l="1"/>
  <c r="D26" i="42" l="1"/>
  <c r="D23" i="42"/>
  <c r="D25" i="42" s="1"/>
  <c r="C23" i="42"/>
  <c r="C25" i="42" s="1"/>
  <c r="C23" i="41"/>
  <c r="D23" i="41"/>
  <c r="D25" i="41"/>
  <c r="D9" i="42" l="1"/>
  <c r="D10" i="42"/>
  <c r="D11" i="42"/>
  <c r="D12" i="42"/>
  <c r="D16" i="42"/>
  <c r="D15" i="42"/>
  <c r="D13" i="42"/>
  <c r="D20" i="42"/>
  <c r="C20" i="42"/>
  <c r="C21" i="42" s="1"/>
  <c r="C22" i="42" s="1"/>
  <c r="D18" i="42"/>
  <c r="C18" i="42"/>
  <c r="C17" i="42"/>
  <c r="C19" i="42" s="1"/>
  <c r="D9" i="41"/>
  <c r="D10" i="41"/>
  <c r="D11" i="41"/>
  <c r="D12" i="41"/>
  <c r="D15" i="41"/>
  <c r="D16" i="41"/>
  <c r="D17" i="41"/>
  <c r="D13" i="41"/>
  <c r="D20" i="41" s="1"/>
  <c r="C25" i="41"/>
  <c r="C20" i="41"/>
  <c r="C18" i="41"/>
  <c r="C17" i="41"/>
  <c r="C19" i="41" s="1"/>
  <c r="D17" i="42" l="1"/>
  <c r="D19" i="42"/>
  <c r="D21" i="42" s="1"/>
  <c r="D22" i="42" s="1"/>
  <c r="D18" i="41"/>
  <c r="D19" i="41"/>
  <c r="D21" i="41" s="1"/>
  <c r="D22" i="41" s="1"/>
  <c r="C21" i="41"/>
  <c r="C22" i="41" s="1"/>
  <c r="D26" i="41" l="1"/>
  <c r="P9" i="8" l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8" i="8"/>
  <c r="M11" i="8"/>
  <c r="L11" i="8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5" i="40"/>
  <c r="K5" i="40"/>
  <c r="S5" i="40"/>
  <c r="T5" i="40"/>
  <c r="C6" i="40"/>
  <c r="J6" i="40"/>
  <c r="K6" i="40"/>
  <c r="S6" i="40"/>
  <c r="T6" i="40"/>
  <c r="J7" i="40"/>
  <c r="K7" i="40"/>
  <c r="S7" i="40"/>
  <c r="T7" i="40"/>
  <c r="J8" i="40"/>
  <c r="K8" i="40"/>
  <c r="S8" i="40"/>
  <c r="T8" i="40"/>
  <c r="J9" i="40"/>
  <c r="K9" i="40"/>
  <c r="S9" i="40"/>
  <c r="T9" i="40"/>
  <c r="J10" i="40"/>
  <c r="K10" i="40"/>
  <c r="S10" i="40"/>
  <c r="T10" i="40"/>
  <c r="J11" i="40"/>
  <c r="K11" i="40"/>
  <c r="S11" i="40"/>
  <c r="T11" i="40"/>
  <c r="J12" i="40"/>
  <c r="K12" i="40"/>
  <c r="S12" i="40"/>
  <c r="T12" i="40"/>
  <c r="J13" i="40"/>
  <c r="K13" i="40"/>
  <c r="S13" i="40"/>
  <c r="T13" i="40"/>
  <c r="J14" i="40"/>
  <c r="K14" i="40"/>
  <c r="S14" i="40"/>
  <c r="T14" i="40"/>
  <c r="J15" i="40"/>
  <c r="K15" i="40"/>
  <c r="S15" i="40"/>
  <c r="T15" i="40"/>
  <c r="J16" i="40"/>
  <c r="K16" i="40"/>
  <c r="S16" i="40"/>
  <c r="T16" i="40"/>
  <c r="J17" i="40"/>
  <c r="K17" i="40"/>
  <c r="S17" i="40"/>
  <c r="T17" i="40"/>
  <c r="J18" i="40"/>
  <c r="K18" i="40"/>
  <c r="S18" i="40"/>
  <c r="T18" i="40"/>
  <c r="J19" i="40"/>
  <c r="K19" i="40"/>
  <c r="S19" i="40"/>
  <c r="T19" i="40"/>
  <c r="J20" i="40"/>
  <c r="K20" i="40"/>
  <c r="S20" i="40"/>
  <c r="T20" i="40"/>
  <c r="J21" i="40"/>
  <c r="K21" i="40"/>
  <c r="S21" i="40"/>
  <c r="T21" i="40"/>
  <c r="J22" i="40"/>
  <c r="K22" i="40"/>
  <c r="S22" i="40"/>
  <c r="T22" i="40"/>
  <c r="J23" i="40"/>
  <c r="K23" i="40"/>
  <c r="S23" i="40"/>
  <c r="T23" i="40"/>
  <c r="J24" i="40"/>
  <c r="K24" i="40"/>
  <c r="S24" i="40"/>
  <c r="T24" i="40"/>
  <c r="J25" i="40"/>
  <c r="K25" i="40"/>
  <c r="S25" i="40"/>
  <c r="T25" i="40"/>
  <c r="J26" i="40"/>
  <c r="K26" i="40"/>
  <c r="S26" i="40"/>
  <c r="T26" i="40"/>
  <c r="J27" i="40"/>
  <c r="K27" i="40"/>
  <c r="S27" i="40"/>
  <c r="T27" i="40"/>
  <c r="J28" i="40"/>
  <c r="K28" i="40"/>
  <c r="S28" i="40"/>
  <c r="T28" i="40"/>
  <c r="J29" i="40"/>
  <c r="K29" i="40"/>
  <c r="S29" i="40"/>
  <c r="T29" i="40"/>
  <c r="J30" i="40"/>
  <c r="K30" i="40"/>
  <c r="S30" i="40"/>
  <c r="T30" i="40"/>
  <c r="J31" i="40"/>
  <c r="K31" i="40"/>
  <c r="S31" i="40"/>
  <c r="T31" i="40"/>
  <c r="J32" i="40"/>
  <c r="K32" i="40"/>
  <c r="S32" i="40"/>
  <c r="T32" i="40"/>
  <c r="J33" i="40"/>
  <c r="K33" i="40"/>
  <c r="S33" i="40"/>
  <c r="T33" i="40"/>
  <c r="J34" i="40"/>
  <c r="K34" i="40"/>
  <c r="S34" i="40"/>
  <c r="T34" i="40"/>
  <c r="J35" i="40"/>
  <c r="K35" i="40"/>
  <c r="S35" i="40"/>
  <c r="T35" i="40"/>
  <c r="J36" i="40"/>
  <c r="K36" i="40"/>
  <c r="S36" i="40"/>
  <c r="T36" i="40"/>
  <c r="J37" i="40"/>
  <c r="K37" i="40"/>
  <c r="S37" i="40"/>
  <c r="T37" i="40"/>
  <c r="J38" i="40"/>
  <c r="K38" i="40"/>
  <c r="S38" i="40"/>
  <c r="T38" i="40"/>
  <c r="J39" i="40"/>
  <c r="K39" i="40"/>
  <c r="S39" i="40"/>
  <c r="T39" i="40"/>
  <c r="J40" i="40"/>
  <c r="K40" i="40"/>
  <c r="S40" i="40"/>
  <c r="T40" i="40"/>
  <c r="J41" i="40"/>
  <c r="K41" i="40"/>
  <c r="S41" i="40"/>
  <c r="T41" i="40"/>
  <c r="J42" i="40"/>
  <c r="K42" i="40"/>
  <c r="S42" i="40"/>
  <c r="T42" i="40"/>
  <c r="J43" i="40"/>
  <c r="K43" i="40"/>
  <c r="S43" i="40"/>
  <c r="T43" i="40"/>
  <c r="J44" i="40"/>
  <c r="K44" i="40"/>
  <c r="S44" i="40"/>
  <c r="T44" i="40"/>
  <c r="J45" i="40"/>
  <c r="K45" i="40"/>
  <c r="S45" i="40"/>
  <c r="T45" i="40"/>
  <c r="J46" i="40"/>
  <c r="K46" i="40"/>
  <c r="S46" i="40"/>
  <c r="T46" i="40"/>
  <c r="J47" i="40"/>
  <c r="K47" i="40"/>
  <c r="S47" i="40"/>
  <c r="T47" i="40"/>
  <c r="M48" i="40"/>
  <c r="AB48" i="40" s="1"/>
  <c r="N48" i="40"/>
  <c r="O48" i="40"/>
  <c r="P48" i="40"/>
  <c r="Q48" i="40"/>
  <c r="V48" i="40"/>
  <c r="W48" i="40"/>
  <c r="X48" i="40"/>
  <c r="Y48" i="40"/>
  <c r="Z48" i="40"/>
  <c r="M49" i="40"/>
  <c r="N49" i="40"/>
  <c r="O49" i="40"/>
  <c r="P49" i="40"/>
  <c r="AB49" i="40" s="1"/>
  <c r="Q49" i="40"/>
  <c r="V49" i="40"/>
  <c r="W49" i="40"/>
  <c r="X49" i="40"/>
  <c r="Y49" i="40"/>
  <c r="Z49" i="40"/>
  <c r="M50" i="40"/>
  <c r="AB50" i="40" s="1"/>
  <c r="N50" i="40"/>
  <c r="O50" i="40"/>
  <c r="P50" i="40"/>
  <c r="Q50" i="40"/>
  <c r="V50" i="40"/>
  <c r="W50" i="40"/>
  <c r="X50" i="40"/>
  <c r="Y50" i="40"/>
  <c r="Z50" i="40"/>
  <c r="AB51" i="40"/>
  <c r="AB52" i="40"/>
  <c r="AB53" i="40"/>
  <c r="AB54" i="40"/>
  <c r="AB55" i="40"/>
  <c r="J5" i="39"/>
  <c r="K5" i="39"/>
  <c r="S5" i="39"/>
  <c r="T5" i="39"/>
  <c r="J6" i="39"/>
  <c r="K6" i="39"/>
  <c r="S6" i="39"/>
  <c r="T6" i="39"/>
  <c r="J7" i="39"/>
  <c r="K7" i="39"/>
  <c r="S7" i="39"/>
  <c r="T7" i="39"/>
  <c r="J8" i="39"/>
  <c r="K8" i="39"/>
  <c r="S8" i="39"/>
  <c r="T8" i="39"/>
  <c r="J9" i="39"/>
  <c r="K9" i="39"/>
  <c r="S9" i="39"/>
  <c r="T9" i="39"/>
  <c r="J10" i="39"/>
  <c r="K10" i="39"/>
  <c r="S10" i="39"/>
  <c r="T10" i="39"/>
  <c r="J11" i="39"/>
  <c r="K11" i="39"/>
  <c r="S11" i="39"/>
  <c r="T11" i="39"/>
  <c r="J12" i="39"/>
  <c r="K12" i="39"/>
  <c r="S12" i="39"/>
  <c r="T12" i="39"/>
  <c r="J13" i="39"/>
  <c r="K13" i="39"/>
  <c r="S13" i="39"/>
  <c r="T13" i="39"/>
  <c r="J14" i="39"/>
  <c r="K14" i="39"/>
  <c r="S14" i="39"/>
  <c r="T14" i="39"/>
  <c r="J15" i="39"/>
  <c r="K15" i="39"/>
  <c r="S15" i="39"/>
  <c r="T15" i="39"/>
  <c r="J16" i="39"/>
  <c r="K16" i="39"/>
  <c r="S16" i="39"/>
  <c r="T16" i="39"/>
  <c r="J17" i="39"/>
  <c r="K17" i="39"/>
  <c r="S17" i="39"/>
  <c r="T17" i="39"/>
  <c r="J18" i="39"/>
  <c r="K18" i="39"/>
  <c r="S18" i="39"/>
  <c r="T18" i="39"/>
  <c r="J19" i="39"/>
  <c r="K19" i="39"/>
  <c r="S19" i="39"/>
  <c r="T19" i="39"/>
  <c r="J20" i="39"/>
  <c r="K20" i="39"/>
  <c r="S20" i="39"/>
  <c r="T20" i="39"/>
  <c r="J21" i="39"/>
  <c r="K21" i="39"/>
  <c r="S21" i="39"/>
  <c r="T21" i="39"/>
  <c r="J22" i="39"/>
  <c r="K22" i="39"/>
  <c r="S22" i="39"/>
  <c r="T22" i="39"/>
  <c r="J23" i="39"/>
  <c r="K23" i="39"/>
  <c r="S23" i="39"/>
  <c r="T23" i="39"/>
  <c r="J24" i="39"/>
  <c r="K24" i="39"/>
  <c r="S24" i="39"/>
  <c r="T24" i="39"/>
  <c r="J25" i="39"/>
  <c r="K25" i="39"/>
  <c r="S25" i="39"/>
  <c r="T25" i="39"/>
  <c r="J26" i="39"/>
  <c r="K26" i="39"/>
  <c r="S26" i="39"/>
  <c r="T26" i="39"/>
  <c r="J27" i="39"/>
  <c r="K27" i="39"/>
  <c r="S27" i="39"/>
  <c r="T27" i="39"/>
  <c r="J28" i="39"/>
  <c r="K28" i="39"/>
  <c r="S28" i="39"/>
  <c r="T28" i="39"/>
  <c r="J29" i="39"/>
  <c r="K29" i="39"/>
  <c r="S29" i="39"/>
  <c r="T29" i="39"/>
  <c r="J30" i="39"/>
  <c r="K30" i="39"/>
  <c r="S30" i="39"/>
  <c r="T30" i="39"/>
  <c r="J31" i="39"/>
  <c r="K31" i="39"/>
  <c r="S31" i="39"/>
  <c r="T31" i="39"/>
  <c r="J32" i="39"/>
  <c r="K32" i="39"/>
  <c r="S32" i="39"/>
  <c r="T32" i="39"/>
  <c r="J33" i="39"/>
  <c r="K33" i="39"/>
  <c r="S33" i="39"/>
  <c r="T33" i="39"/>
  <c r="J34" i="39"/>
  <c r="K34" i="39"/>
  <c r="S34" i="39"/>
  <c r="T34" i="39"/>
  <c r="J35" i="39"/>
  <c r="K35" i="39"/>
  <c r="S35" i="39"/>
  <c r="T35" i="39"/>
  <c r="J36" i="39"/>
  <c r="K36" i="39"/>
  <c r="S36" i="39"/>
  <c r="T36" i="39"/>
  <c r="J37" i="39"/>
  <c r="K37" i="39"/>
  <c r="S37" i="39"/>
  <c r="T37" i="39"/>
  <c r="J38" i="39"/>
  <c r="K38" i="39"/>
  <c r="S38" i="39"/>
  <c r="T38" i="39"/>
  <c r="J39" i="39"/>
  <c r="K39" i="39"/>
  <c r="S39" i="39"/>
  <c r="T39" i="39"/>
  <c r="J40" i="39"/>
  <c r="K40" i="39"/>
  <c r="S40" i="39"/>
  <c r="T40" i="39"/>
  <c r="J41" i="39"/>
  <c r="K41" i="39"/>
  <c r="S41" i="39"/>
  <c r="T41" i="39"/>
  <c r="J42" i="39"/>
  <c r="K42" i="39"/>
  <c r="S42" i="39"/>
  <c r="T42" i="39"/>
  <c r="J43" i="39"/>
  <c r="K43" i="39"/>
  <c r="S43" i="39"/>
  <c r="T43" i="39"/>
  <c r="J44" i="39"/>
  <c r="K44" i="39"/>
  <c r="S44" i="39"/>
  <c r="T44" i="39"/>
  <c r="J45" i="39"/>
  <c r="K45" i="39"/>
  <c r="S45" i="39"/>
  <c r="T45" i="39"/>
  <c r="J46" i="39"/>
  <c r="K46" i="39"/>
  <c r="S46" i="39"/>
  <c r="T46" i="39"/>
  <c r="J47" i="39"/>
  <c r="K47" i="39"/>
  <c r="S47" i="39"/>
  <c r="T47" i="39"/>
  <c r="M48" i="39"/>
  <c r="N48" i="39"/>
  <c r="O48" i="39"/>
  <c r="P48" i="39"/>
  <c r="Q48" i="39"/>
  <c r="V48" i="39"/>
  <c r="W48" i="39"/>
  <c r="X48" i="39"/>
  <c r="Y48" i="39"/>
  <c r="Z48" i="39"/>
  <c r="M49" i="39"/>
  <c r="N49" i="39"/>
  <c r="O49" i="39"/>
  <c r="P49" i="39"/>
  <c r="Q49" i="39"/>
  <c r="V49" i="39"/>
  <c r="W49" i="39"/>
  <c r="X49" i="39"/>
  <c r="Y49" i="39"/>
  <c r="Z49" i="39"/>
  <c r="M50" i="39"/>
  <c r="N50" i="39"/>
  <c r="O50" i="39"/>
  <c r="P50" i="39"/>
  <c r="Q50" i="39"/>
  <c r="V50" i="39"/>
  <c r="W50" i="39"/>
  <c r="X50" i="39"/>
  <c r="Y50" i="39"/>
  <c r="Z50" i="39"/>
  <c r="AB51" i="39"/>
  <c r="AB52" i="39"/>
  <c r="AB53" i="39"/>
  <c r="AB54" i="39"/>
  <c r="AB55" i="39"/>
  <c r="N4" i="38"/>
  <c r="X4" i="38"/>
  <c r="D5" i="38"/>
  <c r="L5" i="38"/>
  <c r="M5" i="38"/>
  <c r="N5" i="38"/>
  <c r="O5" i="38"/>
  <c r="AA5" i="38" s="1"/>
  <c r="V5" i="38"/>
  <c r="W5" i="38"/>
  <c r="X5" i="38"/>
  <c r="Y5" i="38"/>
  <c r="AD5" i="38"/>
  <c r="D6" i="38"/>
  <c r="L6" i="38"/>
  <c r="M6" i="38"/>
  <c r="N6" i="38"/>
  <c r="V6" i="38"/>
  <c r="W6" i="38"/>
  <c r="X6" i="38"/>
  <c r="D7" i="38"/>
  <c r="L7" i="38"/>
  <c r="M7" i="38"/>
  <c r="N7" i="38"/>
  <c r="V7" i="38"/>
  <c r="W7" i="38"/>
  <c r="X7" i="38"/>
  <c r="D8" i="38"/>
  <c r="P8" i="38"/>
  <c r="R8" i="38"/>
  <c r="T8" i="38"/>
  <c r="L8" i="38"/>
  <c r="M8" i="38"/>
  <c r="N8" i="38"/>
  <c r="O8" i="38"/>
  <c r="Q8" i="38"/>
  <c r="S8" i="38"/>
  <c r="V8" i="38"/>
  <c r="W8" i="38"/>
  <c r="X8" i="38"/>
  <c r="Y8" i="38"/>
  <c r="AA8" i="38"/>
  <c r="AC8" i="38"/>
  <c r="D9" i="38"/>
  <c r="O9" i="38" s="1"/>
  <c r="L9" i="38"/>
  <c r="M9" i="38"/>
  <c r="N9" i="38"/>
  <c r="V9" i="38"/>
  <c r="W9" i="38"/>
  <c r="X9" i="38"/>
  <c r="Y9" i="38"/>
  <c r="AC9" i="38"/>
  <c r="AD9" i="38"/>
  <c r="D10" i="38"/>
  <c r="L10" i="38"/>
  <c r="M10" i="38"/>
  <c r="N10" i="38"/>
  <c r="V10" i="38"/>
  <c r="W10" i="38"/>
  <c r="X10" i="38"/>
  <c r="D11" i="38"/>
  <c r="L11" i="38"/>
  <c r="M11" i="38"/>
  <c r="N11" i="38"/>
  <c r="O11" i="38"/>
  <c r="P11" i="38"/>
  <c r="Q11" i="38"/>
  <c r="R11" i="38"/>
  <c r="S11" i="38"/>
  <c r="T11" i="38"/>
  <c r="V11" i="38"/>
  <c r="W11" i="38"/>
  <c r="X11" i="38"/>
  <c r="Y11" i="38"/>
  <c r="AC11" i="38"/>
  <c r="D12" i="38"/>
  <c r="L12" i="38"/>
  <c r="M12" i="38"/>
  <c r="N12" i="38"/>
  <c r="O12" i="38"/>
  <c r="P12" i="38"/>
  <c r="Q12" i="38"/>
  <c r="V12" i="38"/>
  <c r="W12" i="38"/>
  <c r="X12" i="38"/>
  <c r="Y12" i="38"/>
  <c r="AA12" i="38"/>
  <c r="AB12" i="38"/>
  <c r="AC12" i="38"/>
  <c r="D13" i="38"/>
  <c r="O13" i="38" s="1"/>
  <c r="AC13" i="38"/>
  <c r="AD13" i="38"/>
  <c r="L13" i="38"/>
  <c r="M13" i="38"/>
  <c r="N13" i="38"/>
  <c r="P13" i="38"/>
  <c r="R13" i="38"/>
  <c r="T13" i="38"/>
  <c r="V13" i="38"/>
  <c r="W13" i="38"/>
  <c r="X13" i="38"/>
  <c r="Y13" i="38"/>
  <c r="Z13" i="38"/>
  <c r="D14" i="38"/>
  <c r="L14" i="38"/>
  <c r="M14" i="38"/>
  <c r="N14" i="38"/>
  <c r="V14" i="38"/>
  <c r="W14" i="38"/>
  <c r="X14" i="38"/>
  <c r="D15" i="38"/>
  <c r="AD15" i="38"/>
  <c r="L15" i="38"/>
  <c r="M15" i="38"/>
  <c r="N15" i="38"/>
  <c r="O15" i="38"/>
  <c r="P15" i="38"/>
  <c r="Q15" i="38"/>
  <c r="R15" i="38"/>
  <c r="V15" i="38"/>
  <c r="W15" i="38"/>
  <c r="X15" i="38"/>
  <c r="Y15" i="38"/>
  <c r="AA15" i="38"/>
  <c r="AC15" i="38"/>
  <c r="D16" i="38"/>
  <c r="L16" i="38"/>
  <c r="M16" i="38"/>
  <c r="N16" i="38"/>
  <c r="V16" i="38"/>
  <c r="W16" i="38"/>
  <c r="X16" i="38"/>
  <c r="D17" i="38"/>
  <c r="L17" i="38"/>
  <c r="M17" i="38"/>
  <c r="N17" i="38"/>
  <c r="V17" i="38"/>
  <c r="W17" i="38"/>
  <c r="X17" i="38"/>
  <c r="D18" i="38"/>
  <c r="T18" i="38"/>
  <c r="L18" i="38"/>
  <c r="M18" i="38"/>
  <c r="N18" i="38"/>
  <c r="O18" i="38"/>
  <c r="Q18" i="38"/>
  <c r="R18" i="38"/>
  <c r="S18" i="38"/>
  <c r="V18" i="38"/>
  <c r="W18" i="38"/>
  <c r="X18" i="38"/>
  <c r="Y18" i="38"/>
  <c r="AA18" i="38"/>
  <c r="AC18" i="38"/>
  <c r="D19" i="38"/>
  <c r="L19" i="38"/>
  <c r="M19" i="38"/>
  <c r="N19" i="38"/>
  <c r="O19" i="38"/>
  <c r="T19" i="38" s="1"/>
  <c r="V19" i="38"/>
  <c r="W19" i="38"/>
  <c r="X19" i="38"/>
  <c r="Y19" i="38"/>
  <c r="AC19" i="38"/>
  <c r="AD19" i="38"/>
  <c r="D20" i="38"/>
  <c r="O20" i="38" s="1"/>
  <c r="L20" i="38"/>
  <c r="M20" i="38"/>
  <c r="N20" i="38"/>
  <c r="P20" i="38"/>
  <c r="R20" i="38"/>
  <c r="T20" i="38"/>
  <c r="V20" i="38"/>
  <c r="W20" i="38"/>
  <c r="X20" i="38"/>
  <c r="AA20" i="38"/>
  <c r="AB20" i="38"/>
  <c r="AD20" i="38"/>
  <c r="D21" i="38"/>
  <c r="L21" i="38"/>
  <c r="M21" i="38"/>
  <c r="N21" i="38"/>
  <c r="O21" i="38"/>
  <c r="P21" i="38"/>
  <c r="Q21" i="38"/>
  <c r="R21" i="38"/>
  <c r="S21" i="38"/>
  <c r="T21" i="38"/>
  <c r="V21" i="38"/>
  <c r="W21" i="38"/>
  <c r="X21" i="38"/>
  <c r="Y21" i="38"/>
  <c r="AC21" i="38"/>
  <c r="D22" i="38"/>
  <c r="L22" i="38"/>
  <c r="M22" i="38"/>
  <c r="N22" i="38"/>
  <c r="O22" i="38"/>
  <c r="P22" i="38"/>
  <c r="Q22" i="38"/>
  <c r="V22" i="38"/>
  <c r="W22" i="38"/>
  <c r="X22" i="38"/>
  <c r="Y22" i="38"/>
  <c r="AA22" i="38"/>
  <c r="AB22" i="38"/>
  <c r="AC22" i="38"/>
  <c r="D23" i="38"/>
  <c r="O23" i="38" s="1"/>
  <c r="R23" i="38"/>
  <c r="T23" i="38"/>
  <c r="L23" i="38"/>
  <c r="M23" i="38"/>
  <c r="N23" i="38"/>
  <c r="P23" i="38"/>
  <c r="V23" i="38"/>
  <c r="W23" i="38"/>
  <c r="X23" i="38"/>
  <c r="Y23" i="38"/>
  <c r="Z23" i="38"/>
  <c r="AB23" i="38"/>
  <c r="AC23" i="38"/>
  <c r="AD23" i="38"/>
  <c r="D24" i="38"/>
  <c r="L24" i="38"/>
  <c r="M24" i="38"/>
  <c r="N24" i="38"/>
  <c r="V24" i="38"/>
  <c r="W24" i="38"/>
  <c r="X24" i="38"/>
  <c r="D25" i="38"/>
  <c r="L25" i="38"/>
  <c r="M25" i="38"/>
  <c r="N25" i="38"/>
  <c r="O25" i="38"/>
  <c r="P25" i="38" s="1"/>
  <c r="V25" i="38"/>
  <c r="W25" i="38"/>
  <c r="X25" i="38"/>
  <c r="Y25" i="38"/>
  <c r="AA25" i="38"/>
  <c r="AC25" i="38"/>
  <c r="AD25" i="38"/>
  <c r="D26" i="38"/>
  <c r="O26" i="38" s="1"/>
  <c r="L26" i="38"/>
  <c r="M26" i="38"/>
  <c r="N26" i="38"/>
  <c r="V26" i="38"/>
  <c r="W26" i="38"/>
  <c r="X26" i="38"/>
  <c r="Y26" i="38"/>
  <c r="AB26" i="38"/>
  <c r="AD26" i="38"/>
  <c r="D27" i="38"/>
  <c r="L27" i="38"/>
  <c r="M27" i="38"/>
  <c r="N27" i="38"/>
  <c r="V27" i="38"/>
  <c r="W27" i="38"/>
  <c r="X27" i="38"/>
  <c r="D28" i="38"/>
  <c r="L28" i="38"/>
  <c r="M28" i="38"/>
  <c r="N28" i="38"/>
  <c r="O28" i="38"/>
  <c r="Q28" i="38"/>
  <c r="V28" i="38"/>
  <c r="W28" i="38"/>
  <c r="X28" i="38"/>
  <c r="Y28" i="38"/>
  <c r="AC28" i="38"/>
  <c r="D29" i="38"/>
  <c r="L29" i="38"/>
  <c r="M29" i="38"/>
  <c r="N29" i="38"/>
  <c r="V29" i="38"/>
  <c r="W29" i="38"/>
  <c r="X29" i="38"/>
  <c r="D30" i="38"/>
  <c r="O30" i="38" s="1"/>
  <c r="Q30" i="38" s="1"/>
  <c r="R30" i="38"/>
  <c r="S30" i="38"/>
  <c r="T30" i="38"/>
  <c r="L30" i="38"/>
  <c r="M30" i="38"/>
  <c r="N30" i="38"/>
  <c r="P30" i="38"/>
  <c r="V30" i="38"/>
  <c r="W30" i="38"/>
  <c r="X30" i="38"/>
  <c r="Y30" i="38"/>
  <c r="Z30" i="38"/>
  <c r="AA30" i="38"/>
  <c r="AC30" i="38"/>
  <c r="AD30" i="38"/>
  <c r="D31" i="38"/>
  <c r="L31" i="38"/>
  <c r="M31" i="38"/>
  <c r="N31" i="38"/>
  <c r="O31" i="38"/>
  <c r="Q31" i="38" s="1"/>
  <c r="R31" i="38"/>
  <c r="S31" i="38"/>
  <c r="V31" i="38"/>
  <c r="W31" i="38"/>
  <c r="X31" i="38"/>
  <c r="Y31" i="38"/>
  <c r="AC31" i="38"/>
  <c r="D32" i="38"/>
  <c r="R32" i="38"/>
  <c r="L32" i="38"/>
  <c r="M32" i="38"/>
  <c r="N32" i="38"/>
  <c r="O32" i="38"/>
  <c r="P32" i="38"/>
  <c r="Q32" i="38"/>
  <c r="V32" i="38"/>
  <c r="W32" i="38"/>
  <c r="X32" i="38"/>
  <c r="Y32" i="38"/>
  <c r="AA32" i="38"/>
  <c r="AB32" i="38"/>
  <c r="AC32" i="38"/>
  <c r="D33" i="38"/>
  <c r="O33" i="38" s="1"/>
  <c r="L33" i="38"/>
  <c r="M33" i="38"/>
  <c r="N33" i="38"/>
  <c r="V33" i="38"/>
  <c r="W33" i="38"/>
  <c r="X33" i="38"/>
  <c r="Y33" i="38"/>
  <c r="Z33" i="38"/>
  <c r="AB33" i="38"/>
  <c r="AC33" i="38"/>
  <c r="AD33" i="38"/>
  <c r="D34" i="38"/>
  <c r="O34" i="38" s="1"/>
  <c r="L34" i="38"/>
  <c r="M34" i="38"/>
  <c r="N34" i="38"/>
  <c r="S34" i="38"/>
  <c r="V34" i="38"/>
  <c r="W34" i="38"/>
  <c r="X34" i="38"/>
  <c r="Y34" i="38"/>
  <c r="Z34" i="38"/>
  <c r="AA34" i="38"/>
  <c r="AC34" i="38"/>
  <c r="AD34" i="38"/>
  <c r="D35" i="38"/>
  <c r="L35" i="38"/>
  <c r="M35" i="38"/>
  <c r="N35" i="38"/>
  <c r="O35" i="38"/>
  <c r="S35" i="38"/>
  <c r="T35" i="38"/>
  <c r="V35" i="38"/>
  <c r="W35" i="38"/>
  <c r="X35" i="38"/>
  <c r="Y35" i="38"/>
  <c r="AA35" i="38"/>
  <c r="AB35" i="38"/>
  <c r="AC35" i="38"/>
  <c r="D36" i="38"/>
  <c r="Y36" i="38" s="1"/>
  <c r="L36" i="38"/>
  <c r="M36" i="38"/>
  <c r="N36" i="38"/>
  <c r="O36" i="38"/>
  <c r="P36" i="38"/>
  <c r="Q36" i="38"/>
  <c r="R36" i="38"/>
  <c r="S36" i="38"/>
  <c r="T36" i="38"/>
  <c r="V36" i="38"/>
  <c r="W36" i="38"/>
  <c r="X36" i="38"/>
  <c r="AB36" i="38"/>
  <c r="AC36" i="38"/>
  <c r="AD36" i="38"/>
  <c r="D37" i="38"/>
  <c r="L37" i="38"/>
  <c r="M37" i="38"/>
  <c r="N37" i="38"/>
  <c r="O37" i="38"/>
  <c r="V37" i="38"/>
  <c r="W37" i="38"/>
  <c r="X37" i="38"/>
  <c r="Y37" i="38"/>
  <c r="D38" i="38"/>
  <c r="O38" i="38" s="1"/>
  <c r="R38" i="38" s="1"/>
  <c r="L38" i="38"/>
  <c r="M38" i="38"/>
  <c r="N38" i="38"/>
  <c r="Q38" i="38"/>
  <c r="T38" i="38"/>
  <c r="V38" i="38"/>
  <c r="W38" i="38"/>
  <c r="X38" i="38"/>
  <c r="Y38" i="38"/>
  <c r="AB38" i="38"/>
  <c r="D39" i="38"/>
  <c r="L39" i="38"/>
  <c r="M39" i="38"/>
  <c r="N39" i="38"/>
  <c r="O39" i="38"/>
  <c r="P39" i="38"/>
  <c r="Q39" i="38"/>
  <c r="R39" i="38"/>
  <c r="V39" i="38"/>
  <c r="W39" i="38"/>
  <c r="X39" i="38"/>
  <c r="Y39" i="38"/>
  <c r="AD39" i="38"/>
  <c r="D40" i="38"/>
  <c r="L40" i="38"/>
  <c r="M40" i="38"/>
  <c r="N40" i="38"/>
  <c r="O40" i="38"/>
  <c r="P40" i="38"/>
  <c r="V40" i="38"/>
  <c r="W40" i="38"/>
  <c r="X40" i="38"/>
  <c r="Y40" i="38"/>
  <c r="Z40" i="38"/>
  <c r="AA40" i="38"/>
  <c r="D41" i="38"/>
  <c r="L41" i="38"/>
  <c r="M41" i="38"/>
  <c r="N41" i="38"/>
  <c r="V41" i="38"/>
  <c r="W41" i="38"/>
  <c r="X41" i="38"/>
  <c r="D42" i="38"/>
  <c r="O42" i="38" s="1"/>
  <c r="L42" i="38"/>
  <c r="M42" i="38"/>
  <c r="N42" i="38"/>
  <c r="V42" i="38"/>
  <c r="W42" i="38"/>
  <c r="X42" i="38"/>
  <c r="Y42" i="38"/>
  <c r="Z42" i="38"/>
  <c r="D43" i="38"/>
  <c r="Y43" i="38" s="1"/>
  <c r="L43" i="38"/>
  <c r="M43" i="38"/>
  <c r="N43" i="38"/>
  <c r="V43" i="38"/>
  <c r="W43" i="38"/>
  <c r="X43" i="38"/>
  <c r="D44" i="38"/>
  <c r="O44" i="38" s="1"/>
  <c r="L44" i="38"/>
  <c r="M44" i="38"/>
  <c r="N44" i="38"/>
  <c r="S44" i="38"/>
  <c r="T44" i="38"/>
  <c r="V44" i="38"/>
  <c r="W44" i="38"/>
  <c r="X44" i="38"/>
  <c r="Y44" i="38"/>
  <c r="Z44" i="38"/>
  <c r="AA44" i="38"/>
  <c r="AB44" i="38"/>
  <c r="AC44" i="38"/>
  <c r="AD44" i="38"/>
  <c r="D45" i="38"/>
  <c r="L45" i="38"/>
  <c r="M45" i="38"/>
  <c r="N45" i="38"/>
  <c r="V45" i="38"/>
  <c r="W45" i="38"/>
  <c r="X45" i="38"/>
  <c r="D46" i="38"/>
  <c r="L46" i="38"/>
  <c r="M46" i="38"/>
  <c r="N46" i="38"/>
  <c r="O46" i="38"/>
  <c r="P46" i="38"/>
  <c r="T46" i="38"/>
  <c r="V46" i="38"/>
  <c r="W46" i="38"/>
  <c r="X46" i="38"/>
  <c r="Y46" i="38"/>
  <c r="D47" i="38"/>
  <c r="L47" i="38"/>
  <c r="M47" i="38"/>
  <c r="N47" i="38"/>
  <c r="O47" i="38"/>
  <c r="P47" i="38" s="1"/>
  <c r="V47" i="38"/>
  <c r="W47" i="38"/>
  <c r="X47" i="38"/>
  <c r="Y47" i="38"/>
  <c r="AD47" i="38"/>
  <c r="D48" i="38"/>
  <c r="Y48" i="38" s="1"/>
  <c r="L48" i="38"/>
  <c r="M48" i="38"/>
  <c r="N48" i="38"/>
  <c r="O48" i="38"/>
  <c r="Q48" i="38" s="1"/>
  <c r="P48" i="38"/>
  <c r="V48" i="38"/>
  <c r="W48" i="38"/>
  <c r="X48" i="38"/>
  <c r="AA48" i="38"/>
  <c r="AC48" i="38"/>
  <c r="AD48" i="38"/>
  <c r="D49" i="38"/>
  <c r="L49" i="38"/>
  <c r="M49" i="38"/>
  <c r="N49" i="38"/>
  <c r="O49" i="38"/>
  <c r="S49" i="38" s="1"/>
  <c r="V49" i="38"/>
  <c r="W49" i="38"/>
  <c r="X49" i="38"/>
  <c r="Y49" i="38"/>
  <c r="AA49" i="38"/>
  <c r="AB49" i="38"/>
  <c r="AC49" i="38"/>
  <c r="AD49" i="38"/>
  <c r="D50" i="38"/>
  <c r="O50" i="38" s="1"/>
  <c r="L50" i="38"/>
  <c r="M50" i="38"/>
  <c r="N50" i="38"/>
  <c r="V50" i="38"/>
  <c r="W50" i="38"/>
  <c r="X50" i="38"/>
  <c r="Y50" i="38"/>
  <c r="AC50" i="38"/>
  <c r="D51" i="38"/>
  <c r="L51" i="38"/>
  <c r="M51" i="38"/>
  <c r="N51" i="38"/>
  <c r="O51" i="38"/>
  <c r="P51" i="38" s="1"/>
  <c r="Q51" i="38"/>
  <c r="R51" i="38"/>
  <c r="S51" i="38"/>
  <c r="T51" i="38"/>
  <c r="V51" i="38"/>
  <c r="W51" i="38"/>
  <c r="X51" i="38"/>
  <c r="Y51" i="38"/>
  <c r="AA51" i="38"/>
  <c r="D52" i="38"/>
  <c r="L52" i="38"/>
  <c r="M52" i="38"/>
  <c r="N52" i="38"/>
  <c r="V52" i="38"/>
  <c r="W52" i="38"/>
  <c r="X52" i="38"/>
  <c r="D53" i="38"/>
  <c r="O53" i="38" s="1"/>
  <c r="L53" i="38"/>
  <c r="M53" i="38"/>
  <c r="N53" i="38"/>
  <c r="P53" i="38"/>
  <c r="T53" i="38"/>
  <c r="V53" i="38"/>
  <c r="W53" i="38"/>
  <c r="X53" i="38"/>
  <c r="Y53" i="38"/>
  <c r="Z53" i="38"/>
  <c r="AA53" i="38"/>
  <c r="AB53" i="38"/>
  <c r="D54" i="38"/>
  <c r="O54" i="38" s="1"/>
  <c r="R54" i="38" s="1"/>
  <c r="L54" i="38"/>
  <c r="M54" i="38"/>
  <c r="N54" i="38"/>
  <c r="P54" i="38"/>
  <c r="Q54" i="38"/>
  <c r="S54" i="38"/>
  <c r="T54" i="38"/>
  <c r="V54" i="38"/>
  <c r="W54" i="38"/>
  <c r="X54" i="38"/>
  <c r="Y54" i="38"/>
  <c r="Z54" i="38"/>
  <c r="AA54" i="38"/>
  <c r="AB54" i="38"/>
  <c r="AC54" i="38"/>
  <c r="AD54" i="38"/>
  <c r="D55" i="38"/>
  <c r="L55" i="38"/>
  <c r="M55" i="38"/>
  <c r="N55" i="38"/>
  <c r="O55" i="38"/>
  <c r="P55" i="38"/>
  <c r="V55" i="38"/>
  <c r="W55" i="38"/>
  <c r="X55" i="38"/>
  <c r="Y55" i="38"/>
  <c r="D56" i="38"/>
  <c r="L56" i="38"/>
  <c r="M56" i="38"/>
  <c r="N56" i="38"/>
  <c r="O56" i="38"/>
  <c r="P56" i="38" s="1"/>
  <c r="Q56" i="38"/>
  <c r="R56" i="38"/>
  <c r="V56" i="38"/>
  <c r="W56" i="38"/>
  <c r="X56" i="38"/>
  <c r="Y56" i="38"/>
  <c r="D57" i="38"/>
  <c r="Q57" i="38"/>
  <c r="R57" i="38"/>
  <c r="L57" i="38"/>
  <c r="M57" i="38"/>
  <c r="N57" i="38"/>
  <c r="O57" i="38"/>
  <c r="V57" i="38"/>
  <c r="W57" i="38"/>
  <c r="X57" i="38"/>
  <c r="Y57" i="38"/>
  <c r="AA57" i="38"/>
  <c r="AB57" i="38"/>
  <c r="AC57" i="38"/>
  <c r="AD57" i="38"/>
  <c r="D58" i="38"/>
  <c r="L58" i="38"/>
  <c r="M58" i="38"/>
  <c r="N58" i="38"/>
  <c r="V58" i="38"/>
  <c r="W58" i="38"/>
  <c r="X58" i="38"/>
  <c r="D59" i="38"/>
  <c r="L59" i="38"/>
  <c r="M59" i="38"/>
  <c r="N59" i="38"/>
  <c r="V59" i="38"/>
  <c r="W59" i="38"/>
  <c r="X59" i="38"/>
  <c r="D60" i="38"/>
  <c r="L60" i="38"/>
  <c r="M60" i="38"/>
  <c r="N60" i="38"/>
  <c r="V60" i="38"/>
  <c r="W60" i="38"/>
  <c r="X60" i="38"/>
  <c r="D61" i="38"/>
  <c r="O61" i="38" s="1"/>
  <c r="S61" i="38" s="1"/>
  <c r="L61" i="38"/>
  <c r="M61" i="38"/>
  <c r="N61" i="38"/>
  <c r="Q61" i="38"/>
  <c r="R61" i="38"/>
  <c r="T61" i="38"/>
  <c r="V61" i="38"/>
  <c r="W61" i="38"/>
  <c r="X61" i="38"/>
  <c r="Y61" i="38"/>
  <c r="Z61" i="38"/>
  <c r="AB61" i="38"/>
  <c r="AC61" i="38"/>
  <c r="D62" i="38"/>
  <c r="O62" i="38" s="1"/>
  <c r="Q62" i="38" s="1"/>
  <c r="L62" i="38"/>
  <c r="M62" i="38"/>
  <c r="N62" i="38"/>
  <c r="P62" i="38"/>
  <c r="R62" i="38"/>
  <c r="S62" i="38"/>
  <c r="T62" i="38"/>
  <c r="V62" i="38"/>
  <c r="W62" i="38"/>
  <c r="X62" i="38"/>
  <c r="Y62" i="38"/>
  <c r="Z62" i="38"/>
  <c r="AA62" i="38"/>
  <c r="AB62" i="38"/>
  <c r="D63" i="38"/>
  <c r="Y63" i="38" s="1"/>
  <c r="L63" i="38"/>
  <c r="M63" i="38"/>
  <c r="N63" i="38"/>
  <c r="O63" i="38"/>
  <c r="P63" i="38" s="1"/>
  <c r="Q63" i="38"/>
  <c r="T63" i="38"/>
  <c r="V63" i="38"/>
  <c r="W63" i="38"/>
  <c r="X63" i="38"/>
  <c r="D64" i="38"/>
  <c r="L64" i="38"/>
  <c r="M64" i="38"/>
  <c r="N64" i="38"/>
  <c r="V64" i="38"/>
  <c r="W64" i="38"/>
  <c r="X64" i="38"/>
  <c r="D65" i="38"/>
  <c r="L65" i="38"/>
  <c r="M65" i="38"/>
  <c r="N65" i="38"/>
  <c r="V65" i="38"/>
  <c r="W65" i="38"/>
  <c r="X65" i="38"/>
  <c r="D66" i="38"/>
  <c r="L66" i="38"/>
  <c r="M66" i="38"/>
  <c r="N66" i="38"/>
  <c r="V66" i="38"/>
  <c r="W66" i="38"/>
  <c r="X66" i="38"/>
  <c r="D67" i="38"/>
  <c r="Y67" i="38" s="1"/>
  <c r="L67" i="38"/>
  <c r="M67" i="38"/>
  <c r="N67" i="38"/>
  <c r="O67" i="38"/>
  <c r="R67" i="38" s="1"/>
  <c r="Q67" i="38"/>
  <c r="S67" i="38"/>
  <c r="T67" i="38"/>
  <c r="V67" i="38"/>
  <c r="W67" i="38"/>
  <c r="X67" i="38"/>
  <c r="AA67" i="38"/>
  <c r="D68" i="38"/>
  <c r="Y68" i="38" s="1"/>
  <c r="L68" i="38"/>
  <c r="M68" i="38"/>
  <c r="N68" i="38"/>
  <c r="O68" i="38"/>
  <c r="S68" i="38" s="1"/>
  <c r="P68" i="38"/>
  <c r="R68" i="38"/>
  <c r="V68" i="38"/>
  <c r="W68" i="38"/>
  <c r="X68" i="38"/>
  <c r="D69" i="38"/>
  <c r="L69" i="38"/>
  <c r="M69" i="38"/>
  <c r="N69" i="38"/>
  <c r="V69" i="38"/>
  <c r="W69" i="38"/>
  <c r="X69" i="38"/>
  <c r="D70" i="38"/>
  <c r="P70" i="38"/>
  <c r="T70" i="38"/>
  <c r="L70" i="38"/>
  <c r="M70" i="38"/>
  <c r="N70" i="38"/>
  <c r="O70" i="38"/>
  <c r="V70" i="38"/>
  <c r="W70" i="38"/>
  <c r="X70" i="38"/>
  <c r="Y70" i="38"/>
  <c r="AA70" i="38"/>
  <c r="AB70" i="38"/>
  <c r="AC70" i="38"/>
  <c r="D71" i="38"/>
  <c r="L71" i="38"/>
  <c r="M71" i="38"/>
  <c r="N71" i="38"/>
  <c r="V71" i="38"/>
  <c r="W71" i="38"/>
  <c r="X71" i="38"/>
  <c r="D72" i="38"/>
  <c r="L72" i="38"/>
  <c r="M72" i="38"/>
  <c r="N72" i="38"/>
  <c r="V72" i="38"/>
  <c r="W72" i="38"/>
  <c r="X72" i="38"/>
  <c r="D73" i="38"/>
  <c r="R73" i="38"/>
  <c r="T73" i="38"/>
  <c r="L73" i="38"/>
  <c r="M73" i="38"/>
  <c r="N73" i="38"/>
  <c r="O73" i="38"/>
  <c r="Q73" i="38" s="1"/>
  <c r="V73" i="38"/>
  <c r="W73" i="38"/>
  <c r="X73" i="38"/>
  <c r="Y73" i="38"/>
  <c r="AD73" i="38"/>
  <c r="D74" i="38"/>
  <c r="R74" i="38"/>
  <c r="L74" i="38"/>
  <c r="M74" i="38"/>
  <c r="N74" i="38"/>
  <c r="O74" i="38"/>
  <c r="AA74" i="38" s="1"/>
  <c r="V74" i="38"/>
  <c r="W74" i="38"/>
  <c r="X74" i="38"/>
  <c r="Y74" i="38"/>
  <c r="AB74" i="38"/>
  <c r="AC74" i="38"/>
  <c r="AD74" i="38"/>
  <c r="D75" i="38"/>
  <c r="L75" i="38"/>
  <c r="M75" i="38"/>
  <c r="N75" i="38"/>
  <c r="V75" i="38"/>
  <c r="W75" i="38"/>
  <c r="X75" i="38"/>
  <c r="D76" i="38"/>
  <c r="L76" i="38"/>
  <c r="M76" i="38"/>
  <c r="N76" i="38"/>
  <c r="V76" i="38"/>
  <c r="W76" i="38"/>
  <c r="X76" i="38"/>
  <c r="D77" i="38"/>
  <c r="AD77" i="38"/>
  <c r="L77" i="38"/>
  <c r="M77" i="38"/>
  <c r="N77" i="38"/>
  <c r="O77" i="38"/>
  <c r="P77" i="38"/>
  <c r="Q77" i="38"/>
  <c r="R77" i="38"/>
  <c r="S77" i="38"/>
  <c r="T77" i="38"/>
  <c r="V77" i="38"/>
  <c r="W77" i="38"/>
  <c r="X77" i="38"/>
  <c r="Y77" i="38"/>
  <c r="D78" i="38"/>
  <c r="L78" i="38"/>
  <c r="M78" i="38"/>
  <c r="N78" i="38"/>
  <c r="O78" i="38"/>
  <c r="P78" i="38" s="1"/>
  <c r="V78" i="38"/>
  <c r="W78" i="38"/>
  <c r="X78" i="38"/>
  <c r="Y78" i="38"/>
  <c r="D79" i="38"/>
  <c r="O79" i="38" s="1"/>
  <c r="T79" i="38"/>
  <c r="L79" i="38"/>
  <c r="M79" i="38"/>
  <c r="N79" i="38"/>
  <c r="V79" i="38"/>
  <c r="W79" i="38"/>
  <c r="X79" i="38"/>
  <c r="Y79" i="38"/>
  <c r="Z79" i="38"/>
  <c r="AA79" i="38"/>
  <c r="AB79" i="38"/>
  <c r="AC79" i="38"/>
  <c r="AD79" i="38"/>
  <c r="D80" i="38"/>
  <c r="L80" i="38"/>
  <c r="M80" i="38"/>
  <c r="N80" i="38"/>
  <c r="O80" i="38"/>
  <c r="V80" i="38"/>
  <c r="W80" i="38"/>
  <c r="X80" i="38"/>
  <c r="Y80" i="38"/>
  <c r="D81" i="38"/>
  <c r="T81" i="38"/>
  <c r="L81" i="38"/>
  <c r="M81" i="38"/>
  <c r="N81" i="38"/>
  <c r="O81" i="38"/>
  <c r="Q81" i="38"/>
  <c r="V81" i="38"/>
  <c r="W81" i="38"/>
  <c r="X81" i="38"/>
  <c r="Y81" i="38"/>
  <c r="Z81" i="38"/>
  <c r="D82" i="38"/>
  <c r="L82" i="38"/>
  <c r="M82" i="38"/>
  <c r="N82" i="38"/>
  <c r="V82" i="38"/>
  <c r="W82" i="38"/>
  <c r="X82" i="38"/>
  <c r="D83" i="38"/>
  <c r="O83" i="38" s="1"/>
  <c r="L83" i="38"/>
  <c r="M83" i="38"/>
  <c r="N83" i="38"/>
  <c r="V83" i="38"/>
  <c r="W83" i="38"/>
  <c r="X83" i="38"/>
  <c r="Y83" i="38"/>
  <c r="Z83" i="38"/>
  <c r="AC83" i="38"/>
  <c r="AD83" i="38"/>
  <c r="D84" i="38"/>
  <c r="Q84" i="38"/>
  <c r="R84" i="38"/>
  <c r="L84" i="38"/>
  <c r="M84" i="38"/>
  <c r="N84" i="38"/>
  <c r="O84" i="38"/>
  <c r="Z84" i="38" s="1"/>
  <c r="S84" i="38"/>
  <c r="T84" i="38"/>
  <c r="V84" i="38"/>
  <c r="W84" i="38"/>
  <c r="X84" i="38"/>
  <c r="Y84" i="38"/>
  <c r="AA84" i="38"/>
  <c r="AB84" i="38"/>
  <c r="AC84" i="38"/>
  <c r="AD84" i="38"/>
  <c r="D85" i="38"/>
  <c r="O85" i="38" s="1"/>
  <c r="P85" i="38" s="1"/>
  <c r="L85" i="38"/>
  <c r="M85" i="38"/>
  <c r="N85" i="38"/>
  <c r="Q85" i="38"/>
  <c r="T85" i="38"/>
  <c r="V85" i="38"/>
  <c r="W85" i="38"/>
  <c r="X85" i="38"/>
  <c r="Y85" i="38"/>
  <c r="Z85" i="38"/>
  <c r="AA85" i="38"/>
  <c r="AB85" i="38"/>
  <c r="D86" i="38"/>
  <c r="L86" i="38"/>
  <c r="M86" i="38"/>
  <c r="N86" i="38"/>
  <c r="O86" i="38"/>
  <c r="P86" i="38"/>
  <c r="Q86" i="38"/>
  <c r="R86" i="38"/>
  <c r="S86" i="38"/>
  <c r="T86" i="38"/>
  <c r="V86" i="38"/>
  <c r="W86" i="38"/>
  <c r="X86" i="38"/>
  <c r="Y86" i="38"/>
  <c r="D87" i="38"/>
  <c r="Y87" i="38" s="1"/>
  <c r="L87" i="38"/>
  <c r="M87" i="38"/>
  <c r="N87" i="38"/>
  <c r="O87" i="38"/>
  <c r="Q87" i="38"/>
  <c r="R87" i="38"/>
  <c r="V87" i="38"/>
  <c r="W87" i="38"/>
  <c r="X87" i="38"/>
  <c r="D88" i="38"/>
  <c r="L88" i="38"/>
  <c r="M88" i="38"/>
  <c r="N88" i="38"/>
  <c r="V88" i="38"/>
  <c r="W88" i="38"/>
  <c r="X88" i="38"/>
  <c r="D89" i="38"/>
  <c r="L89" i="38"/>
  <c r="M89" i="38"/>
  <c r="N89" i="38"/>
  <c r="V89" i="38"/>
  <c r="W89" i="38"/>
  <c r="X89" i="38"/>
  <c r="D90" i="38"/>
  <c r="AB90" i="38"/>
  <c r="L90" i="38"/>
  <c r="M90" i="38"/>
  <c r="N90" i="38"/>
  <c r="O90" i="38"/>
  <c r="P90" i="38" s="1"/>
  <c r="Q90" i="38"/>
  <c r="R90" i="38"/>
  <c r="S90" i="38"/>
  <c r="V90" i="38"/>
  <c r="W90" i="38"/>
  <c r="X90" i="38"/>
  <c r="Y90" i="38"/>
  <c r="AC90" i="38"/>
  <c r="AD90" i="38"/>
  <c r="D91" i="38"/>
  <c r="L91" i="38"/>
  <c r="M91" i="38"/>
  <c r="N91" i="38"/>
  <c r="O91" i="38"/>
  <c r="Q91" i="38"/>
  <c r="V91" i="38"/>
  <c r="W91" i="38"/>
  <c r="X91" i="38"/>
  <c r="Y91" i="38"/>
  <c r="Z91" i="38"/>
  <c r="AA91" i="38"/>
  <c r="AB91" i="38"/>
  <c r="D92" i="38"/>
  <c r="O92" i="38" s="1"/>
  <c r="Z92" i="38" s="1"/>
  <c r="AA92" i="38"/>
  <c r="AB92" i="38"/>
  <c r="AD92" i="38"/>
  <c r="L92" i="38"/>
  <c r="M92" i="38"/>
  <c r="N92" i="38"/>
  <c r="P92" i="38"/>
  <c r="Q92" i="38"/>
  <c r="R92" i="38"/>
  <c r="S92" i="38"/>
  <c r="T92" i="38"/>
  <c r="V92" i="38"/>
  <c r="W92" i="38"/>
  <c r="X92" i="38"/>
  <c r="Y92" i="38"/>
  <c r="AC92" i="38"/>
  <c r="D93" i="38"/>
  <c r="Y93" i="38" s="1"/>
  <c r="L93" i="38"/>
  <c r="M93" i="38"/>
  <c r="N93" i="38"/>
  <c r="O93" i="38"/>
  <c r="P93" i="38" s="1"/>
  <c r="V93" i="38"/>
  <c r="W93" i="38"/>
  <c r="X93" i="38"/>
  <c r="D94" i="38"/>
  <c r="L94" i="38"/>
  <c r="M94" i="38"/>
  <c r="N94" i="38"/>
  <c r="V94" i="38"/>
  <c r="W94" i="38"/>
  <c r="X94" i="38"/>
  <c r="D95" i="38"/>
  <c r="O95" i="38" s="1"/>
  <c r="L95" i="38"/>
  <c r="M95" i="38"/>
  <c r="N95" i="38"/>
  <c r="V95" i="38"/>
  <c r="W95" i="38"/>
  <c r="X95" i="38"/>
  <c r="Y95" i="38"/>
  <c r="D96" i="38"/>
  <c r="O96" i="38" s="1"/>
  <c r="AA96" i="38"/>
  <c r="L96" i="38"/>
  <c r="M96" i="38"/>
  <c r="N96" i="38"/>
  <c r="Q96" i="38"/>
  <c r="R96" i="38"/>
  <c r="S96" i="38"/>
  <c r="V96" i="38"/>
  <c r="W96" i="38"/>
  <c r="X96" i="38"/>
  <c r="Y96" i="38"/>
  <c r="Z96" i="38"/>
  <c r="AC96" i="38"/>
  <c r="D97" i="38"/>
  <c r="O97" i="38" s="1"/>
  <c r="L97" i="38"/>
  <c r="M97" i="38"/>
  <c r="N97" i="38"/>
  <c r="P97" i="38"/>
  <c r="Q97" i="38"/>
  <c r="R97" i="38"/>
  <c r="S97" i="38"/>
  <c r="T97" i="38"/>
  <c r="V97" i="38"/>
  <c r="W97" i="38"/>
  <c r="X97" i="38"/>
  <c r="Y97" i="38"/>
  <c r="D98" i="38"/>
  <c r="Y98" i="38" s="1"/>
  <c r="L98" i="38"/>
  <c r="M98" i="38"/>
  <c r="N98" i="38"/>
  <c r="O98" i="38"/>
  <c r="P98" i="38" s="1"/>
  <c r="Q98" i="38"/>
  <c r="R98" i="38"/>
  <c r="S98" i="38"/>
  <c r="V98" i="38"/>
  <c r="W98" i="38"/>
  <c r="X98" i="38"/>
  <c r="D99" i="38"/>
  <c r="L99" i="38"/>
  <c r="M99" i="38"/>
  <c r="N99" i="38"/>
  <c r="V99" i="38"/>
  <c r="W99" i="38"/>
  <c r="X99" i="38"/>
  <c r="D100" i="38"/>
  <c r="O100" i="38" s="1"/>
  <c r="L100" i="38"/>
  <c r="M100" i="38"/>
  <c r="N100" i="38"/>
  <c r="T100" i="38"/>
  <c r="V100" i="38"/>
  <c r="W100" i="38"/>
  <c r="X100" i="38"/>
  <c r="Y100" i="38"/>
  <c r="Z100" i="38"/>
  <c r="AA100" i="38"/>
  <c r="AB100" i="38"/>
  <c r="AC100" i="38"/>
  <c r="D101" i="38"/>
  <c r="L101" i="38"/>
  <c r="M101" i="38"/>
  <c r="N101" i="38"/>
  <c r="V101" i="38"/>
  <c r="W101" i="38"/>
  <c r="X101" i="38"/>
  <c r="D102" i="38"/>
  <c r="L102" i="38"/>
  <c r="M102" i="38"/>
  <c r="N102" i="38"/>
  <c r="O102" i="38"/>
  <c r="P102" i="38" s="1"/>
  <c r="V102" i="38"/>
  <c r="W102" i="38"/>
  <c r="X102" i="38"/>
  <c r="Y102" i="38"/>
  <c r="D103" i="38"/>
  <c r="L103" i="38"/>
  <c r="M103" i="38"/>
  <c r="N103" i="38"/>
  <c r="V103" i="38"/>
  <c r="W103" i="38"/>
  <c r="X103" i="38"/>
  <c r="D104" i="38"/>
  <c r="T104" i="38"/>
  <c r="L104" i="38"/>
  <c r="M104" i="38"/>
  <c r="N104" i="38"/>
  <c r="O104" i="38"/>
  <c r="P104" i="38" s="1"/>
  <c r="S104" i="38"/>
  <c r="V104" i="38"/>
  <c r="W104" i="38"/>
  <c r="X104" i="38"/>
  <c r="Y104" i="38"/>
  <c r="AC104" i="38"/>
  <c r="AD104" i="38"/>
  <c r="D105" i="38"/>
  <c r="L105" i="38"/>
  <c r="M105" i="38"/>
  <c r="N105" i="38"/>
  <c r="O105" i="38"/>
  <c r="P105" i="38" s="1"/>
  <c r="R105" i="38"/>
  <c r="V105" i="38"/>
  <c r="W105" i="38"/>
  <c r="X105" i="38"/>
  <c r="Y105" i="38"/>
  <c r="D106" i="38"/>
  <c r="O106" i="38" s="1"/>
  <c r="L106" i="38"/>
  <c r="M106" i="38"/>
  <c r="N106" i="38"/>
  <c r="P106" i="38"/>
  <c r="R106" i="38"/>
  <c r="S106" i="38"/>
  <c r="T106" i="38"/>
  <c r="V106" i="38"/>
  <c r="W106" i="38"/>
  <c r="X106" i="38"/>
  <c r="D107" i="38"/>
  <c r="Y107" i="38" s="1"/>
  <c r="L107" i="38"/>
  <c r="M107" i="38"/>
  <c r="N107" i="38"/>
  <c r="V107" i="38"/>
  <c r="W107" i="38"/>
  <c r="X107" i="38"/>
  <c r="D108" i="38"/>
  <c r="L108" i="38"/>
  <c r="M108" i="38"/>
  <c r="N108" i="38"/>
  <c r="O108" i="38"/>
  <c r="P108" i="38" s="1"/>
  <c r="V108" i="38"/>
  <c r="W108" i="38"/>
  <c r="X108" i="38"/>
  <c r="Y108" i="38"/>
  <c r="D109" i="38"/>
  <c r="O109" i="38" s="1"/>
  <c r="L109" i="38"/>
  <c r="M109" i="38"/>
  <c r="N109" i="38"/>
  <c r="Q109" i="38"/>
  <c r="R109" i="38"/>
  <c r="T109" i="38"/>
  <c r="V109" i="38"/>
  <c r="W109" i="38"/>
  <c r="X109" i="38"/>
  <c r="Y109" i="38"/>
  <c r="Z109" i="38"/>
  <c r="AA109" i="38"/>
  <c r="AC109" i="38"/>
  <c r="AD109" i="38"/>
  <c r="D110" i="38"/>
  <c r="Y110" i="38" s="1"/>
  <c r="L110" i="38"/>
  <c r="M110" i="38"/>
  <c r="N110" i="38"/>
  <c r="O110" i="38"/>
  <c r="P110" i="38"/>
  <c r="R110" i="38"/>
  <c r="V110" i="38"/>
  <c r="W110" i="38"/>
  <c r="X110" i="38"/>
  <c r="D111" i="38"/>
  <c r="Y111" i="38" s="1"/>
  <c r="L111" i="38"/>
  <c r="M111" i="38"/>
  <c r="N111" i="38"/>
  <c r="O111" i="38"/>
  <c r="P111" i="38" s="1"/>
  <c r="V111" i="38"/>
  <c r="W111" i="38"/>
  <c r="X111" i="38"/>
  <c r="D112" i="38"/>
  <c r="Y112" i="38" s="1"/>
  <c r="L112" i="38"/>
  <c r="M112" i="38"/>
  <c r="N112" i="38"/>
  <c r="O112" i="38"/>
  <c r="V112" i="38"/>
  <c r="W112" i="38"/>
  <c r="X112" i="38"/>
  <c r="D113" i="38"/>
  <c r="L113" i="38"/>
  <c r="M113" i="38"/>
  <c r="N113" i="38"/>
  <c r="V113" i="38"/>
  <c r="W113" i="38"/>
  <c r="X113" i="38"/>
  <c r="D114" i="38"/>
  <c r="R114" i="38"/>
  <c r="S114" i="38"/>
  <c r="L114" i="38"/>
  <c r="M114" i="38"/>
  <c r="N114" i="38"/>
  <c r="O114" i="38"/>
  <c r="P114" i="38"/>
  <c r="Q114" i="38"/>
  <c r="T114" i="38"/>
  <c r="V114" i="38"/>
  <c r="W114" i="38"/>
  <c r="X114" i="38"/>
  <c r="Y114" i="38"/>
  <c r="AB114" i="38"/>
  <c r="AC114" i="38"/>
  <c r="AD114" i="38"/>
  <c r="D115" i="38"/>
  <c r="O115" i="38" s="1"/>
  <c r="L115" i="38"/>
  <c r="M115" i="38"/>
  <c r="N115" i="38"/>
  <c r="P115" i="38"/>
  <c r="Q115" i="38"/>
  <c r="R115" i="38"/>
  <c r="V115" i="38"/>
  <c r="W115" i="38"/>
  <c r="X115" i="38"/>
  <c r="Y115" i="38"/>
  <c r="Z115" i="38"/>
  <c r="AA115" i="38"/>
  <c r="D116" i="38"/>
  <c r="L116" i="38"/>
  <c r="M116" i="38"/>
  <c r="N116" i="38"/>
  <c r="V116" i="38"/>
  <c r="W116" i="38"/>
  <c r="X116" i="38"/>
  <c r="D117" i="38"/>
  <c r="S117" i="38"/>
  <c r="T117" i="38"/>
  <c r="L117" i="38"/>
  <c r="M117" i="38"/>
  <c r="N117" i="38"/>
  <c r="O117" i="38"/>
  <c r="V117" i="38"/>
  <c r="W117" i="38"/>
  <c r="X117" i="38"/>
  <c r="Y117" i="38"/>
  <c r="AA117" i="38"/>
  <c r="AD117" i="38"/>
  <c r="D118" i="38"/>
  <c r="O118" i="38" s="1"/>
  <c r="L118" i="38"/>
  <c r="M118" i="38"/>
  <c r="N118" i="38"/>
  <c r="V118" i="38"/>
  <c r="W118" i="38"/>
  <c r="X118" i="38"/>
  <c r="D119" i="38"/>
  <c r="O119" i="38" s="1"/>
  <c r="AD119" i="38" s="1"/>
  <c r="T119" i="38"/>
  <c r="L119" i="38"/>
  <c r="M119" i="38"/>
  <c r="N119" i="38"/>
  <c r="R119" i="38"/>
  <c r="S119" i="38"/>
  <c r="V119" i="38"/>
  <c r="W119" i="38"/>
  <c r="X119" i="38"/>
  <c r="Y119" i="38"/>
  <c r="Z119" i="38"/>
  <c r="AA119" i="38"/>
  <c r="AB119" i="38"/>
  <c r="AC119" i="38"/>
  <c r="D120" i="38"/>
  <c r="L120" i="38"/>
  <c r="M120" i="38"/>
  <c r="N120" i="38"/>
  <c r="V120" i="38"/>
  <c r="W120" i="38"/>
  <c r="X120" i="38"/>
  <c r="D121" i="38"/>
  <c r="L121" i="38"/>
  <c r="M121" i="38"/>
  <c r="N121" i="38"/>
  <c r="V121" i="38"/>
  <c r="W121" i="38"/>
  <c r="X121" i="38"/>
  <c r="D122" i="38"/>
  <c r="L122" i="38"/>
  <c r="M122" i="38"/>
  <c r="N122" i="38"/>
  <c r="V122" i="38"/>
  <c r="W122" i="38"/>
  <c r="X122" i="38"/>
  <c r="D123" i="38"/>
  <c r="O123" i="38" s="1"/>
  <c r="L123" i="38"/>
  <c r="M123" i="38"/>
  <c r="N123" i="38"/>
  <c r="Q123" i="38"/>
  <c r="R123" i="38"/>
  <c r="T123" i="38"/>
  <c r="V123" i="38"/>
  <c r="W123" i="38"/>
  <c r="X123" i="38"/>
  <c r="Y123" i="38"/>
  <c r="Z123" i="38"/>
  <c r="AA123" i="38"/>
  <c r="AB123" i="38"/>
  <c r="AC123" i="38"/>
  <c r="D124" i="38"/>
  <c r="L124" i="38"/>
  <c r="M124" i="38"/>
  <c r="N124" i="38"/>
  <c r="O124" i="38"/>
  <c r="P124" i="38"/>
  <c r="Q124" i="38"/>
  <c r="R124" i="38"/>
  <c r="S124" i="38"/>
  <c r="T124" i="38"/>
  <c r="V124" i="38"/>
  <c r="W124" i="38"/>
  <c r="X124" i="38"/>
  <c r="Y124" i="38"/>
  <c r="AD124" i="38"/>
  <c r="D125" i="38"/>
  <c r="L125" i="38"/>
  <c r="M125" i="38"/>
  <c r="N125" i="38"/>
  <c r="O125" i="38"/>
  <c r="Q125" i="38" s="1"/>
  <c r="P125" i="38"/>
  <c r="V125" i="38"/>
  <c r="W125" i="38"/>
  <c r="X125" i="38"/>
  <c r="Y125" i="38"/>
  <c r="D126" i="38"/>
  <c r="L126" i="38"/>
  <c r="M126" i="38"/>
  <c r="N126" i="38"/>
  <c r="O126" i="38"/>
  <c r="V126" i="38"/>
  <c r="W126" i="38"/>
  <c r="X126" i="38"/>
  <c r="Y126" i="38"/>
  <c r="D127" i="38"/>
  <c r="L127" i="38"/>
  <c r="M127" i="38"/>
  <c r="N127" i="38"/>
  <c r="V127" i="38"/>
  <c r="W127" i="38"/>
  <c r="X127" i="38"/>
  <c r="D128" i="38"/>
  <c r="L128" i="38"/>
  <c r="M128" i="38"/>
  <c r="N128" i="38"/>
  <c r="V128" i="38"/>
  <c r="W128" i="38"/>
  <c r="X128" i="38"/>
  <c r="D129" i="38"/>
  <c r="O129" i="38" s="1"/>
  <c r="P129" i="38" s="1"/>
  <c r="AB129" i="38"/>
  <c r="L129" i="38"/>
  <c r="M129" i="38"/>
  <c r="N129" i="38"/>
  <c r="Q129" i="38"/>
  <c r="R129" i="38"/>
  <c r="S129" i="38"/>
  <c r="T129" i="38"/>
  <c r="V129" i="38"/>
  <c r="W129" i="38"/>
  <c r="X129" i="38"/>
  <c r="Y129" i="38"/>
  <c r="AA129" i="38"/>
  <c r="AC129" i="38"/>
  <c r="AD129" i="38"/>
  <c r="D130" i="38"/>
  <c r="L130" i="38"/>
  <c r="M130" i="38"/>
  <c r="N130" i="38"/>
  <c r="O130" i="38"/>
  <c r="S130" i="38" s="1"/>
  <c r="P130" i="38"/>
  <c r="Q130" i="38"/>
  <c r="R130" i="38"/>
  <c r="T130" i="38"/>
  <c r="V130" i="38"/>
  <c r="W130" i="38"/>
  <c r="X130" i="38"/>
  <c r="Y130" i="38"/>
  <c r="AA130" i="38"/>
  <c r="AB130" i="38"/>
  <c r="AC130" i="38"/>
  <c r="D131" i="38"/>
  <c r="L131" i="38"/>
  <c r="M131" i="38"/>
  <c r="N131" i="38"/>
  <c r="V131" i="38"/>
  <c r="W131" i="38"/>
  <c r="X131" i="38"/>
  <c r="D132" i="38"/>
  <c r="L132" i="38"/>
  <c r="M132" i="38"/>
  <c r="N132" i="38"/>
  <c r="O132" i="38"/>
  <c r="S132" i="38"/>
  <c r="T132" i="38"/>
  <c r="V132" i="38"/>
  <c r="W132" i="38"/>
  <c r="X132" i="38"/>
  <c r="Y132" i="38"/>
  <c r="Z132" i="38"/>
  <c r="D133" i="38"/>
  <c r="L133" i="38"/>
  <c r="M133" i="38"/>
  <c r="N133" i="38"/>
  <c r="O133" i="38"/>
  <c r="P133" i="38"/>
  <c r="Q133" i="38"/>
  <c r="R133" i="38"/>
  <c r="S133" i="38"/>
  <c r="T133" i="38"/>
  <c r="V133" i="38"/>
  <c r="W133" i="38"/>
  <c r="X133" i="38"/>
  <c r="Y133" i="38"/>
  <c r="Z133" i="38"/>
  <c r="AB133" i="38"/>
  <c r="AC133" i="38"/>
  <c r="D134" i="38"/>
  <c r="L134" i="38"/>
  <c r="M134" i="38"/>
  <c r="N134" i="38"/>
  <c r="O134" i="38"/>
  <c r="AB134" i="38" s="1"/>
  <c r="V134" i="38"/>
  <c r="W134" i="38"/>
  <c r="X134" i="38"/>
  <c r="Y134" i="38"/>
  <c r="AD134" i="38"/>
  <c r="D135" i="38"/>
  <c r="O135" i="38" s="1"/>
  <c r="L135" i="38"/>
  <c r="M135" i="38"/>
  <c r="N135" i="38"/>
  <c r="P135" i="38"/>
  <c r="T135" i="38"/>
  <c r="V135" i="38"/>
  <c r="W135" i="38"/>
  <c r="X135" i="38"/>
  <c r="Y135" i="38"/>
  <c r="Z135" i="38"/>
  <c r="AA135" i="38"/>
  <c r="AB135" i="38"/>
  <c r="AC135" i="38"/>
  <c r="AD135" i="38"/>
  <c r="D136" i="38"/>
  <c r="L136" i="38"/>
  <c r="M136" i="38"/>
  <c r="N136" i="38"/>
  <c r="O136" i="38"/>
  <c r="V136" i="38"/>
  <c r="W136" i="38"/>
  <c r="X136" i="38"/>
  <c r="Y136" i="38"/>
  <c r="D137" i="38"/>
  <c r="Y137" i="38" s="1"/>
  <c r="L137" i="38"/>
  <c r="M137" i="38"/>
  <c r="N137" i="38"/>
  <c r="O137" i="38"/>
  <c r="S137" i="38" s="1"/>
  <c r="P137" i="38"/>
  <c r="Q137" i="38"/>
  <c r="R137" i="38"/>
  <c r="T137" i="38"/>
  <c r="V137" i="38"/>
  <c r="W137" i="38"/>
  <c r="X137" i="38"/>
  <c r="D138" i="38"/>
  <c r="L138" i="38"/>
  <c r="M138" i="38"/>
  <c r="N138" i="38"/>
  <c r="O138" i="38"/>
  <c r="P138" i="38" s="1"/>
  <c r="Q138" i="38"/>
  <c r="R138" i="38"/>
  <c r="S138" i="38"/>
  <c r="V138" i="38"/>
  <c r="W138" i="38"/>
  <c r="X138" i="38"/>
  <c r="Y138" i="38"/>
  <c r="D139" i="38"/>
  <c r="O139" i="38" s="1"/>
  <c r="AC139" i="38"/>
  <c r="AD139" i="38"/>
  <c r="L139" i="38"/>
  <c r="M139" i="38"/>
  <c r="N139" i="38"/>
  <c r="R139" i="38"/>
  <c r="V139" i="38"/>
  <c r="W139" i="38"/>
  <c r="X139" i="38"/>
  <c r="Y139" i="38"/>
  <c r="Z139" i="38"/>
  <c r="D140" i="38"/>
  <c r="O140" i="38" s="1"/>
  <c r="L140" i="38"/>
  <c r="M140" i="38"/>
  <c r="N140" i="38"/>
  <c r="Q140" i="38"/>
  <c r="S140" i="38"/>
  <c r="T140" i="38"/>
  <c r="V140" i="38"/>
  <c r="W140" i="38"/>
  <c r="X140" i="38"/>
  <c r="Y140" i="38"/>
  <c r="Z140" i="38"/>
  <c r="AA140" i="38"/>
  <c r="AC140" i="38"/>
  <c r="D141" i="38"/>
  <c r="L141" i="38"/>
  <c r="M141" i="38"/>
  <c r="N141" i="38"/>
  <c r="O141" i="38"/>
  <c r="P141" i="38"/>
  <c r="R141" i="38"/>
  <c r="V141" i="38"/>
  <c r="W141" i="38"/>
  <c r="X141" i="38"/>
  <c r="Y141" i="38"/>
  <c r="D142" i="38"/>
  <c r="Y142" i="38" s="1"/>
  <c r="L142" i="38"/>
  <c r="M142" i="38"/>
  <c r="N142" i="38"/>
  <c r="O142" i="38"/>
  <c r="V142" i="38"/>
  <c r="W142" i="38"/>
  <c r="X142" i="38"/>
  <c r="D143" i="38"/>
  <c r="L143" i="38"/>
  <c r="M143" i="38"/>
  <c r="N143" i="38"/>
  <c r="O143" i="38"/>
  <c r="V143" i="38"/>
  <c r="W143" i="38"/>
  <c r="X143" i="38"/>
  <c r="Y143" i="38"/>
  <c r="D144" i="38"/>
  <c r="L144" i="38"/>
  <c r="M144" i="38"/>
  <c r="N144" i="38"/>
  <c r="V144" i="38"/>
  <c r="W144" i="38"/>
  <c r="X144" i="38"/>
  <c r="D145" i="38"/>
  <c r="O145" i="38" s="1"/>
  <c r="L145" i="38"/>
  <c r="M145" i="38"/>
  <c r="N145" i="38"/>
  <c r="V145" i="38"/>
  <c r="W145" i="38"/>
  <c r="X145" i="38"/>
  <c r="Y145" i="38"/>
  <c r="Z145" i="38"/>
  <c r="AB145" i="38"/>
  <c r="AC145" i="38"/>
  <c r="AD145" i="38"/>
  <c r="D146" i="38"/>
  <c r="Q146" i="38"/>
  <c r="L146" i="38"/>
  <c r="M146" i="38"/>
  <c r="N146" i="38"/>
  <c r="O146" i="38"/>
  <c r="R146" i="38"/>
  <c r="S146" i="38"/>
  <c r="V146" i="38"/>
  <c r="W146" i="38"/>
  <c r="X146" i="38"/>
  <c r="Y146" i="38"/>
  <c r="Z146" i="38"/>
  <c r="AA146" i="38"/>
  <c r="AC146" i="38"/>
  <c r="AD146" i="38"/>
  <c r="D147" i="38"/>
  <c r="O147" i="38" s="1"/>
  <c r="L147" i="38"/>
  <c r="M147" i="38"/>
  <c r="N147" i="38"/>
  <c r="V147" i="38"/>
  <c r="W147" i="38"/>
  <c r="X147" i="38"/>
  <c r="Y147" i="38"/>
  <c r="D148" i="38"/>
  <c r="Y148" i="38" s="1"/>
  <c r="L148" i="38"/>
  <c r="M148" i="38"/>
  <c r="N148" i="38"/>
  <c r="O148" i="38"/>
  <c r="V148" i="38"/>
  <c r="W148" i="38"/>
  <c r="X148" i="38"/>
  <c r="D149" i="38"/>
  <c r="L149" i="38"/>
  <c r="M149" i="38"/>
  <c r="N149" i="38"/>
  <c r="O149" i="38"/>
  <c r="V149" i="38"/>
  <c r="W149" i="38"/>
  <c r="X149" i="38"/>
  <c r="Y149" i="38"/>
  <c r="D150" i="38"/>
  <c r="Y150" i="38" s="1"/>
  <c r="L150" i="38"/>
  <c r="M150" i="38"/>
  <c r="N150" i="38"/>
  <c r="O150" i="38"/>
  <c r="V150" i="38"/>
  <c r="W150" i="38"/>
  <c r="X150" i="38"/>
  <c r="D151" i="38"/>
  <c r="O151" i="38" s="1"/>
  <c r="L151" i="38"/>
  <c r="M151" i="38"/>
  <c r="N151" i="38"/>
  <c r="V151" i="38"/>
  <c r="W151" i="38"/>
  <c r="X151" i="38"/>
  <c r="Y151" i="38"/>
  <c r="Z151" i="38"/>
  <c r="AD151" i="38"/>
  <c r="D152" i="38"/>
  <c r="L152" i="38"/>
  <c r="M152" i="38"/>
  <c r="N152" i="38"/>
  <c r="V152" i="38"/>
  <c r="W152" i="38"/>
  <c r="X152" i="38"/>
  <c r="D153" i="38"/>
  <c r="L153" i="38"/>
  <c r="M153" i="38"/>
  <c r="N153" i="38"/>
  <c r="V153" i="38"/>
  <c r="W153" i="38"/>
  <c r="X153" i="38"/>
  <c r="D154" i="38"/>
  <c r="Y154" i="38" s="1"/>
  <c r="L154" i="38"/>
  <c r="M154" i="38"/>
  <c r="N154" i="38"/>
  <c r="O154" i="38"/>
  <c r="P154" i="38"/>
  <c r="V154" i="38"/>
  <c r="W154" i="38"/>
  <c r="X154" i="38"/>
  <c r="AB154" i="38"/>
  <c r="D155" i="38"/>
  <c r="Y155" i="38" s="1"/>
  <c r="L155" i="38"/>
  <c r="M155" i="38"/>
  <c r="N155" i="38"/>
  <c r="O155" i="38"/>
  <c r="V155" i="38"/>
  <c r="W155" i="38"/>
  <c r="X155" i="38"/>
  <c r="D156" i="38"/>
  <c r="L156" i="38"/>
  <c r="M156" i="38"/>
  <c r="N156" i="38"/>
  <c r="O156" i="38"/>
  <c r="Q156" i="38" s="1"/>
  <c r="V156" i="38"/>
  <c r="W156" i="38"/>
  <c r="X156" i="38"/>
  <c r="Y156" i="38"/>
  <c r="D157" i="38"/>
  <c r="L157" i="38"/>
  <c r="M157" i="38"/>
  <c r="N157" i="38"/>
  <c r="V157" i="38"/>
  <c r="W157" i="38"/>
  <c r="X157" i="38"/>
  <c r="D158" i="38"/>
  <c r="L158" i="38"/>
  <c r="M158" i="38"/>
  <c r="N158" i="38"/>
  <c r="V158" i="38"/>
  <c r="W158" i="38"/>
  <c r="X158" i="38"/>
  <c r="D159" i="38"/>
  <c r="L159" i="38"/>
  <c r="M159" i="38"/>
  <c r="N159" i="38"/>
  <c r="V159" i="38"/>
  <c r="W159" i="38"/>
  <c r="X159" i="38"/>
  <c r="D160" i="38"/>
  <c r="L160" i="38"/>
  <c r="M160" i="38"/>
  <c r="N160" i="38"/>
  <c r="V160" i="38"/>
  <c r="W160" i="38"/>
  <c r="X160" i="38"/>
  <c r="D161" i="38"/>
  <c r="L161" i="38"/>
  <c r="M161" i="38"/>
  <c r="N161" i="38"/>
  <c r="O161" i="38"/>
  <c r="P161" i="38"/>
  <c r="Q161" i="38"/>
  <c r="R161" i="38"/>
  <c r="S161" i="38"/>
  <c r="T161" i="38"/>
  <c r="V161" i="38"/>
  <c r="W161" i="38"/>
  <c r="X161" i="38"/>
  <c r="Y161" i="38"/>
  <c r="AB161" i="38"/>
  <c r="AC161" i="38"/>
  <c r="AD161" i="38"/>
  <c r="D162" i="38"/>
  <c r="Y162" i="38" s="1"/>
  <c r="L162" i="38"/>
  <c r="M162" i="38"/>
  <c r="N162" i="38"/>
  <c r="O162" i="38"/>
  <c r="P162" i="38"/>
  <c r="R162" i="38"/>
  <c r="S162" i="38"/>
  <c r="V162" i="38"/>
  <c r="W162" i="38"/>
  <c r="X162" i="38"/>
  <c r="Z162" i="38"/>
  <c r="AA162" i="38"/>
  <c r="AB162" i="38"/>
  <c r="D163" i="38"/>
  <c r="Y163" i="38" s="1"/>
  <c r="L163" i="38"/>
  <c r="M163" i="38"/>
  <c r="N163" i="38"/>
  <c r="O163" i="38"/>
  <c r="P163" i="38"/>
  <c r="S163" i="38"/>
  <c r="T163" i="38"/>
  <c r="V163" i="38"/>
  <c r="W163" i="38"/>
  <c r="X163" i="38"/>
  <c r="D164" i="38"/>
  <c r="Y164" i="38" s="1"/>
  <c r="AA164" i="38"/>
  <c r="L164" i="38"/>
  <c r="M164" i="38"/>
  <c r="N164" i="38"/>
  <c r="O164" i="38"/>
  <c r="P164" i="38" s="1"/>
  <c r="Q164" i="38"/>
  <c r="V164" i="38"/>
  <c r="W164" i="38"/>
  <c r="X164" i="38"/>
  <c r="D165" i="38"/>
  <c r="L165" i="38"/>
  <c r="M165" i="38"/>
  <c r="N165" i="38"/>
  <c r="V165" i="38"/>
  <c r="W165" i="38"/>
  <c r="X165" i="38"/>
  <c r="D166" i="38"/>
  <c r="L166" i="38"/>
  <c r="M166" i="38"/>
  <c r="N166" i="38"/>
  <c r="V166" i="38"/>
  <c r="W166" i="38"/>
  <c r="X166" i="38"/>
  <c r="D167" i="38"/>
  <c r="L167" i="38"/>
  <c r="M167" i="38"/>
  <c r="N167" i="38"/>
  <c r="V167" i="38"/>
  <c r="W167" i="38"/>
  <c r="X167" i="38"/>
  <c r="D168" i="38"/>
  <c r="L168" i="38"/>
  <c r="M168" i="38"/>
  <c r="N168" i="38"/>
  <c r="O168" i="38"/>
  <c r="P168" i="38"/>
  <c r="Q168" i="38"/>
  <c r="R168" i="38"/>
  <c r="V168" i="38"/>
  <c r="W168" i="38"/>
  <c r="X168" i="38"/>
  <c r="Y168" i="38"/>
  <c r="D169" i="38"/>
  <c r="Y169" i="38" s="1"/>
  <c r="L169" i="38"/>
  <c r="M169" i="38"/>
  <c r="N169" i="38"/>
  <c r="O169" i="38"/>
  <c r="P169" i="38"/>
  <c r="Q169" i="38"/>
  <c r="R169" i="38"/>
  <c r="V169" i="38"/>
  <c r="W169" i="38"/>
  <c r="X169" i="38"/>
  <c r="D170" i="38"/>
  <c r="L170" i="38"/>
  <c r="M170" i="38"/>
  <c r="N170" i="38"/>
  <c r="V170" i="38"/>
  <c r="W170" i="38"/>
  <c r="X170" i="38"/>
  <c r="D171" i="38"/>
  <c r="L171" i="38"/>
  <c r="M171" i="38"/>
  <c r="N171" i="38"/>
  <c r="V171" i="38"/>
  <c r="W171" i="38"/>
  <c r="X171" i="38"/>
  <c r="D172" i="38"/>
  <c r="L172" i="38"/>
  <c r="M172" i="38"/>
  <c r="N172" i="38"/>
  <c r="O172" i="38"/>
  <c r="P172" i="38"/>
  <c r="Q172" i="38"/>
  <c r="R172" i="38"/>
  <c r="V172" i="38"/>
  <c r="W172" i="38"/>
  <c r="X172" i="38"/>
  <c r="Y172" i="38"/>
  <c r="D173" i="38"/>
  <c r="L173" i="38"/>
  <c r="M173" i="38"/>
  <c r="N173" i="38"/>
  <c r="O173" i="38"/>
  <c r="P173" i="38"/>
  <c r="Q173" i="38"/>
  <c r="R173" i="38"/>
  <c r="V173" i="38"/>
  <c r="W173" i="38"/>
  <c r="X173" i="38"/>
  <c r="Y173" i="38"/>
  <c r="D174" i="38"/>
  <c r="L174" i="38"/>
  <c r="M174" i="38"/>
  <c r="N174" i="38"/>
  <c r="V174" i="38"/>
  <c r="W174" i="38"/>
  <c r="X174" i="38"/>
  <c r="D175" i="38"/>
  <c r="L175" i="38"/>
  <c r="M175" i="38"/>
  <c r="N175" i="38"/>
  <c r="V175" i="38"/>
  <c r="W175" i="38"/>
  <c r="X175" i="38"/>
  <c r="D176" i="38"/>
  <c r="L176" i="38"/>
  <c r="M176" i="38"/>
  <c r="N176" i="38"/>
  <c r="O176" i="38"/>
  <c r="V176" i="38"/>
  <c r="W176" i="38"/>
  <c r="X176" i="38"/>
  <c r="Y176" i="38"/>
  <c r="AB176" i="38"/>
  <c r="D177" i="38"/>
  <c r="O177" i="38" s="1"/>
  <c r="S177" i="38" s="1"/>
  <c r="L177" i="38"/>
  <c r="M177" i="38"/>
  <c r="N177" i="38"/>
  <c r="P177" i="38"/>
  <c r="Q177" i="38"/>
  <c r="R177" i="38"/>
  <c r="V177" i="38"/>
  <c r="W177" i="38"/>
  <c r="X177" i="38"/>
  <c r="AA177" i="38"/>
  <c r="AB177" i="38"/>
  <c r="D178" i="38"/>
  <c r="Y178" i="38" s="1"/>
  <c r="L178" i="38"/>
  <c r="M178" i="38"/>
  <c r="N178" i="38"/>
  <c r="O178" i="38"/>
  <c r="V178" i="38"/>
  <c r="W178" i="38"/>
  <c r="X178" i="38"/>
  <c r="D179" i="38"/>
  <c r="L179" i="38"/>
  <c r="M179" i="38"/>
  <c r="N179" i="38"/>
  <c r="V179" i="38"/>
  <c r="W179" i="38"/>
  <c r="X179" i="38"/>
  <c r="D180" i="38"/>
  <c r="O180" i="38" s="1"/>
  <c r="P180" i="38"/>
  <c r="L180" i="38"/>
  <c r="M180" i="38"/>
  <c r="N180" i="38"/>
  <c r="R180" i="38"/>
  <c r="S180" i="38"/>
  <c r="T180" i="38"/>
  <c r="V180" i="38"/>
  <c r="W180" i="38"/>
  <c r="X180" i="38"/>
  <c r="Y180" i="38"/>
  <c r="Z180" i="38"/>
  <c r="AA180" i="38"/>
  <c r="AB180" i="38"/>
  <c r="AC180" i="38"/>
  <c r="D181" i="38"/>
  <c r="O181" i="38" s="1"/>
  <c r="AA181" i="38" s="1"/>
  <c r="L181" i="38"/>
  <c r="M181" i="38"/>
  <c r="N181" i="38"/>
  <c r="P181" i="38"/>
  <c r="Q181" i="38"/>
  <c r="R181" i="38"/>
  <c r="S181" i="38"/>
  <c r="T181" i="38"/>
  <c r="V181" i="38"/>
  <c r="W181" i="38"/>
  <c r="X181" i="38"/>
  <c r="Y181" i="38"/>
  <c r="AB181" i="38"/>
  <c r="D182" i="38"/>
  <c r="L182" i="38"/>
  <c r="M182" i="38"/>
  <c r="N182" i="38"/>
  <c r="O182" i="38"/>
  <c r="P182" i="38"/>
  <c r="V182" i="38"/>
  <c r="W182" i="38"/>
  <c r="X182" i="38"/>
  <c r="Y182" i="38"/>
  <c r="D183" i="38"/>
  <c r="O183" i="38" s="1"/>
  <c r="L183" i="38"/>
  <c r="M183" i="38"/>
  <c r="N183" i="38"/>
  <c r="V183" i="38"/>
  <c r="W183" i="38"/>
  <c r="X183" i="38"/>
  <c r="Y183" i="38"/>
  <c r="Z183" i="38"/>
  <c r="AA183" i="38"/>
  <c r="AB183" i="38"/>
  <c r="AC183" i="38"/>
  <c r="AD183" i="38"/>
  <c r="D184" i="38"/>
  <c r="O184" i="38" s="1"/>
  <c r="L184" i="38"/>
  <c r="M184" i="38"/>
  <c r="N184" i="38"/>
  <c r="S184" i="38"/>
  <c r="T184" i="38"/>
  <c r="V184" i="38"/>
  <c r="W184" i="38"/>
  <c r="X184" i="38"/>
  <c r="Y184" i="38"/>
  <c r="Z184" i="38"/>
  <c r="AA184" i="38"/>
  <c r="AB184" i="38"/>
  <c r="AC184" i="38"/>
  <c r="AD184" i="38"/>
  <c r="D185" i="38"/>
  <c r="L185" i="38"/>
  <c r="M185" i="38"/>
  <c r="N185" i="38"/>
  <c r="O185" i="38"/>
  <c r="P185" i="38" s="1"/>
  <c r="V185" i="38"/>
  <c r="W185" i="38"/>
  <c r="X185" i="38"/>
  <c r="Y185" i="38"/>
  <c r="D186" i="38"/>
  <c r="L186" i="38"/>
  <c r="M186" i="38"/>
  <c r="N186" i="38"/>
  <c r="O186" i="38"/>
  <c r="V186" i="38"/>
  <c r="W186" i="38"/>
  <c r="X186" i="38"/>
  <c r="Y186" i="38"/>
  <c r="D187" i="38"/>
  <c r="L187" i="38"/>
  <c r="M187" i="38"/>
  <c r="N187" i="38"/>
  <c r="V187" i="38"/>
  <c r="W187" i="38"/>
  <c r="X187" i="38"/>
  <c r="D188" i="38"/>
  <c r="L188" i="38"/>
  <c r="M188" i="38"/>
  <c r="N188" i="38"/>
  <c r="V188" i="38"/>
  <c r="W188" i="38"/>
  <c r="X188" i="38"/>
  <c r="D189" i="38"/>
  <c r="L189" i="38"/>
  <c r="M189" i="38"/>
  <c r="N189" i="38"/>
  <c r="V189" i="38"/>
  <c r="W189" i="38"/>
  <c r="X189" i="38"/>
  <c r="D190" i="38"/>
  <c r="Y190" i="38" s="1"/>
  <c r="L190" i="38"/>
  <c r="M190" i="38"/>
  <c r="N190" i="38"/>
  <c r="O190" i="38"/>
  <c r="P190" i="38"/>
  <c r="R190" i="38"/>
  <c r="S190" i="38"/>
  <c r="V190" i="38"/>
  <c r="W190" i="38"/>
  <c r="X190" i="38"/>
  <c r="D191" i="38"/>
  <c r="L191" i="38"/>
  <c r="M191" i="38"/>
  <c r="N191" i="38"/>
  <c r="V191" i="38"/>
  <c r="W191" i="38"/>
  <c r="X191" i="38"/>
  <c r="D192" i="38"/>
  <c r="L192" i="38"/>
  <c r="M192" i="38"/>
  <c r="N192" i="38"/>
  <c r="O192" i="38"/>
  <c r="P192" i="38" s="1"/>
  <c r="V192" i="38"/>
  <c r="W192" i="38"/>
  <c r="X192" i="38"/>
  <c r="Y192" i="38"/>
  <c r="AA192" i="38"/>
  <c r="AB192" i="38"/>
  <c r="AC192" i="38"/>
  <c r="D193" i="38"/>
  <c r="O193" i="38" s="1"/>
  <c r="R193" i="38"/>
  <c r="L193" i="38"/>
  <c r="M193" i="38"/>
  <c r="N193" i="38"/>
  <c r="Q193" i="38"/>
  <c r="T193" i="38"/>
  <c r="V193" i="38"/>
  <c r="W193" i="38"/>
  <c r="X193" i="38"/>
  <c r="Y193" i="38"/>
  <c r="Z193" i="38"/>
  <c r="AA193" i="38"/>
  <c r="AB193" i="38"/>
  <c r="AC193" i="38"/>
  <c r="AD193" i="38"/>
  <c r="D194" i="38"/>
  <c r="L194" i="38"/>
  <c r="M194" i="38"/>
  <c r="N194" i="38"/>
  <c r="O194" i="38"/>
  <c r="P194" i="38"/>
  <c r="R194" i="38"/>
  <c r="S194" i="38"/>
  <c r="V194" i="38"/>
  <c r="W194" i="38"/>
  <c r="X194" i="38"/>
  <c r="Y194" i="38"/>
  <c r="D195" i="38"/>
  <c r="L195" i="38"/>
  <c r="M195" i="38"/>
  <c r="N195" i="38"/>
  <c r="O195" i="38"/>
  <c r="P195" i="38" s="1"/>
  <c r="Q195" i="38"/>
  <c r="V195" i="38"/>
  <c r="W195" i="38"/>
  <c r="X195" i="38"/>
  <c r="Y195" i="38"/>
  <c r="D196" i="38"/>
  <c r="Q196" i="38"/>
  <c r="R196" i="38"/>
  <c r="L196" i="38"/>
  <c r="M196" i="38"/>
  <c r="N196" i="38"/>
  <c r="O196" i="38"/>
  <c r="Z196" i="38" s="1"/>
  <c r="V196" i="38"/>
  <c r="W196" i="38"/>
  <c r="X196" i="38"/>
  <c r="Y196" i="38"/>
  <c r="AA196" i="38"/>
  <c r="AB196" i="38"/>
  <c r="AC196" i="38"/>
  <c r="AD196" i="38"/>
  <c r="D197" i="38"/>
  <c r="O197" i="38" s="1"/>
  <c r="L197" i="38"/>
  <c r="M197" i="38"/>
  <c r="N197" i="38"/>
  <c r="T197" i="38"/>
  <c r="V197" i="38"/>
  <c r="W197" i="38"/>
  <c r="X197" i="38"/>
  <c r="Y197" i="38"/>
  <c r="Z197" i="38"/>
  <c r="AA197" i="38"/>
  <c r="AB197" i="38"/>
  <c r="AC197" i="38"/>
  <c r="AD197" i="38"/>
  <c r="D198" i="38"/>
  <c r="L198" i="38"/>
  <c r="M198" i="38"/>
  <c r="N198" i="38"/>
  <c r="O198" i="38"/>
  <c r="Q198" i="38" s="1"/>
  <c r="P198" i="38"/>
  <c r="R198" i="38"/>
  <c r="V198" i="38"/>
  <c r="W198" i="38"/>
  <c r="X198" i="38"/>
  <c r="Y198" i="38"/>
  <c r="D199" i="38"/>
  <c r="L199" i="38"/>
  <c r="M199" i="38"/>
  <c r="N199" i="38"/>
  <c r="O199" i="38"/>
  <c r="Q199" i="38" s="1"/>
  <c r="P199" i="38"/>
  <c r="R199" i="38"/>
  <c r="V199" i="38"/>
  <c r="W199" i="38"/>
  <c r="X199" i="38"/>
  <c r="Y199" i="38"/>
  <c r="D200" i="38"/>
  <c r="Y200" i="38" s="1"/>
  <c r="L200" i="38"/>
  <c r="M200" i="38"/>
  <c r="N200" i="38"/>
  <c r="O200" i="38"/>
  <c r="V200" i="38"/>
  <c r="W200" i="38"/>
  <c r="X200" i="38"/>
  <c r="D201" i="38"/>
  <c r="O201" i="38" s="1"/>
  <c r="L201" i="38"/>
  <c r="M201" i="38"/>
  <c r="N201" i="38"/>
  <c r="V201" i="38"/>
  <c r="W201" i="38"/>
  <c r="X201" i="38"/>
  <c r="Y201" i="38"/>
  <c r="Z201" i="38"/>
  <c r="AA201" i="38"/>
  <c r="AB201" i="38"/>
  <c r="AC201" i="38"/>
  <c r="AD201" i="38"/>
  <c r="D202" i="38"/>
  <c r="L202" i="38"/>
  <c r="M202" i="38"/>
  <c r="N202" i="38"/>
  <c r="O202" i="38"/>
  <c r="V202" i="38"/>
  <c r="W202" i="38"/>
  <c r="X202" i="38"/>
  <c r="Y202" i="38"/>
  <c r="D203" i="38"/>
  <c r="Y203" i="38" s="1"/>
  <c r="L203" i="38"/>
  <c r="M203" i="38"/>
  <c r="N203" i="38"/>
  <c r="O203" i="38"/>
  <c r="P203" i="38"/>
  <c r="V203" i="38"/>
  <c r="W203" i="38"/>
  <c r="X203" i="38"/>
  <c r="D204" i="38"/>
  <c r="Y204" i="38" s="1"/>
  <c r="L204" i="38"/>
  <c r="M204" i="38"/>
  <c r="N204" i="38"/>
  <c r="O204" i="38"/>
  <c r="P204" i="38" s="1"/>
  <c r="V204" i="38"/>
  <c r="W204" i="38"/>
  <c r="X204" i="38"/>
  <c r="D205" i="38"/>
  <c r="O205" i="38" s="1"/>
  <c r="L205" i="38"/>
  <c r="M205" i="38"/>
  <c r="N205" i="38"/>
  <c r="V205" i="38"/>
  <c r="W205" i="38"/>
  <c r="X205" i="38"/>
  <c r="Y205" i="38"/>
  <c r="Z205" i="38"/>
  <c r="AA205" i="38"/>
  <c r="AC205" i="38"/>
  <c r="AD205" i="38"/>
  <c r="D206" i="38"/>
  <c r="Q206" i="38"/>
  <c r="L206" i="38"/>
  <c r="M206" i="38"/>
  <c r="N206" i="38"/>
  <c r="O206" i="38"/>
  <c r="Z206" i="38" s="1"/>
  <c r="R206" i="38"/>
  <c r="S206" i="38"/>
  <c r="T206" i="38"/>
  <c r="V206" i="38"/>
  <c r="W206" i="38"/>
  <c r="X206" i="38"/>
  <c r="Y206" i="38"/>
  <c r="AA206" i="38"/>
  <c r="AB206" i="38"/>
  <c r="AC206" i="38"/>
  <c r="AD206" i="38"/>
  <c r="D207" i="38"/>
  <c r="O207" i="38" s="1"/>
  <c r="S207" i="38" s="1"/>
  <c r="L207" i="38"/>
  <c r="M207" i="38"/>
  <c r="N207" i="38"/>
  <c r="P207" i="38"/>
  <c r="Q207" i="38"/>
  <c r="R207" i="38"/>
  <c r="T207" i="38"/>
  <c r="V207" i="38"/>
  <c r="W207" i="38"/>
  <c r="X207" i="38"/>
  <c r="Y207" i="38"/>
  <c r="Z207" i="38"/>
  <c r="AA207" i="38"/>
  <c r="AB207" i="38"/>
  <c r="AC207" i="38"/>
  <c r="AD207" i="38"/>
  <c r="D208" i="38"/>
  <c r="L208" i="38"/>
  <c r="M208" i="38"/>
  <c r="N208" i="38"/>
  <c r="O208" i="38"/>
  <c r="P208" i="38" s="1"/>
  <c r="V208" i="38"/>
  <c r="W208" i="38"/>
  <c r="X208" i="38"/>
  <c r="Y208" i="38"/>
  <c r="D209" i="38"/>
  <c r="O209" i="38" s="1"/>
  <c r="L209" i="38"/>
  <c r="M209" i="38"/>
  <c r="N209" i="38"/>
  <c r="V209" i="38"/>
  <c r="W209" i="38"/>
  <c r="X209" i="38"/>
  <c r="D210" i="38"/>
  <c r="O210" i="38" s="1"/>
  <c r="L210" i="38"/>
  <c r="M210" i="38"/>
  <c r="N210" i="38"/>
  <c r="S210" i="38"/>
  <c r="T210" i="38"/>
  <c r="V210" i="38"/>
  <c r="W210" i="38"/>
  <c r="X210" i="38"/>
  <c r="Y210" i="38"/>
  <c r="Z210" i="38"/>
  <c r="AA210" i="38"/>
  <c r="AB210" i="38"/>
  <c r="AC210" i="38"/>
  <c r="AD210" i="38"/>
  <c r="D211" i="38"/>
  <c r="O211" i="38" s="1"/>
  <c r="AB211" i="38" s="1"/>
  <c r="L211" i="38"/>
  <c r="M211" i="38"/>
  <c r="N211" i="38"/>
  <c r="P211" i="38"/>
  <c r="Q211" i="38"/>
  <c r="R211" i="38"/>
  <c r="S211" i="38"/>
  <c r="T211" i="38"/>
  <c r="V211" i="38"/>
  <c r="W211" i="38"/>
  <c r="X211" i="38"/>
  <c r="Y211" i="38"/>
  <c r="Z211" i="38"/>
  <c r="AA211" i="38"/>
  <c r="AC211" i="38"/>
  <c r="AD211" i="38"/>
  <c r="D212" i="38"/>
  <c r="L212" i="38"/>
  <c r="M212" i="38"/>
  <c r="N212" i="38"/>
  <c r="O212" i="38"/>
  <c r="V212" i="38"/>
  <c r="W212" i="38"/>
  <c r="X212" i="38"/>
  <c r="Y212" i="38"/>
  <c r="D213" i="38"/>
  <c r="L213" i="38"/>
  <c r="M213" i="38"/>
  <c r="N213" i="38"/>
  <c r="V213" i="38"/>
  <c r="W213" i="38"/>
  <c r="X213" i="38"/>
  <c r="D214" i="38"/>
  <c r="L214" i="38"/>
  <c r="M214" i="38"/>
  <c r="N214" i="38"/>
  <c r="V214" i="38"/>
  <c r="W214" i="38"/>
  <c r="X214" i="38"/>
  <c r="D215" i="38"/>
  <c r="L215" i="38"/>
  <c r="M215" i="38"/>
  <c r="N215" i="38"/>
  <c r="O215" i="38"/>
  <c r="P215" i="38"/>
  <c r="Q215" i="38"/>
  <c r="R215" i="38"/>
  <c r="S215" i="38"/>
  <c r="T215" i="38"/>
  <c r="V215" i="38"/>
  <c r="W215" i="38"/>
  <c r="X215" i="38"/>
  <c r="Y215" i="38"/>
  <c r="D216" i="38"/>
  <c r="R216" i="38"/>
  <c r="L216" i="38"/>
  <c r="M216" i="38"/>
  <c r="N216" i="38"/>
  <c r="O216" i="38"/>
  <c r="P216" i="38"/>
  <c r="Q216" i="38"/>
  <c r="V216" i="38"/>
  <c r="W216" i="38"/>
  <c r="X216" i="38"/>
  <c r="Y216" i="38"/>
  <c r="AD216" i="38"/>
  <c r="D217" i="38"/>
  <c r="L217" i="38"/>
  <c r="M217" i="38"/>
  <c r="N217" i="38"/>
  <c r="V217" i="38"/>
  <c r="W217" i="38"/>
  <c r="X217" i="38"/>
  <c r="D218" i="38"/>
  <c r="L218" i="38"/>
  <c r="M218" i="38"/>
  <c r="N218" i="38"/>
  <c r="V218" i="38"/>
  <c r="W218" i="38"/>
  <c r="X218" i="38"/>
  <c r="D219" i="38"/>
  <c r="Y219" i="38" s="1"/>
  <c r="L219" i="38"/>
  <c r="M219" i="38"/>
  <c r="N219" i="38"/>
  <c r="O219" i="38"/>
  <c r="Q219" i="38" s="1"/>
  <c r="P219" i="38"/>
  <c r="T219" i="38"/>
  <c r="V219" i="38"/>
  <c r="W219" i="38"/>
  <c r="X219" i="38"/>
  <c r="D220" i="38"/>
  <c r="Y220" i="38" s="1"/>
  <c r="AA220" i="38"/>
  <c r="AC220" i="38"/>
  <c r="AD220" i="38"/>
  <c r="L220" i="38"/>
  <c r="M220" i="38"/>
  <c r="N220" i="38"/>
  <c r="O220" i="38"/>
  <c r="P220" i="38" s="1"/>
  <c r="V220" i="38"/>
  <c r="W220" i="38"/>
  <c r="X220" i="38"/>
  <c r="D221" i="38"/>
  <c r="O221" i="38" s="1"/>
  <c r="AA221" i="38"/>
  <c r="AC221" i="38"/>
  <c r="AD221" i="38"/>
  <c r="L221" i="38"/>
  <c r="M221" i="38"/>
  <c r="N221" i="38"/>
  <c r="V221" i="38"/>
  <c r="W221" i="38"/>
  <c r="X221" i="38"/>
  <c r="D222" i="38"/>
  <c r="L222" i="38"/>
  <c r="M222" i="38"/>
  <c r="N222" i="38"/>
  <c r="O222" i="38"/>
  <c r="P222" i="38" s="1"/>
  <c r="V222" i="38"/>
  <c r="W222" i="38"/>
  <c r="X222" i="38"/>
  <c r="Y222" i="38"/>
  <c r="Z222" i="38"/>
  <c r="D223" i="38"/>
  <c r="S223" i="38"/>
  <c r="L223" i="38"/>
  <c r="M223" i="38"/>
  <c r="N223" i="38"/>
  <c r="O223" i="38"/>
  <c r="P223" i="38" s="1"/>
  <c r="V223" i="38"/>
  <c r="W223" i="38"/>
  <c r="X223" i="38"/>
  <c r="Y223" i="38"/>
  <c r="AD223" i="38"/>
  <c r="D224" i="38"/>
  <c r="L224" i="38"/>
  <c r="M224" i="38"/>
  <c r="N224" i="38"/>
  <c r="V224" i="38"/>
  <c r="W224" i="38"/>
  <c r="X224" i="38"/>
  <c r="D225" i="38"/>
  <c r="L225" i="38"/>
  <c r="M225" i="38"/>
  <c r="N225" i="38"/>
  <c r="V225" i="38"/>
  <c r="W225" i="38"/>
  <c r="X225" i="38"/>
  <c r="D226" i="38"/>
  <c r="Y226" i="38" s="1"/>
  <c r="L226" i="38"/>
  <c r="M226" i="38"/>
  <c r="N226" i="38"/>
  <c r="O226" i="38"/>
  <c r="Q226" i="38" s="1"/>
  <c r="P226" i="38"/>
  <c r="R226" i="38"/>
  <c r="S226" i="38"/>
  <c r="T226" i="38"/>
  <c r="V226" i="38"/>
  <c r="W226" i="38"/>
  <c r="X226" i="38"/>
  <c r="D227" i="38"/>
  <c r="L227" i="38"/>
  <c r="M227" i="38"/>
  <c r="N227" i="38"/>
  <c r="V227" i="38"/>
  <c r="W227" i="38"/>
  <c r="X227" i="38"/>
  <c r="D228" i="38"/>
  <c r="O228" i="38" s="1"/>
  <c r="L228" i="38"/>
  <c r="M228" i="38"/>
  <c r="N228" i="38"/>
  <c r="V228" i="38"/>
  <c r="W228" i="38"/>
  <c r="X228" i="38"/>
  <c r="Y228" i="38"/>
  <c r="Z228" i="38"/>
  <c r="AC228" i="38"/>
  <c r="D229" i="38"/>
  <c r="L229" i="38"/>
  <c r="M229" i="38"/>
  <c r="N229" i="38"/>
  <c r="O229" i="38"/>
  <c r="Q229" i="38" s="1"/>
  <c r="P229" i="38"/>
  <c r="R229" i="38"/>
  <c r="S229" i="38"/>
  <c r="T229" i="38"/>
  <c r="V229" i="38"/>
  <c r="W229" i="38"/>
  <c r="X229" i="38"/>
  <c r="Y229" i="38"/>
  <c r="D230" i="38"/>
  <c r="Y230" i="38" s="1"/>
  <c r="L230" i="38"/>
  <c r="M230" i="38"/>
  <c r="N230" i="38"/>
  <c r="O230" i="38"/>
  <c r="Q230" i="38" s="1"/>
  <c r="P230" i="38"/>
  <c r="R230" i="38"/>
  <c r="V230" i="38"/>
  <c r="W230" i="38"/>
  <c r="X230" i="38"/>
  <c r="AB230" i="38"/>
  <c r="AC230" i="38"/>
  <c r="AD230" i="38"/>
  <c r="D231" i="38"/>
  <c r="O231" i="38" s="1"/>
  <c r="L231" i="38"/>
  <c r="M231" i="38"/>
  <c r="N231" i="38"/>
  <c r="V231" i="38"/>
  <c r="W231" i="38"/>
  <c r="X231" i="38"/>
  <c r="Y231" i="38"/>
  <c r="Z231" i="38"/>
  <c r="AB231" i="38"/>
  <c r="AC231" i="38"/>
  <c r="AD231" i="38"/>
  <c r="D232" i="38"/>
  <c r="L232" i="38"/>
  <c r="M232" i="38"/>
  <c r="N232" i="38"/>
  <c r="V232" i="38"/>
  <c r="W232" i="38"/>
  <c r="X232" i="38"/>
  <c r="D233" i="38"/>
  <c r="L233" i="38"/>
  <c r="M233" i="38"/>
  <c r="N233" i="38"/>
  <c r="O233" i="38"/>
  <c r="P233" i="38"/>
  <c r="Q233" i="38"/>
  <c r="R233" i="38"/>
  <c r="T233" i="38"/>
  <c r="V233" i="38"/>
  <c r="W233" i="38"/>
  <c r="X233" i="38"/>
  <c r="Y233" i="38"/>
  <c r="AD233" i="38"/>
  <c r="D234" i="38"/>
  <c r="O234" i="38" s="1"/>
  <c r="L234" i="38"/>
  <c r="M234" i="38"/>
  <c r="N234" i="38"/>
  <c r="V234" i="38"/>
  <c r="W234" i="38"/>
  <c r="X234" i="38"/>
  <c r="Y234" i="38"/>
  <c r="Z234" i="38"/>
  <c r="AA234" i="38"/>
  <c r="AB234" i="38"/>
  <c r="AC234" i="38"/>
  <c r="AD234" i="38"/>
  <c r="D235" i="38"/>
  <c r="O235" i="38" s="1"/>
  <c r="L235" i="38"/>
  <c r="M235" i="38"/>
  <c r="N235" i="38"/>
  <c r="Q235" i="38"/>
  <c r="R235" i="38"/>
  <c r="S235" i="38"/>
  <c r="V235" i="38"/>
  <c r="W235" i="38"/>
  <c r="X235" i="38"/>
  <c r="Y235" i="38"/>
  <c r="Z235" i="38"/>
  <c r="AA235" i="38"/>
  <c r="AB235" i="38"/>
  <c r="AC235" i="38"/>
  <c r="D236" i="38"/>
  <c r="L236" i="38"/>
  <c r="M236" i="38"/>
  <c r="N236" i="38"/>
  <c r="O236" i="38"/>
  <c r="Q236" i="38" s="1"/>
  <c r="S236" i="38"/>
  <c r="T236" i="38"/>
  <c r="V236" i="38"/>
  <c r="W236" i="38"/>
  <c r="X236" i="38"/>
  <c r="Y236" i="38"/>
  <c r="D237" i="38"/>
  <c r="Y237" i="38" s="1"/>
  <c r="L237" i="38"/>
  <c r="M237" i="38"/>
  <c r="N237" i="38"/>
  <c r="O237" i="38"/>
  <c r="V237" i="38"/>
  <c r="W237" i="38"/>
  <c r="X237" i="38"/>
  <c r="Z237" i="38"/>
  <c r="AA237" i="38"/>
  <c r="AB237" i="38"/>
  <c r="AC237" i="38"/>
  <c r="D238" i="38"/>
  <c r="O238" i="38" s="1"/>
  <c r="T238" i="38" s="1"/>
  <c r="L238" i="38"/>
  <c r="M238" i="38"/>
  <c r="N238" i="38"/>
  <c r="S238" i="38"/>
  <c r="V238" i="38"/>
  <c r="W238" i="38"/>
  <c r="X238" i="38"/>
  <c r="Y238" i="38"/>
  <c r="Z238" i="38"/>
  <c r="AA238" i="38"/>
  <c r="AB238" i="38"/>
  <c r="AD238" i="38"/>
  <c r="D239" i="38"/>
  <c r="L239" i="38"/>
  <c r="M239" i="38"/>
  <c r="N239" i="38"/>
  <c r="O239" i="38"/>
  <c r="P239" i="38"/>
  <c r="Q239" i="38"/>
  <c r="R239" i="38"/>
  <c r="S239" i="38"/>
  <c r="T239" i="38"/>
  <c r="V239" i="38"/>
  <c r="W239" i="38"/>
  <c r="X239" i="38"/>
  <c r="Y239" i="38"/>
  <c r="AC239" i="38"/>
  <c r="D240" i="38"/>
  <c r="Y240" i="38" s="1"/>
  <c r="L240" i="38"/>
  <c r="M240" i="38"/>
  <c r="N240" i="38"/>
  <c r="O240" i="38"/>
  <c r="P240" i="38" s="1"/>
  <c r="V240" i="38"/>
  <c r="W240" i="38"/>
  <c r="X240" i="38"/>
  <c r="D241" i="38"/>
  <c r="O241" i="38" s="1"/>
  <c r="AB241" i="38"/>
  <c r="AD241" i="38"/>
  <c r="L241" i="38"/>
  <c r="M241" i="38"/>
  <c r="N241" i="38"/>
  <c r="P241" i="38"/>
  <c r="V241" i="38"/>
  <c r="W241" i="38"/>
  <c r="X241" i="38"/>
  <c r="Y241" i="38"/>
  <c r="Z241" i="38"/>
  <c r="AA241" i="38"/>
  <c r="AC241" i="38"/>
  <c r="D242" i="38"/>
  <c r="L242" i="38"/>
  <c r="M242" i="38"/>
  <c r="N242" i="38"/>
  <c r="O242" i="38"/>
  <c r="P242" i="38" s="1"/>
  <c r="V242" i="38"/>
  <c r="W242" i="38"/>
  <c r="X242" i="38"/>
  <c r="Y242" i="38"/>
  <c r="D243" i="38"/>
  <c r="L243" i="38"/>
  <c r="M243" i="38"/>
  <c r="N243" i="38"/>
  <c r="O243" i="38"/>
  <c r="P243" i="38"/>
  <c r="Q243" i="38"/>
  <c r="V243" i="38"/>
  <c r="W243" i="38"/>
  <c r="X243" i="38"/>
  <c r="Y243" i="38"/>
  <c r="D244" i="38"/>
  <c r="L244" i="38"/>
  <c r="M244" i="38"/>
  <c r="N244" i="38"/>
  <c r="V244" i="38"/>
  <c r="W244" i="38"/>
  <c r="X244" i="38"/>
  <c r="D245" i="38"/>
  <c r="L245" i="38"/>
  <c r="M245" i="38"/>
  <c r="N245" i="38"/>
  <c r="V245" i="38"/>
  <c r="W245" i="38"/>
  <c r="X245" i="38"/>
  <c r="D246" i="38"/>
  <c r="L246" i="38"/>
  <c r="M246" i="38"/>
  <c r="N246" i="38"/>
  <c r="O246" i="38"/>
  <c r="P246" i="38" s="1"/>
  <c r="S246" i="38"/>
  <c r="V246" i="38"/>
  <c r="W246" i="38"/>
  <c r="X246" i="38"/>
  <c r="Y246" i="38"/>
  <c r="AA246" i="38"/>
  <c r="D247" i="38"/>
  <c r="O247" i="38" s="1"/>
  <c r="L247" i="38"/>
  <c r="M247" i="38"/>
  <c r="N247" i="38"/>
  <c r="V247" i="38"/>
  <c r="W247" i="38"/>
  <c r="X247" i="38"/>
  <c r="D248" i="38"/>
  <c r="L248" i="38"/>
  <c r="M248" i="38"/>
  <c r="N248" i="38"/>
  <c r="V248" i="38"/>
  <c r="W248" i="38"/>
  <c r="X248" i="38"/>
  <c r="D249" i="38"/>
  <c r="L249" i="38"/>
  <c r="M249" i="38"/>
  <c r="N249" i="38"/>
  <c r="O249" i="38"/>
  <c r="P249" i="38" s="1"/>
  <c r="V249" i="38"/>
  <c r="W249" i="38"/>
  <c r="X249" i="38"/>
  <c r="Y249" i="38"/>
  <c r="D250" i="38"/>
  <c r="Y250" i="38" s="1"/>
  <c r="L250" i="38"/>
  <c r="M250" i="38"/>
  <c r="N250" i="38"/>
  <c r="O250" i="38"/>
  <c r="Q250" i="38"/>
  <c r="R250" i="38"/>
  <c r="V250" i="38"/>
  <c r="W250" i="38"/>
  <c r="X250" i="38"/>
  <c r="D251" i="38"/>
  <c r="O251" i="38" s="1"/>
  <c r="Z251" i="38"/>
  <c r="AB251" i="38"/>
  <c r="L251" i="38"/>
  <c r="M251" i="38"/>
  <c r="N251" i="38"/>
  <c r="P251" i="38"/>
  <c r="T251" i="38"/>
  <c r="V251" i="38"/>
  <c r="W251" i="38"/>
  <c r="X251" i="38"/>
  <c r="Y251" i="38"/>
  <c r="AA251" i="38"/>
  <c r="AC251" i="38"/>
  <c r="D252" i="38"/>
  <c r="Y252" i="38" s="1"/>
  <c r="L252" i="38"/>
  <c r="M252" i="38"/>
  <c r="N252" i="38"/>
  <c r="O252" i="38"/>
  <c r="P252" i="38" s="1"/>
  <c r="V252" i="38"/>
  <c r="W252" i="38"/>
  <c r="X252" i="38"/>
  <c r="D253" i="38"/>
  <c r="L253" i="38"/>
  <c r="M253" i="38"/>
  <c r="N253" i="38"/>
  <c r="O253" i="38"/>
  <c r="V253" i="38"/>
  <c r="W253" i="38"/>
  <c r="X253" i="38"/>
  <c r="Y253" i="38"/>
  <c r="D254" i="38"/>
  <c r="O254" i="38" s="1"/>
  <c r="R254" i="38"/>
  <c r="AD254" i="38"/>
  <c r="L254" i="38"/>
  <c r="M254" i="38"/>
  <c r="N254" i="38"/>
  <c r="V254" i="38"/>
  <c r="W254" i="38"/>
  <c r="X254" i="38"/>
  <c r="Y254" i="38"/>
  <c r="AA254" i="38"/>
  <c r="AB254" i="38"/>
  <c r="AC254" i="38"/>
  <c r="D255" i="38"/>
  <c r="L255" i="38"/>
  <c r="M255" i="38"/>
  <c r="N255" i="38"/>
  <c r="V255" i="38"/>
  <c r="W255" i="38"/>
  <c r="X255" i="38"/>
  <c r="D256" i="38"/>
  <c r="L256" i="38"/>
  <c r="M256" i="38"/>
  <c r="N256" i="38"/>
  <c r="V256" i="38"/>
  <c r="W256" i="38"/>
  <c r="X256" i="38"/>
  <c r="D257" i="38"/>
  <c r="Y257" i="38" s="1"/>
  <c r="L257" i="38"/>
  <c r="M257" i="38"/>
  <c r="N257" i="38"/>
  <c r="O257" i="38"/>
  <c r="R257" i="38" s="1"/>
  <c r="Q257" i="38"/>
  <c r="S257" i="38"/>
  <c r="T257" i="38"/>
  <c r="V257" i="38"/>
  <c r="W257" i="38"/>
  <c r="X257" i="38"/>
  <c r="D258" i="38"/>
  <c r="O258" i="38" s="1"/>
  <c r="AD258" i="38" s="1"/>
  <c r="R258" i="38"/>
  <c r="L258" i="38"/>
  <c r="M258" i="38"/>
  <c r="N258" i="38"/>
  <c r="T258" i="38"/>
  <c r="V258" i="38"/>
  <c r="W258" i="38"/>
  <c r="X258" i="38"/>
  <c r="Y258" i="38"/>
  <c r="D259" i="38"/>
  <c r="Y259" i="38" s="1"/>
  <c r="L259" i="38"/>
  <c r="M259" i="38"/>
  <c r="N259" i="38"/>
  <c r="O259" i="38"/>
  <c r="V259" i="38"/>
  <c r="W259" i="38"/>
  <c r="X259" i="38"/>
  <c r="D260" i="38"/>
  <c r="AD260" i="38"/>
  <c r="L260" i="38"/>
  <c r="M260" i="38"/>
  <c r="N260" i="38"/>
  <c r="O260" i="38"/>
  <c r="P260" i="38" s="1"/>
  <c r="V260" i="38"/>
  <c r="W260" i="38"/>
  <c r="X260" i="38"/>
  <c r="Y260" i="38"/>
  <c r="AA260" i="38"/>
  <c r="AB260" i="38"/>
  <c r="AC260" i="38"/>
  <c r="D261" i="38"/>
  <c r="O261" i="38" s="1"/>
  <c r="L261" i="38"/>
  <c r="M261" i="38"/>
  <c r="N261" i="38"/>
  <c r="P261" i="38"/>
  <c r="T261" i="38"/>
  <c r="V261" i="38"/>
  <c r="W261" i="38"/>
  <c r="X261" i="38"/>
  <c r="Y261" i="38"/>
  <c r="Z261" i="38"/>
  <c r="AA261" i="38"/>
  <c r="AB261" i="38"/>
  <c r="AC261" i="38"/>
  <c r="AD261" i="38"/>
  <c r="D262" i="38"/>
  <c r="L262" i="38"/>
  <c r="M262" i="38"/>
  <c r="N262" i="38"/>
  <c r="O262" i="38"/>
  <c r="V262" i="38"/>
  <c r="W262" i="38"/>
  <c r="X262" i="38"/>
  <c r="Y262" i="38"/>
  <c r="D263" i="38"/>
  <c r="L263" i="38"/>
  <c r="M263" i="38"/>
  <c r="N263" i="38"/>
  <c r="O263" i="38"/>
  <c r="Q263" i="38"/>
  <c r="V263" i="38"/>
  <c r="W263" i="38"/>
  <c r="X263" i="38"/>
  <c r="Y263" i="38"/>
  <c r="D264" i="38"/>
  <c r="Y264" i="38" s="1"/>
  <c r="L264" i="38"/>
  <c r="M264" i="38"/>
  <c r="N264" i="38"/>
  <c r="O264" i="38"/>
  <c r="V264" i="38"/>
  <c r="W264" i="38"/>
  <c r="X264" i="38"/>
  <c r="AB264" i="38"/>
  <c r="AC264" i="38"/>
  <c r="D265" i="38"/>
  <c r="O265" i="38" s="1"/>
  <c r="L265" i="38"/>
  <c r="M265" i="38"/>
  <c r="N265" i="38"/>
  <c r="V265" i="38"/>
  <c r="W265" i="38"/>
  <c r="X265" i="38"/>
  <c r="Y265" i="38"/>
  <c r="AA265" i="38"/>
  <c r="AB265" i="38"/>
  <c r="AC265" i="38"/>
  <c r="AD265" i="38"/>
  <c r="D266" i="38"/>
  <c r="L266" i="38"/>
  <c r="M266" i="38"/>
  <c r="N266" i="38"/>
  <c r="V266" i="38"/>
  <c r="W266" i="38"/>
  <c r="X266" i="38"/>
  <c r="D267" i="38"/>
  <c r="Y267" i="38" s="1"/>
  <c r="L267" i="38"/>
  <c r="M267" i="38"/>
  <c r="N267" i="38"/>
  <c r="V267" i="38"/>
  <c r="W267" i="38"/>
  <c r="X267" i="38"/>
  <c r="D268" i="38"/>
  <c r="L268" i="38"/>
  <c r="M268" i="38"/>
  <c r="N268" i="38"/>
  <c r="O268" i="38"/>
  <c r="R268" i="38" s="1"/>
  <c r="V268" i="38"/>
  <c r="W268" i="38"/>
  <c r="X268" i="38"/>
  <c r="Y268" i="38"/>
  <c r="D269" i="38"/>
  <c r="Q269" i="38"/>
  <c r="AB269" i="38"/>
  <c r="AC269" i="38"/>
  <c r="L269" i="38"/>
  <c r="M269" i="38"/>
  <c r="N269" i="38"/>
  <c r="O269" i="38"/>
  <c r="R269" i="38" s="1"/>
  <c r="V269" i="38"/>
  <c r="W269" i="38"/>
  <c r="X269" i="38"/>
  <c r="Y269" i="38"/>
  <c r="AD269" i="38"/>
  <c r="D270" i="38"/>
  <c r="AA270" i="38"/>
  <c r="AB270" i="38"/>
  <c r="L270" i="38"/>
  <c r="M270" i="38"/>
  <c r="N270" i="38"/>
  <c r="O270" i="38"/>
  <c r="S270" i="38"/>
  <c r="T270" i="38"/>
  <c r="V270" i="38"/>
  <c r="W270" i="38"/>
  <c r="X270" i="38"/>
  <c r="Y270" i="38"/>
  <c r="AC270" i="38"/>
  <c r="AD270" i="38"/>
  <c r="D271" i="38"/>
  <c r="L271" i="38"/>
  <c r="M271" i="38"/>
  <c r="N271" i="38"/>
  <c r="O271" i="38"/>
  <c r="Q271" i="38" s="1"/>
  <c r="V271" i="38"/>
  <c r="W271" i="38"/>
  <c r="X271" i="38"/>
  <c r="Y271" i="38"/>
  <c r="D272" i="38"/>
  <c r="Y272" i="38" s="1"/>
  <c r="L272" i="38"/>
  <c r="M272" i="38"/>
  <c r="N272" i="38"/>
  <c r="O272" i="38"/>
  <c r="P272" i="38" s="1"/>
  <c r="V272" i="38"/>
  <c r="W272" i="38"/>
  <c r="X272" i="38"/>
  <c r="D273" i="38"/>
  <c r="O273" i="38" s="1"/>
  <c r="AD273" i="38"/>
  <c r="L273" i="38"/>
  <c r="M273" i="38"/>
  <c r="N273" i="38"/>
  <c r="V273" i="38"/>
  <c r="W273" i="38"/>
  <c r="X273" i="38"/>
  <c r="Y273" i="38"/>
  <c r="D274" i="38"/>
  <c r="O274" i="38" s="1"/>
  <c r="L274" i="38"/>
  <c r="M274" i="38"/>
  <c r="N274" i="38"/>
  <c r="S274" i="38"/>
  <c r="V274" i="38"/>
  <c r="W274" i="38"/>
  <c r="X274" i="38"/>
  <c r="Y274" i="38"/>
  <c r="Z274" i="38"/>
  <c r="AA274" i="38"/>
  <c r="AB274" i="38"/>
  <c r="AD274" i="38"/>
  <c r="D275" i="38"/>
  <c r="O275" i="38" s="1"/>
  <c r="R275" i="38" s="1"/>
  <c r="L275" i="38"/>
  <c r="M275" i="38"/>
  <c r="N275" i="38"/>
  <c r="P275" i="38"/>
  <c r="Q275" i="38"/>
  <c r="S275" i="38"/>
  <c r="T275" i="38"/>
  <c r="V275" i="38"/>
  <c r="W275" i="38"/>
  <c r="X275" i="38"/>
  <c r="Y275" i="38"/>
  <c r="Z275" i="38"/>
  <c r="AA275" i="38"/>
  <c r="AB275" i="38"/>
  <c r="AC275" i="38"/>
  <c r="AD275" i="38"/>
  <c r="D276" i="38"/>
  <c r="Y276" i="38" s="1"/>
  <c r="L276" i="38"/>
  <c r="M276" i="38"/>
  <c r="N276" i="38"/>
  <c r="O276" i="38"/>
  <c r="Q276" i="38"/>
  <c r="V276" i="38"/>
  <c r="W276" i="38"/>
  <c r="X276" i="38"/>
  <c r="D277" i="38"/>
  <c r="Y277" i="38" s="1"/>
  <c r="L277" i="38"/>
  <c r="M277" i="38"/>
  <c r="N277" i="38"/>
  <c r="O277" i="38"/>
  <c r="V277" i="38"/>
  <c r="W277" i="38"/>
  <c r="X277" i="38"/>
  <c r="D278" i="38"/>
  <c r="L278" i="38"/>
  <c r="M278" i="38"/>
  <c r="N278" i="38"/>
  <c r="V278" i="38"/>
  <c r="W278" i="38"/>
  <c r="X278" i="38"/>
  <c r="D279" i="38"/>
  <c r="O279" i="38" s="1"/>
  <c r="L279" i="38"/>
  <c r="M279" i="38"/>
  <c r="N279" i="38"/>
  <c r="P279" i="38"/>
  <c r="Q279" i="38"/>
  <c r="R279" i="38"/>
  <c r="T279" i="38"/>
  <c r="V279" i="38"/>
  <c r="W279" i="38"/>
  <c r="X279" i="38"/>
  <c r="Y279" i="38"/>
  <c r="Z279" i="38"/>
  <c r="AA279" i="38"/>
  <c r="D280" i="38"/>
  <c r="L280" i="38"/>
  <c r="M280" i="38"/>
  <c r="N280" i="38"/>
  <c r="O280" i="38"/>
  <c r="P280" i="38" s="1"/>
  <c r="S280" i="38"/>
  <c r="V280" i="38"/>
  <c r="W280" i="38"/>
  <c r="X280" i="38"/>
  <c r="Y280" i="38"/>
  <c r="AA280" i="38"/>
  <c r="D281" i="38"/>
  <c r="L281" i="38"/>
  <c r="M281" i="38"/>
  <c r="N281" i="38"/>
  <c r="O281" i="38"/>
  <c r="P281" i="38" s="1"/>
  <c r="V281" i="38"/>
  <c r="W281" i="38"/>
  <c r="X281" i="38"/>
  <c r="Y281" i="38"/>
  <c r="AC281" i="38"/>
  <c r="AD281" i="38"/>
  <c r="D282" i="38"/>
  <c r="T282" i="38"/>
  <c r="L282" i="38"/>
  <c r="M282" i="38"/>
  <c r="N282" i="38"/>
  <c r="O282" i="38"/>
  <c r="Q282" i="38" s="1"/>
  <c r="P282" i="38"/>
  <c r="V282" i="38"/>
  <c r="W282" i="38"/>
  <c r="X282" i="38"/>
  <c r="Y282" i="38"/>
  <c r="AA282" i="38"/>
  <c r="AB282" i="38"/>
  <c r="AC282" i="38"/>
  <c r="AD282" i="38"/>
  <c r="D283" i="38"/>
  <c r="O283" i="38" s="1"/>
  <c r="L283" i="38"/>
  <c r="M283" i="38"/>
  <c r="N283" i="38"/>
  <c r="P283" i="38"/>
  <c r="Q283" i="38"/>
  <c r="R283" i="38"/>
  <c r="T283" i="38"/>
  <c r="V283" i="38"/>
  <c r="W283" i="38"/>
  <c r="X283" i="38"/>
  <c r="Y283" i="38"/>
  <c r="Z283" i="38"/>
  <c r="AC283" i="38"/>
  <c r="D284" i="38"/>
  <c r="O284" i="38" s="1"/>
  <c r="L284" i="38"/>
  <c r="M284" i="38"/>
  <c r="N284" i="38"/>
  <c r="V284" i="38"/>
  <c r="W284" i="38"/>
  <c r="X284" i="38"/>
  <c r="D285" i="38"/>
  <c r="O285" i="38" s="1"/>
  <c r="T285" i="38" s="1"/>
  <c r="R285" i="38"/>
  <c r="L285" i="38"/>
  <c r="M285" i="38"/>
  <c r="N285" i="38"/>
  <c r="P285" i="38"/>
  <c r="V285" i="38"/>
  <c r="W285" i="38"/>
  <c r="X285" i="38"/>
  <c r="AA285" i="38"/>
  <c r="AC285" i="38"/>
  <c r="AD285" i="38"/>
  <c r="D286" i="38"/>
  <c r="T286" i="38"/>
  <c r="L286" i="38"/>
  <c r="M286" i="38"/>
  <c r="N286" i="38"/>
  <c r="O286" i="38"/>
  <c r="V286" i="38"/>
  <c r="W286" i="38"/>
  <c r="X286" i="38"/>
  <c r="Y286" i="38"/>
  <c r="AA286" i="38"/>
  <c r="AB286" i="38"/>
  <c r="D287" i="38"/>
  <c r="O287" i="38" s="1"/>
  <c r="L287" i="38"/>
  <c r="M287" i="38"/>
  <c r="N287" i="38"/>
  <c r="V287" i="38"/>
  <c r="W287" i="38"/>
  <c r="X287" i="38"/>
  <c r="Y287" i="38"/>
  <c r="Z287" i="38"/>
  <c r="AA287" i="38"/>
  <c r="AB287" i="38"/>
  <c r="AC287" i="38"/>
  <c r="D288" i="38"/>
  <c r="O288" i="38" s="1"/>
  <c r="L288" i="38"/>
  <c r="M288" i="38"/>
  <c r="N288" i="38"/>
  <c r="V288" i="38"/>
  <c r="W288" i="38"/>
  <c r="X288" i="38"/>
  <c r="Y288" i="38"/>
  <c r="D289" i="38"/>
  <c r="Y289" i="38" s="1"/>
  <c r="L289" i="38"/>
  <c r="M289" i="38"/>
  <c r="N289" i="38"/>
  <c r="O289" i="38"/>
  <c r="P289" i="38" s="1"/>
  <c r="V289" i="38"/>
  <c r="W289" i="38"/>
  <c r="X289" i="38"/>
  <c r="AB289" i="38"/>
  <c r="AD289" i="38"/>
  <c r="D290" i="38"/>
  <c r="P290" i="38"/>
  <c r="T290" i="38"/>
  <c r="L290" i="38"/>
  <c r="M290" i="38"/>
  <c r="N290" i="38"/>
  <c r="O290" i="38"/>
  <c r="Z290" i="38" s="1"/>
  <c r="Q290" i="38"/>
  <c r="V290" i="38"/>
  <c r="W290" i="38"/>
  <c r="X290" i="38"/>
  <c r="Y290" i="38"/>
  <c r="AA290" i="38"/>
  <c r="AB290" i="38"/>
  <c r="AD290" i="38"/>
  <c r="D291" i="38"/>
  <c r="L291" i="38"/>
  <c r="M291" i="38"/>
  <c r="N291" i="38"/>
  <c r="V291" i="38"/>
  <c r="W291" i="38"/>
  <c r="X291" i="38"/>
  <c r="D292" i="38"/>
  <c r="L292" i="38"/>
  <c r="M292" i="38"/>
  <c r="N292" i="38"/>
  <c r="V292" i="38"/>
  <c r="W292" i="38"/>
  <c r="X292" i="38"/>
  <c r="D293" i="38"/>
  <c r="Y293" i="38" s="1"/>
  <c r="L293" i="38"/>
  <c r="M293" i="38"/>
  <c r="N293" i="38"/>
  <c r="O293" i="38"/>
  <c r="P293" i="38" s="1"/>
  <c r="V293" i="38"/>
  <c r="W293" i="38"/>
  <c r="X293" i="38"/>
  <c r="AD293" i="38"/>
  <c r="D294" i="38"/>
  <c r="L294" i="38"/>
  <c r="M294" i="38"/>
  <c r="N294" i="38"/>
  <c r="V294" i="38"/>
  <c r="W294" i="38"/>
  <c r="X294" i="38"/>
  <c r="D295" i="38"/>
  <c r="L295" i="38"/>
  <c r="M295" i="38"/>
  <c r="N295" i="38"/>
  <c r="V295" i="38"/>
  <c r="W295" i="38"/>
  <c r="X295" i="38"/>
  <c r="D296" i="38"/>
  <c r="L296" i="38"/>
  <c r="M296" i="38"/>
  <c r="N296" i="38"/>
  <c r="V296" i="38"/>
  <c r="W296" i="38"/>
  <c r="X296" i="38"/>
  <c r="D297" i="38"/>
  <c r="Y297" i="38" s="1"/>
  <c r="L297" i="38"/>
  <c r="M297" i="38"/>
  <c r="N297" i="38"/>
  <c r="O297" i="38"/>
  <c r="P297" i="38" s="1"/>
  <c r="V297" i="38"/>
  <c r="W297" i="38"/>
  <c r="X297" i="38"/>
  <c r="D298" i="38"/>
  <c r="Y298" i="38" s="1"/>
  <c r="L298" i="38"/>
  <c r="M298" i="38"/>
  <c r="N298" i="38"/>
  <c r="O298" i="38"/>
  <c r="V298" i="38"/>
  <c r="W298" i="38"/>
  <c r="X298" i="38"/>
  <c r="D299" i="38"/>
  <c r="O299" i="38" s="1"/>
  <c r="L299" i="38"/>
  <c r="M299" i="38"/>
  <c r="N299" i="38"/>
  <c r="P299" i="38"/>
  <c r="T299" i="38"/>
  <c r="V299" i="38"/>
  <c r="W299" i="38"/>
  <c r="X299" i="38"/>
  <c r="Y299" i="38"/>
  <c r="AA299" i="38"/>
  <c r="AB299" i="38"/>
  <c r="AC299" i="38"/>
  <c r="AD299" i="38"/>
  <c r="D300" i="38"/>
  <c r="L300" i="38"/>
  <c r="M300" i="38"/>
  <c r="N300" i="38"/>
  <c r="O300" i="38"/>
  <c r="Q300" i="38"/>
  <c r="V300" i="38"/>
  <c r="W300" i="38"/>
  <c r="X300" i="38"/>
  <c r="Y300" i="38"/>
  <c r="D301" i="38"/>
  <c r="O301" i="38" s="1"/>
  <c r="L301" i="38"/>
  <c r="M301" i="38"/>
  <c r="N301" i="38"/>
  <c r="P301" i="38"/>
  <c r="Q301" i="38"/>
  <c r="T301" i="38"/>
  <c r="V301" i="38"/>
  <c r="W301" i="38"/>
  <c r="X301" i="38"/>
  <c r="Y301" i="38"/>
  <c r="AA301" i="38"/>
  <c r="AC301" i="38"/>
  <c r="D302" i="38"/>
  <c r="Y302" i="38" s="1"/>
  <c r="T302" i="38"/>
  <c r="L302" i="38"/>
  <c r="M302" i="38"/>
  <c r="N302" i="38"/>
  <c r="O302" i="38"/>
  <c r="P302" i="38" s="1"/>
  <c r="R302" i="38"/>
  <c r="V302" i="38"/>
  <c r="W302" i="38"/>
  <c r="X302" i="38"/>
  <c r="D303" i="38"/>
  <c r="T303" i="38"/>
  <c r="L303" i="38"/>
  <c r="M303" i="38"/>
  <c r="N303" i="38"/>
  <c r="O303" i="38"/>
  <c r="Q303" i="38" s="1"/>
  <c r="P303" i="38"/>
  <c r="V303" i="38"/>
  <c r="W303" i="38"/>
  <c r="X303" i="38"/>
  <c r="Y303" i="38"/>
  <c r="AC303" i="38"/>
  <c r="AD303" i="38"/>
  <c r="D304" i="38"/>
  <c r="O304" i="38" s="1"/>
  <c r="R304" i="38"/>
  <c r="L304" i="38"/>
  <c r="M304" i="38"/>
  <c r="N304" i="38"/>
  <c r="P304" i="38"/>
  <c r="S304" i="38"/>
  <c r="V304" i="38"/>
  <c r="W304" i="38"/>
  <c r="X304" i="38"/>
  <c r="Y304" i="38"/>
  <c r="AC304" i="38"/>
  <c r="AD304" i="38"/>
  <c r="D305" i="38"/>
  <c r="O305" i="38" s="1"/>
  <c r="L305" i="38"/>
  <c r="M305" i="38"/>
  <c r="N305" i="38"/>
  <c r="P305" i="38"/>
  <c r="R305" i="38"/>
  <c r="S305" i="38"/>
  <c r="T305" i="38"/>
  <c r="V305" i="38"/>
  <c r="W305" i="38"/>
  <c r="X305" i="38"/>
  <c r="Y305" i="38"/>
  <c r="AA305" i="38"/>
  <c r="AB305" i="38"/>
  <c r="AC305" i="38"/>
  <c r="D306" i="38"/>
  <c r="Y306" i="38" s="1"/>
  <c r="L306" i="38"/>
  <c r="M306" i="38"/>
  <c r="N306" i="38"/>
  <c r="O306" i="38"/>
  <c r="V306" i="38"/>
  <c r="W306" i="38"/>
  <c r="X306" i="38"/>
  <c r="D307" i="38"/>
  <c r="L307" i="38"/>
  <c r="M307" i="38"/>
  <c r="N307" i="38"/>
  <c r="O307" i="38"/>
  <c r="P307" i="38"/>
  <c r="V307" i="38"/>
  <c r="W307" i="38"/>
  <c r="X307" i="38"/>
  <c r="Y307" i="38"/>
  <c r="D308" i="38"/>
  <c r="L308" i="38"/>
  <c r="M308" i="38"/>
  <c r="N308" i="38"/>
  <c r="V308" i="38"/>
  <c r="W308" i="38"/>
  <c r="X308" i="38"/>
  <c r="D309" i="38"/>
  <c r="O309" i="38" s="1"/>
  <c r="L309" i="38"/>
  <c r="M309" i="38"/>
  <c r="N309" i="38"/>
  <c r="V309" i="38"/>
  <c r="W309" i="38"/>
  <c r="X309" i="38"/>
  <c r="Y309" i="38"/>
  <c r="Z309" i="38"/>
  <c r="AA309" i="38"/>
  <c r="AB309" i="38"/>
  <c r="AC309" i="38"/>
  <c r="AD309" i="38"/>
  <c r="D310" i="38"/>
  <c r="L310" i="38"/>
  <c r="M310" i="38"/>
  <c r="N310" i="38"/>
  <c r="O310" i="38"/>
  <c r="Z310" i="38" s="1"/>
  <c r="S310" i="38"/>
  <c r="T310" i="38"/>
  <c r="V310" i="38"/>
  <c r="W310" i="38"/>
  <c r="X310" i="38"/>
  <c r="Y310" i="38"/>
  <c r="AA310" i="38"/>
  <c r="AB310" i="38"/>
  <c r="AC310" i="38"/>
  <c r="AD310" i="38"/>
  <c r="D311" i="38"/>
  <c r="L311" i="38"/>
  <c r="M311" i="38"/>
  <c r="N311" i="38"/>
  <c r="O311" i="38"/>
  <c r="P311" i="38"/>
  <c r="Q311" i="38"/>
  <c r="T311" i="38"/>
  <c r="V311" i="38"/>
  <c r="W311" i="38"/>
  <c r="X311" i="38"/>
  <c r="Y311" i="38"/>
  <c r="Z311" i="38"/>
  <c r="AB311" i="38"/>
  <c r="D312" i="38"/>
  <c r="Y312" i="38" s="1"/>
  <c r="L312" i="38"/>
  <c r="M312" i="38"/>
  <c r="N312" i="38"/>
  <c r="O312" i="38"/>
  <c r="P312" i="38" s="1"/>
  <c r="Q312" i="38"/>
  <c r="R312" i="38"/>
  <c r="S312" i="38"/>
  <c r="V312" i="38"/>
  <c r="W312" i="38"/>
  <c r="X312" i="38"/>
  <c r="D313" i="38"/>
  <c r="Y313" i="38" s="1"/>
  <c r="S313" i="38"/>
  <c r="L313" i="38"/>
  <c r="M313" i="38"/>
  <c r="N313" i="38"/>
  <c r="O313" i="38"/>
  <c r="P313" i="38"/>
  <c r="Q313" i="38"/>
  <c r="V313" i="38"/>
  <c r="W313" i="38"/>
  <c r="X313" i="38"/>
  <c r="D314" i="38"/>
  <c r="L314" i="38"/>
  <c r="M314" i="38"/>
  <c r="N314" i="38"/>
  <c r="V314" i="38"/>
  <c r="W314" i="38"/>
  <c r="X314" i="38"/>
  <c r="D315" i="38"/>
  <c r="O315" i="38" s="1"/>
  <c r="Q315" i="38"/>
  <c r="R315" i="38"/>
  <c r="T315" i="38"/>
  <c r="L315" i="38"/>
  <c r="M315" i="38"/>
  <c r="N315" i="38"/>
  <c r="S315" i="38"/>
  <c r="V315" i="38"/>
  <c r="W315" i="38"/>
  <c r="X315" i="38"/>
  <c r="Y315" i="38"/>
  <c r="Z315" i="38"/>
  <c r="AA315" i="38"/>
  <c r="AB315" i="38"/>
  <c r="AC315" i="38"/>
  <c r="AD315" i="38"/>
  <c r="D316" i="38"/>
  <c r="L316" i="38"/>
  <c r="M316" i="38"/>
  <c r="N316" i="38"/>
  <c r="V316" i="38"/>
  <c r="W316" i="38"/>
  <c r="X316" i="38"/>
  <c r="D317" i="38"/>
  <c r="L317" i="38"/>
  <c r="M317" i="38"/>
  <c r="N317" i="38"/>
  <c r="O317" i="38"/>
  <c r="V317" i="38"/>
  <c r="W317" i="38"/>
  <c r="X317" i="38"/>
  <c r="Y317" i="38"/>
  <c r="Z317" i="38"/>
  <c r="D318" i="38"/>
  <c r="L318" i="38"/>
  <c r="M318" i="38"/>
  <c r="N318" i="38"/>
  <c r="O318" i="38"/>
  <c r="V318" i="38"/>
  <c r="W318" i="38"/>
  <c r="X318" i="38"/>
  <c r="Y318" i="38"/>
  <c r="D319" i="38"/>
  <c r="L319" i="38"/>
  <c r="M319" i="38"/>
  <c r="N319" i="38"/>
  <c r="O319" i="38"/>
  <c r="P319" i="38" s="1"/>
  <c r="V319" i="38"/>
  <c r="W319" i="38"/>
  <c r="X319" i="38"/>
  <c r="Y319" i="38"/>
  <c r="D320" i="38"/>
  <c r="L320" i="38"/>
  <c r="M320" i="38"/>
  <c r="N320" i="38"/>
  <c r="O320" i="38"/>
  <c r="P320" i="38" s="1"/>
  <c r="V320" i="38"/>
  <c r="W320" i="38"/>
  <c r="X320" i="38"/>
  <c r="Y320" i="38"/>
  <c r="AA320" i="38"/>
  <c r="AC320" i="38"/>
  <c r="AD320" i="38"/>
  <c r="D321" i="38"/>
  <c r="O321" i="38" s="1"/>
  <c r="L321" i="38"/>
  <c r="M321" i="38"/>
  <c r="N321" i="38"/>
  <c r="V321" i="38"/>
  <c r="W321" i="38"/>
  <c r="X321" i="38"/>
  <c r="Y321" i="38"/>
  <c r="Z321" i="38"/>
  <c r="AA321" i="38"/>
  <c r="AB321" i="38"/>
  <c r="AC321" i="38"/>
  <c r="AD321" i="38"/>
  <c r="D322" i="38"/>
  <c r="O322" i="38" s="1"/>
  <c r="L322" i="38"/>
  <c r="M322" i="38"/>
  <c r="N322" i="38"/>
  <c r="P322" i="38"/>
  <c r="R322" i="38"/>
  <c r="S322" i="38"/>
  <c r="T322" i="38"/>
  <c r="V322" i="38"/>
  <c r="W322" i="38"/>
  <c r="X322" i="38"/>
  <c r="Y322" i="38"/>
  <c r="Z322" i="38"/>
  <c r="AA322" i="38"/>
  <c r="D323" i="38"/>
  <c r="L323" i="38"/>
  <c r="M323" i="38"/>
  <c r="N323" i="38"/>
  <c r="O323" i="38"/>
  <c r="P323" i="38" s="1"/>
  <c r="R323" i="38"/>
  <c r="S323" i="38"/>
  <c r="V323" i="38"/>
  <c r="W323" i="38"/>
  <c r="X323" i="38"/>
  <c r="Y323" i="38"/>
  <c r="D324" i="38"/>
  <c r="Y324" i="38" s="1"/>
  <c r="L324" i="38"/>
  <c r="M324" i="38"/>
  <c r="N324" i="38"/>
  <c r="O324" i="38"/>
  <c r="R324" i="38" s="1"/>
  <c r="P324" i="38"/>
  <c r="Q324" i="38"/>
  <c r="S324" i="38"/>
  <c r="V324" i="38"/>
  <c r="W324" i="38"/>
  <c r="X324" i="38"/>
  <c r="D325" i="38"/>
  <c r="O325" i="38" s="1"/>
  <c r="R325" i="38"/>
  <c r="T325" i="38"/>
  <c r="L325" i="38"/>
  <c r="M325" i="38"/>
  <c r="N325" i="38"/>
  <c r="P325" i="38"/>
  <c r="Q325" i="38"/>
  <c r="V325" i="38"/>
  <c r="W325" i="38"/>
  <c r="X325" i="38"/>
  <c r="Y325" i="38"/>
  <c r="Z325" i="38"/>
  <c r="AB325" i="38"/>
  <c r="AC325" i="38"/>
  <c r="AD325" i="38"/>
  <c r="D326" i="38"/>
  <c r="O326" i="38" s="1"/>
  <c r="L326" i="38"/>
  <c r="M326" i="38"/>
  <c r="N326" i="38"/>
  <c r="V326" i="38"/>
  <c r="W326" i="38"/>
  <c r="X326" i="38"/>
  <c r="Y326" i="38"/>
  <c r="Z326" i="38"/>
  <c r="AA326" i="38"/>
  <c r="AB326" i="38"/>
  <c r="D327" i="38"/>
  <c r="O327" i="38" s="1"/>
  <c r="L327" i="38"/>
  <c r="M327" i="38"/>
  <c r="N327" i="38"/>
  <c r="T327" i="38"/>
  <c r="V327" i="38"/>
  <c r="W327" i="38"/>
  <c r="X327" i="38"/>
  <c r="Y327" i="38"/>
  <c r="Z327" i="38"/>
  <c r="AA327" i="38"/>
  <c r="AB327" i="38"/>
  <c r="AC327" i="38"/>
  <c r="D328" i="38"/>
  <c r="L328" i="38"/>
  <c r="M328" i="38"/>
  <c r="N328" i="38"/>
  <c r="O328" i="38"/>
  <c r="R328" i="38"/>
  <c r="S328" i="38"/>
  <c r="T328" i="38"/>
  <c r="V328" i="38"/>
  <c r="W328" i="38"/>
  <c r="X328" i="38"/>
  <c r="Y328" i="38"/>
  <c r="AA328" i="38"/>
  <c r="AB328" i="38"/>
  <c r="D329" i="38"/>
  <c r="Y329" i="38" s="1"/>
  <c r="L329" i="38"/>
  <c r="M329" i="38"/>
  <c r="N329" i="38"/>
  <c r="O329" i="38"/>
  <c r="P329" i="38" s="1"/>
  <c r="Q329" i="38"/>
  <c r="R329" i="38"/>
  <c r="S329" i="38"/>
  <c r="V329" i="38"/>
  <c r="W329" i="38"/>
  <c r="X329" i="38"/>
  <c r="Z329" i="38"/>
  <c r="D330" i="38"/>
  <c r="S330" i="38"/>
  <c r="L330" i="38"/>
  <c r="M330" i="38"/>
  <c r="N330" i="38"/>
  <c r="O330" i="38"/>
  <c r="Z330" i="38" s="1"/>
  <c r="P330" i="38"/>
  <c r="Q330" i="38"/>
  <c r="R330" i="38"/>
  <c r="T330" i="38"/>
  <c r="V330" i="38"/>
  <c r="W330" i="38"/>
  <c r="X330" i="38"/>
  <c r="Y330" i="38"/>
  <c r="AA330" i="38"/>
  <c r="AB330" i="38"/>
  <c r="AC330" i="38"/>
  <c r="AD330" i="38"/>
  <c r="D331" i="38"/>
  <c r="L331" i="38"/>
  <c r="M331" i="38"/>
  <c r="N331" i="38"/>
  <c r="O331" i="38"/>
  <c r="V331" i="38"/>
  <c r="W331" i="38"/>
  <c r="X331" i="38"/>
  <c r="Y331" i="38"/>
  <c r="D332" i="38"/>
  <c r="O332" i="38" s="1"/>
  <c r="L332" i="38"/>
  <c r="M332" i="38"/>
  <c r="N332" i="38"/>
  <c r="V332" i="38"/>
  <c r="W332" i="38"/>
  <c r="X332" i="38"/>
  <c r="Y332" i="38"/>
  <c r="Z332" i="38"/>
  <c r="AB332" i="38"/>
  <c r="AC332" i="38"/>
  <c r="AD332" i="38"/>
  <c r="D333" i="38"/>
  <c r="L333" i="38"/>
  <c r="M333" i="38"/>
  <c r="N333" i="38"/>
  <c r="V333" i="38"/>
  <c r="W333" i="38"/>
  <c r="X333" i="38"/>
  <c r="D334" i="38"/>
  <c r="L334" i="38"/>
  <c r="M334" i="38"/>
  <c r="N334" i="38"/>
  <c r="V334" i="38"/>
  <c r="W334" i="38"/>
  <c r="X334" i="38"/>
  <c r="D335" i="38"/>
  <c r="O335" i="38" s="1"/>
  <c r="L335" i="38"/>
  <c r="M335" i="38"/>
  <c r="N335" i="38"/>
  <c r="Q335" i="38"/>
  <c r="R335" i="38"/>
  <c r="S335" i="38"/>
  <c r="T335" i="38"/>
  <c r="V335" i="38"/>
  <c r="W335" i="38"/>
  <c r="X335" i="38"/>
  <c r="Y335" i="38"/>
  <c r="Z335" i="38"/>
  <c r="AA335" i="38"/>
  <c r="AB335" i="38"/>
  <c r="AC335" i="38"/>
  <c r="AD335" i="38"/>
  <c r="D336" i="38"/>
  <c r="Y336" i="38" s="1"/>
  <c r="L336" i="38"/>
  <c r="M336" i="38"/>
  <c r="N336" i="38"/>
  <c r="O336" i="38"/>
  <c r="P336" i="38"/>
  <c r="Q336" i="38"/>
  <c r="R336" i="38"/>
  <c r="S336" i="38"/>
  <c r="V336" i="38"/>
  <c r="W336" i="38"/>
  <c r="X336" i="38"/>
  <c r="D337" i="38"/>
  <c r="L337" i="38"/>
  <c r="M337" i="38"/>
  <c r="N337" i="38"/>
  <c r="O337" i="38"/>
  <c r="V337" i="38"/>
  <c r="W337" i="38"/>
  <c r="X337" i="38"/>
  <c r="Y337" i="38"/>
  <c r="AA337" i="38"/>
  <c r="AB337" i="38"/>
  <c r="AC337" i="38"/>
  <c r="AD337" i="38"/>
  <c r="D338" i="38"/>
  <c r="L338" i="38"/>
  <c r="M338" i="38"/>
  <c r="N338" i="38"/>
  <c r="V338" i="38"/>
  <c r="W338" i="38"/>
  <c r="X338" i="38"/>
  <c r="D339" i="38"/>
  <c r="L339" i="38"/>
  <c r="M339" i="38"/>
  <c r="N339" i="38"/>
  <c r="V339" i="38"/>
  <c r="W339" i="38"/>
  <c r="X339" i="38"/>
  <c r="D340" i="38"/>
  <c r="L340" i="38"/>
  <c r="M340" i="38"/>
  <c r="N340" i="38"/>
  <c r="O340" i="38"/>
  <c r="Q340" i="38" s="1"/>
  <c r="P340" i="38"/>
  <c r="T340" i="38"/>
  <c r="V340" i="38"/>
  <c r="W340" i="38"/>
  <c r="X340" i="38"/>
  <c r="Y340" i="38"/>
  <c r="AB340" i="38"/>
  <c r="D341" i="38"/>
  <c r="Y341" i="38" s="1"/>
  <c r="L341" i="38"/>
  <c r="M341" i="38"/>
  <c r="N341" i="38"/>
  <c r="O341" i="38"/>
  <c r="P341" i="38" s="1"/>
  <c r="V341" i="38"/>
  <c r="W341" i="38"/>
  <c r="X341" i="38"/>
  <c r="D342" i="38"/>
  <c r="O342" i="38" s="1"/>
  <c r="Q342" i="38"/>
  <c r="R342" i="38"/>
  <c r="T342" i="38"/>
  <c r="L342" i="38"/>
  <c r="M342" i="38"/>
  <c r="N342" i="38"/>
  <c r="V342" i="38"/>
  <c r="W342" i="38"/>
  <c r="X342" i="38"/>
  <c r="Y342" i="38"/>
  <c r="Z342" i="38"/>
  <c r="AB342" i="38"/>
  <c r="AC342" i="38"/>
  <c r="AD342" i="38"/>
  <c r="D343" i="38"/>
  <c r="L343" i="38"/>
  <c r="M343" i="38"/>
  <c r="N343" i="38"/>
  <c r="V343" i="38"/>
  <c r="W343" i="38"/>
  <c r="X343" i="38"/>
  <c r="D344" i="38"/>
  <c r="L344" i="38"/>
  <c r="M344" i="38"/>
  <c r="N344" i="38"/>
  <c r="V344" i="38"/>
  <c r="W344" i="38"/>
  <c r="X344" i="38"/>
  <c r="D345" i="38"/>
  <c r="O345" i="38" s="1"/>
  <c r="S345" i="38" s="1"/>
  <c r="L345" i="38"/>
  <c r="M345" i="38"/>
  <c r="N345" i="38"/>
  <c r="Q345" i="38"/>
  <c r="R345" i="38"/>
  <c r="T345" i="38"/>
  <c r="V345" i="38"/>
  <c r="W345" i="38"/>
  <c r="X345" i="38"/>
  <c r="Y345" i="38"/>
  <c r="Z345" i="38"/>
  <c r="AA345" i="38"/>
  <c r="AB345" i="38"/>
  <c r="AC345" i="38"/>
  <c r="D346" i="38"/>
  <c r="Y346" i="38" s="1"/>
  <c r="L346" i="38"/>
  <c r="M346" i="38"/>
  <c r="N346" i="38"/>
  <c r="O346" i="38"/>
  <c r="R346" i="38" s="1"/>
  <c r="V346" i="38"/>
  <c r="W346" i="38"/>
  <c r="X346" i="38"/>
  <c r="AB346" i="38"/>
  <c r="D347" i="38"/>
  <c r="Y347" i="38" s="1"/>
  <c r="L347" i="38"/>
  <c r="M347" i="38"/>
  <c r="N347" i="38"/>
  <c r="O347" i="38"/>
  <c r="V347" i="38"/>
  <c r="W347" i="38"/>
  <c r="X347" i="38"/>
  <c r="AA347" i="38"/>
  <c r="AD347" i="38"/>
  <c r="D348" i="38"/>
  <c r="L348" i="38"/>
  <c r="M348" i="38"/>
  <c r="N348" i="38"/>
  <c r="V348" i="38"/>
  <c r="W348" i="38"/>
  <c r="X348" i="38"/>
  <c r="D349" i="38"/>
  <c r="L349" i="38"/>
  <c r="M349" i="38"/>
  <c r="N349" i="38"/>
  <c r="V349" i="38"/>
  <c r="W349" i="38"/>
  <c r="X349" i="38"/>
  <c r="D350" i="38"/>
  <c r="L350" i="38"/>
  <c r="M350" i="38"/>
  <c r="N350" i="38"/>
  <c r="O350" i="38"/>
  <c r="Q350" i="38" s="1"/>
  <c r="V350" i="38"/>
  <c r="W350" i="38"/>
  <c r="X350" i="38"/>
  <c r="Y350" i="38"/>
  <c r="AB350" i="38"/>
  <c r="D351" i="38"/>
  <c r="L351" i="38"/>
  <c r="M351" i="38"/>
  <c r="N351" i="38"/>
  <c r="V351" i="38"/>
  <c r="W351" i="38"/>
  <c r="X351" i="38"/>
  <c r="D352" i="38"/>
  <c r="Y352" i="38" s="1"/>
  <c r="L352" i="38"/>
  <c r="M352" i="38"/>
  <c r="N352" i="38"/>
  <c r="O352" i="38"/>
  <c r="P352" i="38"/>
  <c r="V352" i="38"/>
  <c r="W352" i="38"/>
  <c r="X352" i="38"/>
  <c r="AD352" i="38"/>
  <c r="D353" i="38"/>
  <c r="L353" i="38"/>
  <c r="M353" i="38"/>
  <c r="N353" i="38"/>
  <c r="V353" i="38"/>
  <c r="W353" i="38"/>
  <c r="X353" i="38"/>
  <c r="D354" i="38"/>
  <c r="L354" i="38"/>
  <c r="M354" i="38"/>
  <c r="N354" i="38"/>
  <c r="V354" i="38"/>
  <c r="W354" i="38"/>
  <c r="X354" i="38"/>
  <c r="D355" i="38"/>
  <c r="O355" i="38" s="1"/>
  <c r="T355" i="38"/>
  <c r="L355" i="38"/>
  <c r="M355" i="38"/>
  <c r="N355" i="38"/>
  <c r="Q355" i="38"/>
  <c r="R355" i="38"/>
  <c r="S355" i="38"/>
  <c r="V355" i="38"/>
  <c r="W355" i="38"/>
  <c r="X355" i="38"/>
  <c r="Y355" i="38"/>
  <c r="Z355" i="38"/>
  <c r="AA355" i="38"/>
  <c r="AB355" i="38"/>
  <c r="AC355" i="38"/>
  <c r="AD355" i="38"/>
  <c r="D356" i="38"/>
  <c r="Y356" i="38" s="1"/>
  <c r="Q356" i="38"/>
  <c r="L356" i="38"/>
  <c r="M356" i="38"/>
  <c r="N356" i="38"/>
  <c r="O356" i="38"/>
  <c r="R356" i="38"/>
  <c r="S356" i="38"/>
  <c r="V356" i="38"/>
  <c r="W356" i="38"/>
  <c r="X356" i="38"/>
  <c r="AC356" i="38"/>
  <c r="D357" i="38"/>
  <c r="O357" i="38" s="1"/>
  <c r="R357" i="38"/>
  <c r="T357" i="38"/>
  <c r="L357" i="38"/>
  <c r="M357" i="38"/>
  <c r="N357" i="38"/>
  <c r="P357" i="38"/>
  <c r="V357" i="38"/>
  <c r="W357" i="38"/>
  <c r="X357" i="38"/>
  <c r="Y357" i="38"/>
  <c r="Z357" i="38"/>
  <c r="AA357" i="38"/>
  <c r="AB357" i="38"/>
  <c r="AC357" i="38"/>
  <c r="AD357" i="38"/>
  <c r="D358" i="38"/>
  <c r="L358" i="38"/>
  <c r="M358" i="38"/>
  <c r="N358" i="38"/>
  <c r="O358" i="38"/>
  <c r="T358" i="38" s="1"/>
  <c r="V358" i="38"/>
  <c r="W358" i="38"/>
  <c r="X358" i="38"/>
  <c r="Y358" i="38"/>
  <c r="Z358" i="38"/>
  <c r="AB358" i="38"/>
  <c r="AC358" i="38"/>
  <c r="D359" i="38"/>
  <c r="O359" i="38" s="1"/>
  <c r="L359" i="38"/>
  <c r="M359" i="38"/>
  <c r="N359" i="38"/>
  <c r="P359" i="38"/>
  <c r="Q359" i="38"/>
  <c r="T359" i="38"/>
  <c r="V359" i="38"/>
  <c r="W359" i="38"/>
  <c r="X359" i="38"/>
  <c r="Y359" i="38"/>
  <c r="AA359" i="38"/>
  <c r="AB359" i="38"/>
  <c r="AC359" i="38"/>
  <c r="D360" i="38"/>
  <c r="L360" i="38"/>
  <c r="M360" i="38"/>
  <c r="N360" i="38"/>
  <c r="O360" i="38"/>
  <c r="Q360" i="38"/>
  <c r="R360" i="38"/>
  <c r="T360" i="38"/>
  <c r="V360" i="38"/>
  <c r="W360" i="38"/>
  <c r="X360" i="38"/>
  <c r="Y360" i="38"/>
  <c r="AA360" i="38"/>
  <c r="AB360" i="38"/>
  <c r="AC360" i="38"/>
  <c r="AD360" i="38"/>
  <c r="D361" i="38"/>
  <c r="L361" i="38"/>
  <c r="M361" i="38"/>
  <c r="N361" i="38"/>
  <c r="O361" i="38"/>
  <c r="P361" i="38" s="1"/>
  <c r="V361" i="38"/>
  <c r="W361" i="38"/>
  <c r="X361" i="38"/>
  <c r="Y361" i="38"/>
  <c r="AC361" i="38"/>
  <c r="D362" i="38"/>
  <c r="L362" i="38"/>
  <c r="M362" i="38"/>
  <c r="N362" i="38"/>
  <c r="O362" i="38"/>
  <c r="Q362" i="38" s="1"/>
  <c r="P362" i="38"/>
  <c r="V362" i="38"/>
  <c r="W362" i="38"/>
  <c r="X362" i="38"/>
  <c r="Y362" i="38"/>
  <c r="D363" i="38"/>
  <c r="L363" i="38"/>
  <c r="M363" i="38"/>
  <c r="N363" i="38"/>
  <c r="O363" i="38"/>
  <c r="Q363" i="38"/>
  <c r="V363" i="38"/>
  <c r="W363" i="38"/>
  <c r="X363" i="38"/>
  <c r="Y363" i="38"/>
  <c r="D364" i="38"/>
  <c r="L364" i="38"/>
  <c r="M364" i="38"/>
  <c r="N364" i="38"/>
  <c r="O364" i="38"/>
  <c r="V364" i="38"/>
  <c r="W364" i="38"/>
  <c r="X364" i="38"/>
  <c r="Y364" i="38"/>
  <c r="D365" i="38"/>
  <c r="O365" i="38" s="1"/>
  <c r="L365" i="38"/>
  <c r="M365" i="38"/>
  <c r="N365" i="38"/>
  <c r="R365" i="38"/>
  <c r="V365" i="38"/>
  <c r="W365" i="38"/>
  <c r="X365" i="38"/>
  <c r="Y365" i="38"/>
  <c r="AA365" i="38"/>
  <c r="AB365" i="38"/>
  <c r="AD365" i="38"/>
  <c r="D366" i="38"/>
  <c r="T366" i="38"/>
  <c r="L366" i="38"/>
  <c r="M366" i="38"/>
  <c r="N366" i="38"/>
  <c r="O366" i="38"/>
  <c r="P366" i="38" s="1"/>
  <c r="V366" i="38"/>
  <c r="W366" i="38"/>
  <c r="X366" i="38"/>
  <c r="Y366" i="38"/>
  <c r="AA366" i="38"/>
  <c r="AB366" i="38"/>
  <c r="D367" i="38"/>
  <c r="L367" i="38"/>
  <c r="M367" i="38"/>
  <c r="N367" i="38"/>
  <c r="V367" i="38"/>
  <c r="W367" i="38"/>
  <c r="X367" i="38"/>
  <c r="D368" i="38"/>
  <c r="L368" i="38"/>
  <c r="M368" i="38"/>
  <c r="N368" i="38"/>
  <c r="O368" i="38"/>
  <c r="S368" i="38"/>
  <c r="V368" i="38"/>
  <c r="W368" i="38"/>
  <c r="X368" i="38"/>
  <c r="Y368" i="38"/>
  <c r="D369" i="38"/>
  <c r="L369" i="38"/>
  <c r="M369" i="38"/>
  <c r="N369" i="38"/>
  <c r="O369" i="38"/>
  <c r="S369" i="38" s="1"/>
  <c r="V369" i="38"/>
  <c r="W369" i="38"/>
  <c r="X369" i="38"/>
  <c r="Y369" i="38"/>
  <c r="D370" i="38"/>
  <c r="L370" i="38"/>
  <c r="M370" i="38"/>
  <c r="N370" i="38"/>
  <c r="O370" i="38"/>
  <c r="P370" i="38" s="1"/>
  <c r="V370" i="38"/>
  <c r="W370" i="38"/>
  <c r="X370" i="38"/>
  <c r="Y370" i="38"/>
  <c r="D371" i="38"/>
  <c r="L371" i="38"/>
  <c r="M371" i="38"/>
  <c r="N371" i="38"/>
  <c r="V371" i="38"/>
  <c r="W371" i="38"/>
  <c r="X371" i="38"/>
  <c r="D372" i="38"/>
  <c r="O372" i="38" s="1"/>
  <c r="AC372" i="38" s="1"/>
  <c r="L372" i="38"/>
  <c r="M372" i="38"/>
  <c r="N372" i="38"/>
  <c r="Q372" i="38"/>
  <c r="R372" i="38"/>
  <c r="V372" i="38"/>
  <c r="W372" i="38"/>
  <c r="X372" i="38"/>
  <c r="Y372" i="38"/>
  <c r="AA372" i="38"/>
  <c r="AB372" i="38"/>
  <c r="D373" i="38"/>
  <c r="L373" i="38"/>
  <c r="M373" i="38"/>
  <c r="N373" i="38"/>
  <c r="O373" i="38"/>
  <c r="P373" i="38" s="1"/>
  <c r="T373" i="38"/>
  <c r="V373" i="38"/>
  <c r="W373" i="38"/>
  <c r="X373" i="38"/>
  <c r="Y373" i="38"/>
  <c r="AA373" i="38"/>
  <c r="AC373" i="38"/>
  <c r="AD373" i="38"/>
  <c r="D374" i="38"/>
  <c r="P374" i="38"/>
  <c r="S374" i="38"/>
  <c r="L374" i="38"/>
  <c r="M374" i="38"/>
  <c r="N374" i="38"/>
  <c r="O374" i="38"/>
  <c r="R374" i="38"/>
  <c r="V374" i="38"/>
  <c r="W374" i="38"/>
  <c r="X374" i="38"/>
  <c r="Y374" i="38"/>
  <c r="AB374" i="38"/>
  <c r="AC374" i="38"/>
  <c r="AD374" i="38"/>
  <c r="D375" i="38"/>
  <c r="O375" i="38" s="1"/>
  <c r="R375" i="38"/>
  <c r="L375" i="38"/>
  <c r="M375" i="38"/>
  <c r="N375" i="38"/>
  <c r="V375" i="38"/>
  <c r="W375" i="38"/>
  <c r="X375" i="38"/>
  <c r="Y375" i="38"/>
  <c r="Z375" i="38"/>
  <c r="AA375" i="38"/>
  <c r="AB375" i="38"/>
  <c r="AC375" i="38"/>
  <c r="AD375" i="38"/>
  <c r="D376" i="38"/>
  <c r="L376" i="38"/>
  <c r="M376" i="38"/>
  <c r="N376" i="38"/>
  <c r="O376" i="38"/>
  <c r="Z376" i="38" s="1"/>
  <c r="P376" i="38"/>
  <c r="Q376" i="38"/>
  <c r="R376" i="38"/>
  <c r="S376" i="38"/>
  <c r="T376" i="38"/>
  <c r="V376" i="38"/>
  <c r="W376" i="38"/>
  <c r="X376" i="38"/>
  <c r="Y376" i="38"/>
  <c r="AA376" i="38"/>
  <c r="AB376" i="38"/>
  <c r="AC376" i="38"/>
  <c r="AD376" i="38"/>
  <c r="D377" i="38"/>
  <c r="L377" i="38"/>
  <c r="M377" i="38"/>
  <c r="N377" i="38"/>
  <c r="O377" i="38"/>
  <c r="P377" i="38" s="1"/>
  <c r="Q377" i="38"/>
  <c r="R377" i="38"/>
  <c r="T377" i="38"/>
  <c r="V377" i="38"/>
  <c r="W377" i="38"/>
  <c r="X377" i="38"/>
  <c r="Y377" i="38"/>
  <c r="D378" i="38"/>
  <c r="Y378" i="38" s="1"/>
  <c r="L378" i="38"/>
  <c r="M378" i="38"/>
  <c r="N378" i="38"/>
  <c r="O378" i="38"/>
  <c r="Q378" i="38" s="1"/>
  <c r="P378" i="38"/>
  <c r="T378" i="38"/>
  <c r="V378" i="38"/>
  <c r="W378" i="38"/>
  <c r="X378" i="38"/>
  <c r="D379" i="38"/>
  <c r="L379" i="38"/>
  <c r="M379" i="38"/>
  <c r="N379" i="38"/>
  <c r="V379" i="38"/>
  <c r="W379" i="38"/>
  <c r="X379" i="38"/>
  <c r="D380" i="38"/>
  <c r="Y380" i="38" s="1"/>
  <c r="L380" i="38"/>
  <c r="M380" i="38"/>
  <c r="N380" i="38"/>
  <c r="O380" i="38"/>
  <c r="Q380" i="38"/>
  <c r="V380" i="38"/>
  <c r="W380" i="38"/>
  <c r="X380" i="38"/>
  <c r="D381" i="38"/>
  <c r="L381" i="38"/>
  <c r="M381" i="38"/>
  <c r="N381" i="38"/>
  <c r="V381" i="38"/>
  <c r="W381" i="38"/>
  <c r="X381" i="38"/>
  <c r="D382" i="38"/>
  <c r="O382" i="38" s="1"/>
  <c r="Z382" i="38" s="1"/>
  <c r="L382" i="38"/>
  <c r="M382" i="38"/>
  <c r="N382" i="38"/>
  <c r="R382" i="38"/>
  <c r="T382" i="38"/>
  <c r="V382" i="38"/>
  <c r="W382" i="38"/>
  <c r="X382" i="38"/>
  <c r="Y382" i="38"/>
  <c r="D383" i="38"/>
  <c r="L383" i="38"/>
  <c r="M383" i="38"/>
  <c r="N383" i="38"/>
  <c r="O383" i="38"/>
  <c r="P383" i="38" s="1"/>
  <c r="V383" i="38"/>
  <c r="W383" i="38"/>
  <c r="X383" i="38"/>
  <c r="Y383" i="38"/>
  <c r="D384" i="38"/>
  <c r="L384" i="38"/>
  <c r="M384" i="38"/>
  <c r="N384" i="38"/>
  <c r="O384" i="38"/>
  <c r="P384" i="38"/>
  <c r="R384" i="38"/>
  <c r="S384" i="38"/>
  <c r="T384" i="38"/>
  <c r="V384" i="38"/>
  <c r="W384" i="38"/>
  <c r="X384" i="38"/>
  <c r="Y384" i="38"/>
  <c r="D385" i="38"/>
  <c r="Y385" i="38" s="1"/>
  <c r="L385" i="38"/>
  <c r="M385" i="38"/>
  <c r="N385" i="38"/>
  <c r="O385" i="38"/>
  <c r="P385" i="38"/>
  <c r="R385" i="38"/>
  <c r="S385" i="38"/>
  <c r="T385" i="38"/>
  <c r="V385" i="38"/>
  <c r="W385" i="38"/>
  <c r="X385" i="38"/>
  <c r="D386" i="38"/>
  <c r="L386" i="38"/>
  <c r="M386" i="38"/>
  <c r="N386" i="38"/>
  <c r="O386" i="38"/>
  <c r="P386" i="38"/>
  <c r="V386" i="38"/>
  <c r="W386" i="38"/>
  <c r="X386" i="38"/>
  <c r="Y386" i="38"/>
  <c r="AA386" i="38"/>
  <c r="AB386" i="38"/>
  <c r="D387" i="38"/>
  <c r="O387" i="38" s="1"/>
  <c r="AA387" i="38" s="1"/>
  <c r="L387" i="38"/>
  <c r="M387" i="38"/>
  <c r="N387" i="38"/>
  <c r="Q387" i="38"/>
  <c r="T387" i="38"/>
  <c r="V387" i="38"/>
  <c r="W387" i="38"/>
  <c r="X387" i="38"/>
  <c r="Y387" i="38"/>
  <c r="Z387" i="38"/>
  <c r="AC387" i="38"/>
  <c r="AD387" i="38"/>
  <c r="D388" i="38"/>
  <c r="Y388" i="38" s="1"/>
  <c r="L388" i="38"/>
  <c r="M388" i="38"/>
  <c r="N388" i="38"/>
  <c r="O388" i="38"/>
  <c r="P388" i="38"/>
  <c r="Q388" i="38"/>
  <c r="R388" i="38"/>
  <c r="S388" i="38"/>
  <c r="T388" i="38"/>
  <c r="V388" i="38"/>
  <c r="W388" i="38"/>
  <c r="X388" i="38"/>
  <c r="D389" i="38"/>
  <c r="L389" i="38"/>
  <c r="M389" i="38"/>
  <c r="N389" i="38"/>
  <c r="O389" i="38"/>
  <c r="P389" i="38" s="1"/>
  <c r="V389" i="38"/>
  <c r="W389" i="38"/>
  <c r="X389" i="38"/>
  <c r="Y389" i="38"/>
  <c r="AD389" i="38"/>
  <c r="D390" i="38"/>
  <c r="L390" i="38"/>
  <c r="M390" i="38"/>
  <c r="N390" i="38"/>
  <c r="V390" i="38"/>
  <c r="W390" i="38"/>
  <c r="X390" i="38"/>
  <c r="D391" i="38"/>
  <c r="L391" i="38"/>
  <c r="M391" i="38"/>
  <c r="N391" i="38"/>
  <c r="V391" i="38"/>
  <c r="W391" i="38"/>
  <c r="X391" i="38"/>
  <c r="D392" i="38"/>
  <c r="O392" i="38" s="1"/>
  <c r="L392" i="38"/>
  <c r="M392" i="38"/>
  <c r="N392" i="38"/>
  <c r="R392" i="38"/>
  <c r="T392" i="38"/>
  <c r="V392" i="38"/>
  <c r="W392" i="38"/>
  <c r="X392" i="38"/>
  <c r="Z392" i="38"/>
  <c r="AA392" i="38"/>
  <c r="D393" i="38"/>
  <c r="Y393" i="38" s="1"/>
  <c r="L393" i="38"/>
  <c r="M393" i="38"/>
  <c r="N393" i="38"/>
  <c r="O393" i="38"/>
  <c r="P393" i="38"/>
  <c r="Q393" i="38"/>
  <c r="R393" i="38"/>
  <c r="S393" i="38"/>
  <c r="T393" i="38"/>
  <c r="V393" i="38"/>
  <c r="W393" i="38"/>
  <c r="X393" i="38"/>
  <c r="Z393" i="38"/>
  <c r="D394" i="38"/>
  <c r="Y394" i="38" s="1"/>
  <c r="L394" i="38"/>
  <c r="M394" i="38"/>
  <c r="N394" i="38"/>
  <c r="O394" i="38"/>
  <c r="P394" i="38" s="1"/>
  <c r="V394" i="38"/>
  <c r="W394" i="38"/>
  <c r="X394" i="38"/>
  <c r="D395" i="38"/>
  <c r="L395" i="38"/>
  <c r="M395" i="38"/>
  <c r="N395" i="38"/>
  <c r="O395" i="38"/>
  <c r="P395" i="38"/>
  <c r="V395" i="38"/>
  <c r="W395" i="38"/>
  <c r="X395" i="38"/>
  <c r="Y395" i="38"/>
  <c r="D396" i="38"/>
  <c r="L396" i="38"/>
  <c r="M396" i="38"/>
  <c r="N396" i="38"/>
  <c r="O396" i="38"/>
  <c r="R396" i="38" s="1"/>
  <c r="Q396" i="38"/>
  <c r="T396" i="38"/>
  <c r="V396" i="38"/>
  <c r="W396" i="38"/>
  <c r="X396" i="38"/>
  <c r="Y396" i="38"/>
  <c r="D397" i="38"/>
  <c r="Y397" i="38" s="1"/>
  <c r="L397" i="38"/>
  <c r="M397" i="38"/>
  <c r="N397" i="38"/>
  <c r="O397" i="38"/>
  <c r="Q397" i="38"/>
  <c r="R397" i="38"/>
  <c r="V397" i="38"/>
  <c r="W397" i="38"/>
  <c r="X397" i="38"/>
  <c r="D398" i="38"/>
  <c r="L398" i="38"/>
  <c r="M398" i="38"/>
  <c r="N398" i="38"/>
  <c r="O398" i="38"/>
  <c r="P398" i="38"/>
  <c r="V398" i="38"/>
  <c r="W398" i="38"/>
  <c r="X398" i="38"/>
  <c r="Y398" i="38"/>
  <c r="AD398" i="38"/>
  <c r="D399" i="38"/>
  <c r="L399" i="38"/>
  <c r="M399" i="38"/>
  <c r="N399" i="38"/>
  <c r="V399" i="38"/>
  <c r="W399" i="38"/>
  <c r="X399" i="38"/>
  <c r="D400" i="38"/>
  <c r="L400" i="38"/>
  <c r="M400" i="38"/>
  <c r="N400" i="38"/>
  <c r="V400" i="38"/>
  <c r="W400" i="38"/>
  <c r="X400" i="38"/>
  <c r="D401" i="38"/>
  <c r="L401" i="38"/>
  <c r="M401" i="38"/>
  <c r="N401" i="38"/>
  <c r="V401" i="38"/>
  <c r="W401" i="38"/>
  <c r="X401" i="38"/>
  <c r="D402" i="38"/>
  <c r="Y402" i="38" s="1"/>
  <c r="L402" i="38"/>
  <c r="M402" i="38"/>
  <c r="N402" i="38"/>
  <c r="O402" i="38"/>
  <c r="S402" i="38" s="1"/>
  <c r="P402" i="38"/>
  <c r="Q402" i="38"/>
  <c r="R402" i="38"/>
  <c r="T402" i="38"/>
  <c r="V402" i="38"/>
  <c r="W402" i="38"/>
  <c r="X402" i="38"/>
  <c r="AA402" i="38"/>
  <c r="D403" i="38"/>
  <c r="Y403" i="38" s="1"/>
  <c r="L403" i="38"/>
  <c r="M403" i="38"/>
  <c r="N403" i="38"/>
  <c r="O403" i="38"/>
  <c r="Q403" i="38"/>
  <c r="T403" i="38"/>
  <c r="V403" i="38"/>
  <c r="W403" i="38"/>
  <c r="X403" i="38"/>
  <c r="D404" i="38"/>
  <c r="L404" i="38"/>
  <c r="M404" i="38"/>
  <c r="N404" i="38"/>
  <c r="O404" i="38"/>
  <c r="P404" i="38"/>
  <c r="V404" i="38"/>
  <c r="W404" i="38"/>
  <c r="X404" i="38"/>
  <c r="Y404" i="38"/>
  <c r="D405" i="38"/>
  <c r="S405" i="38"/>
  <c r="T405" i="38"/>
  <c r="L405" i="38"/>
  <c r="M405" i="38"/>
  <c r="N405" i="38"/>
  <c r="O405" i="38"/>
  <c r="Q405" i="38"/>
  <c r="R405" i="38"/>
  <c r="V405" i="38"/>
  <c r="W405" i="38"/>
  <c r="X405" i="38"/>
  <c r="Y405" i="38"/>
  <c r="Z405" i="38"/>
  <c r="AB405" i="38"/>
  <c r="D406" i="38"/>
  <c r="O406" i="38" s="1"/>
  <c r="L406" i="38"/>
  <c r="M406" i="38"/>
  <c r="N406" i="38"/>
  <c r="V406" i="38"/>
  <c r="W406" i="38"/>
  <c r="X406" i="38"/>
  <c r="AA406" i="38"/>
  <c r="AB406" i="38"/>
  <c r="D407" i="38"/>
  <c r="L407" i="38"/>
  <c r="M407" i="38"/>
  <c r="N407" i="38"/>
  <c r="V407" i="38"/>
  <c r="W407" i="38"/>
  <c r="X407" i="38"/>
  <c r="D408" i="38"/>
  <c r="O408" i="38" s="1"/>
  <c r="L408" i="38"/>
  <c r="M408" i="38"/>
  <c r="N408" i="38"/>
  <c r="P408" i="38"/>
  <c r="Q408" i="38"/>
  <c r="S408" i="38"/>
  <c r="T408" i="38"/>
  <c r="V408" i="38"/>
  <c r="W408" i="38"/>
  <c r="X408" i="38"/>
  <c r="Y408" i="38"/>
  <c r="Z408" i="38"/>
  <c r="AA408" i="38"/>
  <c r="D409" i="38"/>
  <c r="L409" i="38"/>
  <c r="M409" i="38"/>
  <c r="N409" i="38"/>
  <c r="O409" i="38"/>
  <c r="P409" i="38" s="1"/>
  <c r="V409" i="38"/>
  <c r="W409" i="38"/>
  <c r="X409" i="38"/>
  <c r="Y409" i="38"/>
  <c r="D410" i="38"/>
  <c r="Y410" i="38" s="1"/>
  <c r="L410" i="38"/>
  <c r="M410" i="38"/>
  <c r="N410" i="38"/>
  <c r="O410" i="38"/>
  <c r="P410" i="38"/>
  <c r="Q410" i="38"/>
  <c r="V410" i="38"/>
  <c r="W410" i="38"/>
  <c r="X410" i="38"/>
  <c r="D411" i="38"/>
  <c r="L411" i="38"/>
  <c r="M411" i="38"/>
  <c r="N411" i="38"/>
  <c r="V411" i="38"/>
  <c r="W411" i="38"/>
  <c r="X411" i="38"/>
  <c r="D412" i="38"/>
  <c r="O412" i="38" s="1"/>
  <c r="AD412" i="38" s="1"/>
  <c r="L412" i="38"/>
  <c r="M412" i="38"/>
  <c r="N412" i="38"/>
  <c r="T412" i="38"/>
  <c r="V412" i="38"/>
  <c r="W412" i="38"/>
  <c r="X412" i="38"/>
  <c r="Y412" i="38"/>
  <c r="Z412" i="38"/>
  <c r="AA412" i="38"/>
  <c r="AB412" i="38"/>
  <c r="AC412" i="38"/>
  <c r="D413" i="38"/>
  <c r="L413" i="38"/>
  <c r="M413" i="38"/>
  <c r="N413" i="38"/>
  <c r="O413" i="38"/>
  <c r="AD413" i="38" s="1"/>
  <c r="P413" i="38"/>
  <c r="Q413" i="38"/>
  <c r="R413" i="38"/>
  <c r="S413" i="38"/>
  <c r="T413" i="38"/>
  <c r="V413" i="38"/>
  <c r="W413" i="38"/>
  <c r="X413" i="38"/>
  <c r="Y413" i="38"/>
  <c r="AB413" i="38"/>
  <c r="D414" i="38"/>
  <c r="Y414" i="38" s="1"/>
  <c r="L414" i="38"/>
  <c r="M414" i="38"/>
  <c r="N414" i="38"/>
  <c r="O414" i="38"/>
  <c r="P414" i="38"/>
  <c r="V414" i="38"/>
  <c r="W414" i="38"/>
  <c r="X414" i="38"/>
  <c r="D415" i="38"/>
  <c r="L415" i="38"/>
  <c r="M415" i="38"/>
  <c r="N415" i="38"/>
  <c r="V415" i="38"/>
  <c r="W415" i="38"/>
  <c r="X415" i="38"/>
  <c r="D416" i="38"/>
  <c r="O416" i="38" s="1"/>
  <c r="AB416" i="38" s="1"/>
  <c r="L416" i="38"/>
  <c r="M416" i="38"/>
  <c r="N416" i="38"/>
  <c r="V416" i="38"/>
  <c r="W416" i="38"/>
  <c r="X416" i="38"/>
  <c r="Y416" i="38"/>
  <c r="Z416" i="38"/>
  <c r="AA416" i="38"/>
  <c r="D417" i="38"/>
  <c r="Y417" i="38" s="1"/>
  <c r="L417" i="38"/>
  <c r="M417" i="38"/>
  <c r="N417" i="38"/>
  <c r="O417" i="38"/>
  <c r="P417" i="38" s="1"/>
  <c r="Q417" i="38"/>
  <c r="R417" i="38"/>
  <c r="T417" i="38"/>
  <c r="V417" i="38"/>
  <c r="W417" i="38"/>
  <c r="X417" i="38"/>
  <c r="AB417" i="38"/>
  <c r="AC417" i="38"/>
  <c r="AD417" i="38"/>
  <c r="D418" i="38"/>
  <c r="O418" i="38" s="1"/>
  <c r="L418" i="38"/>
  <c r="M418" i="38"/>
  <c r="N418" i="38"/>
  <c r="S418" i="38"/>
  <c r="V418" i="38"/>
  <c r="W418" i="38"/>
  <c r="X418" i="38"/>
  <c r="Y418" i="38"/>
  <c r="Z418" i="38"/>
  <c r="AA418" i="38"/>
  <c r="AB418" i="38"/>
  <c r="AC418" i="38"/>
  <c r="D419" i="38"/>
  <c r="O419" i="38" s="1"/>
  <c r="Z419" i="38" s="1"/>
  <c r="L419" i="38"/>
  <c r="M419" i="38"/>
  <c r="N419" i="38"/>
  <c r="P419" i="38"/>
  <c r="Q419" i="38"/>
  <c r="R419" i="38"/>
  <c r="S419" i="38"/>
  <c r="T419" i="38"/>
  <c r="V419" i="38"/>
  <c r="W419" i="38"/>
  <c r="X419" i="38"/>
  <c r="AA419" i="38"/>
  <c r="D420" i="38"/>
  <c r="L420" i="38"/>
  <c r="M420" i="38"/>
  <c r="N420" i="38"/>
  <c r="V420" i="38"/>
  <c r="W420" i="38"/>
  <c r="X420" i="38"/>
  <c r="D421" i="38"/>
  <c r="L421" i="38"/>
  <c r="M421" i="38"/>
  <c r="N421" i="38"/>
  <c r="V421" i="38"/>
  <c r="W421" i="38"/>
  <c r="X421" i="38"/>
  <c r="D422" i="38"/>
  <c r="L422" i="38"/>
  <c r="M422" i="38"/>
  <c r="N422" i="38"/>
  <c r="V422" i="38"/>
  <c r="W422" i="38"/>
  <c r="X422" i="38"/>
  <c r="D423" i="38"/>
  <c r="O423" i="38" s="1"/>
  <c r="L423" i="38"/>
  <c r="M423" i="38"/>
  <c r="N423" i="38"/>
  <c r="V423" i="38"/>
  <c r="W423" i="38"/>
  <c r="X423" i="38"/>
  <c r="Y423" i="38"/>
  <c r="AA423" i="38"/>
  <c r="AB423" i="38"/>
  <c r="D424" i="38"/>
  <c r="Y424" i="38" s="1"/>
  <c r="L424" i="38"/>
  <c r="M424" i="38"/>
  <c r="N424" i="38"/>
  <c r="O424" i="38"/>
  <c r="P424" i="38" s="1"/>
  <c r="Q424" i="38"/>
  <c r="R424" i="38"/>
  <c r="V424" i="38"/>
  <c r="W424" i="38"/>
  <c r="X424" i="38"/>
  <c r="D425" i="38"/>
  <c r="AC425" i="38"/>
  <c r="L425" i="38"/>
  <c r="M425" i="38"/>
  <c r="N425" i="38"/>
  <c r="O425" i="38"/>
  <c r="Q425" i="38"/>
  <c r="R425" i="38"/>
  <c r="S425" i="38"/>
  <c r="V425" i="38"/>
  <c r="W425" i="38"/>
  <c r="X425" i="38"/>
  <c r="Y425" i="38"/>
  <c r="AB425" i="38"/>
  <c r="D426" i="38"/>
  <c r="L426" i="38"/>
  <c r="M426" i="38"/>
  <c r="N426" i="38"/>
  <c r="V426" i="38"/>
  <c r="W426" i="38"/>
  <c r="X426" i="38"/>
  <c r="D427" i="38"/>
  <c r="L427" i="38"/>
  <c r="M427" i="38"/>
  <c r="N427" i="38"/>
  <c r="V427" i="38"/>
  <c r="W427" i="38"/>
  <c r="X427" i="38"/>
  <c r="D428" i="38"/>
  <c r="Y428" i="38" s="1"/>
  <c r="L428" i="38"/>
  <c r="M428" i="38"/>
  <c r="N428" i="38"/>
  <c r="O428" i="38"/>
  <c r="V428" i="38"/>
  <c r="W428" i="38"/>
  <c r="X428" i="38"/>
  <c r="AA428" i="38"/>
  <c r="D429" i="38"/>
  <c r="Y429" i="38" s="1"/>
  <c r="L429" i="38"/>
  <c r="M429" i="38"/>
  <c r="N429" i="38"/>
  <c r="O429" i="38"/>
  <c r="Q429" i="38"/>
  <c r="S429" i="38"/>
  <c r="T429" i="38"/>
  <c r="V429" i="38"/>
  <c r="W429" i="38"/>
  <c r="X429" i="38"/>
  <c r="D430" i="38"/>
  <c r="L430" i="38"/>
  <c r="M430" i="38"/>
  <c r="N430" i="38"/>
  <c r="V430" i="38"/>
  <c r="W430" i="38"/>
  <c r="X430" i="38"/>
  <c r="D431" i="38"/>
  <c r="L431" i="38"/>
  <c r="M431" i="38"/>
  <c r="N431" i="38"/>
  <c r="O431" i="38"/>
  <c r="V431" i="38"/>
  <c r="W431" i="38"/>
  <c r="X431" i="38"/>
  <c r="Y431" i="38"/>
  <c r="D432" i="38"/>
  <c r="AB432" i="38"/>
  <c r="AC432" i="38"/>
  <c r="AD432" i="38"/>
  <c r="L432" i="38"/>
  <c r="M432" i="38"/>
  <c r="N432" i="38"/>
  <c r="O432" i="38"/>
  <c r="P432" i="38" s="1"/>
  <c r="R432" i="38"/>
  <c r="S432" i="38"/>
  <c r="V432" i="38"/>
  <c r="W432" i="38"/>
  <c r="X432" i="38"/>
  <c r="Y432" i="38"/>
  <c r="D433" i="38"/>
  <c r="Y433" i="38" s="1"/>
  <c r="L433" i="38"/>
  <c r="M433" i="38"/>
  <c r="N433" i="38"/>
  <c r="O433" i="38"/>
  <c r="Q433" i="38"/>
  <c r="R433" i="38"/>
  <c r="V433" i="38"/>
  <c r="W433" i="38"/>
  <c r="X433" i="38"/>
  <c r="D434" i="38"/>
  <c r="O434" i="38" s="1"/>
  <c r="Z434" i="38" s="1"/>
  <c r="AA434" i="38"/>
  <c r="L434" i="38"/>
  <c r="M434" i="38"/>
  <c r="N434" i="38"/>
  <c r="P434" i="38"/>
  <c r="Q434" i="38"/>
  <c r="R434" i="38"/>
  <c r="S434" i="38"/>
  <c r="T434" i="38"/>
  <c r="V434" i="38"/>
  <c r="W434" i="38"/>
  <c r="X434" i="38"/>
  <c r="Y434" i="38"/>
  <c r="AB434" i="38"/>
  <c r="AC434" i="38"/>
  <c r="AD434" i="38"/>
  <c r="D435" i="38"/>
  <c r="L435" i="38"/>
  <c r="M435" i="38"/>
  <c r="N435" i="38"/>
  <c r="O435" i="38"/>
  <c r="Q435" i="38" s="1"/>
  <c r="V435" i="38"/>
  <c r="W435" i="38"/>
  <c r="X435" i="38"/>
  <c r="Y435" i="38"/>
  <c r="D436" i="38"/>
  <c r="Y436" i="38" s="1"/>
  <c r="L436" i="38"/>
  <c r="M436" i="38"/>
  <c r="N436" i="38"/>
  <c r="O436" i="38"/>
  <c r="V436" i="38"/>
  <c r="W436" i="38"/>
  <c r="X436" i="38"/>
  <c r="D437" i="38"/>
  <c r="L437" i="38"/>
  <c r="M437" i="38"/>
  <c r="N437" i="38"/>
  <c r="V437" i="38"/>
  <c r="W437" i="38"/>
  <c r="X437" i="38"/>
  <c r="D438" i="38"/>
  <c r="O438" i="38" s="1"/>
  <c r="L438" i="38"/>
  <c r="M438" i="38"/>
  <c r="N438" i="38"/>
  <c r="P438" i="38"/>
  <c r="Q438" i="38"/>
  <c r="T438" i="38"/>
  <c r="V438" i="38"/>
  <c r="W438" i="38"/>
  <c r="X438" i="38"/>
  <c r="AD438" i="38"/>
  <c r="D439" i="38"/>
  <c r="Y439" i="38" s="1"/>
  <c r="L439" i="38"/>
  <c r="M439" i="38"/>
  <c r="N439" i="38"/>
  <c r="O439" i="38"/>
  <c r="P439" i="38" s="1"/>
  <c r="R439" i="38"/>
  <c r="V439" i="38"/>
  <c r="W439" i="38"/>
  <c r="X439" i="38"/>
  <c r="D440" i="38"/>
  <c r="L440" i="38"/>
  <c r="M440" i="38"/>
  <c r="N440" i="38"/>
  <c r="O440" i="38"/>
  <c r="S440" i="38" s="1"/>
  <c r="P440" i="38"/>
  <c r="Q440" i="38"/>
  <c r="R440" i="38"/>
  <c r="V440" i="38"/>
  <c r="W440" i="38"/>
  <c r="X440" i="38"/>
  <c r="Y440" i="38"/>
  <c r="D441" i="38"/>
  <c r="L441" i="38"/>
  <c r="M441" i="38"/>
  <c r="N441" i="38"/>
  <c r="V441" i="38"/>
  <c r="W441" i="38"/>
  <c r="X441" i="38"/>
  <c r="D442" i="38"/>
  <c r="O442" i="38" s="1"/>
  <c r="Z442" i="38" s="1"/>
  <c r="AD442" i="38"/>
  <c r="L442" i="38"/>
  <c r="M442" i="38"/>
  <c r="N442" i="38"/>
  <c r="S442" i="38"/>
  <c r="T442" i="38"/>
  <c r="V442" i="38"/>
  <c r="W442" i="38"/>
  <c r="X442" i="38"/>
  <c r="Y442" i="38"/>
  <c r="D443" i="38"/>
  <c r="O443" i="38" s="1"/>
  <c r="L443" i="38"/>
  <c r="M443" i="38"/>
  <c r="N443" i="38"/>
  <c r="P443" i="38"/>
  <c r="Q443" i="38"/>
  <c r="R443" i="38"/>
  <c r="S443" i="38"/>
  <c r="T443" i="38"/>
  <c r="V443" i="38"/>
  <c r="W443" i="38"/>
  <c r="X443" i="38"/>
  <c r="Z443" i="38"/>
  <c r="D444" i="38"/>
  <c r="Y444" i="38" s="1"/>
  <c r="L444" i="38"/>
  <c r="M444" i="38"/>
  <c r="N444" i="38"/>
  <c r="O444" i="38"/>
  <c r="R444" i="38" s="1"/>
  <c r="P444" i="38"/>
  <c r="Q444" i="38"/>
  <c r="S444" i="38"/>
  <c r="V444" i="38"/>
  <c r="W444" i="38"/>
  <c r="X444" i="38"/>
  <c r="D445" i="38"/>
  <c r="L445" i="38"/>
  <c r="M445" i="38"/>
  <c r="N445" i="38"/>
  <c r="V445" i="38"/>
  <c r="W445" i="38"/>
  <c r="X445" i="38"/>
  <c r="D446" i="38"/>
  <c r="O446" i="38" s="1"/>
  <c r="AA446" i="38" s="1"/>
  <c r="L446" i="38"/>
  <c r="M446" i="38"/>
  <c r="N446" i="38"/>
  <c r="T446" i="38"/>
  <c r="V446" i="38"/>
  <c r="W446" i="38"/>
  <c r="X446" i="38"/>
  <c r="Y446" i="38"/>
  <c r="Z446" i="38"/>
  <c r="D447" i="38"/>
  <c r="Y447" i="38" s="1"/>
  <c r="L447" i="38"/>
  <c r="M447" i="38"/>
  <c r="N447" i="38"/>
  <c r="O447" i="38"/>
  <c r="P447" i="38"/>
  <c r="R447" i="38"/>
  <c r="V447" i="38"/>
  <c r="W447" i="38"/>
  <c r="X447" i="38"/>
  <c r="D448" i="38"/>
  <c r="L448" i="38"/>
  <c r="M448" i="38"/>
  <c r="N448" i="38"/>
  <c r="O448" i="38"/>
  <c r="Q448" i="38" s="1"/>
  <c r="P448" i="38"/>
  <c r="V448" i="38"/>
  <c r="W448" i="38"/>
  <c r="X448" i="38"/>
  <c r="Y448" i="38"/>
  <c r="D449" i="38"/>
  <c r="O449" i="38" s="1"/>
  <c r="Z449" i="38"/>
  <c r="AA449" i="38"/>
  <c r="AD449" i="38"/>
  <c r="L449" i="38"/>
  <c r="M449" i="38"/>
  <c r="N449" i="38"/>
  <c r="P449" i="38"/>
  <c r="Q449" i="38"/>
  <c r="R449" i="38"/>
  <c r="S449" i="38"/>
  <c r="T449" i="38"/>
  <c r="V449" i="38"/>
  <c r="W449" i="38"/>
  <c r="X449" i="38"/>
  <c r="Y449" i="38"/>
  <c r="AB449" i="38"/>
  <c r="D450" i="38"/>
  <c r="O450" i="38" s="1"/>
  <c r="Z450" i="38" s="1"/>
  <c r="L450" i="38"/>
  <c r="M450" i="38"/>
  <c r="N450" i="38"/>
  <c r="V450" i="38"/>
  <c r="W450" i="38"/>
  <c r="X450" i="38"/>
  <c r="Y450" i="38"/>
  <c r="D451" i="38"/>
  <c r="O451" i="38" s="1"/>
  <c r="AB451" i="38" s="1"/>
  <c r="L451" i="38"/>
  <c r="M451" i="38"/>
  <c r="N451" i="38"/>
  <c r="Q451" i="38"/>
  <c r="R451" i="38"/>
  <c r="V451" i="38"/>
  <c r="W451" i="38"/>
  <c r="X451" i="38"/>
  <c r="Y451" i="38"/>
  <c r="AA451" i="38"/>
  <c r="D452" i="38"/>
  <c r="O452" i="38" s="1"/>
  <c r="L452" i="38"/>
  <c r="M452" i="38"/>
  <c r="N452" i="38"/>
  <c r="P452" i="38"/>
  <c r="Q452" i="38"/>
  <c r="R452" i="38"/>
  <c r="T452" i="38"/>
  <c r="V452" i="38"/>
  <c r="W452" i="38"/>
  <c r="X452" i="38"/>
  <c r="D453" i="38"/>
  <c r="Y453" i="38" s="1"/>
  <c r="L453" i="38"/>
  <c r="M453" i="38"/>
  <c r="N453" i="38"/>
  <c r="O453" i="38"/>
  <c r="P453" i="38"/>
  <c r="Q453" i="38"/>
  <c r="R453" i="38"/>
  <c r="S453" i="38"/>
  <c r="T453" i="38"/>
  <c r="V453" i="38"/>
  <c r="W453" i="38"/>
  <c r="X453" i="38"/>
  <c r="D454" i="38"/>
  <c r="L454" i="38"/>
  <c r="M454" i="38"/>
  <c r="N454" i="38"/>
  <c r="O454" i="38"/>
  <c r="V454" i="38"/>
  <c r="W454" i="38"/>
  <c r="X454" i="38"/>
  <c r="Y454" i="38"/>
  <c r="D455" i="38"/>
  <c r="O455" i="38" s="1"/>
  <c r="L455" i="38"/>
  <c r="M455" i="38"/>
  <c r="N455" i="38"/>
  <c r="S455" i="38"/>
  <c r="T455" i="38"/>
  <c r="V455" i="38"/>
  <c r="W455" i="38"/>
  <c r="X455" i="38"/>
  <c r="Y455" i="38"/>
  <c r="Z455" i="38"/>
  <c r="AA455" i="38"/>
  <c r="AB455" i="38"/>
  <c r="AD455" i="38"/>
  <c r="D456" i="38"/>
  <c r="O456" i="38" s="1"/>
  <c r="L456" i="38"/>
  <c r="M456" i="38"/>
  <c r="N456" i="38"/>
  <c r="P456" i="38"/>
  <c r="R456" i="38"/>
  <c r="S456" i="38"/>
  <c r="T456" i="38"/>
  <c r="V456" i="38"/>
  <c r="W456" i="38"/>
  <c r="X456" i="38"/>
  <c r="D457" i="38"/>
  <c r="Y457" i="38" s="1"/>
  <c r="L457" i="38"/>
  <c r="M457" i="38"/>
  <c r="N457" i="38"/>
  <c r="O457" i="38"/>
  <c r="R457" i="38" s="1"/>
  <c r="P457" i="38"/>
  <c r="Q457" i="38"/>
  <c r="S457" i="38"/>
  <c r="T457" i="38"/>
  <c r="V457" i="38"/>
  <c r="W457" i="38"/>
  <c r="X457" i="38"/>
  <c r="D458" i="38"/>
  <c r="Y458" i="38" s="1"/>
  <c r="L458" i="38"/>
  <c r="M458" i="38"/>
  <c r="N458" i="38"/>
  <c r="O458" i="38"/>
  <c r="P458" i="38"/>
  <c r="V458" i="38"/>
  <c r="W458" i="38"/>
  <c r="X458" i="38"/>
  <c r="Z458" i="38"/>
  <c r="AA458" i="38"/>
  <c r="AD458" i="38"/>
  <c r="D459" i="38"/>
  <c r="O459" i="38" s="1"/>
  <c r="L459" i="38"/>
  <c r="M459" i="38"/>
  <c r="N459" i="38"/>
  <c r="T459" i="38"/>
  <c r="V459" i="38"/>
  <c r="W459" i="38"/>
  <c r="X459" i="38"/>
  <c r="Y459" i="38"/>
  <c r="Z459" i="38"/>
  <c r="AA459" i="38"/>
  <c r="AB459" i="38"/>
  <c r="AC459" i="38"/>
  <c r="AD459" i="38"/>
  <c r="D460" i="38"/>
  <c r="L460" i="38"/>
  <c r="M460" i="38"/>
  <c r="N460" i="38"/>
  <c r="O460" i="38"/>
  <c r="R460" i="38" s="1"/>
  <c r="V460" i="38"/>
  <c r="W460" i="38"/>
  <c r="X460" i="38"/>
  <c r="Y460" i="38"/>
  <c r="Z460" i="38"/>
  <c r="D461" i="38"/>
  <c r="L461" i="38"/>
  <c r="M461" i="38"/>
  <c r="N461" i="38"/>
  <c r="O461" i="38"/>
  <c r="S461" i="38" s="1"/>
  <c r="P461" i="38"/>
  <c r="Q461" i="38"/>
  <c r="R461" i="38"/>
  <c r="V461" i="38"/>
  <c r="W461" i="38"/>
  <c r="X461" i="38"/>
  <c r="Y461" i="38"/>
  <c r="D462" i="38"/>
  <c r="L462" i="38"/>
  <c r="M462" i="38"/>
  <c r="N462" i="38"/>
  <c r="O462" i="38"/>
  <c r="P462" i="38"/>
  <c r="Q462" i="38"/>
  <c r="R462" i="38"/>
  <c r="V462" i="38"/>
  <c r="W462" i="38"/>
  <c r="X462" i="38"/>
  <c r="Y462" i="38"/>
  <c r="AB462" i="38"/>
  <c r="D463" i="38"/>
  <c r="L463" i="38"/>
  <c r="M463" i="38"/>
  <c r="N463" i="38"/>
  <c r="V463" i="38"/>
  <c r="W463" i="38"/>
  <c r="X463" i="38"/>
  <c r="D464" i="38"/>
  <c r="O464" i="38" s="1"/>
  <c r="L464" i="38"/>
  <c r="M464" i="38"/>
  <c r="N464" i="38"/>
  <c r="R464" i="38"/>
  <c r="S464" i="38"/>
  <c r="V464" i="38"/>
  <c r="W464" i="38"/>
  <c r="X464" i="38"/>
  <c r="Y464" i="38"/>
  <c r="Z464" i="38"/>
  <c r="AA464" i="38"/>
  <c r="AB464" i="38"/>
  <c r="AC464" i="38"/>
  <c r="AD464" i="38"/>
  <c r="D465" i="38"/>
  <c r="L465" i="38"/>
  <c r="M465" i="38"/>
  <c r="N465" i="38"/>
  <c r="O465" i="38"/>
  <c r="S465" i="38" s="1"/>
  <c r="Q465" i="38"/>
  <c r="R465" i="38"/>
  <c r="V465" i="38"/>
  <c r="W465" i="38"/>
  <c r="X465" i="38"/>
  <c r="Y465" i="38"/>
  <c r="D466" i="38"/>
  <c r="Y466" i="38" s="1"/>
  <c r="L466" i="38"/>
  <c r="M466" i="38"/>
  <c r="N466" i="38"/>
  <c r="O466" i="38"/>
  <c r="P466" i="38"/>
  <c r="Q466" i="38"/>
  <c r="R466" i="38"/>
  <c r="S466" i="38"/>
  <c r="V466" i="38"/>
  <c r="W466" i="38"/>
  <c r="X466" i="38"/>
  <c r="D467" i="38"/>
  <c r="Y467" i="38" s="1"/>
  <c r="L467" i="38"/>
  <c r="M467" i="38"/>
  <c r="N467" i="38"/>
  <c r="O467" i="38"/>
  <c r="T467" i="38" s="1"/>
  <c r="P467" i="38"/>
  <c r="V467" i="38"/>
  <c r="W467" i="38"/>
  <c r="X467" i="38"/>
  <c r="D468" i="38"/>
  <c r="L468" i="38"/>
  <c r="M468" i="38"/>
  <c r="N468" i="38"/>
  <c r="O468" i="38"/>
  <c r="V468" i="38"/>
  <c r="W468" i="38"/>
  <c r="X468" i="38"/>
  <c r="Y468" i="38"/>
  <c r="Z468" i="38"/>
  <c r="AA468" i="38"/>
  <c r="AB468" i="38"/>
  <c r="D469" i="38"/>
  <c r="Y469" i="38" s="1"/>
  <c r="L469" i="38"/>
  <c r="M469" i="38"/>
  <c r="N469" i="38"/>
  <c r="O469" i="38"/>
  <c r="S469" i="38" s="1"/>
  <c r="P469" i="38"/>
  <c r="R469" i="38"/>
  <c r="T469" i="38"/>
  <c r="V469" i="38"/>
  <c r="W469" i="38"/>
  <c r="X469" i="38"/>
  <c r="D470" i="38"/>
  <c r="Y470" i="38" s="1"/>
  <c r="L470" i="38"/>
  <c r="M470" i="38"/>
  <c r="N470" i="38"/>
  <c r="O470" i="38"/>
  <c r="P470" i="38"/>
  <c r="Q470" i="38"/>
  <c r="R470" i="38"/>
  <c r="S470" i="38"/>
  <c r="T470" i="38"/>
  <c r="V470" i="38"/>
  <c r="W470" i="38"/>
  <c r="X470" i="38"/>
  <c r="D471" i="38"/>
  <c r="L471" i="38"/>
  <c r="M471" i="38"/>
  <c r="N471" i="38"/>
  <c r="V471" i="38"/>
  <c r="W471" i="38"/>
  <c r="X471" i="38"/>
  <c r="D472" i="38"/>
  <c r="Y472" i="38" s="1"/>
  <c r="T472" i="38"/>
  <c r="L472" i="38"/>
  <c r="M472" i="38"/>
  <c r="N472" i="38"/>
  <c r="O472" i="38"/>
  <c r="V472" i="38"/>
  <c r="W472" i="38"/>
  <c r="X472" i="38"/>
  <c r="D473" i="38"/>
  <c r="L473" i="38"/>
  <c r="M473" i="38"/>
  <c r="N473" i="38"/>
  <c r="O473" i="38"/>
  <c r="R473" i="38" s="1"/>
  <c r="Q473" i="38"/>
  <c r="V473" i="38"/>
  <c r="W473" i="38"/>
  <c r="X473" i="38"/>
  <c r="Y473" i="38"/>
  <c r="D474" i="38"/>
  <c r="Y474" i="38" s="1"/>
  <c r="L474" i="38"/>
  <c r="M474" i="38"/>
  <c r="N474" i="38"/>
  <c r="O474" i="38"/>
  <c r="P474" i="38"/>
  <c r="Q474" i="38"/>
  <c r="V474" i="38"/>
  <c r="W474" i="38"/>
  <c r="X474" i="38"/>
  <c r="D475" i="38"/>
  <c r="L475" i="38"/>
  <c r="M475" i="38"/>
  <c r="N475" i="38"/>
  <c r="O475" i="38"/>
  <c r="V475" i="38"/>
  <c r="W475" i="38"/>
  <c r="X475" i="38"/>
  <c r="Y475" i="38"/>
  <c r="AC475" i="38"/>
  <c r="AD475" i="38"/>
  <c r="D476" i="38"/>
  <c r="L476" i="38"/>
  <c r="M476" i="38"/>
  <c r="N476" i="38"/>
  <c r="V476" i="38"/>
  <c r="W476" i="38"/>
  <c r="X476" i="38"/>
  <c r="D477" i="38"/>
  <c r="S477" i="38"/>
  <c r="L477" i="38"/>
  <c r="M477" i="38"/>
  <c r="N477" i="38"/>
  <c r="O477" i="38"/>
  <c r="P477" i="38"/>
  <c r="Q477" i="38"/>
  <c r="R477" i="38"/>
  <c r="T477" i="38"/>
  <c r="V477" i="38"/>
  <c r="W477" i="38"/>
  <c r="X477" i="38"/>
  <c r="Y477" i="38"/>
  <c r="AB477" i="38"/>
  <c r="AC477" i="38"/>
  <c r="AD477" i="38"/>
  <c r="D478" i="38"/>
  <c r="L478" i="38"/>
  <c r="M478" i="38"/>
  <c r="N478" i="38"/>
  <c r="O478" i="38"/>
  <c r="P478" i="38"/>
  <c r="Q478" i="38"/>
  <c r="R478" i="38"/>
  <c r="V478" i="38"/>
  <c r="W478" i="38"/>
  <c r="X478" i="38"/>
  <c r="Y478" i="38"/>
  <c r="AA478" i="38"/>
  <c r="AB478" i="38"/>
  <c r="AD478" i="38"/>
  <c r="D479" i="38"/>
  <c r="Y479" i="38" s="1"/>
  <c r="L479" i="38"/>
  <c r="M479" i="38"/>
  <c r="N479" i="38"/>
  <c r="O479" i="38"/>
  <c r="P479" i="38" s="1"/>
  <c r="R479" i="38"/>
  <c r="T479" i="38"/>
  <c r="V479" i="38"/>
  <c r="W479" i="38"/>
  <c r="X479" i="38"/>
  <c r="D480" i="38"/>
  <c r="Y480" i="38" s="1"/>
  <c r="L480" i="38"/>
  <c r="M480" i="38"/>
  <c r="N480" i="38"/>
  <c r="O480" i="38"/>
  <c r="Q480" i="38"/>
  <c r="R480" i="38"/>
  <c r="S480" i="38"/>
  <c r="T480" i="38"/>
  <c r="V480" i="38"/>
  <c r="W480" i="38"/>
  <c r="X480" i="38"/>
  <c r="D481" i="38"/>
  <c r="L481" i="38"/>
  <c r="M481" i="38"/>
  <c r="N481" i="38"/>
  <c r="O481" i="38"/>
  <c r="P481" i="38" s="1"/>
  <c r="V481" i="38"/>
  <c r="W481" i="38"/>
  <c r="X481" i="38"/>
  <c r="Y481" i="38"/>
  <c r="D482" i="38"/>
  <c r="O482" i="38" s="1"/>
  <c r="AB482" i="38" s="1"/>
  <c r="L482" i="38"/>
  <c r="M482" i="38"/>
  <c r="N482" i="38"/>
  <c r="S482" i="38"/>
  <c r="V482" i="38"/>
  <c r="W482" i="38"/>
  <c r="X482" i="38"/>
  <c r="Y482" i="38"/>
  <c r="Z482" i="38"/>
  <c r="AA482" i="38"/>
  <c r="D483" i="38"/>
  <c r="O483" i="38" s="1"/>
  <c r="L483" i="38"/>
  <c r="M483" i="38"/>
  <c r="N483" i="38"/>
  <c r="Q483" i="38"/>
  <c r="R483" i="38"/>
  <c r="S483" i="38"/>
  <c r="T483" i="38"/>
  <c r="V483" i="38"/>
  <c r="W483" i="38"/>
  <c r="X483" i="38"/>
  <c r="AC483" i="38"/>
  <c r="D484" i="38"/>
  <c r="Y484" i="38" s="1"/>
  <c r="L484" i="38"/>
  <c r="M484" i="38"/>
  <c r="N484" i="38"/>
  <c r="O484" i="38"/>
  <c r="P484" i="38"/>
  <c r="Q484" i="38"/>
  <c r="R484" i="38"/>
  <c r="S484" i="38"/>
  <c r="V484" i="38"/>
  <c r="W484" i="38"/>
  <c r="X484" i="38"/>
  <c r="D485" i="38"/>
  <c r="L485" i="38"/>
  <c r="M485" i="38"/>
  <c r="N485" i="38"/>
  <c r="O485" i="38"/>
  <c r="P485" i="38" s="1"/>
  <c r="V485" i="38"/>
  <c r="W485" i="38"/>
  <c r="X485" i="38"/>
  <c r="Y485" i="38"/>
  <c r="D486" i="38"/>
  <c r="O486" i="38" s="1"/>
  <c r="Z486" i="38"/>
  <c r="AA486" i="38"/>
  <c r="AB486" i="38"/>
  <c r="AC486" i="38"/>
  <c r="AD486" i="38"/>
  <c r="L486" i="38"/>
  <c r="M486" i="38"/>
  <c r="N486" i="38"/>
  <c r="V486" i="38"/>
  <c r="W486" i="38"/>
  <c r="X486" i="38"/>
  <c r="Y486" i="38"/>
  <c r="D487" i="38"/>
  <c r="O487" i="38" s="1"/>
  <c r="S487" i="38" s="1"/>
  <c r="L487" i="38"/>
  <c r="M487" i="38"/>
  <c r="N487" i="38"/>
  <c r="Q487" i="38"/>
  <c r="R487" i="38"/>
  <c r="V487" i="38"/>
  <c r="W487" i="38"/>
  <c r="X487" i="38"/>
  <c r="Y487" i="38"/>
  <c r="AB487" i="38"/>
  <c r="D488" i="38"/>
  <c r="L488" i="38"/>
  <c r="M488" i="38"/>
  <c r="N488" i="38"/>
  <c r="O488" i="38"/>
  <c r="V488" i="38"/>
  <c r="W488" i="38"/>
  <c r="X488" i="38"/>
  <c r="Y488" i="38"/>
  <c r="AC488" i="38"/>
  <c r="D489" i="38"/>
  <c r="L489" i="38"/>
  <c r="M489" i="38"/>
  <c r="N489" i="38"/>
  <c r="V489" i="38"/>
  <c r="W489" i="38"/>
  <c r="X489" i="38"/>
  <c r="D490" i="38"/>
  <c r="L490" i="38"/>
  <c r="M490" i="38"/>
  <c r="N490" i="38"/>
  <c r="V490" i="38"/>
  <c r="W490" i="38"/>
  <c r="X490" i="38"/>
  <c r="D491" i="38"/>
  <c r="O491" i="38" s="1"/>
  <c r="L491" i="38"/>
  <c r="M491" i="38"/>
  <c r="N491" i="38"/>
  <c r="T491" i="38"/>
  <c r="V491" i="38"/>
  <c r="W491" i="38"/>
  <c r="X491" i="38"/>
  <c r="Y491" i="38"/>
  <c r="Z491" i="38"/>
  <c r="D492" i="38"/>
  <c r="L492" i="38"/>
  <c r="M492" i="38"/>
  <c r="N492" i="38"/>
  <c r="V492" i="38"/>
  <c r="W492" i="38"/>
  <c r="X492" i="38"/>
  <c r="D493" i="38"/>
  <c r="O493" i="38" s="1"/>
  <c r="L493" i="38"/>
  <c r="M493" i="38"/>
  <c r="N493" i="38"/>
  <c r="V493" i="38"/>
  <c r="W493" i="38"/>
  <c r="X493" i="38"/>
  <c r="AC493" i="38"/>
  <c r="AD493" i="38"/>
  <c r="D494" i="38"/>
  <c r="O494" i="38" s="1"/>
  <c r="L494" i="38"/>
  <c r="M494" i="38"/>
  <c r="N494" i="38"/>
  <c r="R494" i="38"/>
  <c r="T494" i="38"/>
  <c r="V494" i="38"/>
  <c r="W494" i="38"/>
  <c r="X494" i="38"/>
  <c r="AA494" i="38"/>
  <c r="AB494" i="38"/>
  <c r="AC494" i="38"/>
  <c r="D495" i="38"/>
  <c r="L495" i="38"/>
  <c r="M495" i="38"/>
  <c r="N495" i="38"/>
  <c r="O495" i="38"/>
  <c r="P495" i="38" s="1"/>
  <c r="Q495" i="38"/>
  <c r="S495" i="38"/>
  <c r="T495" i="38"/>
  <c r="V495" i="38"/>
  <c r="W495" i="38"/>
  <c r="X495" i="38"/>
  <c r="Y495" i="38"/>
  <c r="D496" i="38"/>
  <c r="L496" i="38"/>
  <c r="M496" i="38"/>
  <c r="N496" i="38"/>
  <c r="O496" i="38"/>
  <c r="P496" i="38" s="1"/>
  <c r="R496" i="38"/>
  <c r="V496" i="38"/>
  <c r="W496" i="38"/>
  <c r="X496" i="38"/>
  <c r="Y496" i="38"/>
  <c r="D497" i="38"/>
  <c r="O497" i="38" s="1"/>
  <c r="AB497" i="38" s="1"/>
  <c r="T497" i="38"/>
  <c r="L497" i="38"/>
  <c r="M497" i="38"/>
  <c r="N497" i="38"/>
  <c r="R497" i="38"/>
  <c r="S497" i="38"/>
  <c r="V497" i="38"/>
  <c r="W497" i="38"/>
  <c r="X497" i="38"/>
  <c r="D498" i="38"/>
  <c r="AA498" i="38"/>
  <c r="AB498" i="38"/>
  <c r="L498" i="38"/>
  <c r="M498" i="38"/>
  <c r="N498" i="38"/>
  <c r="O498" i="38"/>
  <c r="P498" i="38" s="1"/>
  <c r="Q498" i="38"/>
  <c r="R498" i="38"/>
  <c r="S498" i="38"/>
  <c r="T498" i="38"/>
  <c r="V498" i="38"/>
  <c r="W498" i="38"/>
  <c r="X498" i="38"/>
  <c r="Y498" i="38"/>
  <c r="AC498" i="38"/>
  <c r="AD498" i="38"/>
  <c r="D499" i="38"/>
  <c r="L499" i="38"/>
  <c r="M499" i="38"/>
  <c r="N499" i="38"/>
  <c r="O499" i="38"/>
  <c r="AD499" i="38" s="1"/>
  <c r="V499" i="38"/>
  <c r="W499" i="38"/>
  <c r="X499" i="38"/>
  <c r="Y499" i="38"/>
  <c r="AC499" i="38"/>
  <c r="D500" i="38"/>
  <c r="O500" i="38" s="1"/>
  <c r="L500" i="38"/>
  <c r="M500" i="38"/>
  <c r="N500" i="38"/>
  <c r="V500" i="38"/>
  <c r="W500" i="38"/>
  <c r="X500" i="38"/>
  <c r="Y500" i="38"/>
  <c r="Z500" i="38"/>
  <c r="AB500" i="38"/>
  <c r="AC500" i="38"/>
  <c r="AD500" i="38"/>
  <c r="D501" i="38"/>
  <c r="O501" i="38" s="1"/>
  <c r="L501" i="38"/>
  <c r="M501" i="38"/>
  <c r="N501" i="38"/>
  <c r="S501" i="38"/>
  <c r="V501" i="38"/>
  <c r="W501" i="38"/>
  <c r="X501" i="38"/>
  <c r="Y501" i="38"/>
  <c r="Z501" i="38"/>
  <c r="AA501" i="38"/>
  <c r="AC501" i="38"/>
  <c r="AD501" i="38"/>
  <c r="D502" i="38"/>
  <c r="O502" i="38" s="1"/>
  <c r="L502" i="38"/>
  <c r="M502" i="38"/>
  <c r="N502" i="38"/>
  <c r="P502" i="38"/>
  <c r="Q502" i="38"/>
  <c r="S502" i="38"/>
  <c r="T502" i="38"/>
  <c r="V502" i="38"/>
  <c r="W502" i="38"/>
  <c r="X502" i="38"/>
  <c r="Y502" i="38"/>
  <c r="Z502" i="38"/>
  <c r="AA502" i="38"/>
  <c r="D503" i="38"/>
  <c r="L503" i="38"/>
  <c r="M503" i="38"/>
  <c r="N503" i="38"/>
  <c r="V503" i="38"/>
  <c r="W503" i="38"/>
  <c r="X503" i="38"/>
  <c r="D504" i="38"/>
  <c r="Y504" i="38" s="1"/>
  <c r="L504" i="38"/>
  <c r="M504" i="38"/>
  <c r="N504" i="38"/>
  <c r="O504" i="38"/>
  <c r="P504" i="38"/>
  <c r="Q504" i="38"/>
  <c r="T504" i="38"/>
  <c r="V504" i="38"/>
  <c r="W504" i="38"/>
  <c r="X504" i="38"/>
  <c r="D505" i="38"/>
  <c r="L505" i="38"/>
  <c r="M505" i="38"/>
  <c r="N505" i="38"/>
  <c r="O505" i="38"/>
  <c r="Q505" i="38" s="1"/>
  <c r="P505" i="38"/>
  <c r="V505" i="38"/>
  <c r="W505" i="38"/>
  <c r="X505" i="38"/>
  <c r="Y505" i="38"/>
  <c r="AD505" i="38"/>
  <c r="D506" i="38"/>
  <c r="O506" i="38" s="1"/>
  <c r="AB506" i="38" s="1"/>
  <c r="L506" i="38"/>
  <c r="M506" i="38"/>
  <c r="N506" i="38"/>
  <c r="V506" i="38"/>
  <c r="W506" i="38"/>
  <c r="X506" i="38"/>
  <c r="D507" i="38"/>
  <c r="L507" i="38"/>
  <c r="M507" i="38"/>
  <c r="N507" i="38"/>
  <c r="V507" i="38"/>
  <c r="W507" i="38"/>
  <c r="X507" i="38"/>
  <c r="D508" i="38"/>
  <c r="L508" i="38"/>
  <c r="M508" i="38"/>
  <c r="N508" i="38"/>
  <c r="O508" i="38"/>
  <c r="P508" i="38"/>
  <c r="S508" i="38"/>
  <c r="T508" i="38"/>
  <c r="V508" i="38"/>
  <c r="W508" i="38"/>
  <c r="X508" i="38"/>
  <c r="Y508" i="38"/>
  <c r="AA508" i="38"/>
  <c r="AB508" i="38"/>
  <c r="AC508" i="38"/>
  <c r="AD508" i="38"/>
  <c r="D509" i="38"/>
  <c r="L509" i="38"/>
  <c r="M509" i="38"/>
  <c r="N509" i="38"/>
  <c r="O509" i="38"/>
  <c r="P509" i="38"/>
  <c r="Q509" i="38"/>
  <c r="R509" i="38"/>
  <c r="T509" i="38"/>
  <c r="V509" i="38"/>
  <c r="W509" i="38"/>
  <c r="X509" i="38"/>
  <c r="Y509" i="38"/>
  <c r="C5" i="37"/>
  <c r="U5" i="37" s="1"/>
  <c r="E56" i="37"/>
  <c r="F56" i="37"/>
  <c r="G56" i="37"/>
  <c r="H56" i="37"/>
  <c r="J5" i="37"/>
  <c r="K5" i="37"/>
  <c r="L5" i="37"/>
  <c r="S5" i="37"/>
  <c r="T5" i="37"/>
  <c r="C6" i="37"/>
  <c r="J6" i="37"/>
  <c r="K6" i="37"/>
  <c r="S6" i="37"/>
  <c r="T6" i="37"/>
  <c r="U6" i="37"/>
  <c r="Y6" i="37" s="1"/>
  <c r="V6" i="37"/>
  <c r="W6" i="37"/>
  <c r="X6" i="37"/>
  <c r="C7" i="37"/>
  <c r="J7" i="37"/>
  <c r="K7" i="37"/>
  <c r="L7" i="37"/>
  <c r="M7" i="37"/>
  <c r="N7" i="37"/>
  <c r="S7" i="37"/>
  <c r="T7" i="37"/>
  <c r="C8" i="37"/>
  <c r="J8" i="37"/>
  <c r="K8" i="37"/>
  <c r="S8" i="37"/>
  <c r="T8" i="37"/>
  <c r="C9" i="37"/>
  <c r="N9" i="37"/>
  <c r="O9" i="37"/>
  <c r="J9" i="37"/>
  <c r="K9" i="37"/>
  <c r="L9" i="37"/>
  <c r="M9" i="37"/>
  <c r="S9" i="37"/>
  <c r="T9" i="37"/>
  <c r="U9" i="37"/>
  <c r="V9" i="37"/>
  <c r="W9" i="37"/>
  <c r="X9" i="37"/>
  <c r="C10" i="37"/>
  <c r="J10" i="37"/>
  <c r="K10" i="37"/>
  <c r="S10" i="37"/>
  <c r="T10" i="37"/>
  <c r="C11" i="37"/>
  <c r="J11" i="37"/>
  <c r="K11" i="37"/>
  <c r="S11" i="37"/>
  <c r="T11" i="37"/>
  <c r="U11" i="37"/>
  <c r="V11" i="37" s="1"/>
  <c r="C12" i="37"/>
  <c r="J12" i="37"/>
  <c r="K12" i="37"/>
  <c r="S12" i="37"/>
  <c r="T12" i="37"/>
  <c r="U12" i="37"/>
  <c r="W12" i="37" s="1"/>
  <c r="C13" i="37"/>
  <c r="J13" i="37"/>
  <c r="K13" i="37"/>
  <c r="S13" i="37"/>
  <c r="T13" i="37"/>
  <c r="U13" i="37"/>
  <c r="W13" i="37" s="1"/>
  <c r="C14" i="37"/>
  <c r="J14" i="37"/>
  <c r="K14" i="37"/>
  <c r="L14" i="37"/>
  <c r="M14" i="37"/>
  <c r="N14" i="37"/>
  <c r="O14" i="37"/>
  <c r="P14" i="37"/>
  <c r="Q14" i="37"/>
  <c r="S14" i="37"/>
  <c r="T14" i="37"/>
  <c r="U14" i="37"/>
  <c r="V14" i="37" s="1"/>
  <c r="W14" i="37"/>
  <c r="C15" i="37"/>
  <c r="U15" i="37" s="1"/>
  <c r="J15" i="37"/>
  <c r="K15" i="37"/>
  <c r="L15" i="37"/>
  <c r="M15" i="37"/>
  <c r="N15" i="37"/>
  <c r="O15" i="37"/>
  <c r="P15" i="37"/>
  <c r="Q15" i="37"/>
  <c r="S15" i="37"/>
  <c r="T15" i="37"/>
  <c r="Z15" i="37"/>
  <c r="C16" i="37"/>
  <c r="J16" i="37"/>
  <c r="K16" i="37"/>
  <c r="L16" i="37"/>
  <c r="O16" i="37" s="1"/>
  <c r="M16" i="37"/>
  <c r="N16" i="37"/>
  <c r="P16" i="37"/>
  <c r="Q16" i="37"/>
  <c r="S16" i="37"/>
  <c r="T16" i="37"/>
  <c r="U16" i="37"/>
  <c r="V16" i="37"/>
  <c r="W16" i="37"/>
  <c r="Y16" i="37"/>
  <c r="C17" i="37"/>
  <c r="J17" i="37"/>
  <c r="K17" i="37"/>
  <c r="L17" i="37"/>
  <c r="O17" i="37" s="1"/>
  <c r="M17" i="37"/>
  <c r="N17" i="37"/>
  <c r="S17" i="37"/>
  <c r="T17" i="37"/>
  <c r="C18" i="37"/>
  <c r="J18" i="37"/>
  <c r="K18" i="37"/>
  <c r="S18" i="37"/>
  <c r="T18" i="37"/>
  <c r="C19" i="37"/>
  <c r="J19" i="37"/>
  <c r="K19" i="37"/>
  <c r="S19" i="37"/>
  <c r="T19" i="37"/>
  <c r="C20" i="37"/>
  <c r="J20" i="37"/>
  <c r="K20" i="37"/>
  <c r="S20" i="37"/>
  <c r="T20" i="37"/>
  <c r="U20" i="37"/>
  <c r="W20" i="37" s="1"/>
  <c r="C21" i="37"/>
  <c r="J21" i="37"/>
  <c r="K21" i="37"/>
  <c r="L21" i="37"/>
  <c r="P21" i="37"/>
  <c r="Q21" i="37"/>
  <c r="S21" i="37"/>
  <c r="T21" i="37"/>
  <c r="U21" i="37"/>
  <c r="W21" i="37" s="1"/>
  <c r="C22" i="37"/>
  <c r="J22" i="37"/>
  <c r="K22" i="37"/>
  <c r="L22" i="37"/>
  <c r="M22" i="37"/>
  <c r="N22" i="37"/>
  <c r="O22" i="37"/>
  <c r="G8" i="8" s="1"/>
  <c r="P22" i="37"/>
  <c r="Q22" i="37"/>
  <c r="S22" i="37"/>
  <c r="T22" i="37"/>
  <c r="U22" i="37"/>
  <c r="V22" i="37"/>
  <c r="W22" i="37"/>
  <c r="X22" i="37"/>
  <c r="C23" i="37"/>
  <c r="J23" i="37"/>
  <c r="K23" i="37"/>
  <c r="L23" i="37"/>
  <c r="M23" i="37"/>
  <c r="N23" i="37"/>
  <c r="O23" i="37"/>
  <c r="P23" i="37"/>
  <c r="Q23" i="37"/>
  <c r="S23" i="37"/>
  <c r="T23" i="37"/>
  <c r="U23" i="37"/>
  <c r="V23" i="37"/>
  <c r="C24" i="37"/>
  <c r="U24" i="37" s="1"/>
  <c r="J24" i="37"/>
  <c r="K24" i="37"/>
  <c r="L24" i="37"/>
  <c r="M24" i="37"/>
  <c r="N24" i="37"/>
  <c r="O24" i="37"/>
  <c r="P24" i="37"/>
  <c r="Q24" i="37"/>
  <c r="S24" i="37"/>
  <c r="T24" i="37"/>
  <c r="Z24" i="37"/>
  <c r="C25" i="37"/>
  <c r="W25" i="37"/>
  <c r="J25" i="37"/>
  <c r="K25" i="37"/>
  <c r="L25" i="37"/>
  <c r="P25" i="37" s="1"/>
  <c r="M25" i="37"/>
  <c r="N25" i="37"/>
  <c r="Q25" i="37"/>
  <c r="S25" i="37"/>
  <c r="T25" i="37"/>
  <c r="U25" i="37"/>
  <c r="Y25" i="37" s="1"/>
  <c r="V25" i="37"/>
  <c r="X25" i="37"/>
  <c r="C26" i="37"/>
  <c r="J26" i="37"/>
  <c r="K26" i="37"/>
  <c r="S26" i="37"/>
  <c r="T26" i="37"/>
  <c r="C27" i="37"/>
  <c r="J27" i="37"/>
  <c r="K27" i="37"/>
  <c r="S27" i="37"/>
  <c r="T27" i="37"/>
  <c r="C28" i="37"/>
  <c r="U28" i="37" s="1"/>
  <c r="J28" i="37"/>
  <c r="K28" i="37"/>
  <c r="S28" i="37"/>
  <c r="T28" i="37"/>
  <c r="C29" i="37"/>
  <c r="J29" i="37"/>
  <c r="K29" i="37"/>
  <c r="L29" i="37"/>
  <c r="P29" i="37"/>
  <c r="Q29" i="37"/>
  <c r="S29" i="37"/>
  <c r="T29" i="37"/>
  <c r="U29" i="37"/>
  <c r="Y29" i="37" s="1"/>
  <c r="V29" i="37"/>
  <c r="W29" i="37"/>
  <c r="X29" i="37"/>
  <c r="Z29" i="37"/>
  <c r="C30" i="37"/>
  <c r="J30" i="37"/>
  <c r="K30" i="37"/>
  <c r="S30" i="37"/>
  <c r="T30" i="37"/>
  <c r="U30" i="37"/>
  <c r="V30" i="37" s="1"/>
  <c r="W30" i="37"/>
  <c r="X30" i="37"/>
  <c r="Y30" i="37"/>
  <c r="Z30" i="37"/>
  <c r="C31" i="37"/>
  <c r="J31" i="37"/>
  <c r="K31" i="37"/>
  <c r="L31" i="37"/>
  <c r="Q31" i="37" s="1"/>
  <c r="M31" i="37"/>
  <c r="N31" i="37"/>
  <c r="O31" i="37"/>
  <c r="P31" i="37"/>
  <c r="S31" i="37"/>
  <c r="T31" i="37"/>
  <c r="U31" i="37"/>
  <c r="V31" i="37"/>
  <c r="W31" i="37"/>
  <c r="C32" i="37"/>
  <c r="J32" i="37"/>
  <c r="K32" i="37"/>
  <c r="L32" i="37"/>
  <c r="O32" i="37" s="1"/>
  <c r="M32" i="37"/>
  <c r="N32" i="37"/>
  <c r="P32" i="37"/>
  <c r="Q32" i="37"/>
  <c r="S32" i="37"/>
  <c r="T32" i="37"/>
  <c r="U32" i="37"/>
  <c r="C33" i="37"/>
  <c r="J33" i="37"/>
  <c r="K33" i="37"/>
  <c r="S33" i="37"/>
  <c r="T33" i="37"/>
  <c r="U33" i="37"/>
  <c r="Z33" i="37" s="1"/>
  <c r="V33" i="37"/>
  <c r="W33" i="37"/>
  <c r="X33" i="37"/>
  <c r="Y33" i="37"/>
  <c r="C34" i="37"/>
  <c r="J34" i="37"/>
  <c r="K34" i="37"/>
  <c r="L34" i="37"/>
  <c r="M34" i="37" s="1"/>
  <c r="O34" i="37"/>
  <c r="S34" i="37"/>
  <c r="T34" i="37"/>
  <c r="U34" i="37"/>
  <c r="W34" i="37" s="1"/>
  <c r="V34" i="37"/>
  <c r="Z34" i="37"/>
  <c r="C35" i="37"/>
  <c r="J35" i="37"/>
  <c r="K35" i="37"/>
  <c r="L35" i="37"/>
  <c r="S35" i="37"/>
  <c r="T35" i="37"/>
  <c r="C36" i="37"/>
  <c r="U36" i="37" s="1"/>
  <c r="J36" i="37"/>
  <c r="K36" i="37"/>
  <c r="S36" i="37"/>
  <c r="T36" i="37"/>
  <c r="C37" i="37"/>
  <c r="J37" i="37"/>
  <c r="K37" i="37"/>
  <c r="S37" i="37"/>
  <c r="T37" i="37"/>
  <c r="C38" i="37"/>
  <c r="J38" i="37"/>
  <c r="K38" i="37"/>
  <c r="L38" i="37"/>
  <c r="P38" i="37"/>
  <c r="S38" i="37"/>
  <c r="T38" i="37"/>
  <c r="C39" i="37"/>
  <c r="J39" i="37"/>
  <c r="K39" i="37"/>
  <c r="S39" i="37"/>
  <c r="T39" i="37"/>
  <c r="C40" i="37"/>
  <c r="J40" i="37"/>
  <c r="K40" i="37"/>
  <c r="L40" i="37"/>
  <c r="Q40" i="37" s="1"/>
  <c r="M40" i="37"/>
  <c r="N40" i="37"/>
  <c r="O40" i="37"/>
  <c r="S40" i="37"/>
  <c r="T40" i="37"/>
  <c r="U40" i="37"/>
  <c r="V40" i="37"/>
  <c r="W40" i="37"/>
  <c r="C41" i="37"/>
  <c r="U41" i="37" s="1"/>
  <c r="J41" i="37"/>
  <c r="K41" i="37"/>
  <c r="L41" i="37"/>
  <c r="Q41" i="37" s="1"/>
  <c r="M41" i="37"/>
  <c r="N41" i="37"/>
  <c r="O41" i="37"/>
  <c r="P41" i="37"/>
  <c r="S41" i="37"/>
  <c r="T41" i="37"/>
  <c r="Z41" i="37"/>
  <c r="C42" i="37"/>
  <c r="J42" i="37"/>
  <c r="K42" i="37"/>
  <c r="L42" i="37"/>
  <c r="M42" i="37"/>
  <c r="N42" i="37"/>
  <c r="O42" i="37"/>
  <c r="P42" i="37"/>
  <c r="S42" i="37"/>
  <c r="T42" i="37"/>
  <c r="U42" i="37"/>
  <c r="Z42" i="37" s="1"/>
  <c r="V42" i="37"/>
  <c r="W42" i="37"/>
  <c r="C43" i="37"/>
  <c r="J43" i="37"/>
  <c r="K43" i="37"/>
  <c r="L43" i="37"/>
  <c r="N43" i="37" s="1"/>
  <c r="M43" i="37"/>
  <c r="S43" i="37"/>
  <c r="T43" i="37"/>
  <c r="U43" i="37"/>
  <c r="Z43" i="37"/>
  <c r="C44" i="37"/>
  <c r="J44" i="37"/>
  <c r="K44" i="37"/>
  <c r="S44" i="37"/>
  <c r="T44" i="37"/>
  <c r="C45" i="37"/>
  <c r="J45" i="37"/>
  <c r="K45" i="37"/>
  <c r="S45" i="37"/>
  <c r="T45" i="37"/>
  <c r="C46" i="37"/>
  <c r="V46" i="37"/>
  <c r="W46" i="37"/>
  <c r="X46" i="37"/>
  <c r="J46" i="37"/>
  <c r="K46" i="37"/>
  <c r="S46" i="37"/>
  <c r="T46" i="37"/>
  <c r="U46" i="37"/>
  <c r="Y46" i="37" s="1"/>
  <c r="C47" i="37"/>
  <c r="J47" i="37"/>
  <c r="K47" i="37"/>
  <c r="S47" i="37"/>
  <c r="T47" i="37"/>
  <c r="J48" i="37"/>
  <c r="K48" i="37"/>
  <c r="M48" i="37"/>
  <c r="N48" i="37"/>
  <c r="O48" i="37"/>
  <c r="AB48" i="37" s="1"/>
  <c r="P48" i="37"/>
  <c r="Q48" i="37"/>
  <c r="S48" i="37"/>
  <c r="T48" i="37"/>
  <c r="V48" i="37"/>
  <c r="W48" i="37"/>
  <c r="X48" i="37"/>
  <c r="Y48" i="37"/>
  <c r="Z48" i="37"/>
  <c r="J49" i="37"/>
  <c r="K49" i="37"/>
  <c r="M49" i="37"/>
  <c r="N49" i="37"/>
  <c r="O49" i="37"/>
  <c r="P49" i="37"/>
  <c r="Q49" i="37"/>
  <c r="S49" i="37"/>
  <c r="T49" i="37"/>
  <c r="V49" i="37"/>
  <c r="W49" i="37"/>
  <c r="X49" i="37"/>
  <c r="Y49" i="37"/>
  <c r="Z49" i="37"/>
  <c r="AB49" i="37"/>
  <c r="J50" i="37"/>
  <c r="K50" i="37"/>
  <c r="M50" i="37"/>
  <c r="N50" i="37"/>
  <c r="O50" i="37"/>
  <c r="P50" i="37"/>
  <c r="Q50" i="37"/>
  <c r="S50" i="37"/>
  <c r="T50" i="37"/>
  <c r="V50" i="37"/>
  <c r="W50" i="37"/>
  <c r="X50" i="37"/>
  <c r="Y50" i="37"/>
  <c r="Z50" i="37"/>
  <c r="AB50" i="37"/>
  <c r="AB51" i="37"/>
  <c r="AB52" i="37"/>
  <c r="AB53" i="37"/>
  <c r="AB54" i="37"/>
  <c r="AB55" i="37"/>
  <c r="D56" i="37"/>
  <c r="H17" i="8"/>
  <c r="H18" i="8" s="1"/>
  <c r="H10" i="8"/>
  <c r="H9" i="8"/>
  <c r="H8" i="8"/>
  <c r="G17" i="8"/>
  <c r="H14" i="8" l="1"/>
  <c r="V28" i="37"/>
  <c r="W28" i="37"/>
  <c r="X28" i="37"/>
  <c r="Y28" i="37"/>
  <c r="Z28" i="37"/>
  <c r="X36" i="37"/>
  <c r="Y36" i="37"/>
  <c r="Z36" i="37"/>
  <c r="W36" i="37"/>
  <c r="V36" i="37"/>
  <c r="AB32" i="37"/>
  <c r="AB29" i="37"/>
  <c r="AE472" i="38"/>
  <c r="C18" i="40"/>
  <c r="C18" i="39"/>
  <c r="AC380" i="38"/>
  <c r="AE380" i="38" s="1"/>
  <c r="R380" i="38"/>
  <c r="S380" i="38"/>
  <c r="T380" i="38"/>
  <c r="P380" i="38"/>
  <c r="Z380" i="38"/>
  <c r="AA380" i="38"/>
  <c r="AB380" i="38"/>
  <c r="AD380" i="38"/>
  <c r="Z300" i="38"/>
  <c r="P300" i="38"/>
  <c r="T300" i="38"/>
  <c r="AD300" i="38"/>
  <c r="AA300" i="38"/>
  <c r="AB300" i="38"/>
  <c r="AC300" i="38"/>
  <c r="S300" i="38"/>
  <c r="R300" i="38"/>
  <c r="AE300" i="38" s="1"/>
  <c r="Y492" i="38"/>
  <c r="O492" i="38"/>
  <c r="Q395" i="38"/>
  <c r="AE395" i="38" s="1"/>
  <c r="R395" i="38"/>
  <c r="S395" i="38"/>
  <c r="T395" i="38"/>
  <c r="AD395" i="38"/>
  <c r="AC395" i="38"/>
  <c r="Z395" i="38"/>
  <c r="AA395" i="38"/>
  <c r="AB395" i="38"/>
  <c r="U6" i="40"/>
  <c r="L6" i="40"/>
  <c r="V5" i="37"/>
  <c r="W5" i="37"/>
  <c r="X5" i="37"/>
  <c r="Z5" i="37"/>
  <c r="Y5" i="37"/>
  <c r="P40" i="37"/>
  <c r="AB40" i="37" s="1"/>
  <c r="V21" i="37"/>
  <c r="V20" i="37"/>
  <c r="V13" i="37"/>
  <c r="V12" i="37"/>
  <c r="AD502" i="38"/>
  <c r="AC502" i="38"/>
  <c r="AB502" i="38"/>
  <c r="AB491" i="38"/>
  <c r="AC491" i="38"/>
  <c r="AD491" i="38"/>
  <c r="AA491" i="38"/>
  <c r="P491" i="38"/>
  <c r="AE491" i="38" s="1"/>
  <c r="Q491" i="38"/>
  <c r="R491" i="38"/>
  <c r="S491" i="38"/>
  <c r="Z488" i="38"/>
  <c r="AA488" i="38"/>
  <c r="AD488" i="38"/>
  <c r="Q488" i="38"/>
  <c r="AE488" i="38" s="1"/>
  <c r="R488" i="38"/>
  <c r="S488" i="38"/>
  <c r="T488" i="38"/>
  <c r="P488" i="38"/>
  <c r="P369" i="38"/>
  <c r="P288" i="38"/>
  <c r="Q288" i="38"/>
  <c r="AA288" i="38"/>
  <c r="AB288" i="38"/>
  <c r="AD288" i="38"/>
  <c r="Z288" i="38"/>
  <c r="R288" i="38"/>
  <c r="S288" i="38"/>
  <c r="AE288" i="38" s="1"/>
  <c r="T288" i="38"/>
  <c r="AC288" i="38"/>
  <c r="Z473" i="38"/>
  <c r="AD473" i="38"/>
  <c r="P473" i="38"/>
  <c r="AE473" i="38" s="1"/>
  <c r="AC473" i="38"/>
  <c r="AB473" i="38"/>
  <c r="T473" i="38"/>
  <c r="AA473" i="38"/>
  <c r="S473" i="38"/>
  <c r="O256" i="38"/>
  <c r="Y256" i="38"/>
  <c r="M29" i="37"/>
  <c r="N29" i="37"/>
  <c r="O29" i="37"/>
  <c r="W43" i="37"/>
  <c r="V43" i="37"/>
  <c r="X43" i="37"/>
  <c r="Y43" i="37"/>
  <c r="AE487" i="38"/>
  <c r="S474" i="38"/>
  <c r="AE474" i="38" s="1"/>
  <c r="AA474" i="38"/>
  <c r="AD474" i="38"/>
  <c r="T474" i="38"/>
  <c r="AB474" i="38"/>
  <c r="AC474" i="38"/>
  <c r="R474" i="38"/>
  <c r="Z474" i="38"/>
  <c r="T414" i="38"/>
  <c r="Z414" i="38"/>
  <c r="AA414" i="38"/>
  <c r="AB414" i="38"/>
  <c r="AC414" i="38"/>
  <c r="AD414" i="38"/>
  <c r="R414" i="38"/>
  <c r="S414" i="38"/>
  <c r="Q414" i="38"/>
  <c r="AE414" i="38" s="1"/>
  <c r="AB385" i="38"/>
  <c r="AC385" i="38"/>
  <c r="AA385" i="38"/>
  <c r="AD385" i="38"/>
  <c r="Z385" i="38"/>
  <c r="Q385" i="38"/>
  <c r="AE385" i="38" s="1"/>
  <c r="R331" i="38"/>
  <c r="S331" i="38"/>
  <c r="Q331" i="38"/>
  <c r="T331" i="38"/>
  <c r="Z331" i="38"/>
  <c r="AA331" i="38"/>
  <c r="AB331" i="38"/>
  <c r="AD331" i="38"/>
  <c r="AC331" i="38"/>
  <c r="P331" i="38"/>
  <c r="C37" i="40"/>
  <c r="C37" i="39"/>
  <c r="U37" i="37"/>
  <c r="L37" i="37"/>
  <c r="N34" i="37"/>
  <c r="AB34" i="37" s="1"/>
  <c r="C19" i="40"/>
  <c r="C19" i="39"/>
  <c r="U19" i="37"/>
  <c r="L19" i="37"/>
  <c r="C10" i="39"/>
  <c r="C10" i="40"/>
  <c r="L10" i="37"/>
  <c r="O7" i="37"/>
  <c r="P7" i="37"/>
  <c r="Q7" i="37"/>
  <c r="Y507" i="38"/>
  <c r="O507" i="38"/>
  <c r="Q493" i="38"/>
  <c r="R493" i="38"/>
  <c r="S493" i="38"/>
  <c r="P493" i="38"/>
  <c r="AE493" i="38" s="1"/>
  <c r="T493" i="38"/>
  <c r="Q485" i="38"/>
  <c r="AD484" i="38"/>
  <c r="AE484" i="38" s="1"/>
  <c r="Z484" i="38"/>
  <c r="AA484" i="38"/>
  <c r="AB484" i="38"/>
  <c r="AC484" i="38"/>
  <c r="T484" i="38"/>
  <c r="R409" i="38"/>
  <c r="S396" i="38"/>
  <c r="O266" i="38"/>
  <c r="Y266" i="38"/>
  <c r="F510" i="38"/>
  <c r="C46" i="40"/>
  <c r="C46" i="39"/>
  <c r="L46" i="37"/>
  <c r="Q42" i="37"/>
  <c r="AB42" i="37" s="1"/>
  <c r="O25" i="37"/>
  <c r="AB25" i="37" s="1"/>
  <c r="AB9" i="37"/>
  <c r="R502" i="38"/>
  <c r="AD494" i="38"/>
  <c r="P494" i="38"/>
  <c r="Q494" i="38"/>
  <c r="AE494" i="38" s="1"/>
  <c r="T431" i="38"/>
  <c r="Q431" i="38"/>
  <c r="R431" i="38"/>
  <c r="S431" i="38"/>
  <c r="AA431" i="38"/>
  <c r="P431" i="38"/>
  <c r="AE431" i="38" s="1"/>
  <c r="Z431" i="38"/>
  <c r="AB431" i="38"/>
  <c r="AC431" i="38"/>
  <c r="AD431" i="38"/>
  <c r="C44" i="40"/>
  <c r="C44" i="39"/>
  <c r="U44" i="37"/>
  <c r="O426" i="38"/>
  <c r="Y426" i="38"/>
  <c r="S485" i="38"/>
  <c r="T485" i="38"/>
  <c r="Z485" i="38"/>
  <c r="R485" i="38"/>
  <c r="AA485" i="38"/>
  <c r="AB485" i="38"/>
  <c r="AC485" i="38"/>
  <c r="AD485" i="38"/>
  <c r="Z396" i="38"/>
  <c r="AD396" i="38"/>
  <c r="AA396" i="38"/>
  <c r="AB396" i="38"/>
  <c r="AC396" i="38"/>
  <c r="P396" i="38"/>
  <c r="AE396" i="38" s="1"/>
  <c r="P150" i="38"/>
  <c r="AC150" i="38"/>
  <c r="Q150" i="38"/>
  <c r="S150" i="38"/>
  <c r="T150" i="38"/>
  <c r="Z150" i="38"/>
  <c r="R150" i="38"/>
  <c r="AD150" i="38"/>
  <c r="AB150" i="38"/>
  <c r="AA150" i="38"/>
  <c r="P465" i="38"/>
  <c r="AE465" i="38" s="1"/>
  <c r="AB465" i="38"/>
  <c r="AD465" i="38"/>
  <c r="AA465" i="38"/>
  <c r="AC465" i="38"/>
  <c r="Z465" i="38"/>
  <c r="T465" i="38"/>
  <c r="O334" i="38"/>
  <c r="Y334" i="38"/>
  <c r="Z202" i="38"/>
  <c r="AE202" i="38" s="1"/>
  <c r="AD202" i="38"/>
  <c r="AC202" i="38"/>
  <c r="AA202" i="38"/>
  <c r="AB202" i="38"/>
  <c r="Q202" i="38"/>
  <c r="R202" i="38"/>
  <c r="S202" i="38"/>
  <c r="T202" i="38"/>
  <c r="P202" i="38"/>
  <c r="Z46" i="37"/>
  <c r="C30" i="39"/>
  <c r="C30" i="40"/>
  <c r="L30" i="37"/>
  <c r="AB22" i="37"/>
  <c r="C20" i="39"/>
  <c r="C20" i="40"/>
  <c r="L20" i="37"/>
  <c r="AB14" i="37"/>
  <c r="C11" i="40"/>
  <c r="C11" i="39"/>
  <c r="L11" i="37"/>
  <c r="Y9" i="37"/>
  <c r="Z9" i="37"/>
  <c r="Y506" i="38"/>
  <c r="R505" i="38"/>
  <c r="AD504" i="38"/>
  <c r="R504" i="38"/>
  <c r="S504" i="38"/>
  <c r="AE504" i="38" s="1"/>
  <c r="Z504" i="38"/>
  <c r="AA504" i="38"/>
  <c r="AB504" i="38"/>
  <c r="AC504" i="38"/>
  <c r="Z494" i="38"/>
  <c r="AB493" i="38"/>
  <c r="R486" i="38"/>
  <c r="AA481" i="38"/>
  <c r="Q479" i="38"/>
  <c r="AE479" i="38" s="1"/>
  <c r="O75" i="38"/>
  <c r="Y75" i="38"/>
  <c r="E514" i="38"/>
  <c r="C26" i="40"/>
  <c r="C26" i="39"/>
  <c r="U26" i="37"/>
  <c r="AD55" i="38"/>
  <c r="Q55" i="38"/>
  <c r="AE55" i="38" s="1"/>
  <c r="AA55" i="38"/>
  <c r="Z55" i="38"/>
  <c r="AB55" i="38"/>
  <c r="AC55" i="38"/>
  <c r="T55" i="38"/>
  <c r="R55" i="38"/>
  <c r="S55" i="38"/>
  <c r="P34" i="37"/>
  <c r="Q34" i="37"/>
  <c r="C38" i="40"/>
  <c r="C38" i="39"/>
  <c r="AB31" i="37"/>
  <c r="AB140" i="38"/>
  <c r="G510" i="38"/>
  <c r="T68" i="38"/>
  <c r="AE68" i="38"/>
  <c r="I510" i="38"/>
  <c r="C39" i="40"/>
  <c r="C39" i="39"/>
  <c r="L39" i="37"/>
  <c r="U18" i="37"/>
  <c r="S397" i="38"/>
  <c r="AD397" i="38"/>
  <c r="Z397" i="38"/>
  <c r="AA397" i="38"/>
  <c r="AB397" i="38"/>
  <c r="AC397" i="38"/>
  <c r="T397" i="38"/>
  <c r="P397" i="38"/>
  <c r="AE397" i="38" s="1"/>
  <c r="E510" i="38"/>
  <c r="X41" i="37"/>
  <c r="Y41" i="37"/>
  <c r="V41" i="37"/>
  <c r="AB41" i="37" s="1"/>
  <c r="W41" i="37"/>
  <c r="L26" i="37"/>
  <c r="C12" i="40"/>
  <c r="C12" i="39"/>
  <c r="L12" i="37"/>
  <c r="Y494" i="38"/>
  <c r="AA493" i="38"/>
  <c r="Y489" i="38"/>
  <c r="O489" i="38"/>
  <c r="Z466" i="38"/>
  <c r="AA466" i="38"/>
  <c r="AB466" i="38"/>
  <c r="AC466" i="38"/>
  <c r="AD466" i="38"/>
  <c r="T466" i="38"/>
  <c r="AE466" i="38" s="1"/>
  <c r="Q126" i="38"/>
  <c r="R126" i="38"/>
  <c r="Z126" i="38"/>
  <c r="AA126" i="38"/>
  <c r="AB126" i="38"/>
  <c r="AD126" i="38"/>
  <c r="T126" i="38"/>
  <c r="AC126" i="38"/>
  <c r="S126" i="38"/>
  <c r="P126" i="38"/>
  <c r="S479" i="38"/>
  <c r="AC479" i="38"/>
  <c r="AD479" i="38"/>
  <c r="AB479" i="38"/>
  <c r="Z479" i="38"/>
  <c r="AA479" i="38"/>
  <c r="Y421" i="38"/>
  <c r="O421" i="38"/>
  <c r="AE405" i="38"/>
  <c r="C27" i="39"/>
  <c r="C27" i="40"/>
  <c r="U27" i="37"/>
  <c r="Q506" i="38"/>
  <c r="AE506" i="38" s="1"/>
  <c r="AC506" i="38"/>
  <c r="AD506" i="38"/>
  <c r="P506" i="38"/>
  <c r="R506" i="38"/>
  <c r="S506" i="38"/>
  <c r="T506" i="38"/>
  <c r="C45" i="40"/>
  <c r="C45" i="39"/>
  <c r="L45" i="37"/>
  <c r="S499" i="38"/>
  <c r="AA499" i="38"/>
  <c r="AB499" i="38"/>
  <c r="Q499" i="38"/>
  <c r="R499" i="38"/>
  <c r="T499" i="38"/>
  <c r="Z499" i="38"/>
  <c r="P499" i="38"/>
  <c r="AE499" i="38" s="1"/>
  <c r="Z409" i="38"/>
  <c r="AB409" i="38"/>
  <c r="AC409" i="38"/>
  <c r="AE409" i="38" s="1"/>
  <c r="AA409" i="38"/>
  <c r="AD409" i="38"/>
  <c r="T409" i="38"/>
  <c r="S409" i="38"/>
  <c r="Q409" i="38"/>
  <c r="Y399" i="38"/>
  <c r="O399" i="38"/>
  <c r="G18" i="8"/>
  <c r="G21" i="8" s="1"/>
  <c r="Q43" i="37"/>
  <c r="O43" i="37"/>
  <c r="AB43" i="37" s="1"/>
  <c r="P43" i="37"/>
  <c r="H510" i="38"/>
  <c r="O35" i="37"/>
  <c r="P35" i="37"/>
  <c r="Q35" i="37"/>
  <c r="M35" i="37"/>
  <c r="N35" i="37"/>
  <c r="P17" i="37"/>
  <c r="Q17" i="37"/>
  <c r="Z506" i="38"/>
  <c r="L44" i="37"/>
  <c r="Y493" i="38"/>
  <c r="AB488" i="38"/>
  <c r="AD472" i="38"/>
  <c r="S467" i="38"/>
  <c r="R467" i="38"/>
  <c r="Z467" i="38"/>
  <c r="AC467" i="38"/>
  <c r="Q467" i="38"/>
  <c r="AE467" i="38" s="1"/>
  <c r="AD467" i="38"/>
  <c r="AB467" i="38"/>
  <c r="AA467" i="38"/>
  <c r="Y420" i="38"/>
  <c r="O420" i="38"/>
  <c r="O232" i="38"/>
  <c r="Y232" i="38"/>
  <c r="Q383" i="38"/>
  <c r="R383" i="38"/>
  <c r="AD383" i="38"/>
  <c r="AC383" i="38"/>
  <c r="AB383" i="38"/>
  <c r="Z383" i="38"/>
  <c r="AA383" i="38"/>
  <c r="AA370" i="38"/>
  <c r="AB370" i="38"/>
  <c r="Z370" i="38"/>
  <c r="AE370" i="38" s="1"/>
  <c r="AC370" i="38"/>
  <c r="AD370" i="38"/>
  <c r="T284" i="38"/>
  <c r="Z284" i="38"/>
  <c r="AA284" i="38"/>
  <c r="AC284" i="38"/>
  <c r="AD284" i="38"/>
  <c r="P284" i="38"/>
  <c r="Q284" i="38"/>
  <c r="AE284" i="38" s="1"/>
  <c r="R284" i="38"/>
  <c r="S284" i="38"/>
  <c r="AB284" i="38"/>
  <c r="Z11" i="37"/>
  <c r="S496" i="38"/>
  <c r="AE496" i="38" s="1"/>
  <c r="R495" i="38"/>
  <c r="AE495" i="38" s="1"/>
  <c r="AE485" i="38"/>
  <c r="AC480" i="38"/>
  <c r="P480" i="38"/>
  <c r="AE480" i="38" s="1"/>
  <c r="AB480" i="38"/>
  <c r="Z480" i="38"/>
  <c r="AA480" i="38"/>
  <c r="AD480" i="38"/>
  <c r="Y471" i="38"/>
  <c r="O471" i="38"/>
  <c r="T370" i="38"/>
  <c r="T369" i="38"/>
  <c r="Q368" i="38"/>
  <c r="R368" i="38"/>
  <c r="P368" i="38"/>
  <c r="AD368" i="38"/>
  <c r="AC368" i="38"/>
  <c r="AB368" i="38"/>
  <c r="Z368" i="38"/>
  <c r="AA368" i="38"/>
  <c r="T368" i="38"/>
  <c r="Q364" i="38"/>
  <c r="P364" i="38"/>
  <c r="AE364" i="38" s="1"/>
  <c r="R364" i="38"/>
  <c r="Z364" i="38"/>
  <c r="AA364" i="38"/>
  <c r="AB364" i="38"/>
  <c r="AD364" i="38"/>
  <c r="T364" i="38"/>
  <c r="AC364" i="38"/>
  <c r="S364" i="38"/>
  <c r="Q38" i="37"/>
  <c r="M38" i="37"/>
  <c r="N38" i="37"/>
  <c r="O38" i="37"/>
  <c r="M21" i="37"/>
  <c r="N21" i="37"/>
  <c r="O21" i="37"/>
  <c r="C47" i="40"/>
  <c r="C47" i="39"/>
  <c r="L47" i="37"/>
  <c r="AA506" i="38"/>
  <c r="R475" i="38"/>
  <c r="T475" i="38"/>
  <c r="AA475" i="38"/>
  <c r="Q475" i="38"/>
  <c r="S475" i="38"/>
  <c r="AE475" i="38" s="1"/>
  <c r="Z475" i="38"/>
  <c r="AB475" i="38"/>
  <c r="P475" i="38"/>
  <c r="L18" i="37"/>
  <c r="Z40" i="37"/>
  <c r="X40" i="37"/>
  <c r="Y40" i="37"/>
  <c r="Z20" i="37"/>
  <c r="Z13" i="37"/>
  <c r="Z12" i="37"/>
  <c r="Q5" i="37"/>
  <c r="U47" i="37"/>
  <c r="Y21" i="37"/>
  <c r="X11" i="37"/>
  <c r="M5" i="37"/>
  <c r="Q481" i="38"/>
  <c r="AE481" i="38" s="1"/>
  <c r="O400" i="38"/>
  <c r="Y400" i="38"/>
  <c r="S370" i="38"/>
  <c r="Z253" i="38"/>
  <c r="AA253" i="38"/>
  <c r="AB253" i="38"/>
  <c r="Q253" i="38"/>
  <c r="R253" i="38"/>
  <c r="S253" i="38"/>
  <c r="T253" i="38"/>
  <c r="P253" i="38"/>
  <c r="AE253" i="38" s="1"/>
  <c r="AC253" i="38"/>
  <c r="AD253" i="38"/>
  <c r="AB369" i="38"/>
  <c r="AA369" i="38"/>
  <c r="AD369" i="38"/>
  <c r="Z369" i="38"/>
  <c r="AC369" i="38"/>
  <c r="R448" i="38"/>
  <c r="AA448" i="38"/>
  <c r="AB448" i="38"/>
  <c r="AC448" i="38"/>
  <c r="AD448" i="38"/>
  <c r="Z448" i="38"/>
  <c r="AE448" i="38" s="1"/>
  <c r="C36" i="40"/>
  <c r="C36" i="39"/>
  <c r="L36" i="37"/>
  <c r="Z493" i="38"/>
  <c r="U45" i="37"/>
  <c r="C7" i="39"/>
  <c r="C7" i="40"/>
  <c r="U7" i="37"/>
  <c r="S505" i="38"/>
  <c r="AE505" i="38" s="1"/>
  <c r="Z505" i="38"/>
  <c r="AA505" i="38"/>
  <c r="AB505" i="38"/>
  <c r="AC505" i="38"/>
  <c r="T505" i="38"/>
  <c r="W24" i="37"/>
  <c r="X24" i="37"/>
  <c r="Y24" i="37"/>
  <c r="V24" i="37"/>
  <c r="AB24" i="37" s="1"/>
  <c r="Z21" i="37"/>
  <c r="X15" i="37"/>
  <c r="Y15" i="37"/>
  <c r="V15" i="37"/>
  <c r="AB15" i="37" s="1"/>
  <c r="W15" i="37"/>
  <c r="Y11" i="37"/>
  <c r="P9" i="37"/>
  <c r="X31" i="37"/>
  <c r="Y31" i="37"/>
  <c r="Z31" i="37"/>
  <c r="L27" i="37"/>
  <c r="Y20" i="37"/>
  <c r="Y13" i="37"/>
  <c r="Y12" i="37"/>
  <c r="U10" i="37"/>
  <c r="C43" i="39"/>
  <c r="C43" i="40"/>
  <c r="U39" i="37"/>
  <c r="U38" i="37"/>
  <c r="W23" i="37"/>
  <c r="AB23" i="37" s="1"/>
  <c r="Z23" i="37"/>
  <c r="X23" i="37"/>
  <c r="Y23" i="37"/>
  <c r="Z22" i="37"/>
  <c r="Y22" i="37"/>
  <c r="X21" i="37"/>
  <c r="X20" i="37"/>
  <c r="X13" i="37"/>
  <c r="X12" i="37"/>
  <c r="W11" i="37"/>
  <c r="N5" i="37"/>
  <c r="O5" i="37"/>
  <c r="P5" i="37"/>
  <c r="T500" i="38"/>
  <c r="AA500" i="38"/>
  <c r="P500" i="38"/>
  <c r="AE500" i="38" s="1"/>
  <c r="R500" i="38"/>
  <c r="Q500" i="38"/>
  <c r="S500" i="38"/>
  <c r="S494" i="38"/>
  <c r="O490" i="38"/>
  <c r="Y490" i="38"/>
  <c r="P487" i="38"/>
  <c r="AC454" i="38"/>
  <c r="Q454" i="38"/>
  <c r="R454" i="38"/>
  <c r="S454" i="38"/>
  <c r="T454" i="38"/>
  <c r="Z454" i="38"/>
  <c r="P454" i="38"/>
  <c r="AE454" i="38" s="1"/>
  <c r="AD454" i="38"/>
  <c r="AB454" i="38"/>
  <c r="AA454" i="38"/>
  <c r="T448" i="38"/>
  <c r="AA447" i="38"/>
  <c r="Q447" i="38"/>
  <c r="AE447" i="38" s="1"/>
  <c r="Z447" i="38"/>
  <c r="AB447" i="38"/>
  <c r="AC447" i="38"/>
  <c r="AD447" i="38"/>
  <c r="T447" i="38"/>
  <c r="S447" i="38"/>
  <c r="T383" i="38"/>
  <c r="O381" i="38"/>
  <c r="Y381" i="38"/>
  <c r="R370" i="38"/>
  <c r="R369" i="38"/>
  <c r="C28" i="39"/>
  <c r="C28" i="40"/>
  <c r="L28" i="37"/>
  <c r="C21" i="39"/>
  <c r="C21" i="40"/>
  <c r="C35" i="39"/>
  <c r="C35" i="40"/>
  <c r="U35" i="37"/>
  <c r="X32" i="37"/>
  <c r="Y32" i="37"/>
  <c r="Z32" i="37"/>
  <c r="V32" i="37"/>
  <c r="W32" i="37"/>
  <c r="X14" i="37"/>
  <c r="Y14" i="37"/>
  <c r="Z14" i="37"/>
  <c r="C8" i="39"/>
  <c r="C8" i="40"/>
  <c r="U8" i="37"/>
  <c r="L8" i="37"/>
  <c r="S509" i="38"/>
  <c r="AC509" i="38"/>
  <c r="AD509" i="38"/>
  <c r="Z509" i="38"/>
  <c r="AE509" i="38" s="1"/>
  <c r="AA509" i="38"/>
  <c r="AB509" i="38"/>
  <c r="AB501" i="38"/>
  <c r="T501" i="38"/>
  <c r="P501" i="38"/>
  <c r="R501" i="38"/>
  <c r="Q501" i="38"/>
  <c r="Q496" i="38"/>
  <c r="AA496" i="38"/>
  <c r="AB496" i="38"/>
  <c r="T496" i="38"/>
  <c r="Z496" i="38"/>
  <c r="AC496" i="38"/>
  <c r="AD496" i="38"/>
  <c r="AA495" i="38"/>
  <c r="AB495" i="38"/>
  <c r="Z495" i="38"/>
  <c r="AD495" i="38"/>
  <c r="AC495" i="38"/>
  <c r="AB481" i="38"/>
  <c r="S481" i="38"/>
  <c r="T481" i="38"/>
  <c r="Z481" i="38"/>
  <c r="R481" i="38"/>
  <c r="AD481" i="38"/>
  <c r="AC481" i="38"/>
  <c r="S448" i="38"/>
  <c r="S383" i="38"/>
  <c r="Q370" i="38"/>
  <c r="Q369" i="38"/>
  <c r="AA262" i="38"/>
  <c r="AB262" i="38"/>
  <c r="AC262" i="38"/>
  <c r="AD262" i="38"/>
  <c r="Q262" i="38"/>
  <c r="Z262" i="38"/>
  <c r="R262" i="38"/>
  <c r="S262" i="38"/>
  <c r="T262" i="38"/>
  <c r="P262" i="38"/>
  <c r="AE262" i="38" s="1"/>
  <c r="C23" i="39"/>
  <c r="C23" i="40"/>
  <c r="X16" i="37"/>
  <c r="AB16" i="37" s="1"/>
  <c r="C40" i="39"/>
  <c r="C40" i="40"/>
  <c r="C31" i="40"/>
  <c r="C31" i="39"/>
  <c r="C14" i="39"/>
  <c r="C14" i="40"/>
  <c r="C22" i="39"/>
  <c r="C22" i="40"/>
  <c r="C13" i="40"/>
  <c r="C13" i="39"/>
  <c r="L13" i="37"/>
  <c r="AE502" i="38"/>
  <c r="Y497" i="38"/>
  <c r="Y483" i="38"/>
  <c r="AA462" i="38"/>
  <c r="T462" i="38"/>
  <c r="Z462" i="38"/>
  <c r="AE462" i="38" s="1"/>
  <c r="AD462" i="38"/>
  <c r="S462" i="38"/>
  <c r="AC462" i="38"/>
  <c r="AC453" i="38"/>
  <c r="Z453" i="38"/>
  <c r="AE453" i="38" s="1"/>
  <c r="AA453" i="38"/>
  <c r="AB453" i="38"/>
  <c r="AD453" i="38"/>
  <c r="R468" i="38"/>
  <c r="P468" i="38"/>
  <c r="Q468" i="38"/>
  <c r="S468" i="38"/>
  <c r="AE468" i="38" s="1"/>
  <c r="T468" i="38"/>
  <c r="AD468" i="38"/>
  <c r="AC468" i="38"/>
  <c r="R428" i="38"/>
  <c r="AB428" i="38"/>
  <c r="AC428" i="38"/>
  <c r="P428" i="38"/>
  <c r="AE428" i="38" s="1"/>
  <c r="S428" i="38"/>
  <c r="T428" i="38"/>
  <c r="Z428" i="38"/>
  <c r="AD428" i="38"/>
  <c r="Q428" i="38"/>
  <c r="Q384" i="38"/>
  <c r="AB384" i="38"/>
  <c r="Z384" i="38"/>
  <c r="AA384" i="38"/>
  <c r="AE384" i="38" s="1"/>
  <c r="AC384" i="38"/>
  <c r="AD384" i="38"/>
  <c r="Z263" i="38"/>
  <c r="AA263" i="38"/>
  <c r="AB263" i="38"/>
  <c r="T263" i="38"/>
  <c r="AE263" i="38" s="1"/>
  <c r="AC263" i="38"/>
  <c r="AD263" i="38"/>
  <c r="S263" i="38"/>
  <c r="R263" i="38"/>
  <c r="P263" i="38"/>
  <c r="Y152" i="38"/>
  <c r="O152" i="38"/>
  <c r="O71" i="38"/>
  <c r="Y71" i="38"/>
  <c r="C5" i="40"/>
  <c r="C5" i="39"/>
  <c r="Z508" i="38"/>
  <c r="Q508" i="38"/>
  <c r="AE508" i="38" s="1"/>
  <c r="R508" i="38"/>
  <c r="R458" i="38"/>
  <c r="AC458" i="38"/>
  <c r="S458" i="38"/>
  <c r="T458" i="38"/>
  <c r="AB458" i="38"/>
  <c r="Q458" i="38"/>
  <c r="AE458" i="38" s="1"/>
  <c r="AC449" i="38"/>
  <c r="AE449" i="38" s="1"/>
  <c r="O422" i="38"/>
  <c r="Y422" i="38"/>
  <c r="AA410" i="38"/>
  <c r="S410" i="38"/>
  <c r="T410" i="38"/>
  <c r="Z410" i="38"/>
  <c r="AB410" i="38"/>
  <c r="AD410" i="38"/>
  <c r="R410" i="38"/>
  <c r="AC410" i="38"/>
  <c r="Y407" i="38"/>
  <c r="O407" i="38"/>
  <c r="P355" i="38"/>
  <c r="AE355" i="38" s="1"/>
  <c r="P356" i="38"/>
  <c r="S307" i="38"/>
  <c r="T307" i="38"/>
  <c r="AE307" i="38" s="1"/>
  <c r="AB307" i="38"/>
  <c r="Q307" i="38"/>
  <c r="R307" i="38"/>
  <c r="Z307" i="38"/>
  <c r="AA307" i="38"/>
  <c r="AC307" i="38"/>
  <c r="AD307" i="38"/>
  <c r="Y34" i="37"/>
  <c r="C6" i="39"/>
  <c r="L6" i="37"/>
  <c r="AD487" i="38"/>
  <c r="AC487" i="38"/>
  <c r="Y42" i="37"/>
  <c r="C42" i="39"/>
  <c r="C42" i="40"/>
  <c r="X34" i="37"/>
  <c r="Z25" i="37"/>
  <c r="C25" i="40"/>
  <c r="C25" i="39"/>
  <c r="Q9" i="37"/>
  <c r="Z6" i="37"/>
  <c r="AA487" i="38"/>
  <c r="Q486" i="38"/>
  <c r="P486" i="38"/>
  <c r="AE486" i="38" s="1"/>
  <c r="S486" i="38"/>
  <c r="T486" i="38"/>
  <c r="AA470" i="38"/>
  <c r="AB470" i="38"/>
  <c r="AC470" i="38"/>
  <c r="AD470" i="38"/>
  <c r="Z470" i="38"/>
  <c r="AE470" i="38" s="1"/>
  <c r="T460" i="38"/>
  <c r="AE460" i="38" s="1"/>
  <c r="Q439" i="38"/>
  <c r="AE439" i="38" s="1"/>
  <c r="AC433" i="38"/>
  <c r="S433" i="38"/>
  <c r="T433" i="38"/>
  <c r="AE433" i="38" s="1"/>
  <c r="P433" i="38"/>
  <c r="Z433" i="38"/>
  <c r="AA433" i="38"/>
  <c r="AB433" i="38"/>
  <c r="AD433" i="38"/>
  <c r="O401" i="38"/>
  <c r="Y401" i="38"/>
  <c r="R398" i="38"/>
  <c r="Z398" i="38"/>
  <c r="AA398" i="38"/>
  <c r="AB398" i="38"/>
  <c r="S398" i="38"/>
  <c r="T398" i="38"/>
  <c r="AC398" i="38"/>
  <c r="Q398" i="38"/>
  <c r="AE398" i="38" s="1"/>
  <c r="Q357" i="38"/>
  <c r="AD469" i="38"/>
  <c r="Q469" i="38"/>
  <c r="AC469" i="38"/>
  <c r="Z469" i="38"/>
  <c r="AA469" i="38"/>
  <c r="AB469" i="38"/>
  <c r="Z457" i="38"/>
  <c r="AA457" i="38"/>
  <c r="AB457" i="38"/>
  <c r="AC457" i="38"/>
  <c r="AD457" i="38"/>
  <c r="Z444" i="38"/>
  <c r="AA444" i="38"/>
  <c r="AB444" i="38"/>
  <c r="AC444" i="38"/>
  <c r="AE444" i="38" s="1"/>
  <c r="AD444" i="38"/>
  <c r="T444" i="38"/>
  <c r="Y427" i="38"/>
  <c r="O427" i="38"/>
  <c r="Y390" i="38"/>
  <c r="O390" i="38"/>
  <c r="Z386" i="38"/>
  <c r="Q386" i="38"/>
  <c r="AE386" i="38" s="1"/>
  <c r="R386" i="38"/>
  <c r="S386" i="38"/>
  <c r="T386" i="38"/>
  <c r="AD386" i="38"/>
  <c r="AC386" i="38"/>
  <c r="C34" i="39"/>
  <c r="C34" i="40"/>
  <c r="C17" i="39"/>
  <c r="C17" i="40"/>
  <c r="U17" i="37"/>
  <c r="X42" i="37"/>
  <c r="C33" i="40"/>
  <c r="C33" i="39"/>
  <c r="L33" i="37"/>
  <c r="Z16" i="37"/>
  <c r="C16" i="39"/>
  <c r="C16" i="40"/>
  <c r="Z487" i="38"/>
  <c r="S460" i="38"/>
  <c r="Z404" i="38"/>
  <c r="AA404" i="38"/>
  <c r="AB404" i="38"/>
  <c r="AD404" i="38"/>
  <c r="T404" i="38"/>
  <c r="R404" i="38"/>
  <c r="AE404" i="38" s="1"/>
  <c r="S404" i="38"/>
  <c r="AC404" i="38"/>
  <c r="Q404" i="38"/>
  <c r="O214" i="38"/>
  <c r="Y214" i="38"/>
  <c r="AE443" i="38"/>
  <c r="AC439" i="38"/>
  <c r="AD439" i="38"/>
  <c r="Z439" i="38"/>
  <c r="AA439" i="38"/>
  <c r="AB439" i="38"/>
  <c r="T439" i="38"/>
  <c r="S439" i="38"/>
  <c r="P435" i="38"/>
  <c r="AD435" i="38"/>
  <c r="Z435" i="38"/>
  <c r="AA435" i="38"/>
  <c r="T435" i="38"/>
  <c r="S435" i="38"/>
  <c r="AB435" i="38"/>
  <c r="AC435" i="38"/>
  <c r="R435" i="38"/>
  <c r="AE402" i="38"/>
  <c r="O338" i="38"/>
  <c r="Y338" i="38"/>
  <c r="C41" i="39"/>
  <c r="C41" i="40"/>
  <c r="C24" i="40"/>
  <c r="C24" i="39"/>
  <c r="AC497" i="38"/>
  <c r="P483" i="38"/>
  <c r="AD483" i="38"/>
  <c r="AA460" i="38"/>
  <c r="P460" i="38"/>
  <c r="Q460" i="38"/>
  <c r="AD460" i="38"/>
  <c r="AC460" i="38"/>
  <c r="AB460" i="38"/>
  <c r="AE457" i="38"/>
  <c r="AD416" i="38"/>
  <c r="P416" i="38"/>
  <c r="Q416" i="38"/>
  <c r="R416" i="38"/>
  <c r="S416" i="38"/>
  <c r="T416" i="38"/>
  <c r="AE416" i="38" s="1"/>
  <c r="O391" i="38"/>
  <c r="Y391" i="38"/>
  <c r="AE356" i="38"/>
  <c r="AD252" i="38"/>
  <c r="AB252" i="38"/>
  <c r="Z252" i="38"/>
  <c r="AA252" i="38"/>
  <c r="AC252" i="38"/>
  <c r="T252" i="38"/>
  <c r="R252" i="38"/>
  <c r="AE252" i="38" s="1"/>
  <c r="S252" i="38"/>
  <c r="Q252" i="38"/>
  <c r="AD497" i="38"/>
  <c r="AB483" i="38"/>
  <c r="P482" i="38"/>
  <c r="Q482" i="38"/>
  <c r="R482" i="38"/>
  <c r="AE482" i="38" s="1"/>
  <c r="T482" i="38"/>
  <c r="AC423" i="38"/>
  <c r="Q423" i="38"/>
  <c r="AD423" i="38"/>
  <c r="P423" i="38"/>
  <c r="AE423" i="38" s="1"/>
  <c r="R423" i="38"/>
  <c r="S423" i="38"/>
  <c r="T423" i="38"/>
  <c r="Z423" i="38"/>
  <c r="R394" i="38"/>
  <c r="AD251" i="38"/>
  <c r="P497" i="38"/>
  <c r="AE497" i="38" s="1"/>
  <c r="Q497" i="38"/>
  <c r="C15" i="39"/>
  <c r="C15" i="40"/>
  <c r="O503" i="38"/>
  <c r="Y503" i="38"/>
  <c r="AA497" i="38"/>
  <c r="AA483" i="38"/>
  <c r="AD482" i="38"/>
  <c r="P472" i="38"/>
  <c r="Q472" i="38"/>
  <c r="R472" i="38"/>
  <c r="S472" i="38"/>
  <c r="Z472" i="38"/>
  <c r="AA472" i="38"/>
  <c r="AB472" i="38"/>
  <c r="AC472" i="38"/>
  <c r="T461" i="38"/>
  <c r="AE461" i="38" s="1"/>
  <c r="AA461" i="38"/>
  <c r="AC461" i="38"/>
  <c r="AD461" i="38"/>
  <c r="Z461" i="38"/>
  <c r="AB461" i="38"/>
  <c r="AA440" i="38"/>
  <c r="Z440" i="38"/>
  <c r="AE440" i="38" s="1"/>
  <c r="AB440" i="38"/>
  <c r="T440" i="38"/>
  <c r="AC440" i="38"/>
  <c r="AD440" i="38"/>
  <c r="R418" i="38"/>
  <c r="AE418" i="38" s="1"/>
  <c r="T418" i="38"/>
  <c r="P418" i="38"/>
  <c r="AD418" i="38"/>
  <c r="Q418" i="38"/>
  <c r="P360" i="38"/>
  <c r="AE360" i="38" s="1"/>
  <c r="C32" i="40"/>
  <c r="C32" i="39"/>
  <c r="Z497" i="38"/>
  <c r="T487" i="38"/>
  <c r="Z483" i="38"/>
  <c r="AE483" i="38" s="1"/>
  <c r="AC482" i="38"/>
  <c r="Y476" i="38"/>
  <c r="O476" i="38"/>
  <c r="Q436" i="38"/>
  <c r="R436" i="38"/>
  <c r="S436" i="38"/>
  <c r="T436" i="38"/>
  <c r="AA436" i="38"/>
  <c r="P436" i="38"/>
  <c r="Z436" i="38"/>
  <c r="AB436" i="38"/>
  <c r="AC436" i="38"/>
  <c r="AD436" i="38"/>
  <c r="AC416" i="38"/>
  <c r="AE410" i="38"/>
  <c r="Q394" i="38"/>
  <c r="AE394" i="38" s="1"/>
  <c r="S394" i="38"/>
  <c r="Z394" i="38"/>
  <c r="AD394" i="38"/>
  <c r="AA394" i="38"/>
  <c r="AB394" i="38"/>
  <c r="AC394" i="38"/>
  <c r="T394" i="38"/>
  <c r="Y456" i="38"/>
  <c r="Y452" i="38"/>
  <c r="Y438" i="38"/>
  <c r="Z429" i="38"/>
  <c r="AA429" i="38"/>
  <c r="AB429" i="38"/>
  <c r="AC429" i="38"/>
  <c r="AD429" i="38"/>
  <c r="O415" i="38"/>
  <c r="Y415" i="38"/>
  <c r="AE389" i="38"/>
  <c r="Y351" i="38"/>
  <c r="O351" i="38"/>
  <c r="O348" i="38"/>
  <c r="Y348" i="38"/>
  <c r="O225" i="38"/>
  <c r="Y225" i="38"/>
  <c r="AD212" i="38"/>
  <c r="Z212" i="38"/>
  <c r="AA212" i="38"/>
  <c r="AB212" i="38"/>
  <c r="T212" i="38"/>
  <c r="Q212" i="38"/>
  <c r="R212" i="38"/>
  <c r="S212" i="38"/>
  <c r="AC212" i="38"/>
  <c r="P212" i="38"/>
  <c r="AE212" i="38" s="1"/>
  <c r="AE436" i="38"/>
  <c r="AE435" i="38"/>
  <c r="O430" i="38"/>
  <c r="Y430" i="38"/>
  <c r="T406" i="38"/>
  <c r="P406" i="38"/>
  <c r="AE406" i="38" s="1"/>
  <c r="Q406" i="38"/>
  <c r="R406" i="38"/>
  <c r="S406" i="38"/>
  <c r="AD392" i="38"/>
  <c r="P392" i="38"/>
  <c r="AE392" i="38" s="1"/>
  <c r="Q392" i="38"/>
  <c r="S392" i="38"/>
  <c r="O160" i="38"/>
  <c r="Y160" i="38"/>
  <c r="T478" i="38"/>
  <c r="Z478" i="38"/>
  <c r="AC478" i="38"/>
  <c r="S478" i="38"/>
  <c r="AE478" i="38" s="1"/>
  <c r="AE434" i="38"/>
  <c r="T424" i="38"/>
  <c r="R408" i="38"/>
  <c r="AC408" i="38"/>
  <c r="AE408" i="38" s="1"/>
  <c r="AD408" i="38"/>
  <c r="AB408" i="38"/>
  <c r="AD406" i="38"/>
  <c r="AC392" i="38"/>
  <c r="AD388" i="38"/>
  <c r="Z388" i="38"/>
  <c r="AE388" i="38" s="1"/>
  <c r="AA388" i="38"/>
  <c r="AB388" i="38"/>
  <c r="AC388" i="38"/>
  <c r="R378" i="38"/>
  <c r="AE378" i="38" s="1"/>
  <c r="S363" i="38"/>
  <c r="P342" i="38"/>
  <c r="Q319" i="38"/>
  <c r="Y189" i="38"/>
  <c r="O189" i="38"/>
  <c r="Z498" i="38"/>
  <c r="AE498" i="38" s="1"/>
  <c r="AA450" i="38"/>
  <c r="P450" i="38"/>
  <c r="AE450" i="38" s="1"/>
  <c r="Q450" i="38"/>
  <c r="R450" i="38"/>
  <c r="S450" i="38"/>
  <c r="T450" i="38"/>
  <c r="AC443" i="38"/>
  <c r="AA443" i="38"/>
  <c r="AB443" i="38"/>
  <c r="AD443" i="38"/>
  <c r="Y441" i="38"/>
  <c r="O441" i="38"/>
  <c r="AE438" i="38"/>
  <c r="Y437" i="38"/>
  <c r="O437" i="38"/>
  <c r="S424" i="38"/>
  <c r="AE424" i="38" s="1"/>
  <c r="AE413" i="38"/>
  <c r="AC406" i="38"/>
  <c r="AB392" i="38"/>
  <c r="AB389" i="38"/>
  <c r="Z389" i="38"/>
  <c r="AA389" i="38"/>
  <c r="AC389" i="38"/>
  <c r="R389" i="38"/>
  <c r="S389" i="38"/>
  <c r="T389" i="38"/>
  <c r="Q389" i="38"/>
  <c r="S377" i="38"/>
  <c r="Z377" i="38"/>
  <c r="AB377" i="38"/>
  <c r="AC377" i="38"/>
  <c r="AD377" i="38"/>
  <c r="AA377" i="38"/>
  <c r="Q277" i="38"/>
  <c r="R277" i="38"/>
  <c r="S277" i="38"/>
  <c r="T277" i="38"/>
  <c r="AC277" i="38"/>
  <c r="P277" i="38"/>
  <c r="AD277" i="38"/>
  <c r="Z277" i="38"/>
  <c r="AA277" i="38"/>
  <c r="AB277" i="38"/>
  <c r="O445" i="38"/>
  <c r="Y445" i="38"/>
  <c r="R438" i="38"/>
  <c r="S438" i="38"/>
  <c r="AD382" i="38"/>
  <c r="Q382" i="38"/>
  <c r="P382" i="38"/>
  <c r="S382" i="38"/>
  <c r="AB319" i="38"/>
  <c r="R319" i="38"/>
  <c r="S319" i="38"/>
  <c r="T319" i="38"/>
  <c r="Z319" i="38"/>
  <c r="AA319" i="38"/>
  <c r="AC319" i="38"/>
  <c r="AD319" i="38"/>
  <c r="AC154" i="38"/>
  <c r="R154" i="38"/>
  <c r="AD154" i="38"/>
  <c r="S154" i="38"/>
  <c r="T154" i="38"/>
  <c r="Z154" i="38"/>
  <c r="AA154" i="38"/>
  <c r="Q154" i="38"/>
  <c r="AE154" i="38" s="1"/>
  <c r="AE469" i="38"/>
  <c r="Q456" i="38"/>
  <c r="AC456" i="38"/>
  <c r="AD456" i="38"/>
  <c r="AB456" i="38"/>
  <c r="S452" i="38"/>
  <c r="AC452" i="38"/>
  <c r="AD452" i="38"/>
  <c r="AB452" i="38"/>
  <c r="T451" i="38"/>
  <c r="Z451" i="38"/>
  <c r="P451" i="38"/>
  <c r="AE451" i="38" s="1"/>
  <c r="S451" i="38"/>
  <c r="P446" i="38"/>
  <c r="AE446" i="38" s="1"/>
  <c r="Q446" i="38"/>
  <c r="R446" i="38"/>
  <c r="S446" i="38"/>
  <c r="P442" i="38"/>
  <c r="Q442" i="38"/>
  <c r="AE442" i="38" s="1"/>
  <c r="R442" i="38"/>
  <c r="AC438" i="38"/>
  <c r="O411" i="38"/>
  <c r="Y411" i="38"/>
  <c r="AE387" i="38"/>
  <c r="S378" i="38"/>
  <c r="Z378" i="38"/>
  <c r="AA378" i="38"/>
  <c r="AB378" i="38"/>
  <c r="AC378" i="38"/>
  <c r="AD378" i="38"/>
  <c r="O343" i="38"/>
  <c r="Y343" i="38"/>
  <c r="AA477" i="38"/>
  <c r="Z477" i="38"/>
  <c r="AE477" i="38" s="1"/>
  <c r="P455" i="38"/>
  <c r="Q455" i="38"/>
  <c r="AE455" i="38" s="1"/>
  <c r="R455" i="38"/>
  <c r="AD450" i="38"/>
  <c r="AD446" i="38"/>
  <c r="Y443" i="38"/>
  <c r="AC442" i="38"/>
  <c r="AB438" i="38"/>
  <c r="R429" i="38"/>
  <c r="Z406" i="38"/>
  <c r="AC403" i="38"/>
  <c r="P403" i="38"/>
  <c r="AE403" i="38" s="1"/>
  <c r="R403" i="38"/>
  <c r="S403" i="38"/>
  <c r="Z403" i="38"/>
  <c r="AA403" i="38"/>
  <c r="AB403" i="38"/>
  <c r="AD403" i="38"/>
  <c r="Z402" i="38"/>
  <c r="AC402" i="38"/>
  <c r="AD402" i="38"/>
  <c r="AB402" i="38"/>
  <c r="Y392" i="38"/>
  <c r="AC382" i="38"/>
  <c r="P270" i="38"/>
  <c r="S203" i="38"/>
  <c r="AE203" i="38" s="1"/>
  <c r="Z203" i="38"/>
  <c r="AA203" i="38"/>
  <c r="AB203" i="38"/>
  <c r="AC203" i="38"/>
  <c r="AD203" i="38"/>
  <c r="T203" i="38"/>
  <c r="Q203" i="38"/>
  <c r="R203" i="38"/>
  <c r="O463" i="38"/>
  <c r="Y463" i="38"/>
  <c r="AA456" i="38"/>
  <c r="AA452" i="38"/>
  <c r="AD451" i="38"/>
  <c r="AC450" i="38"/>
  <c r="AC446" i="38"/>
  <c r="AB442" i="38"/>
  <c r="AA438" i="38"/>
  <c r="AB424" i="38"/>
  <c r="AC424" i="38"/>
  <c r="Z424" i="38"/>
  <c r="AA424" i="38"/>
  <c r="AD424" i="38"/>
  <c r="P412" i="38"/>
  <c r="AE412" i="38" s="1"/>
  <c r="Q412" i="38"/>
  <c r="R412" i="38"/>
  <c r="S412" i="38"/>
  <c r="Y406" i="38"/>
  <c r="AB382" i="38"/>
  <c r="O354" i="38"/>
  <c r="Y354" i="38"/>
  <c r="C29" i="39"/>
  <c r="C29" i="40"/>
  <c r="C9" i="39"/>
  <c r="C9" i="40"/>
  <c r="P464" i="38"/>
  <c r="AE464" i="38" s="1"/>
  <c r="Q464" i="38"/>
  <c r="T464" i="38"/>
  <c r="P459" i="38"/>
  <c r="AE459" i="38" s="1"/>
  <c r="Q459" i="38"/>
  <c r="R459" i="38"/>
  <c r="S459" i="38"/>
  <c r="Z456" i="38"/>
  <c r="AC455" i="38"/>
  <c r="Z452" i="38"/>
  <c r="AE452" i="38" s="1"/>
  <c r="AC451" i="38"/>
  <c r="AB450" i="38"/>
  <c r="AB446" i="38"/>
  <c r="AA442" i="38"/>
  <c r="Z438" i="38"/>
  <c r="P429" i="38"/>
  <c r="AE429" i="38" s="1"/>
  <c r="P425" i="38"/>
  <c r="AE425" i="38" s="1"/>
  <c r="Z425" i="38"/>
  <c r="AA425" i="38"/>
  <c r="AD425" i="38"/>
  <c r="T425" i="38"/>
  <c r="AA382" i="38"/>
  <c r="AE456" i="38"/>
  <c r="Y419" i="38"/>
  <c r="Q375" i="38"/>
  <c r="T375" i="38"/>
  <c r="P375" i="38"/>
  <c r="S375" i="38"/>
  <c r="AB363" i="38"/>
  <c r="P363" i="38"/>
  <c r="AE363" i="38" s="1"/>
  <c r="R363" i="38"/>
  <c r="Z363" i="38"/>
  <c r="AA363" i="38"/>
  <c r="AC363" i="38"/>
  <c r="AD363" i="38"/>
  <c r="Y333" i="38"/>
  <c r="O333" i="38"/>
  <c r="AE325" i="38"/>
  <c r="AC276" i="38"/>
  <c r="AD276" i="38"/>
  <c r="Z276" i="38"/>
  <c r="AE276" i="38" s="1"/>
  <c r="AA276" i="38"/>
  <c r="AB276" i="38"/>
  <c r="T276" i="38"/>
  <c r="O255" i="38"/>
  <c r="Y255" i="38"/>
  <c r="Q136" i="38"/>
  <c r="AD136" i="38"/>
  <c r="R136" i="38"/>
  <c r="AC136" i="38"/>
  <c r="AB136" i="38"/>
  <c r="T136" i="38"/>
  <c r="Z136" i="38"/>
  <c r="AA136" i="38"/>
  <c r="T432" i="38"/>
  <c r="S417" i="38"/>
  <c r="AC413" i="38"/>
  <c r="Z413" i="38"/>
  <c r="AA413" i="38"/>
  <c r="AA393" i="38"/>
  <c r="AE393" i="38" s="1"/>
  <c r="AB393" i="38"/>
  <c r="AC393" i="38"/>
  <c r="AD393" i="38"/>
  <c r="AA358" i="38"/>
  <c r="T323" i="38"/>
  <c r="Y296" i="38"/>
  <c r="O296" i="38"/>
  <c r="S264" i="38"/>
  <c r="AE264" i="38" s="1"/>
  <c r="T264" i="38"/>
  <c r="Q264" i="38"/>
  <c r="R264" i="38"/>
  <c r="Z264" i="38"/>
  <c r="AA264" i="38"/>
  <c r="P264" i="38"/>
  <c r="AD264" i="38"/>
  <c r="Y227" i="38"/>
  <c r="O227" i="38"/>
  <c r="O349" i="38"/>
  <c r="Y349" i="38"/>
  <c r="O339" i="38"/>
  <c r="Y339" i="38"/>
  <c r="Q285" i="38"/>
  <c r="AE285" i="38"/>
  <c r="AE123" i="38"/>
  <c r="Y344" i="38"/>
  <c r="O344" i="38"/>
  <c r="Y314" i="38"/>
  <c r="O314" i="38"/>
  <c r="R290" i="38"/>
  <c r="AE290" i="38" s="1"/>
  <c r="Q432" i="38"/>
  <c r="AE432" i="38" s="1"/>
  <c r="AC365" i="38"/>
  <c r="Q365" i="38"/>
  <c r="AE365" i="38" s="1"/>
  <c r="S365" i="38"/>
  <c r="T365" i="38"/>
  <c r="Z365" i="38"/>
  <c r="P365" i="38"/>
  <c r="P347" i="38"/>
  <c r="T341" i="38"/>
  <c r="Q323" i="38"/>
  <c r="AE323" i="38" s="1"/>
  <c r="O188" i="38"/>
  <c r="Y188" i="38"/>
  <c r="AD419" i="38"/>
  <c r="Z417" i="38"/>
  <c r="AE417" i="38" s="1"/>
  <c r="AA417" i="38"/>
  <c r="T362" i="38"/>
  <c r="T361" i="38"/>
  <c r="O353" i="38"/>
  <c r="Y353" i="38"/>
  <c r="P298" i="38"/>
  <c r="AE298" i="38" s="1"/>
  <c r="Q298" i="38"/>
  <c r="S298" i="38"/>
  <c r="T298" i="38"/>
  <c r="AA298" i="38"/>
  <c r="R298" i="38"/>
  <c r="Z298" i="38"/>
  <c r="AB298" i="38"/>
  <c r="AC298" i="38"/>
  <c r="AD298" i="38"/>
  <c r="R149" i="38"/>
  <c r="Q149" i="38"/>
  <c r="Z149" i="38"/>
  <c r="AA149" i="38"/>
  <c r="AB149" i="38"/>
  <c r="AC149" i="38"/>
  <c r="AD149" i="38"/>
  <c r="P149" i="38"/>
  <c r="T149" i="38"/>
  <c r="S149" i="38"/>
  <c r="Z432" i="38"/>
  <c r="AA432" i="38"/>
  <c r="AC419" i="38"/>
  <c r="O371" i="38"/>
  <c r="Y371" i="38"/>
  <c r="R362" i="38"/>
  <c r="AE362" i="38" s="1"/>
  <c r="Q361" i="38"/>
  <c r="AE361" i="38" s="1"/>
  <c r="AE330" i="38"/>
  <c r="AA323" i="38"/>
  <c r="AB323" i="38"/>
  <c r="AD323" i="38"/>
  <c r="Z323" i="38"/>
  <c r="AC323" i="38"/>
  <c r="S276" i="38"/>
  <c r="Z129" i="38"/>
  <c r="AE129" i="38" s="1"/>
  <c r="AB419" i="38"/>
  <c r="AE419" i="38" s="1"/>
  <c r="S387" i="38"/>
  <c r="P387" i="38"/>
  <c r="R387" i="38"/>
  <c r="T363" i="38"/>
  <c r="AA332" i="38"/>
  <c r="P332" i="38"/>
  <c r="AE332" i="38" s="1"/>
  <c r="Q332" i="38"/>
  <c r="R332" i="38"/>
  <c r="S332" i="38"/>
  <c r="T332" i="38"/>
  <c r="T324" i="38"/>
  <c r="AC324" i="38"/>
  <c r="Z324" i="38"/>
  <c r="AE324" i="38" s="1"/>
  <c r="AA324" i="38"/>
  <c r="AB324" i="38"/>
  <c r="AD324" i="38"/>
  <c r="P315" i="38"/>
  <c r="AE315" i="38" s="1"/>
  <c r="O294" i="38"/>
  <c r="Y294" i="38"/>
  <c r="R276" i="38"/>
  <c r="AE186" i="38"/>
  <c r="AD372" i="38"/>
  <c r="P372" i="38"/>
  <c r="S372" i="38"/>
  <c r="T372" i="38"/>
  <c r="AE372" i="38" s="1"/>
  <c r="Z372" i="38"/>
  <c r="Y367" i="38"/>
  <c r="O367" i="38"/>
  <c r="S361" i="38"/>
  <c r="R361" i="38"/>
  <c r="Z361" i="38"/>
  <c r="AB361" i="38"/>
  <c r="AD361" i="38"/>
  <c r="AA361" i="38"/>
  <c r="Q358" i="38"/>
  <c r="P358" i="38"/>
  <c r="R358" i="38"/>
  <c r="S358" i="38"/>
  <c r="AD358" i="38"/>
  <c r="P346" i="38"/>
  <c r="AE346" i="38" s="1"/>
  <c r="P345" i="38"/>
  <c r="AE345" i="38" s="1"/>
  <c r="AE341" i="38"/>
  <c r="AE320" i="38"/>
  <c r="S136" i="38"/>
  <c r="P405" i="38"/>
  <c r="AA405" i="38"/>
  <c r="AC405" i="38"/>
  <c r="AD405" i="38"/>
  <c r="AB387" i="38"/>
  <c r="AE383" i="38"/>
  <c r="O379" i="38"/>
  <c r="Y379" i="38"/>
  <c r="AE376" i="38"/>
  <c r="AD362" i="38"/>
  <c r="S362" i="38"/>
  <c r="AA362" i="38"/>
  <c r="AB362" i="38"/>
  <c r="Z362" i="38"/>
  <c r="AC362" i="38"/>
  <c r="Y316" i="38"/>
  <c r="O316" i="38"/>
  <c r="P276" i="38"/>
  <c r="Z182" i="38"/>
  <c r="AD182" i="38"/>
  <c r="T182" i="38"/>
  <c r="AA182" i="38"/>
  <c r="AB182" i="38"/>
  <c r="S182" i="38"/>
  <c r="R182" i="38"/>
  <c r="AC182" i="38"/>
  <c r="Q182" i="38"/>
  <c r="AE182" i="38" s="1"/>
  <c r="P136" i="38"/>
  <c r="AE136" i="38" s="1"/>
  <c r="AA352" i="38"/>
  <c r="AE352" i="38" s="1"/>
  <c r="Q352" i="38"/>
  <c r="S352" i="38"/>
  <c r="T352" i="38"/>
  <c r="Z352" i="38"/>
  <c r="AD327" i="38"/>
  <c r="P327" i="38"/>
  <c r="Q327" i="38"/>
  <c r="R327" i="38"/>
  <c r="P318" i="38"/>
  <c r="Q318" i="38"/>
  <c r="AE318" i="38" s="1"/>
  <c r="Z318" i="38"/>
  <c r="AA318" i="38"/>
  <c r="AB318" i="38"/>
  <c r="AC318" i="38"/>
  <c r="AD318" i="38"/>
  <c r="P317" i="38"/>
  <c r="AE317" i="38" s="1"/>
  <c r="T317" i="38"/>
  <c r="AB317" i="38"/>
  <c r="AC317" i="38"/>
  <c r="AD317" i="38"/>
  <c r="AC306" i="38"/>
  <c r="AD306" i="38"/>
  <c r="Z306" i="38"/>
  <c r="AB306" i="38"/>
  <c r="R306" i="38"/>
  <c r="S306" i="38"/>
  <c r="T306" i="38"/>
  <c r="AA306" i="38"/>
  <c r="Z243" i="38"/>
  <c r="AA243" i="38"/>
  <c r="AB243" i="38"/>
  <c r="S243" i="38"/>
  <c r="AE243" i="38" s="1"/>
  <c r="T243" i="38"/>
  <c r="AC243" i="38"/>
  <c r="AD243" i="38"/>
  <c r="R243" i="38"/>
  <c r="AB347" i="38"/>
  <c r="P328" i="38"/>
  <c r="Q328" i="38"/>
  <c r="Z328" i="38"/>
  <c r="AD328" i="38"/>
  <c r="AC328" i="38"/>
  <c r="S327" i="38"/>
  <c r="AA317" i="38"/>
  <c r="R311" i="38"/>
  <c r="S311" i="38"/>
  <c r="AA311" i="38"/>
  <c r="AC311" i="38"/>
  <c r="AD311" i="38"/>
  <c r="R310" i="38"/>
  <c r="T280" i="38"/>
  <c r="Y153" i="38"/>
  <c r="O153" i="38"/>
  <c r="T329" i="38"/>
  <c r="AE329" i="38" s="1"/>
  <c r="AA329" i="38"/>
  <c r="AB329" i="38"/>
  <c r="AC329" i="38"/>
  <c r="AD329" i="38"/>
  <c r="T312" i="38"/>
  <c r="Z312" i="38"/>
  <c r="AE312" i="38" s="1"/>
  <c r="AA312" i="38"/>
  <c r="AB312" i="38"/>
  <c r="AC312" i="38"/>
  <c r="AD312" i="38"/>
  <c r="O291" i="38"/>
  <c r="Y291" i="38"/>
  <c r="AD259" i="38"/>
  <c r="Q259" i="38"/>
  <c r="R259" i="38"/>
  <c r="S259" i="38"/>
  <c r="T259" i="38"/>
  <c r="AC259" i="38"/>
  <c r="P259" i="38"/>
  <c r="AE259" i="38" s="1"/>
  <c r="Z259" i="38"/>
  <c r="AA259" i="38"/>
  <c r="AB259" i="38"/>
  <c r="AC258" i="38"/>
  <c r="S258" i="38"/>
  <c r="AB249" i="38"/>
  <c r="AD249" i="38"/>
  <c r="Z249" i="38"/>
  <c r="R249" i="38"/>
  <c r="AC249" i="38"/>
  <c r="Q249" i="38"/>
  <c r="S249" i="38"/>
  <c r="T249" i="38"/>
  <c r="AA249" i="38"/>
  <c r="AE249" i="38" s="1"/>
  <c r="P176" i="38"/>
  <c r="AE176" i="38" s="1"/>
  <c r="O167" i="38"/>
  <c r="Y167" i="38"/>
  <c r="S373" i="38"/>
  <c r="S366" i="38"/>
  <c r="AD356" i="38"/>
  <c r="T356" i="38"/>
  <c r="Z356" i="38"/>
  <c r="AA356" i="38"/>
  <c r="AB356" i="38"/>
  <c r="AC352" i="38"/>
  <c r="T346" i="38"/>
  <c r="R341" i="38"/>
  <c r="S340" i="38"/>
  <c r="AD336" i="38"/>
  <c r="AA336" i="38"/>
  <c r="T336" i="38"/>
  <c r="Z336" i="38"/>
  <c r="AB336" i="38"/>
  <c r="AC336" i="38"/>
  <c r="AE336" i="38" s="1"/>
  <c r="Q302" i="38"/>
  <c r="AE302" i="38" s="1"/>
  <c r="R280" i="38"/>
  <c r="AE280" i="38" s="1"/>
  <c r="R270" i="38"/>
  <c r="T177" i="38"/>
  <c r="AE177" i="38" s="1"/>
  <c r="Q374" i="38"/>
  <c r="T374" i="38"/>
  <c r="Z374" i="38"/>
  <c r="AA374" i="38"/>
  <c r="R373" i="38"/>
  <c r="AE373" i="38" s="1"/>
  <c r="R366" i="38"/>
  <c r="AB352" i="38"/>
  <c r="S346" i="38"/>
  <c r="Q341" i="38"/>
  <c r="R340" i="38"/>
  <c r="AE340" i="38" s="1"/>
  <c r="AA313" i="38"/>
  <c r="AB313" i="38"/>
  <c r="R313" i="38"/>
  <c r="AE313" i="38" s="1"/>
  <c r="T313" i="38"/>
  <c r="Z313" i="38"/>
  <c r="AC313" i="38"/>
  <c r="AD313" i="38"/>
  <c r="P286" i="38"/>
  <c r="Q280" i="38"/>
  <c r="Q270" i="38"/>
  <c r="AE270" i="38" s="1"/>
  <c r="O248" i="38"/>
  <c r="Y248" i="38"/>
  <c r="S242" i="38"/>
  <c r="R143" i="38"/>
  <c r="AA143" i="38"/>
  <c r="Q143" i="38"/>
  <c r="AE143" i="38" s="1"/>
  <c r="S143" i="38"/>
  <c r="T143" i="38"/>
  <c r="P143" i="38"/>
  <c r="Z143" i="38"/>
  <c r="AB143" i="38"/>
  <c r="AC143" i="38"/>
  <c r="AD143" i="38"/>
  <c r="AA95" i="38"/>
  <c r="Q373" i="38"/>
  <c r="Q366" i="38"/>
  <c r="AE366" i="38" s="1"/>
  <c r="T350" i="38"/>
  <c r="Z337" i="38"/>
  <c r="P337" i="38"/>
  <c r="Q337" i="38"/>
  <c r="AE337" i="38" s="1"/>
  <c r="R337" i="38"/>
  <c r="S337" i="38"/>
  <c r="T337" i="38"/>
  <c r="AE322" i="38"/>
  <c r="R321" i="38"/>
  <c r="S321" i="38"/>
  <c r="Q321" i="38"/>
  <c r="P321" i="38"/>
  <c r="AE321" i="38" s="1"/>
  <c r="T321" i="38"/>
  <c r="Z302" i="38"/>
  <c r="AB302" i="38"/>
  <c r="S302" i="38"/>
  <c r="AA302" i="38"/>
  <c r="AC302" i="38"/>
  <c r="AD302" i="38"/>
  <c r="O295" i="38"/>
  <c r="Y295" i="38"/>
  <c r="R271" i="38"/>
  <c r="S271" i="38"/>
  <c r="AB271" i="38"/>
  <c r="AC271" i="38"/>
  <c r="AD271" i="38"/>
  <c r="P271" i="38"/>
  <c r="AE271" i="38" s="1"/>
  <c r="AA271" i="38"/>
  <c r="T271" i="38"/>
  <c r="Z271" i="38"/>
  <c r="R242" i="38"/>
  <c r="AC148" i="38"/>
  <c r="P148" i="38"/>
  <c r="AA148" i="38"/>
  <c r="Z148" i="38"/>
  <c r="AB148" i="38"/>
  <c r="AD148" i="38"/>
  <c r="Q148" i="38"/>
  <c r="AE148" i="38" s="1"/>
  <c r="R148" i="38"/>
  <c r="S148" i="38"/>
  <c r="T148" i="38"/>
  <c r="AE377" i="38"/>
  <c r="S350" i="38"/>
  <c r="AE350" i="38" s="1"/>
  <c r="R347" i="38"/>
  <c r="S341" i="38"/>
  <c r="Z341" i="38"/>
  <c r="AA341" i="38"/>
  <c r="AB341" i="38"/>
  <c r="AC341" i="38"/>
  <c r="AD341" i="38"/>
  <c r="Q322" i="38"/>
  <c r="AC322" i="38"/>
  <c r="AD322" i="38"/>
  <c r="O308" i="38"/>
  <c r="Y308" i="38"/>
  <c r="R281" i="38"/>
  <c r="S281" i="38"/>
  <c r="T281" i="38"/>
  <c r="Z281" i="38"/>
  <c r="AA281" i="38"/>
  <c r="AB281" i="38"/>
  <c r="Q281" i="38"/>
  <c r="AE281" i="38" s="1"/>
  <c r="Z280" i="38"/>
  <c r="AB280" i="38"/>
  <c r="AC280" i="38"/>
  <c r="AD280" i="38"/>
  <c r="R272" i="38"/>
  <c r="Q242" i="38"/>
  <c r="Q200" i="38"/>
  <c r="R200" i="38"/>
  <c r="S200" i="38"/>
  <c r="T200" i="38"/>
  <c r="P200" i="38"/>
  <c r="AE200" i="38" s="1"/>
  <c r="AA200" i="38"/>
  <c r="AB200" i="38"/>
  <c r="AC200" i="38"/>
  <c r="AD200" i="38"/>
  <c r="Z200" i="38"/>
  <c r="Z373" i="38"/>
  <c r="AB373" i="38"/>
  <c r="Z366" i="38"/>
  <c r="AC366" i="38"/>
  <c r="AD366" i="38"/>
  <c r="R350" i="38"/>
  <c r="AD346" i="38"/>
  <c r="Q346" i="38"/>
  <c r="Z346" i="38"/>
  <c r="AA346" i="38"/>
  <c r="AC346" i="38"/>
  <c r="Z340" i="38"/>
  <c r="AA340" i="38"/>
  <c r="AC340" i="38"/>
  <c r="AD340" i="38"/>
  <c r="AB322" i="38"/>
  <c r="T318" i="38"/>
  <c r="S317" i="38"/>
  <c r="AE287" i="38"/>
  <c r="Q272" i="38"/>
  <c r="AE272" i="38" s="1"/>
  <c r="P269" i="38"/>
  <c r="AE269" i="38" s="1"/>
  <c r="Z269" i="38"/>
  <c r="Z250" i="38"/>
  <c r="S250" i="38"/>
  <c r="AC250" i="38"/>
  <c r="AD250" i="38"/>
  <c r="P250" i="38"/>
  <c r="AB250" i="38"/>
  <c r="T250" i="38"/>
  <c r="AA250" i="38"/>
  <c r="O224" i="38"/>
  <c r="Y224" i="38"/>
  <c r="AE204" i="38"/>
  <c r="R352" i="38"/>
  <c r="AC347" i="38"/>
  <c r="Q347" i="38"/>
  <c r="S347" i="38"/>
  <c r="T347" i="38"/>
  <c r="Z347" i="38"/>
  <c r="AC326" i="38"/>
  <c r="AD326" i="38"/>
  <c r="Q326" i="38"/>
  <c r="P326" i="38"/>
  <c r="R326" i="38"/>
  <c r="S326" i="38"/>
  <c r="T326" i="38"/>
  <c r="S318" i="38"/>
  <c r="R317" i="38"/>
  <c r="Q306" i="38"/>
  <c r="AA297" i="38"/>
  <c r="AB297" i="38"/>
  <c r="AC297" i="38"/>
  <c r="Q297" i="38"/>
  <c r="AE297" i="38" s="1"/>
  <c r="R297" i="38"/>
  <c r="S297" i="38"/>
  <c r="T297" i="38"/>
  <c r="Z297" i="38"/>
  <c r="AD297" i="38"/>
  <c r="O292" i="38"/>
  <c r="Y292" i="38"/>
  <c r="P287" i="38"/>
  <c r="Q287" i="38"/>
  <c r="AD287" i="38"/>
  <c r="R287" i="38"/>
  <c r="S287" i="38"/>
  <c r="T287" i="38"/>
  <c r="P254" i="38"/>
  <c r="O245" i="38"/>
  <c r="Y245" i="38"/>
  <c r="AC242" i="38"/>
  <c r="AD242" i="38"/>
  <c r="AB242" i="38"/>
  <c r="Z242" i="38"/>
  <c r="AA242" i="38"/>
  <c r="T242" i="38"/>
  <c r="AE242" i="38" s="1"/>
  <c r="Z186" i="38"/>
  <c r="AA186" i="38"/>
  <c r="AB186" i="38"/>
  <c r="AC186" i="38"/>
  <c r="AD186" i="38"/>
  <c r="Q186" i="38"/>
  <c r="R186" i="38"/>
  <c r="S186" i="38"/>
  <c r="T186" i="38"/>
  <c r="P186" i="38"/>
  <c r="Y101" i="38"/>
  <c r="O101" i="38"/>
  <c r="Z359" i="38"/>
  <c r="AD359" i="38"/>
  <c r="R359" i="38"/>
  <c r="S359" i="38"/>
  <c r="AE359" i="38" s="1"/>
  <c r="AE358" i="38"/>
  <c r="Z350" i="38"/>
  <c r="P350" i="38"/>
  <c r="AA350" i="38"/>
  <c r="AC350" i="38"/>
  <c r="AD350" i="38"/>
  <c r="R318" i="38"/>
  <c r="Q317" i="38"/>
  <c r="R309" i="38"/>
  <c r="P309" i="38"/>
  <c r="AE309" i="38" s="1"/>
  <c r="Q309" i="38"/>
  <c r="S309" i="38"/>
  <c r="T309" i="38"/>
  <c r="P306" i="38"/>
  <c r="AE306" i="38" s="1"/>
  <c r="Z272" i="38"/>
  <c r="AA272" i="38"/>
  <c r="AB272" i="38"/>
  <c r="AC272" i="38"/>
  <c r="T272" i="38"/>
  <c r="S272" i="38"/>
  <c r="AD272" i="38"/>
  <c r="P265" i="38"/>
  <c r="Q265" i="38"/>
  <c r="R265" i="38"/>
  <c r="S265" i="38"/>
  <c r="T265" i="38"/>
  <c r="Z265" i="38"/>
  <c r="R247" i="38"/>
  <c r="S247" i="38"/>
  <c r="Q247" i="38"/>
  <c r="P247" i="38"/>
  <c r="AE247" i="38" s="1"/>
  <c r="T247" i="38"/>
  <c r="Z247" i="38"/>
  <c r="Y174" i="38"/>
  <c r="O174" i="38"/>
  <c r="AA147" i="38"/>
  <c r="AC147" i="38"/>
  <c r="AD147" i="38"/>
  <c r="AB147" i="38"/>
  <c r="Z147" i="38"/>
  <c r="Z360" i="38"/>
  <c r="S360" i="38"/>
  <c r="S342" i="38"/>
  <c r="AE342" i="38" s="1"/>
  <c r="S325" i="38"/>
  <c r="Q310" i="38"/>
  <c r="AE299" i="38"/>
  <c r="AD268" i="38"/>
  <c r="R236" i="38"/>
  <c r="AE236" i="38" s="1"/>
  <c r="R204" i="38"/>
  <c r="S195" i="38"/>
  <c r="O165" i="38"/>
  <c r="Y165" i="38"/>
  <c r="S357" i="38"/>
  <c r="AA342" i="38"/>
  <c r="AA325" i="38"/>
  <c r="P310" i="38"/>
  <c r="AE310" i="38" s="1"/>
  <c r="AD305" i="38"/>
  <c r="Q305" i="38"/>
  <c r="Z305" i="38"/>
  <c r="AE305" i="38" s="1"/>
  <c r="R301" i="38"/>
  <c r="AE301" i="38" s="1"/>
  <c r="S301" i="38"/>
  <c r="AB301" i="38"/>
  <c r="AD301" i="38"/>
  <c r="Z301" i="38"/>
  <c r="Q299" i="38"/>
  <c r="R299" i="38"/>
  <c r="S299" i="38"/>
  <c r="Z299" i="38"/>
  <c r="AC268" i="38"/>
  <c r="AD247" i="38"/>
  <c r="O217" i="38"/>
  <c r="Y217" i="38"/>
  <c r="R195" i="38"/>
  <c r="AE195" i="38" s="1"/>
  <c r="Q194" i="38"/>
  <c r="AA194" i="38"/>
  <c r="AE194" i="38" s="1"/>
  <c r="AB194" i="38"/>
  <c r="AC194" i="38"/>
  <c r="AD194" i="38"/>
  <c r="Z194" i="38"/>
  <c r="T194" i="38"/>
  <c r="Z176" i="38"/>
  <c r="AD176" i="38"/>
  <c r="AC176" i="38"/>
  <c r="R176" i="38"/>
  <c r="S176" i="38"/>
  <c r="T176" i="38"/>
  <c r="AA176" i="38"/>
  <c r="Q176" i="38"/>
  <c r="AA155" i="38"/>
  <c r="AB155" i="38"/>
  <c r="AC155" i="38"/>
  <c r="AD155" i="38"/>
  <c r="Z155" i="38"/>
  <c r="Q155" i="38"/>
  <c r="AE155" i="38" s="1"/>
  <c r="R155" i="38"/>
  <c r="S155" i="38"/>
  <c r="T155" i="38"/>
  <c r="P155" i="38"/>
  <c r="T98" i="38"/>
  <c r="Z98" i="38"/>
  <c r="AA98" i="38"/>
  <c r="AB98" i="38"/>
  <c r="AC98" i="38"/>
  <c r="AD98" i="38"/>
  <c r="AE98" i="38" s="1"/>
  <c r="T320" i="38"/>
  <c r="T304" i="38"/>
  <c r="Q304" i="38"/>
  <c r="Q286" i="38"/>
  <c r="AA273" i="38"/>
  <c r="AB273" i="38"/>
  <c r="P273" i="38"/>
  <c r="AE273" i="38" s="1"/>
  <c r="Q273" i="38"/>
  <c r="R273" i="38"/>
  <c r="S273" i="38"/>
  <c r="T273" i="38"/>
  <c r="AC273" i="38"/>
  <c r="AC247" i="38"/>
  <c r="Z236" i="38"/>
  <c r="AA236" i="38"/>
  <c r="AB236" i="38"/>
  <c r="AC236" i="38"/>
  <c r="AD236" i="38"/>
  <c r="P236" i="38"/>
  <c r="P228" i="38"/>
  <c r="Q228" i="38"/>
  <c r="R228" i="38"/>
  <c r="AE228" i="38" s="1"/>
  <c r="S228" i="38"/>
  <c r="T228" i="38"/>
  <c r="AA228" i="38"/>
  <c r="AE216" i="38"/>
  <c r="Q204" i="38"/>
  <c r="T204" i="38"/>
  <c r="Z204" i="38"/>
  <c r="AA204" i="38"/>
  <c r="S204" i="38"/>
  <c r="AC204" i="38"/>
  <c r="AD204" i="38"/>
  <c r="AB204" i="38"/>
  <c r="O179" i="38"/>
  <c r="Y179" i="38"/>
  <c r="O170" i="38"/>
  <c r="Y170" i="38"/>
  <c r="Y116" i="38"/>
  <c r="O116" i="38"/>
  <c r="S320" i="38"/>
  <c r="S293" i="38"/>
  <c r="AE293" i="38" s="1"/>
  <c r="S289" i="38"/>
  <c r="AB247" i="38"/>
  <c r="R237" i="38"/>
  <c r="S237" i="38"/>
  <c r="T237" i="38"/>
  <c r="Q237" i="38"/>
  <c r="P237" i="38"/>
  <c r="AD237" i="38"/>
  <c r="T198" i="38"/>
  <c r="O187" i="38"/>
  <c r="Y187" i="38"/>
  <c r="O175" i="38"/>
  <c r="Y175" i="38"/>
  <c r="R320" i="38"/>
  <c r="AB304" i="38"/>
  <c r="R293" i="38"/>
  <c r="R289" i="38"/>
  <c r="AE275" i="38"/>
  <c r="Q261" i="38"/>
  <c r="R261" i="38"/>
  <c r="S261" i="38"/>
  <c r="AE261" i="38" s="1"/>
  <c r="AA247" i="38"/>
  <c r="R240" i="38"/>
  <c r="R208" i="38"/>
  <c r="S199" i="38"/>
  <c r="AE199" i="38" s="1"/>
  <c r="S198" i="38"/>
  <c r="AE198" i="38" s="1"/>
  <c r="AB195" i="38"/>
  <c r="Z195" i="38"/>
  <c r="AA195" i="38"/>
  <c r="AC195" i="38"/>
  <c r="T195" i="38"/>
  <c r="AD195" i="38"/>
  <c r="T147" i="38"/>
  <c r="Q108" i="38"/>
  <c r="R108" i="38"/>
  <c r="AE108" i="38" s="1"/>
  <c r="S108" i="38"/>
  <c r="T108" i="38"/>
  <c r="AB108" i="38"/>
  <c r="AA108" i="38"/>
  <c r="AC108" i="38"/>
  <c r="AD108" i="38"/>
  <c r="Z108" i="38"/>
  <c r="AB13" i="38"/>
  <c r="AE13" i="38"/>
  <c r="Q320" i="38"/>
  <c r="AA304" i="38"/>
  <c r="Q293" i="38"/>
  <c r="Q289" i="38"/>
  <c r="AE289" i="38" s="1"/>
  <c r="T274" i="38"/>
  <c r="P274" i="38"/>
  <c r="Q274" i="38"/>
  <c r="R274" i="38"/>
  <c r="Y247" i="38"/>
  <c r="O244" i="38"/>
  <c r="Y244" i="38"/>
  <c r="Q240" i="38"/>
  <c r="AE240" i="38" s="1"/>
  <c r="Q208" i="38"/>
  <c r="AE208" i="38" s="1"/>
  <c r="AB185" i="38"/>
  <c r="AC185" i="38"/>
  <c r="AD185" i="38"/>
  <c r="AA185" i="38"/>
  <c r="R185" i="38"/>
  <c r="S185" i="38"/>
  <c r="T185" i="38"/>
  <c r="Z185" i="38"/>
  <c r="Q185" i="38"/>
  <c r="AE185" i="38" s="1"/>
  <c r="S147" i="38"/>
  <c r="AB139" i="38"/>
  <c r="AD345" i="38"/>
  <c r="P335" i="38"/>
  <c r="AE335" i="38" s="1"/>
  <c r="Z304" i="38"/>
  <c r="AE304" i="38" s="1"/>
  <c r="O278" i="38"/>
  <c r="Y278" i="38"/>
  <c r="AE274" i="38"/>
  <c r="Z257" i="38"/>
  <c r="AA257" i="38"/>
  <c r="AB257" i="38"/>
  <c r="AC257" i="38"/>
  <c r="AD257" i="38"/>
  <c r="P257" i="38"/>
  <c r="AE257" i="38" s="1"/>
  <c r="AD228" i="38"/>
  <c r="O218" i="38"/>
  <c r="Y218" i="38"/>
  <c r="AD178" i="38"/>
  <c r="S178" i="38"/>
  <c r="T178" i="38"/>
  <c r="Z178" i="38"/>
  <c r="R178" i="38"/>
  <c r="Q178" i="38"/>
  <c r="AA178" i="38"/>
  <c r="AB178" i="38"/>
  <c r="AC178" i="38"/>
  <c r="P178" i="38"/>
  <c r="AE178" i="38" s="1"/>
  <c r="AA151" i="38"/>
  <c r="AC151" i="38"/>
  <c r="P151" i="38"/>
  <c r="Q151" i="38"/>
  <c r="R151" i="38"/>
  <c r="S151" i="38"/>
  <c r="T151" i="38"/>
  <c r="AB151" i="38"/>
  <c r="R147" i="38"/>
  <c r="Z320" i="38"/>
  <c r="AB320" i="38"/>
  <c r="AE311" i="38"/>
  <c r="AA293" i="38"/>
  <c r="AB293" i="38"/>
  <c r="Z293" i="38"/>
  <c r="AC293" i="38"/>
  <c r="T293" i="38"/>
  <c r="Z289" i="38"/>
  <c r="AA289" i="38"/>
  <c r="AC289" i="38"/>
  <c r="T289" i="38"/>
  <c r="P268" i="38"/>
  <c r="AE268" i="38" s="1"/>
  <c r="Q268" i="38"/>
  <c r="T268" i="38"/>
  <c r="Z268" i="38"/>
  <c r="AA268" i="38"/>
  <c r="AB268" i="38"/>
  <c r="S268" i="38"/>
  <c r="T240" i="38"/>
  <c r="Z240" i="38"/>
  <c r="AA240" i="38"/>
  <c r="S240" i="38"/>
  <c r="AC240" i="38"/>
  <c r="AD240" i="38"/>
  <c r="AB240" i="38"/>
  <c r="P231" i="38"/>
  <c r="Q231" i="38"/>
  <c r="R231" i="38"/>
  <c r="S231" i="38"/>
  <c r="T231" i="38"/>
  <c r="AA231" i="38"/>
  <c r="AD208" i="38"/>
  <c r="Z208" i="38"/>
  <c r="AA208" i="38"/>
  <c r="AB208" i="38"/>
  <c r="T208" i="38"/>
  <c r="AC208" i="38"/>
  <c r="S208" i="38"/>
  <c r="AE192" i="38"/>
  <c r="P156" i="38"/>
  <c r="T156" i="38"/>
  <c r="AE156" i="38" s="1"/>
  <c r="AA156" i="38"/>
  <c r="Z156" i="38"/>
  <c r="AB156" i="38"/>
  <c r="AC156" i="38"/>
  <c r="AD156" i="38"/>
  <c r="S156" i="38"/>
  <c r="R156" i="38"/>
  <c r="Q147" i="38"/>
  <c r="AA283" i="38"/>
  <c r="AB283" i="38"/>
  <c r="S283" i="38"/>
  <c r="AE283" i="38" s="1"/>
  <c r="AD283" i="38"/>
  <c r="AC279" i="38"/>
  <c r="AD279" i="38"/>
  <c r="S279" i="38"/>
  <c r="AB279" i="38"/>
  <c r="AC274" i="38"/>
  <c r="Z273" i="38"/>
  <c r="AB228" i="38"/>
  <c r="O213" i="38"/>
  <c r="Y213" i="38"/>
  <c r="AB199" i="38"/>
  <c r="Z199" i="38"/>
  <c r="AA199" i="38"/>
  <c r="AC199" i="38"/>
  <c r="AD199" i="38"/>
  <c r="T199" i="38"/>
  <c r="AD198" i="38"/>
  <c r="AB198" i="38"/>
  <c r="AC198" i="38"/>
  <c r="AA198" i="38"/>
  <c r="Z198" i="38"/>
  <c r="AE180" i="38"/>
  <c r="O171" i="38"/>
  <c r="Y171" i="38"/>
  <c r="P147" i="38"/>
  <c r="T142" i="38"/>
  <c r="AE142" i="38" s="1"/>
  <c r="AA142" i="38"/>
  <c r="AD142" i="38"/>
  <c r="S142" i="38"/>
  <c r="Z142" i="38"/>
  <c r="AB142" i="38"/>
  <c r="AC142" i="38"/>
  <c r="R142" i="38"/>
  <c r="Q142" i="38"/>
  <c r="P142" i="38"/>
  <c r="Z134" i="38"/>
  <c r="AC134" i="38"/>
  <c r="P134" i="38"/>
  <c r="Q134" i="38"/>
  <c r="R134" i="38"/>
  <c r="S134" i="38"/>
  <c r="AA134" i="38"/>
  <c r="T134" i="38"/>
  <c r="S285" i="38"/>
  <c r="Y284" i="38"/>
  <c r="AE279" i="38"/>
  <c r="AC238" i="38"/>
  <c r="P235" i="38"/>
  <c r="AD235" i="38"/>
  <c r="P234" i="38"/>
  <c r="AE234" i="38" s="1"/>
  <c r="Q234" i="38"/>
  <c r="R234" i="38"/>
  <c r="S234" i="38"/>
  <c r="T234" i="38"/>
  <c r="Z216" i="38"/>
  <c r="T216" i="38"/>
  <c r="AA216" i="38"/>
  <c r="AB216" i="38"/>
  <c r="S216" i="38"/>
  <c r="AA215" i="38"/>
  <c r="AB215" i="38"/>
  <c r="AC215" i="38"/>
  <c r="AD215" i="38"/>
  <c r="Z215" i="38"/>
  <c r="AE215" i="38" s="1"/>
  <c r="Y209" i="38"/>
  <c r="Q190" i="38"/>
  <c r="AE190" i="38" s="1"/>
  <c r="Z190" i="38"/>
  <c r="AA190" i="38"/>
  <c r="AB190" i="38"/>
  <c r="AC190" i="38"/>
  <c r="AD190" i="38"/>
  <c r="S173" i="38"/>
  <c r="Z173" i="38"/>
  <c r="AA173" i="38"/>
  <c r="AB173" i="38"/>
  <c r="AC173" i="38"/>
  <c r="AD173" i="38"/>
  <c r="Z172" i="38"/>
  <c r="AD172" i="38"/>
  <c r="AB172" i="38"/>
  <c r="AC172" i="38"/>
  <c r="AA172" i="38"/>
  <c r="AB169" i="38"/>
  <c r="T169" i="38"/>
  <c r="Z169" i="38"/>
  <c r="AA169" i="38"/>
  <c r="S169" i="38"/>
  <c r="AE169" i="38" s="1"/>
  <c r="AD168" i="38"/>
  <c r="Z168" i="38"/>
  <c r="AA168" i="38"/>
  <c r="AB168" i="38"/>
  <c r="AC168" i="38"/>
  <c r="O159" i="38"/>
  <c r="Y159" i="38"/>
  <c r="AA141" i="38"/>
  <c r="AD141" i="38"/>
  <c r="Q141" i="38"/>
  <c r="Z141" i="38"/>
  <c r="AB141" i="38"/>
  <c r="AC141" i="38"/>
  <c r="S135" i="38"/>
  <c r="R135" i="38"/>
  <c r="Q135" i="38"/>
  <c r="AE135" i="38" s="1"/>
  <c r="O89" i="38"/>
  <c r="Y89" i="38"/>
  <c r="Z50" i="38"/>
  <c r="Z303" i="38"/>
  <c r="AC290" i="38"/>
  <c r="Z286" i="38"/>
  <c r="Z282" i="38"/>
  <c r="AA269" i="38"/>
  <c r="O267" i="38"/>
  <c r="Q254" i="38"/>
  <c r="S254" i="38"/>
  <c r="T254" i="38"/>
  <c r="AA239" i="38"/>
  <c r="AE239" i="38" s="1"/>
  <c r="AB239" i="38"/>
  <c r="AD239" i="38"/>
  <c r="Z239" i="38"/>
  <c r="T235" i="38"/>
  <c r="S233" i="38"/>
  <c r="AA222" i="38"/>
  <c r="P221" i="38"/>
  <c r="AE221" i="38" s="1"/>
  <c r="Q221" i="38"/>
  <c r="R221" i="38"/>
  <c r="S221" i="38"/>
  <c r="T221" i="38"/>
  <c r="Y166" i="38"/>
  <c r="O166" i="38"/>
  <c r="AB164" i="38"/>
  <c r="AE319" i="38"/>
  <c r="AB285" i="38"/>
  <c r="T260" i="38"/>
  <c r="Z254" i="38"/>
  <c r="T246" i="38"/>
  <c r="Z233" i="38"/>
  <c r="AA233" i="38"/>
  <c r="AB233" i="38"/>
  <c r="AC233" i="38"/>
  <c r="T223" i="38"/>
  <c r="AB221" i="38"/>
  <c r="AB220" i="38"/>
  <c r="AC216" i="38"/>
  <c r="AE211" i="38"/>
  <c r="O191" i="38"/>
  <c r="Y191" i="38"/>
  <c r="Q184" i="38"/>
  <c r="P184" i="38"/>
  <c r="AE184" i="38" s="1"/>
  <c r="R184" i="38"/>
  <c r="S183" i="38"/>
  <c r="P183" i="38"/>
  <c r="Q183" i="38"/>
  <c r="AE183" i="38" s="1"/>
  <c r="R183" i="38"/>
  <c r="T183" i="38"/>
  <c r="Q180" i="38"/>
  <c r="AD180" i="38"/>
  <c r="AD169" i="38"/>
  <c r="R163" i="38"/>
  <c r="Q163" i="38"/>
  <c r="Z163" i="38"/>
  <c r="AE163" i="38" s="1"/>
  <c r="AA163" i="38"/>
  <c r="AB163" i="38"/>
  <c r="AC163" i="38"/>
  <c r="AD163" i="38"/>
  <c r="T162" i="38"/>
  <c r="Q162" i="38"/>
  <c r="AE162" i="38" s="1"/>
  <c r="AD162" i="38"/>
  <c r="AC162" i="38"/>
  <c r="AB137" i="38"/>
  <c r="AC137" i="38"/>
  <c r="AA137" i="38"/>
  <c r="AD137" i="38"/>
  <c r="Z137" i="38"/>
  <c r="AE137" i="38" s="1"/>
  <c r="O76" i="38"/>
  <c r="Y76" i="38"/>
  <c r="S260" i="38"/>
  <c r="P258" i="38"/>
  <c r="AE258" i="38" s="1"/>
  <c r="Q258" i="38"/>
  <c r="AB209" i="38"/>
  <c r="P209" i="38"/>
  <c r="AE209" i="38" s="1"/>
  <c r="Q209" i="38"/>
  <c r="R209" i="38"/>
  <c r="S209" i="38"/>
  <c r="T209" i="38"/>
  <c r="AE193" i="38"/>
  <c r="AC169" i="38"/>
  <c r="AA138" i="38"/>
  <c r="T138" i="38"/>
  <c r="Z138" i="38"/>
  <c r="AE138" i="38" s="1"/>
  <c r="AB138" i="38"/>
  <c r="AC138" i="38"/>
  <c r="AD138" i="38"/>
  <c r="O127" i="38"/>
  <c r="Y127" i="38"/>
  <c r="O88" i="38"/>
  <c r="Y88" i="38"/>
  <c r="S303" i="38"/>
  <c r="S286" i="38"/>
  <c r="Z285" i="38"/>
  <c r="S282" i="38"/>
  <c r="Z270" i="38"/>
  <c r="T269" i="38"/>
  <c r="R260" i="38"/>
  <c r="AB258" i="38"/>
  <c r="R246" i="38"/>
  <c r="T230" i="38"/>
  <c r="Z230" i="38"/>
  <c r="AA230" i="38"/>
  <c r="S230" i="38"/>
  <c r="AE230" i="38" s="1"/>
  <c r="AA229" i="38"/>
  <c r="AB229" i="38"/>
  <c r="AC229" i="38"/>
  <c r="AD229" i="38"/>
  <c r="Z229" i="38"/>
  <c r="AE229" i="38" s="1"/>
  <c r="Z226" i="38"/>
  <c r="AA226" i="38"/>
  <c r="AB226" i="38"/>
  <c r="AC226" i="38"/>
  <c r="AD226" i="38"/>
  <c r="AE226" i="38" s="1"/>
  <c r="R223" i="38"/>
  <c r="T222" i="38"/>
  <c r="Z221" i="38"/>
  <c r="S219" i="38"/>
  <c r="Q210" i="38"/>
  <c r="P210" i="38"/>
  <c r="AE210" i="38" s="1"/>
  <c r="R210" i="38"/>
  <c r="P201" i="38"/>
  <c r="AE201" i="38" s="1"/>
  <c r="Q201" i="38"/>
  <c r="R201" i="38"/>
  <c r="S201" i="38"/>
  <c r="T201" i="38"/>
  <c r="S193" i="38"/>
  <c r="P193" i="38"/>
  <c r="Q37" i="38"/>
  <c r="AE37" i="38" s="1"/>
  <c r="R37" i="38"/>
  <c r="S37" i="38"/>
  <c r="T37" i="38"/>
  <c r="Z37" i="38"/>
  <c r="AD37" i="38"/>
  <c r="AC37" i="38"/>
  <c r="AB37" i="38"/>
  <c r="AA37" i="38"/>
  <c r="P37" i="38"/>
  <c r="R303" i="38"/>
  <c r="AE303" i="38" s="1"/>
  <c r="R286" i="38"/>
  <c r="Y285" i="38"/>
  <c r="R282" i="38"/>
  <c r="AE282" i="38" s="1"/>
  <c r="S269" i="38"/>
  <c r="Q260" i="38"/>
  <c r="AE260" i="38" s="1"/>
  <c r="AA258" i="38"/>
  <c r="Q246" i="38"/>
  <c r="Q223" i="38"/>
  <c r="S222" i="38"/>
  <c r="Y221" i="38"/>
  <c r="R219" i="38"/>
  <c r="AE207" i="38"/>
  <c r="S197" i="38"/>
  <c r="P197" i="38"/>
  <c r="AE197" i="38" s="1"/>
  <c r="Q197" i="38"/>
  <c r="R197" i="38"/>
  <c r="T172" i="38"/>
  <c r="T168" i="38"/>
  <c r="AC164" i="38"/>
  <c r="AD164" i="38"/>
  <c r="S164" i="38"/>
  <c r="AE164" i="38" s="1"/>
  <c r="T164" i="38"/>
  <c r="Z164" i="38"/>
  <c r="R164" i="38"/>
  <c r="O144" i="38"/>
  <c r="Y144" i="38"/>
  <c r="S105" i="38"/>
  <c r="T105" i="38"/>
  <c r="Q105" i="38"/>
  <c r="AE105" i="38" s="1"/>
  <c r="AD105" i="38"/>
  <c r="Z105" i="38"/>
  <c r="AA105" i="38"/>
  <c r="AB105" i="38"/>
  <c r="AC105" i="38"/>
  <c r="Y103" i="38"/>
  <c r="O103" i="38"/>
  <c r="S290" i="38"/>
  <c r="Z258" i="38"/>
  <c r="Q251" i="38"/>
  <c r="AE251" i="38" s="1"/>
  <c r="R251" i="38"/>
  <c r="S251" i="38"/>
  <c r="Q241" i="38"/>
  <c r="AE241" i="38" s="1"/>
  <c r="R241" i="38"/>
  <c r="S241" i="38"/>
  <c r="T241" i="38"/>
  <c r="R222" i="38"/>
  <c r="AD209" i="38"/>
  <c r="AB205" i="38"/>
  <c r="P205" i="38"/>
  <c r="AE205" i="38" s="1"/>
  <c r="Q205" i="38"/>
  <c r="R205" i="38"/>
  <c r="S205" i="38"/>
  <c r="T205" i="38"/>
  <c r="T190" i="38"/>
  <c r="T173" i="38"/>
  <c r="S172" i="38"/>
  <c r="AE172" i="38" s="1"/>
  <c r="S168" i="38"/>
  <c r="AE168" i="38" s="1"/>
  <c r="T141" i="38"/>
  <c r="AE141" i="38" s="1"/>
  <c r="R125" i="38"/>
  <c r="AE125" i="38" s="1"/>
  <c r="Z260" i="38"/>
  <c r="Z246" i="38"/>
  <c r="AB246" i="38"/>
  <c r="AC246" i="38"/>
  <c r="AD246" i="38"/>
  <c r="Z223" i="38"/>
  <c r="AA223" i="38"/>
  <c r="AB223" i="38"/>
  <c r="AC223" i="38"/>
  <c r="Q222" i="38"/>
  <c r="AE222" i="38" s="1"/>
  <c r="Q220" i="38"/>
  <c r="AE220" i="38" s="1"/>
  <c r="AC209" i="38"/>
  <c r="P206" i="38"/>
  <c r="AE206" i="38" s="1"/>
  <c r="Y158" i="38"/>
  <c r="O158" i="38"/>
  <c r="AA145" i="38"/>
  <c r="S145" i="38"/>
  <c r="P145" i="38"/>
  <c r="Q145" i="38"/>
  <c r="R145" i="38"/>
  <c r="T145" i="38"/>
  <c r="S141" i="38"/>
  <c r="Y94" i="38"/>
  <c r="O94" i="38"/>
  <c r="AA303" i="38"/>
  <c r="AB303" i="38"/>
  <c r="AC286" i="38"/>
  <c r="AD286" i="38"/>
  <c r="P238" i="38"/>
  <c r="AE238" i="38" s="1"/>
  <c r="Q238" i="38"/>
  <c r="R238" i="38"/>
  <c r="AB219" i="38"/>
  <c r="Z219" i="38"/>
  <c r="AE219" i="38" s="1"/>
  <c r="AA219" i="38"/>
  <c r="AC219" i="38"/>
  <c r="AD219" i="38"/>
  <c r="AA209" i="38"/>
  <c r="Y131" i="38"/>
  <c r="O131" i="38"/>
  <c r="AE130" i="38"/>
  <c r="O128" i="38"/>
  <c r="Y128" i="38"/>
  <c r="O41" i="38"/>
  <c r="Y41" i="38"/>
  <c r="AE235" i="38"/>
  <c r="AC222" i="38"/>
  <c r="AD222" i="38"/>
  <c r="AB222" i="38"/>
  <c r="S220" i="38"/>
  <c r="T220" i="38"/>
  <c r="Z220" i="38"/>
  <c r="R220" i="38"/>
  <c r="Z209" i="38"/>
  <c r="S125" i="38"/>
  <c r="T125" i="38"/>
  <c r="AB125" i="38"/>
  <c r="Z125" i="38"/>
  <c r="AA125" i="38"/>
  <c r="AC125" i="38"/>
  <c r="AD125" i="38"/>
  <c r="Q112" i="38"/>
  <c r="R112" i="38"/>
  <c r="T112" i="38"/>
  <c r="AA112" i="38"/>
  <c r="S112" i="38"/>
  <c r="Z112" i="38"/>
  <c r="AB112" i="38"/>
  <c r="AC112" i="38"/>
  <c r="P112" i="38"/>
  <c r="AE112" i="38" s="1"/>
  <c r="AD112" i="38"/>
  <c r="Z181" i="38"/>
  <c r="AE181" i="38" s="1"/>
  <c r="Y177" i="38"/>
  <c r="S123" i="38"/>
  <c r="P123" i="38"/>
  <c r="AD123" i="38"/>
  <c r="Y118" i="38"/>
  <c r="P79" i="38"/>
  <c r="AE79" i="38" s="1"/>
  <c r="Y60" i="38"/>
  <c r="O60" i="38"/>
  <c r="Q132" i="38"/>
  <c r="R132" i="38"/>
  <c r="P132" i="38"/>
  <c r="AA132" i="38"/>
  <c r="AB132" i="38"/>
  <c r="AC132" i="38"/>
  <c r="AD132" i="38"/>
  <c r="Q118" i="38"/>
  <c r="P118" i="38"/>
  <c r="AE118" i="38" s="1"/>
  <c r="R118" i="38"/>
  <c r="S118" i="38"/>
  <c r="T118" i="38"/>
  <c r="AA118" i="38"/>
  <c r="Y72" i="38"/>
  <c r="O72" i="38"/>
  <c r="O59" i="38"/>
  <c r="Y59" i="38"/>
  <c r="T192" i="38"/>
  <c r="AA161" i="38"/>
  <c r="Z161" i="38"/>
  <c r="AE161" i="38" s="1"/>
  <c r="AE119" i="38"/>
  <c r="AB106" i="38"/>
  <c r="AE106" i="38" s="1"/>
  <c r="AC106" i="38"/>
  <c r="AD106" i="38"/>
  <c r="Q106" i="38"/>
  <c r="Z106" i="38"/>
  <c r="AA106" i="38"/>
  <c r="S192" i="38"/>
  <c r="O157" i="38"/>
  <c r="Y157" i="38"/>
  <c r="P146" i="38"/>
  <c r="T146" i="38"/>
  <c r="AB146" i="38"/>
  <c r="AD133" i="38"/>
  <c r="AA133" i="38"/>
  <c r="AE133" i="38" s="1"/>
  <c r="AD110" i="38"/>
  <c r="AB110" i="38"/>
  <c r="AC110" i="38"/>
  <c r="Q110" i="38"/>
  <c r="T110" i="38"/>
  <c r="AE110" i="38" s="1"/>
  <c r="Z110" i="38"/>
  <c r="AA110" i="38"/>
  <c r="S110" i="38"/>
  <c r="S87" i="38"/>
  <c r="T87" i="38"/>
  <c r="Z87" i="38"/>
  <c r="AA87" i="38"/>
  <c r="AB87" i="38"/>
  <c r="AC87" i="38"/>
  <c r="AD87" i="38"/>
  <c r="P87" i="38"/>
  <c r="AE87" i="38" s="1"/>
  <c r="P80" i="38"/>
  <c r="AE80" i="38" s="1"/>
  <c r="T196" i="38"/>
  <c r="AE196" i="38" s="1"/>
  <c r="R192" i="38"/>
  <c r="AD177" i="38"/>
  <c r="AE140" i="38"/>
  <c r="AD140" i="38"/>
  <c r="P140" i="38"/>
  <c r="R140" i="38"/>
  <c r="Q139" i="38"/>
  <c r="P139" i="38"/>
  <c r="S139" i="38"/>
  <c r="AE139" i="38" s="1"/>
  <c r="T139" i="38"/>
  <c r="AA139" i="38"/>
  <c r="Y120" i="38"/>
  <c r="O120" i="38"/>
  <c r="Z93" i="38"/>
  <c r="AE92" i="38"/>
  <c r="AE90" i="38"/>
  <c r="S196" i="38"/>
  <c r="Q192" i="38"/>
  <c r="AD181" i="38"/>
  <c r="AC177" i="38"/>
  <c r="AD118" i="38"/>
  <c r="O65" i="38"/>
  <c r="Y65" i="38"/>
  <c r="AC181" i="38"/>
  <c r="Y121" i="38"/>
  <c r="O121" i="38"/>
  <c r="AC118" i="38"/>
  <c r="S102" i="38"/>
  <c r="Z192" i="38"/>
  <c r="AD192" i="38"/>
  <c r="AB118" i="38"/>
  <c r="O113" i="38"/>
  <c r="Y113" i="38"/>
  <c r="Z111" i="38"/>
  <c r="AA111" i="38"/>
  <c r="AB111" i="38"/>
  <c r="R111" i="38"/>
  <c r="S111" i="38"/>
  <c r="T111" i="38"/>
  <c r="AC111" i="38"/>
  <c r="AD111" i="38"/>
  <c r="Q111" i="38"/>
  <c r="AE111" i="38" s="1"/>
  <c r="AE49" i="38"/>
  <c r="P196" i="38"/>
  <c r="Z177" i="38"/>
  <c r="O122" i="38"/>
  <c r="Y122" i="38"/>
  <c r="Z118" i="38"/>
  <c r="Q102" i="38"/>
  <c r="R102" i="38"/>
  <c r="Z102" i="38"/>
  <c r="AA102" i="38"/>
  <c r="AB102" i="38"/>
  <c r="AC102" i="38"/>
  <c r="AD102" i="38"/>
  <c r="T102" i="38"/>
  <c r="AE102" i="38" s="1"/>
  <c r="O27" i="38"/>
  <c r="Y27" i="38"/>
  <c r="AE22" i="38"/>
  <c r="Y106" i="38"/>
  <c r="AD100" i="38"/>
  <c r="P100" i="38"/>
  <c r="AE100" i="38" s="1"/>
  <c r="Q100" i="38"/>
  <c r="R100" i="38"/>
  <c r="S100" i="38"/>
  <c r="P81" i="38"/>
  <c r="G56" i="39"/>
  <c r="Z124" i="38"/>
  <c r="AA124" i="38"/>
  <c r="AB124" i="38"/>
  <c r="AE124" i="38" s="1"/>
  <c r="AC124" i="38"/>
  <c r="S115" i="38"/>
  <c r="AE115" i="38" s="1"/>
  <c r="T115" i="38"/>
  <c r="AB115" i="38"/>
  <c r="AC115" i="38"/>
  <c r="AD115" i="38"/>
  <c r="O107" i="38"/>
  <c r="AD86" i="38"/>
  <c r="AE86" i="38" s="1"/>
  <c r="Z86" i="38"/>
  <c r="AA86" i="38"/>
  <c r="AB86" i="38"/>
  <c r="AC86" i="38"/>
  <c r="O66" i="38"/>
  <c r="Y66" i="38"/>
  <c r="Y14" i="38"/>
  <c r="O14" i="38"/>
  <c r="AE151" i="38"/>
  <c r="AE147" i="38"/>
  <c r="AD130" i="38"/>
  <c r="Z130" i="38"/>
  <c r="AA93" i="38"/>
  <c r="AC80" i="38"/>
  <c r="P67" i="38"/>
  <c r="AE67" i="38" s="1"/>
  <c r="Q95" i="38"/>
  <c r="R95" i="38"/>
  <c r="S95" i="38"/>
  <c r="P95" i="38"/>
  <c r="AE95" i="38" s="1"/>
  <c r="T95" i="38"/>
  <c r="Z95" i="38"/>
  <c r="Y82" i="38"/>
  <c r="O82" i="38"/>
  <c r="AB80" i="38"/>
  <c r="T78" i="38"/>
  <c r="AE61" i="38"/>
  <c r="P61" i="38"/>
  <c r="AA56" i="38"/>
  <c r="AD56" i="38"/>
  <c r="T56" i="38"/>
  <c r="Z56" i="38"/>
  <c r="AB56" i="38"/>
  <c r="AC56" i="38"/>
  <c r="S56" i="38"/>
  <c r="AE56" i="38" s="1"/>
  <c r="E56" i="40"/>
  <c r="R78" i="38"/>
  <c r="D56" i="40"/>
  <c r="P109" i="38"/>
  <c r="AE109" i="38" s="1"/>
  <c r="S109" i="38"/>
  <c r="AA97" i="38"/>
  <c r="AB97" i="38"/>
  <c r="AC97" i="38"/>
  <c r="Z97" i="38"/>
  <c r="AE97" i="38" s="1"/>
  <c r="AD97" i="38"/>
  <c r="AD96" i="38"/>
  <c r="P96" i="38"/>
  <c r="T96" i="38"/>
  <c r="P73" i="38"/>
  <c r="AE42" i="38"/>
  <c r="AB83" i="38"/>
  <c r="P83" i="38"/>
  <c r="R83" i="38"/>
  <c r="S83" i="38"/>
  <c r="T83" i="38"/>
  <c r="Q83" i="38"/>
  <c r="AA83" i="38"/>
  <c r="Q78" i="38"/>
  <c r="AE78" i="38" s="1"/>
  <c r="S78" i="38"/>
  <c r="Z78" i="38"/>
  <c r="AA78" i="38"/>
  <c r="AB78" i="38"/>
  <c r="AC78" i="38"/>
  <c r="AD78" i="38"/>
  <c r="O6" i="38"/>
  <c r="Y6" i="38"/>
  <c r="P117" i="38"/>
  <c r="AE117" i="38" s="1"/>
  <c r="AB109" i="38"/>
  <c r="AB96" i="38"/>
  <c r="AE96" i="38" s="1"/>
  <c r="AD95" i="38"/>
  <c r="S91" i="38"/>
  <c r="R91" i="38"/>
  <c r="T91" i="38"/>
  <c r="AC91" i="38"/>
  <c r="AD91" i="38"/>
  <c r="AE91" i="38" s="1"/>
  <c r="P91" i="38"/>
  <c r="O99" i="38"/>
  <c r="Y99" i="38"/>
  <c r="AC95" i="38"/>
  <c r="AB93" i="38"/>
  <c r="AC93" i="38"/>
  <c r="AD93" i="38"/>
  <c r="Q93" i="38"/>
  <c r="R93" i="38"/>
  <c r="S93" i="38"/>
  <c r="AE93" i="38" s="1"/>
  <c r="T93" i="38"/>
  <c r="S85" i="38"/>
  <c r="AC85" i="38"/>
  <c r="AD85" i="38"/>
  <c r="R85" i="38"/>
  <c r="AE85" i="38" s="1"/>
  <c r="P84" i="38"/>
  <c r="AE84" i="38" s="1"/>
  <c r="O10" i="38"/>
  <c r="Y10" i="38"/>
  <c r="AB95" i="38"/>
  <c r="Z80" i="38"/>
  <c r="AD80" i="38"/>
  <c r="R80" i="38"/>
  <c r="S80" i="38"/>
  <c r="T80" i="38"/>
  <c r="AA80" i="38"/>
  <c r="Q80" i="38"/>
  <c r="P74" i="38"/>
  <c r="O69" i="38"/>
  <c r="Y69" i="38"/>
  <c r="Y64" i="38"/>
  <c r="O64" i="38"/>
  <c r="H56" i="39"/>
  <c r="F56" i="40"/>
  <c r="Q119" i="38"/>
  <c r="Z117" i="38"/>
  <c r="AB104" i="38"/>
  <c r="T90" i="38"/>
  <c r="AB81" i="38"/>
  <c r="AB77" i="38"/>
  <c r="Z77" i="38"/>
  <c r="AE77" i="38" s="1"/>
  <c r="AA77" i="38"/>
  <c r="AC77" i="38"/>
  <c r="AC73" i="38"/>
  <c r="AB42" i="38"/>
  <c r="AC42" i="38"/>
  <c r="AD42" i="38"/>
  <c r="P42" i="38"/>
  <c r="S42" i="38"/>
  <c r="T42" i="38"/>
  <c r="Q42" i="38"/>
  <c r="R42" i="38"/>
  <c r="P18" i="38"/>
  <c r="Z114" i="38"/>
  <c r="AA114" i="38"/>
  <c r="Q79" i="38"/>
  <c r="R79" i="38"/>
  <c r="S79" i="38"/>
  <c r="S50" i="38"/>
  <c r="AB50" i="38"/>
  <c r="P50" i="38"/>
  <c r="AE50" i="38" s="1"/>
  <c r="Q50" i="38"/>
  <c r="R50" i="38"/>
  <c r="T50" i="38"/>
  <c r="AA50" i="38"/>
  <c r="Z90" i="38"/>
  <c r="AA90" i="38"/>
  <c r="AD63" i="38"/>
  <c r="AC63" i="38"/>
  <c r="S63" i="38"/>
  <c r="Z63" i="38"/>
  <c r="AE63" i="38" s="1"/>
  <c r="AA63" i="38"/>
  <c r="AB63" i="38"/>
  <c r="R63" i="38"/>
  <c r="AB50" i="39"/>
  <c r="Q46" i="38"/>
  <c r="AA42" i="38"/>
  <c r="R117" i="38"/>
  <c r="R104" i="38"/>
  <c r="R81" i="38"/>
  <c r="AE81" i="38" s="1"/>
  <c r="Z74" i="38"/>
  <c r="Q74" i="38"/>
  <c r="S74" i="38"/>
  <c r="T74" i="38"/>
  <c r="AE54" i="38"/>
  <c r="O52" i="38"/>
  <c r="Y52" i="38"/>
  <c r="AB34" i="38"/>
  <c r="P34" i="38"/>
  <c r="Q34" i="38"/>
  <c r="T34" i="38"/>
  <c r="R34" i="38"/>
  <c r="Q117" i="38"/>
  <c r="Q104" i="38"/>
  <c r="AE104" i="38" s="1"/>
  <c r="AE57" i="38"/>
  <c r="AD53" i="38"/>
  <c r="Q53" i="38"/>
  <c r="R53" i="38"/>
  <c r="AE53" i="38" s="1"/>
  <c r="S53" i="38"/>
  <c r="O45" i="38"/>
  <c r="Y45" i="38"/>
  <c r="AB73" i="38"/>
  <c r="Z73" i="38"/>
  <c r="AA73" i="38"/>
  <c r="S73" i="38"/>
  <c r="AD50" i="38"/>
  <c r="Q9" i="38"/>
  <c r="R9" i="38"/>
  <c r="S9" i="38"/>
  <c r="P9" i="38"/>
  <c r="T9" i="38"/>
  <c r="AA9" i="38"/>
  <c r="AB9" i="38"/>
  <c r="Z9" i="38"/>
  <c r="P119" i="38"/>
  <c r="AB117" i="38"/>
  <c r="AC117" i="38"/>
  <c r="Z104" i="38"/>
  <c r="AA104" i="38"/>
  <c r="S81" i="38"/>
  <c r="AA81" i="38"/>
  <c r="AC81" i="38"/>
  <c r="AD81" i="38"/>
  <c r="Q68" i="38"/>
  <c r="Z68" i="38"/>
  <c r="AA68" i="38"/>
  <c r="AB68" i="38"/>
  <c r="AC68" i="38"/>
  <c r="AD68" i="38"/>
  <c r="AB67" i="38"/>
  <c r="Z67" i="38"/>
  <c r="AC67" i="38"/>
  <c r="AD67" i="38"/>
  <c r="O58" i="38"/>
  <c r="Y58" i="38"/>
  <c r="AC53" i="38"/>
  <c r="S38" i="38"/>
  <c r="Z38" i="38"/>
  <c r="AE38" i="38" s="1"/>
  <c r="AA38" i="38"/>
  <c r="AC38" i="38"/>
  <c r="AD38" i="38"/>
  <c r="P38" i="38"/>
  <c r="Q70" i="38"/>
  <c r="O29" i="38"/>
  <c r="Y29" i="38"/>
  <c r="G56" i="40"/>
  <c r="AA61" i="38"/>
  <c r="Z57" i="38"/>
  <c r="P57" i="38"/>
  <c r="T57" i="38"/>
  <c r="O17" i="38"/>
  <c r="Y17" i="38"/>
  <c r="AB48" i="39"/>
  <c r="Z35" i="38"/>
  <c r="AD35" i="38"/>
  <c r="P35" i="38"/>
  <c r="AE35" i="38" s="1"/>
  <c r="Q35" i="38"/>
  <c r="R35" i="38"/>
  <c r="Y24" i="38"/>
  <c r="O24" i="38"/>
  <c r="F56" i="39"/>
  <c r="S70" i="38"/>
  <c r="AD62" i="38"/>
  <c r="Z48" i="38"/>
  <c r="S46" i="38"/>
  <c r="S40" i="38"/>
  <c r="T40" i="38"/>
  <c r="AB40" i="38"/>
  <c r="Q40" i="38"/>
  <c r="R40" i="38"/>
  <c r="AC40" i="38"/>
  <c r="AD40" i="38"/>
  <c r="Z39" i="38"/>
  <c r="AA39" i="38"/>
  <c r="AB39" i="38"/>
  <c r="AC39" i="38"/>
  <c r="S39" i="38"/>
  <c r="T39" i="38"/>
  <c r="AC5" i="38"/>
  <c r="E56" i="39"/>
  <c r="H56" i="40"/>
  <c r="R70" i="38"/>
  <c r="AC62" i="38"/>
  <c r="AE62" i="38" s="1"/>
  <c r="Z51" i="38"/>
  <c r="AE51" i="38" s="1"/>
  <c r="AB51" i="38"/>
  <c r="AC51" i="38"/>
  <c r="AD51" i="38"/>
  <c r="R46" i="38"/>
  <c r="O7" i="38"/>
  <c r="Y7" i="38"/>
  <c r="T49" i="38"/>
  <c r="Q47" i="38"/>
  <c r="R47" i="38"/>
  <c r="S47" i="38"/>
  <c r="T47" i="38"/>
  <c r="Z47" i="38"/>
  <c r="AA47" i="38"/>
  <c r="AB47" i="38"/>
  <c r="AC47" i="38"/>
  <c r="P31" i="38"/>
  <c r="O16" i="38"/>
  <c r="Y16" i="38"/>
  <c r="AE15" i="38"/>
  <c r="Z70" i="38"/>
  <c r="AD70" i="38"/>
  <c r="AD61" i="38"/>
  <c r="S57" i="38"/>
  <c r="Z46" i="38"/>
  <c r="AA46" i="38"/>
  <c r="AB46" i="38"/>
  <c r="AC46" i="38"/>
  <c r="AD46" i="38"/>
  <c r="Z49" i="38"/>
  <c r="P49" i="38"/>
  <c r="Q49" i="38"/>
  <c r="R49" i="38"/>
  <c r="O43" i="38"/>
  <c r="Q19" i="38"/>
  <c r="R19" i="38"/>
  <c r="S19" i="38"/>
  <c r="P19" i="38"/>
  <c r="AE19" i="38" s="1"/>
  <c r="Z19" i="38"/>
  <c r="AA19" i="38"/>
  <c r="AB19" i="38"/>
  <c r="S48" i="38"/>
  <c r="R48" i="38"/>
  <c r="AE48" i="38" s="1"/>
  <c r="T48" i="38"/>
  <c r="AB48" i="38"/>
  <c r="Q33" i="38"/>
  <c r="S33" i="38"/>
  <c r="P33" i="38"/>
  <c r="R33" i="38"/>
  <c r="T33" i="38"/>
  <c r="AA33" i="38"/>
  <c r="P28" i="38"/>
  <c r="AE28" i="38" s="1"/>
  <c r="P26" i="38"/>
  <c r="Q26" i="38"/>
  <c r="S26" i="38"/>
  <c r="T26" i="38"/>
  <c r="AC26" i="38"/>
  <c r="R26" i="38"/>
  <c r="Z26" i="38"/>
  <c r="AA26" i="38"/>
  <c r="Z5" i="38"/>
  <c r="AB5" i="38"/>
  <c r="T5" i="38"/>
  <c r="S5" i="38"/>
  <c r="R5" i="38"/>
  <c r="P5" i="38"/>
  <c r="Q5" i="38"/>
  <c r="AA28" i="38"/>
  <c r="Q20" i="38"/>
  <c r="AE20" i="38" s="1"/>
  <c r="S20" i="38"/>
  <c r="D56" i="39"/>
  <c r="Z36" i="38"/>
  <c r="AA36" i="38"/>
  <c r="AE36" i="38" s="1"/>
  <c r="T31" i="38"/>
  <c r="AC20" i="38"/>
  <c r="S32" i="38"/>
  <c r="AE32" i="38" s="1"/>
  <c r="Z32" i="38"/>
  <c r="T32" i="38"/>
  <c r="AD32" i="38"/>
  <c r="R25" i="38"/>
  <c r="AE25" i="38" s="1"/>
  <c r="Z20" i="38"/>
  <c r="S12" i="38"/>
  <c r="T12" i="38"/>
  <c r="Z12" i="38"/>
  <c r="R12" i="38"/>
  <c r="AE12" i="38" s="1"/>
  <c r="AD12" i="38"/>
  <c r="T28" i="38"/>
  <c r="Q25" i="38"/>
  <c r="Y20" i="38"/>
  <c r="Z31" i="38"/>
  <c r="AB31" i="38"/>
  <c r="AD31" i="38"/>
  <c r="AA31" i="38"/>
  <c r="AE31" i="38" s="1"/>
  <c r="R28" i="38"/>
  <c r="Z25" i="38"/>
  <c r="AB25" i="38"/>
  <c r="T25" i="38"/>
  <c r="S25" i="38"/>
  <c r="S22" i="38"/>
  <c r="T22" i="38"/>
  <c r="Z22" i="38"/>
  <c r="R22" i="38"/>
  <c r="AD22" i="38"/>
  <c r="Z15" i="38"/>
  <c r="AB15" i="38"/>
  <c r="T15" i="38"/>
  <c r="S15" i="38"/>
  <c r="P44" i="38"/>
  <c r="AE44" i="38" s="1"/>
  <c r="Q44" i="38"/>
  <c r="R44" i="38"/>
  <c r="Z28" i="38"/>
  <c r="AB28" i="38"/>
  <c r="AD28" i="38"/>
  <c r="S28" i="38"/>
  <c r="Z21" i="38"/>
  <c r="AA21" i="38"/>
  <c r="AB21" i="38"/>
  <c r="AD21" i="38"/>
  <c r="Z11" i="38"/>
  <c r="AA11" i="38"/>
  <c r="AB11" i="38"/>
  <c r="AD11" i="38"/>
  <c r="AB49" i="39"/>
  <c r="Q23" i="38"/>
  <c r="S23" i="38"/>
  <c r="Z18" i="38"/>
  <c r="AB18" i="38"/>
  <c r="AE18" i="38" s="1"/>
  <c r="AD18" i="38"/>
  <c r="Q13" i="38"/>
  <c r="S13" i="38"/>
  <c r="Z8" i="38"/>
  <c r="AB8" i="38"/>
  <c r="AD8" i="38"/>
  <c r="AB30" i="38"/>
  <c r="AE30" i="38" s="1"/>
  <c r="AA23" i="38"/>
  <c r="AE23" i="38" s="1"/>
  <c r="AA13" i="38"/>
  <c r="H21" i="8"/>
  <c r="L18" i="39" l="1"/>
  <c r="U18" i="39"/>
  <c r="AE382" i="38"/>
  <c r="AE8" i="38"/>
  <c r="AE26" i="38"/>
  <c r="AB5" i="37"/>
  <c r="T294" i="38"/>
  <c r="Q294" i="38"/>
  <c r="R294" i="38"/>
  <c r="Z294" i="38"/>
  <c r="AD294" i="38"/>
  <c r="P294" i="38"/>
  <c r="P531" i="38" s="1"/>
  <c r="S294" i="38"/>
  <c r="S531" i="38" s="1"/>
  <c r="AA294" i="38"/>
  <c r="AB294" i="38"/>
  <c r="AC294" i="38"/>
  <c r="U9" i="39"/>
  <c r="L9" i="39"/>
  <c r="AE47" i="38"/>
  <c r="AB24" i="38"/>
  <c r="AC24" i="38"/>
  <c r="AD24" i="38"/>
  <c r="AA24" i="38"/>
  <c r="P24" i="38"/>
  <c r="Q24" i="38"/>
  <c r="R24" i="38"/>
  <c r="S24" i="38"/>
  <c r="Z24" i="38"/>
  <c r="T24" i="38"/>
  <c r="S58" i="38"/>
  <c r="S526" i="38" s="1"/>
  <c r="R58" i="38"/>
  <c r="R526" i="38" s="1"/>
  <c r="P58" i="38"/>
  <c r="AE58" i="38" s="1"/>
  <c r="Q58" i="38"/>
  <c r="T58" i="38"/>
  <c r="AC58" i="38"/>
  <c r="Z58" i="38"/>
  <c r="AA58" i="38"/>
  <c r="AB58" i="38"/>
  <c r="AD58" i="38"/>
  <c r="AE149" i="38"/>
  <c r="S351" i="38"/>
  <c r="AC351" i="38"/>
  <c r="Z351" i="38"/>
  <c r="AA351" i="38"/>
  <c r="P351" i="38"/>
  <c r="Q351" i="38"/>
  <c r="R351" i="38"/>
  <c r="T351" i="38"/>
  <c r="AB351" i="38"/>
  <c r="AD351" i="38"/>
  <c r="Q476" i="38"/>
  <c r="T476" i="38"/>
  <c r="P476" i="38"/>
  <c r="R476" i="38"/>
  <c r="S476" i="38"/>
  <c r="AB476" i="38"/>
  <c r="AA476" i="38"/>
  <c r="Z476" i="38"/>
  <c r="AC476" i="38"/>
  <c r="AD476" i="38"/>
  <c r="Q338" i="38"/>
  <c r="Q538" i="38" s="1"/>
  <c r="T338" i="38"/>
  <c r="P338" i="38"/>
  <c r="R338" i="38"/>
  <c r="S338" i="38"/>
  <c r="Z338" i="38"/>
  <c r="AA338" i="38"/>
  <c r="AB338" i="38"/>
  <c r="AC338" i="38"/>
  <c r="AD338" i="38"/>
  <c r="L34" i="40"/>
  <c r="U34" i="40"/>
  <c r="AE357" i="38"/>
  <c r="U40" i="39"/>
  <c r="L40" i="39"/>
  <c r="AE501" i="38"/>
  <c r="Z45" i="37"/>
  <c r="V45" i="37"/>
  <c r="Y45" i="37"/>
  <c r="W45" i="37"/>
  <c r="X45" i="37"/>
  <c r="U47" i="40"/>
  <c r="L47" i="40"/>
  <c r="L27" i="39"/>
  <c r="U27" i="39"/>
  <c r="L39" i="39"/>
  <c r="U39" i="39"/>
  <c r="U11" i="39"/>
  <c r="L11" i="39"/>
  <c r="AE150" i="38"/>
  <c r="L19" i="39"/>
  <c r="U19" i="39"/>
  <c r="AB492" i="38"/>
  <c r="AC492" i="38"/>
  <c r="P492" i="38"/>
  <c r="Q492" i="38"/>
  <c r="R492" i="38"/>
  <c r="Z492" i="38"/>
  <c r="AA492" i="38"/>
  <c r="S492" i="38"/>
  <c r="T492" i="38"/>
  <c r="AD492" i="38"/>
  <c r="Q174" i="38"/>
  <c r="R174" i="38"/>
  <c r="S174" i="38"/>
  <c r="T174" i="38"/>
  <c r="P174" i="38"/>
  <c r="Z174" i="38"/>
  <c r="AA174" i="38"/>
  <c r="AB174" i="38"/>
  <c r="AC174" i="38"/>
  <c r="AD174" i="38"/>
  <c r="U19" i="40"/>
  <c r="L19" i="40"/>
  <c r="AE83" i="38"/>
  <c r="AB175" i="38"/>
  <c r="P175" i="38"/>
  <c r="Q175" i="38"/>
  <c r="R175" i="38"/>
  <c r="S175" i="38"/>
  <c r="Z175" i="38"/>
  <c r="AA175" i="38"/>
  <c r="AC175" i="38"/>
  <c r="AD175" i="38"/>
  <c r="T175" i="38"/>
  <c r="U42" i="39"/>
  <c r="L42" i="39"/>
  <c r="L35" i="40"/>
  <c r="U35" i="40"/>
  <c r="Q82" i="38"/>
  <c r="Z82" i="38"/>
  <c r="P82" i="38"/>
  <c r="AE82" i="38" s="1"/>
  <c r="R82" i="38"/>
  <c r="S82" i="38"/>
  <c r="T82" i="38"/>
  <c r="AB82" i="38"/>
  <c r="AC82" i="38"/>
  <c r="AD82" i="38"/>
  <c r="AA82" i="38"/>
  <c r="Q121" i="38"/>
  <c r="R121" i="38"/>
  <c r="S121" i="38"/>
  <c r="T121" i="38"/>
  <c r="AC121" i="38"/>
  <c r="P121" i="38"/>
  <c r="Z121" i="38"/>
  <c r="AD121" i="38"/>
  <c r="AB121" i="38"/>
  <c r="AA121" i="38"/>
  <c r="AD7" i="38"/>
  <c r="AC7" i="38"/>
  <c r="AC510" i="38" s="1"/>
  <c r="P7" i="38"/>
  <c r="AE7" i="38" s="1"/>
  <c r="Q7" i="38"/>
  <c r="R7" i="38"/>
  <c r="S7" i="38"/>
  <c r="T7" i="38"/>
  <c r="AA7" i="38"/>
  <c r="AB7" i="38"/>
  <c r="Z7" i="38"/>
  <c r="AE114" i="38"/>
  <c r="Q88" i="38"/>
  <c r="R88" i="38"/>
  <c r="S88" i="38"/>
  <c r="T88" i="38"/>
  <c r="Z88" i="38"/>
  <c r="AD88" i="38"/>
  <c r="P88" i="38"/>
  <c r="AA88" i="38"/>
  <c r="AB88" i="38"/>
  <c r="AC88" i="38"/>
  <c r="S187" i="38"/>
  <c r="R187" i="38"/>
  <c r="R552" i="38" s="1"/>
  <c r="T187" i="38"/>
  <c r="Z187" i="38"/>
  <c r="Q187" i="38"/>
  <c r="AA187" i="38"/>
  <c r="AB187" i="38"/>
  <c r="AC187" i="38"/>
  <c r="AD187" i="38"/>
  <c r="P187" i="38"/>
  <c r="AB21" i="37"/>
  <c r="AE70" i="38"/>
  <c r="AB14" i="38"/>
  <c r="AC14" i="38"/>
  <c r="AD14" i="38"/>
  <c r="AD539" i="38" s="1"/>
  <c r="AA14" i="38"/>
  <c r="AA539" i="38" s="1"/>
  <c r="Z14" i="38"/>
  <c r="P14" i="38"/>
  <c r="Q14" i="38"/>
  <c r="R14" i="38"/>
  <c r="S14" i="38"/>
  <c r="T14" i="38"/>
  <c r="AD101" i="38"/>
  <c r="S101" i="38"/>
  <c r="P101" i="38"/>
  <c r="Q101" i="38"/>
  <c r="R101" i="38"/>
  <c r="T101" i="38"/>
  <c r="Z101" i="38"/>
  <c r="AA101" i="38"/>
  <c r="AB101" i="38"/>
  <c r="AC101" i="38"/>
  <c r="P339" i="38"/>
  <c r="Q339" i="38"/>
  <c r="R339" i="38"/>
  <c r="S339" i="38"/>
  <c r="T339" i="38"/>
  <c r="Z339" i="38"/>
  <c r="AB339" i="38"/>
  <c r="AC339" i="38"/>
  <c r="AD339" i="38"/>
  <c r="AA339" i="38"/>
  <c r="AA333" i="38"/>
  <c r="AB333" i="38"/>
  <c r="T333" i="38"/>
  <c r="P333" i="38"/>
  <c r="Q333" i="38"/>
  <c r="R333" i="38"/>
  <c r="S333" i="38"/>
  <c r="AD333" i="38"/>
  <c r="Z333" i="38"/>
  <c r="AC333" i="38"/>
  <c r="P160" i="38"/>
  <c r="AB160" i="38"/>
  <c r="Q160" i="38"/>
  <c r="R160" i="38"/>
  <c r="S160" i="38"/>
  <c r="T160" i="38"/>
  <c r="Z160" i="38"/>
  <c r="AA160" i="38"/>
  <c r="AC160" i="38"/>
  <c r="AD160" i="38"/>
  <c r="P415" i="38"/>
  <c r="Z415" i="38"/>
  <c r="AA415" i="38"/>
  <c r="AD415" i="38"/>
  <c r="T415" i="38"/>
  <c r="AB415" i="38"/>
  <c r="AC415" i="38"/>
  <c r="S415" i="38"/>
  <c r="R415" i="38"/>
  <c r="Q415" i="38"/>
  <c r="L15" i="40"/>
  <c r="U15" i="40"/>
  <c r="V38" i="37"/>
  <c r="AB38" i="37" s="1"/>
  <c r="W38" i="37"/>
  <c r="X38" i="37"/>
  <c r="Y38" i="37"/>
  <c r="Z38" i="37"/>
  <c r="U46" i="40"/>
  <c r="L46" i="40"/>
  <c r="L37" i="40"/>
  <c r="U37" i="40"/>
  <c r="AD43" i="38"/>
  <c r="Q43" i="38"/>
  <c r="R43" i="38"/>
  <c r="P43" i="38"/>
  <c r="S43" i="38"/>
  <c r="T43" i="38"/>
  <c r="AC43" i="38"/>
  <c r="AA43" i="38"/>
  <c r="AB43" i="38"/>
  <c r="Z43" i="38"/>
  <c r="AE73" i="38"/>
  <c r="Q170" i="38"/>
  <c r="P170" i="38"/>
  <c r="R170" i="38"/>
  <c r="S170" i="38"/>
  <c r="T170" i="38"/>
  <c r="T537" i="38" s="1"/>
  <c r="Z170" i="38"/>
  <c r="AA170" i="38"/>
  <c r="AB170" i="38"/>
  <c r="AC170" i="38"/>
  <c r="AD170" i="38"/>
  <c r="R153" i="38"/>
  <c r="T153" i="38"/>
  <c r="P153" i="38"/>
  <c r="Q153" i="38"/>
  <c r="Z153" i="38"/>
  <c r="AA153" i="38"/>
  <c r="AA534" i="38" s="1"/>
  <c r="AB153" i="38"/>
  <c r="AC153" i="38"/>
  <c r="AD153" i="38"/>
  <c r="S153" i="38"/>
  <c r="AE328" i="38"/>
  <c r="R437" i="38"/>
  <c r="S437" i="38"/>
  <c r="P437" i="38"/>
  <c r="Q437" i="38"/>
  <c r="T437" i="38"/>
  <c r="AB437" i="38"/>
  <c r="AB538" i="38" s="1"/>
  <c r="AC437" i="38"/>
  <c r="AD437" i="38"/>
  <c r="AA437" i="38"/>
  <c r="Z437" i="38"/>
  <c r="AB189" i="38"/>
  <c r="AD189" i="38"/>
  <c r="AC189" i="38"/>
  <c r="R189" i="38"/>
  <c r="S189" i="38"/>
  <c r="T189" i="38"/>
  <c r="Z189" i="38"/>
  <c r="Q189" i="38"/>
  <c r="P189" i="38"/>
  <c r="AA189" i="38"/>
  <c r="L32" i="39"/>
  <c r="U32" i="39"/>
  <c r="L15" i="39"/>
  <c r="U15" i="39"/>
  <c r="M6" i="37"/>
  <c r="O6" i="37"/>
  <c r="O56" i="37" s="1"/>
  <c r="Q6" i="37"/>
  <c r="N6" i="37"/>
  <c r="P6" i="37"/>
  <c r="Q407" i="38"/>
  <c r="R407" i="38"/>
  <c r="P407" i="38"/>
  <c r="T407" i="38"/>
  <c r="Z407" i="38"/>
  <c r="AA407" i="38"/>
  <c r="AB407" i="38"/>
  <c r="AC407" i="38"/>
  <c r="AD407" i="38"/>
  <c r="S407" i="38"/>
  <c r="M28" i="37"/>
  <c r="N28" i="37"/>
  <c r="P28" i="37"/>
  <c r="Q28" i="37"/>
  <c r="O28" i="37"/>
  <c r="V39" i="37"/>
  <c r="W39" i="37"/>
  <c r="X39" i="37"/>
  <c r="Y39" i="37"/>
  <c r="Z39" i="37"/>
  <c r="Q18" i="37"/>
  <c r="N18" i="37"/>
  <c r="O18" i="37"/>
  <c r="P18" i="37"/>
  <c r="M18" i="37"/>
  <c r="M30" i="37"/>
  <c r="N30" i="37"/>
  <c r="O30" i="37"/>
  <c r="P30" i="37"/>
  <c r="Q30" i="37"/>
  <c r="AE331" i="38"/>
  <c r="AB514" i="38"/>
  <c r="AB516" i="38"/>
  <c r="AB520" i="38"/>
  <c r="AB522" i="38"/>
  <c r="AB526" i="38"/>
  <c r="AB528" i="38"/>
  <c r="AB534" i="38"/>
  <c r="AB544" i="38"/>
  <c r="AB548" i="38"/>
  <c r="AB550" i="38"/>
  <c r="AB552" i="38"/>
  <c r="Z520" i="38"/>
  <c r="AC524" i="38"/>
  <c r="AD526" i="38"/>
  <c r="Z539" i="38"/>
  <c r="AB543" i="38"/>
  <c r="AD547" i="38"/>
  <c r="AA520" i="38"/>
  <c r="AB541" i="38"/>
  <c r="AC543" i="38"/>
  <c r="AC539" i="38"/>
  <c r="Z516" i="38"/>
  <c r="AD518" i="38"/>
  <c r="Z523" i="38"/>
  <c r="Z544" i="38"/>
  <c r="Z551" i="38"/>
  <c r="AA523" i="38"/>
  <c r="AA544" i="38"/>
  <c r="AC516" i="38"/>
  <c r="AB523" i="38"/>
  <c r="AA530" i="38"/>
  <c r="AC544" i="38"/>
  <c r="AB551" i="38"/>
  <c r="Z514" i="38"/>
  <c r="AD516" i="38"/>
  <c r="Z521" i="38"/>
  <c r="AC523" i="38"/>
  <c r="AC530" i="38"/>
  <c r="AD544" i="38"/>
  <c r="Z549" i="38"/>
  <c r="AC551" i="38"/>
  <c r="AA549" i="38"/>
  <c r="AA514" i="38"/>
  <c r="AA521" i="38"/>
  <c r="AD523" i="38"/>
  <c r="Z528" i="38"/>
  <c r="AD530" i="38"/>
  <c r="AA542" i="38"/>
  <c r="AD551" i="38"/>
  <c r="AD515" i="38"/>
  <c r="AC520" i="38"/>
  <c r="AB527" i="38"/>
  <c r="AC548" i="38"/>
  <c r="AD520" i="38"/>
  <c r="AC527" i="38"/>
  <c r="AC534" i="38"/>
  <c r="AD548" i="38"/>
  <c r="AD527" i="38"/>
  <c r="Z532" i="38"/>
  <c r="AD534" i="38"/>
  <c r="AA546" i="38"/>
  <c r="AA516" i="38"/>
  <c r="AA551" i="38"/>
  <c r="AC514" i="38"/>
  <c r="Z531" i="38"/>
  <c r="AA543" i="38"/>
  <c r="AA552" i="38"/>
  <c r="AB519" i="38"/>
  <c r="AA527" i="38"/>
  <c r="AB549" i="38"/>
  <c r="AB529" i="38"/>
  <c r="AD538" i="38"/>
  <c r="AD514" i="38"/>
  <c r="AA531" i="38"/>
  <c r="AD543" i="38"/>
  <c r="AC552" i="38"/>
  <c r="AD522" i="38"/>
  <c r="AB531" i="38"/>
  <c r="AD552" i="38"/>
  <c r="Z519" i="38"/>
  <c r="AC531" i="38"/>
  <c r="AA519" i="38"/>
  <c r="AD531" i="38"/>
  <c r="AC529" i="38"/>
  <c r="Z548" i="38"/>
  <c r="Z527" i="38"/>
  <c r="AA548" i="38"/>
  <c r="AA533" i="38"/>
  <c r="AB517" i="38"/>
  <c r="Z526" i="38"/>
  <c r="AB547" i="38"/>
  <c r="AC540" i="38"/>
  <c r="AA526" i="38"/>
  <c r="AA515" i="38"/>
  <c r="AD528" i="38"/>
  <c r="AC550" i="38"/>
  <c r="AC521" i="38"/>
  <c r="AC519" i="38"/>
  <c r="AA528" i="38"/>
  <c r="AC549" i="38"/>
  <c r="AB515" i="38"/>
  <c r="Z524" i="38"/>
  <c r="AB545" i="38"/>
  <c r="AA524" i="38"/>
  <c r="Z517" i="38"/>
  <c r="AD521" i="38"/>
  <c r="AA538" i="38"/>
  <c r="Z547" i="38"/>
  <c r="AC517" i="38"/>
  <c r="Z534" i="38"/>
  <c r="AC547" i="38"/>
  <c r="AD519" i="38"/>
  <c r="AC528" i="38"/>
  <c r="AD549" i="38"/>
  <c r="AC538" i="38"/>
  <c r="Z550" i="38"/>
  <c r="Z529" i="38"/>
  <c r="AD533" i="38"/>
  <c r="AA550" i="38"/>
  <c r="AD550" i="38"/>
  <c r="AA517" i="38"/>
  <c r="AD529" i="38"/>
  <c r="AA547" i="38"/>
  <c r="AC526" i="38"/>
  <c r="Z543" i="38"/>
  <c r="Z552" i="38"/>
  <c r="AB521" i="38"/>
  <c r="Z538" i="38"/>
  <c r="AE146" i="38"/>
  <c r="T103" i="38"/>
  <c r="AB103" i="38"/>
  <c r="P103" i="38"/>
  <c r="Z103" i="38"/>
  <c r="AA103" i="38"/>
  <c r="AC103" i="38"/>
  <c r="AD103" i="38"/>
  <c r="S103" i="38"/>
  <c r="S551" i="38" s="1"/>
  <c r="Q103" i="38"/>
  <c r="Q551" i="38" s="1"/>
  <c r="R103" i="38"/>
  <c r="R551" i="38" s="1"/>
  <c r="S217" i="38"/>
  <c r="S568" i="38" s="1"/>
  <c r="P217" i="38"/>
  <c r="Q217" i="38"/>
  <c r="R217" i="38"/>
  <c r="R568" i="38" s="1"/>
  <c r="T217" i="38"/>
  <c r="Z217" i="38"/>
  <c r="AA217" i="38"/>
  <c r="AB217" i="38"/>
  <c r="AC217" i="38"/>
  <c r="AD217" i="38"/>
  <c r="P248" i="38"/>
  <c r="Q248" i="38"/>
  <c r="R248" i="38"/>
  <c r="S248" i="38"/>
  <c r="Z248" i="38"/>
  <c r="Z535" i="38" s="1"/>
  <c r="AA248" i="38"/>
  <c r="AB248" i="38"/>
  <c r="AB535" i="38" s="1"/>
  <c r="AC248" i="38"/>
  <c r="AC535" i="38" s="1"/>
  <c r="AD248" i="38"/>
  <c r="T248" i="38"/>
  <c r="AB379" i="38"/>
  <c r="R379" i="38"/>
  <c r="S379" i="38"/>
  <c r="S544" i="38" s="1"/>
  <c r="Z379" i="38"/>
  <c r="AA379" i="38"/>
  <c r="AC379" i="38"/>
  <c r="P379" i="38"/>
  <c r="Q379" i="38"/>
  <c r="T379" i="38"/>
  <c r="AD379" i="38"/>
  <c r="L9" i="40"/>
  <c r="U9" i="40"/>
  <c r="U32" i="40"/>
  <c r="L32" i="40"/>
  <c r="P391" i="38"/>
  <c r="Q391" i="38"/>
  <c r="R391" i="38"/>
  <c r="S391" i="38"/>
  <c r="T391" i="38"/>
  <c r="Z391" i="38"/>
  <c r="AA391" i="38"/>
  <c r="AB391" i="38"/>
  <c r="AC391" i="38"/>
  <c r="AD391" i="38"/>
  <c r="Q214" i="38"/>
  <c r="P214" i="38"/>
  <c r="T214" i="38"/>
  <c r="Z214" i="38"/>
  <c r="AA214" i="38"/>
  <c r="AB214" i="38"/>
  <c r="S214" i="38"/>
  <c r="R214" i="38"/>
  <c r="AC214" i="38"/>
  <c r="AD214" i="38"/>
  <c r="L6" i="39"/>
  <c r="U6" i="39"/>
  <c r="L28" i="40"/>
  <c r="U28" i="40"/>
  <c r="L43" i="40"/>
  <c r="U43" i="40"/>
  <c r="P45" i="37"/>
  <c r="M45" i="37"/>
  <c r="N45" i="37"/>
  <c r="Q45" i="37"/>
  <c r="O45" i="37"/>
  <c r="L30" i="40"/>
  <c r="U30" i="40"/>
  <c r="S69" i="38"/>
  <c r="S563" i="38" s="1"/>
  <c r="Z69" i="38"/>
  <c r="R69" i="38"/>
  <c r="Q69" i="38"/>
  <c r="T69" i="38"/>
  <c r="T563" i="38" s="1"/>
  <c r="AA69" i="38"/>
  <c r="AB69" i="38"/>
  <c r="AC69" i="38"/>
  <c r="P69" i="38"/>
  <c r="AD69" i="38"/>
  <c r="V35" i="37"/>
  <c r="AB35" i="37" s="1"/>
  <c r="Y35" i="37"/>
  <c r="W35" i="37"/>
  <c r="X35" i="37"/>
  <c r="Z35" i="37"/>
  <c r="R490" i="38"/>
  <c r="S490" i="38"/>
  <c r="P490" i="38"/>
  <c r="Q490" i="38"/>
  <c r="T490" i="38"/>
  <c r="Z490" i="38"/>
  <c r="AA490" i="38"/>
  <c r="AB490" i="38"/>
  <c r="AC490" i="38"/>
  <c r="AD490" i="38"/>
  <c r="L11" i="40"/>
  <c r="U11" i="40"/>
  <c r="AE11" i="38"/>
  <c r="R128" i="38"/>
  <c r="R562" i="38" s="1"/>
  <c r="S128" i="38"/>
  <c r="S562" i="38" s="1"/>
  <c r="T128" i="38"/>
  <c r="AC128" i="38"/>
  <c r="P128" i="38"/>
  <c r="P562" i="38" s="1"/>
  <c r="Q128" i="38"/>
  <c r="Z128" i="38"/>
  <c r="AA128" i="38"/>
  <c r="AB128" i="38"/>
  <c r="AD128" i="38"/>
  <c r="AE231" i="38"/>
  <c r="AB116" i="38"/>
  <c r="Q116" i="38"/>
  <c r="R116" i="38"/>
  <c r="S116" i="38"/>
  <c r="T116" i="38"/>
  <c r="Z116" i="38"/>
  <c r="P116" i="38"/>
  <c r="AA116" i="38"/>
  <c r="AC116" i="38"/>
  <c r="AD116" i="38"/>
  <c r="AC296" i="38"/>
  <c r="AD296" i="38"/>
  <c r="AB296" i="38"/>
  <c r="R296" i="38"/>
  <c r="R532" i="38" s="1"/>
  <c r="AA296" i="38"/>
  <c r="Q296" i="38"/>
  <c r="S296" i="38"/>
  <c r="T296" i="38"/>
  <c r="Z296" i="38"/>
  <c r="P296" i="38"/>
  <c r="U36" i="39"/>
  <c r="L36" i="39"/>
  <c r="U20" i="40"/>
  <c r="L20" i="40"/>
  <c r="M46" i="37"/>
  <c r="O46" i="37"/>
  <c r="P46" i="37"/>
  <c r="Q46" i="37"/>
  <c r="N46" i="37"/>
  <c r="V37" i="37"/>
  <c r="W37" i="37"/>
  <c r="X37" i="37"/>
  <c r="Y37" i="37"/>
  <c r="Z37" i="37"/>
  <c r="P94" i="38"/>
  <c r="Q94" i="38"/>
  <c r="R94" i="38"/>
  <c r="S94" i="38"/>
  <c r="T94" i="38"/>
  <c r="AB94" i="38"/>
  <c r="AB537" i="38" s="1"/>
  <c r="Z94" i="38"/>
  <c r="Z537" i="38" s="1"/>
  <c r="AA94" i="38"/>
  <c r="AA537" i="38" s="1"/>
  <c r="AC94" i="38"/>
  <c r="AC537" i="38" s="1"/>
  <c r="AD94" i="38"/>
  <c r="AD537" i="38" s="1"/>
  <c r="P166" i="38"/>
  <c r="T166" i="38"/>
  <c r="S166" i="38"/>
  <c r="Q166" i="38"/>
  <c r="R166" i="38"/>
  <c r="Z166" i="38"/>
  <c r="Z541" i="38" s="1"/>
  <c r="AA166" i="38"/>
  <c r="AA541" i="38" s="1"/>
  <c r="AB166" i="38"/>
  <c r="AC166" i="38"/>
  <c r="AC541" i="38" s="1"/>
  <c r="AD166" i="38"/>
  <c r="AD541" i="38" s="1"/>
  <c r="U20" i="39"/>
  <c r="L20" i="39"/>
  <c r="L46" i="39"/>
  <c r="U46" i="39"/>
  <c r="AE132" i="38"/>
  <c r="Z267" i="38"/>
  <c r="AA267" i="38"/>
  <c r="AB267" i="38"/>
  <c r="AC267" i="38"/>
  <c r="AD267" i="38"/>
  <c r="AD517" i="38" s="1"/>
  <c r="P267" i="38"/>
  <c r="Q267" i="38"/>
  <c r="R267" i="38"/>
  <c r="S267" i="38"/>
  <c r="S517" i="38" s="1"/>
  <c r="T267" i="38"/>
  <c r="AE134" i="38"/>
  <c r="U28" i="39"/>
  <c r="L28" i="39"/>
  <c r="U43" i="39"/>
  <c r="L43" i="39"/>
  <c r="AE368" i="38"/>
  <c r="L45" i="39"/>
  <c r="U45" i="39"/>
  <c r="U30" i="39"/>
  <c r="L30" i="39"/>
  <c r="AE33" i="38"/>
  <c r="AE237" i="38"/>
  <c r="P308" i="38"/>
  <c r="Q308" i="38"/>
  <c r="Q534" i="38" s="1"/>
  <c r="S308" i="38"/>
  <c r="S534" i="38" s="1"/>
  <c r="R308" i="38"/>
  <c r="R534" i="38" s="1"/>
  <c r="T308" i="38"/>
  <c r="T534" i="38" s="1"/>
  <c r="Z308" i="38"/>
  <c r="AA308" i="38"/>
  <c r="AC308" i="38"/>
  <c r="AB308" i="38"/>
  <c r="AD308" i="38"/>
  <c r="L29" i="40"/>
  <c r="U29" i="40"/>
  <c r="P445" i="38"/>
  <c r="T445" i="38"/>
  <c r="Z445" i="38"/>
  <c r="Z545" i="38" s="1"/>
  <c r="AC445" i="38"/>
  <c r="AC545" i="38" s="1"/>
  <c r="S445" i="38"/>
  <c r="AB445" i="38"/>
  <c r="AD445" i="38"/>
  <c r="AD545" i="38" s="1"/>
  <c r="AA445" i="38"/>
  <c r="AA545" i="38" s="1"/>
  <c r="Q445" i="38"/>
  <c r="R445" i="38"/>
  <c r="V10" i="37"/>
  <c r="W10" i="37"/>
  <c r="Z10" i="37"/>
  <c r="X10" i="37"/>
  <c r="Y10" i="37"/>
  <c r="U45" i="40"/>
  <c r="L45" i="40"/>
  <c r="L38" i="39"/>
  <c r="U38" i="39"/>
  <c r="AC266" i="38"/>
  <c r="AD266" i="38"/>
  <c r="S266" i="38"/>
  <c r="AB266" i="38"/>
  <c r="P266" i="38"/>
  <c r="Q266" i="38"/>
  <c r="R266" i="38"/>
  <c r="R517" i="38" s="1"/>
  <c r="T266" i="38"/>
  <c r="T517" i="38" s="1"/>
  <c r="Z266" i="38"/>
  <c r="AA266" i="38"/>
  <c r="P507" i="38"/>
  <c r="Q507" i="38"/>
  <c r="R507" i="38"/>
  <c r="S507" i="38"/>
  <c r="T507" i="38"/>
  <c r="AA507" i="38"/>
  <c r="Z507" i="38"/>
  <c r="AD507" i="38"/>
  <c r="AB507" i="38"/>
  <c r="AC507" i="38"/>
  <c r="AD17" i="38"/>
  <c r="AC17" i="38"/>
  <c r="P17" i="38"/>
  <c r="Q17" i="38"/>
  <c r="R17" i="38"/>
  <c r="S17" i="38"/>
  <c r="T17" i="38"/>
  <c r="Z17" i="38"/>
  <c r="Z546" i="38" s="1"/>
  <c r="AA17" i="38"/>
  <c r="AB17" i="38"/>
  <c r="AB546" i="38" s="1"/>
  <c r="AD66" i="38"/>
  <c r="P66" i="38"/>
  <c r="Q66" i="38"/>
  <c r="Q529" i="38" s="1"/>
  <c r="R66" i="38"/>
  <c r="R529" i="38" s="1"/>
  <c r="S66" i="38"/>
  <c r="S529" i="38" s="1"/>
  <c r="T66" i="38"/>
  <c r="AC66" i="38"/>
  <c r="Z66" i="38"/>
  <c r="AA66" i="38"/>
  <c r="AB66" i="38"/>
  <c r="AB179" i="38"/>
  <c r="P179" i="38"/>
  <c r="Q179" i="38"/>
  <c r="R179" i="38"/>
  <c r="S179" i="38"/>
  <c r="T179" i="38"/>
  <c r="Z179" i="38"/>
  <c r="AA179" i="38"/>
  <c r="AC179" i="38"/>
  <c r="AD179" i="38"/>
  <c r="AE254" i="38"/>
  <c r="P224" i="38"/>
  <c r="Q224" i="38"/>
  <c r="Q540" i="38" s="1"/>
  <c r="R224" i="38"/>
  <c r="S224" i="38"/>
  <c r="S540" i="38" s="1"/>
  <c r="T224" i="38"/>
  <c r="AC224" i="38"/>
  <c r="AA224" i="38"/>
  <c r="Z224" i="38"/>
  <c r="AB224" i="38"/>
  <c r="AD224" i="38"/>
  <c r="R291" i="38"/>
  <c r="S291" i="38"/>
  <c r="P291" i="38"/>
  <c r="T291" i="38"/>
  <c r="T527" i="38" s="1"/>
  <c r="Q291" i="38"/>
  <c r="Z291" i="38"/>
  <c r="AA291" i="38"/>
  <c r="AB291" i="38"/>
  <c r="AC291" i="38"/>
  <c r="AD291" i="38"/>
  <c r="P371" i="38"/>
  <c r="R371" i="38"/>
  <c r="Z371" i="38"/>
  <c r="AA371" i="38"/>
  <c r="AB371" i="38"/>
  <c r="AD371" i="38"/>
  <c r="AC371" i="38"/>
  <c r="T371" i="38"/>
  <c r="T542" i="38" s="1"/>
  <c r="Q371" i="38"/>
  <c r="S371" i="38"/>
  <c r="U29" i="39"/>
  <c r="L29" i="39"/>
  <c r="T441" i="38"/>
  <c r="Q441" i="38"/>
  <c r="R441" i="38"/>
  <c r="P441" i="38"/>
  <c r="S441" i="38"/>
  <c r="AB441" i="38"/>
  <c r="AC441" i="38"/>
  <c r="AD441" i="38"/>
  <c r="AD540" i="38" s="1"/>
  <c r="AA441" i="38"/>
  <c r="Z441" i="38"/>
  <c r="U16" i="39"/>
  <c r="L16" i="39"/>
  <c r="P427" i="38"/>
  <c r="Q427" i="38"/>
  <c r="R427" i="38"/>
  <c r="Z427" i="38"/>
  <c r="Z530" i="38" s="1"/>
  <c r="AA427" i="38"/>
  <c r="AB427" i="38"/>
  <c r="AB530" i="38" s="1"/>
  <c r="AC427" i="38"/>
  <c r="T427" i="38"/>
  <c r="AD427" i="38"/>
  <c r="S427" i="38"/>
  <c r="T401" i="38"/>
  <c r="AC401" i="38"/>
  <c r="Q401" i="38"/>
  <c r="Q562" i="38" s="1"/>
  <c r="P401" i="38"/>
  <c r="R401" i="38"/>
  <c r="S401" i="38"/>
  <c r="AB401" i="38"/>
  <c r="AD401" i="38"/>
  <c r="AA401" i="38"/>
  <c r="Z401" i="38"/>
  <c r="L5" i="39"/>
  <c r="U5" i="39"/>
  <c r="L13" i="39"/>
  <c r="U13" i="39"/>
  <c r="L8" i="40"/>
  <c r="U8" i="40"/>
  <c r="L38" i="40"/>
  <c r="U38" i="40"/>
  <c r="P99" i="38"/>
  <c r="R99" i="38"/>
  <c r="S99" i="38"/>
  <c r="T99" i="38"/>
  <c r="Z99" i="38"/>
  <c r="AD99" i="38"/>
  <c r="Q99" i="38"/>
  <c r="AA99" i="38"/>
  <c r="AB99" i="38"/>
  <c r="AB539" i="38" s="1"/>
  <c r="AC99" i="38"/>
  <c r="AB60" i="38"/>
  <c r="T60" i="38"/>
  <c r="AC60" i="38"/>
  <c r="R60" i="38"/>
  <c r="P60" i="38"/>
  <c r="Z60" i="38"/>
  <c r="AA60" i="38"/>
  <c r="AD60" i="38"/>
  <c r="S60" i="38"/>
  <c r="Q60" i="38"/>
  <c r="AE286" i="38"/>
  <c r="R227" i="38"/>
  <c r="S227" i="38"/>
  <c r="T227" i="38"/>
  <c r="Q227" i="38"/>
  <c r="P227" i="38"/>
  <c r="AB227" i="38"/>
  <c r="Z227" i="38"/>
  <c r="AA227" i="38"/>
  <c r="AC227" i="38"/>
  <c r="AD227" i="38"/>
  <c r="L5" i="40"/>
  <c r="U5" i="40"/>
  <c r="U13" i="40"/>
  <c r="L13" i="40"/>
  <c r="U8" i="39"/>
  <c r="L8" i="39"/>
  <c r="AA400" i="38"/>
  <c r="P400" i="38"/>
  <c r="Q400" i="38"/>
  <c r="Q561" i="38" s="1"/>
  <c r="R400" i="38"/>
  <c r="S400" i="38"/>
  <c r="T400" i="38"/>
  <c r="Z400" i="38"/>
  <c r="AB400" i="38"/>
  <c r="AC400" i="38"/>
  <c r="AD400" i="38"/>
  <c r="S489" i="38"/>
  <c r="R489" i="38"/>
  <c r="T489" i="38"/>
  <c r="Z489" i="38"/>
  <c r="Q489" i="38"/>
  <c r="P489" i="38"/>
  <c r="AA489" i="38"/>
  <c r="AB489" i="38"/>
  <c r="AC489" i="38"/>
  <c r="AD489" i="38"/>
  <c r="Z503" i="38"/>
  <c r="AB503" i="38"/>
  <c r="AC503" i="38"/>
  <c r="AD503" i="38"/>
  <c r="AA503" i="38"/>
  <c r="P503" i="38"/>
  <c r="T503" i="38"/>
  <c r="Q503" i="38"/>
  <c r="R503" i="38"/>
  <c r="S503" i="38"/>
  <c r="U21" i="39"/>
  <c r="L21" i="39"/>
  <c r="R522" i="38"/>
  <c r="T522" i="38"/>
  <c r="AE34" i="38"/>
  <c r="R159" i="38"/>
  <c r="S159" i="38"/>
  <c r="T159" i="38"/>
  <c r="Z159" i="38"/>
  <c r="Q159" i="38"/>
  <c r="P159" i="38"/>
  <c r="AA159" i="38"/>
  <c r="AB159" i="38"/>
  <c r="AC159" i="38"/>
  <c r="AD159" i="38"/>
  <c r="P218" i="38"/>
  <c r="AD218" i="38"/>
  <c r="AD532" i="38" s="1"/>
  <c r="R218" i="38"/>
  <c r="S218" i="38"/>
  <c r="T218" i="38"/>
  <c r="Z218" i="38"/>
  <c r="Q218" i="38"/>
  <c r="AA218" i="38"/>
  <c r="AA532" i="38" s="1"/>
  <c r="AB218" i="38"/>
  <c r="AB532" i="38" s="1"/>
  <c r="AC218" i="38"/>
  <c r="AC532" i="38" s="1"/>
  <c r="L24" i="39"/>
  <c r="U24" i="39"/>
  <c r="M33" i="37"/>
  <c r="P33" i="37"/>
  <c r="N33" i="37"/>
  <c r="O33" i="37"/>
  <c r="Q33" i="37"/>
  <c r="L22" i="40"/>
  <c r="U22" i="40"/>
  <c r="AE126" i="38"/>
  <c r="L35" i="39"/>
  <c r="U35" i="39"/>
  <c r="U18" i="40"/>
  <c r="L18" i="40"/>
  <c r="P278" i="38"/>
  <c r="Q278" i="38"/>
  <c r="R278" i="38"/>
  <c r="S278" i="38"/>
  <c r="T278" i="38"/>
  <c r="Z278" i="38"/>
  <c r="AD278" i="38"/>
  <c r="AA278" i="38"/>
  <c r="AB278" i="38"/>
  <c r="AC278" i="38"/>
  <c r="R167" i="38"/>
  <c r="AD167" i="38"/>
  <c r="AD542" i="38" s="1"/>
  <c r="S167" i="38"/>
  <c r="T167" i="38"/>
  <c r="Z167" i="38"/>
  <c r="Z542" i="38" s="1"/>
  <c r="AA167" i="38"/>
  <c r="Q167" i="38"/>
  <c r="P167" i="38"/>
  <c r="AC167" i="38"/>
  <c r="AC542" i="38" s="1"/>
  <c r="AB167" i="38"/>
  <c r="AB542" i="38" s="1"/>
  <c r="U37" i="39"/>
  <c r="L37" i="39"/>
  <c r="N6" i="40"/>
  <c r="O6" i="40"/>
  <c r="P6" i="40"/>
  <c r="M6" i="40"/>
  <c r="Q6" i="40"/>
  <c r="V6" i="40"/>
  <c r="W6" i="40"/>
  <c r="X6" i="40"/>
  <c r="Z6" i="40"/>
  <c r="Y6" i="40"/>
  <c r="AE40" i="38"/>
  <c r="P113" i="38"/>
  <c r="Q113" i="38"/>
  <c r="Q543" i="38" s="1"/>
  <c r="R113" i="38"/>
  <c r="Z113" i="38"/>
  <c r="AA113" i="38"/>
  <c r="AB113" i="38"/>
  <c r="AC113" i="38"/>
  <c r="AD113" i="38"/>
  <c r="T113" i="38"/>
  <c r="S113" i="38"/>
  <c r="S543" i="38" s="1"/>
  <c r="AE374" i="38"/>
  <c r="AE46" i="38"/>
  <c r="AE145" i="38"/>
  <c r="AD76" i="38"/>
  <c r="AC76" i="38"/>
  <c r="S76" i="38"/>
  <c r="AB76" i="38"/>
  <c r="P76" i="38"/>
  <c r="Q76" i="38"/>
  <c r="R76" i="38"/>
  <c r="T76" i="38"/>
  <c r="T567" i="38" s="1"/>
  <c r="Z76" i="38"/>
  <c r="AA76" i="38"/>
  <c r="AE173" i="38"/>
  <c r="AD188" i="38"/>
  <c r="P188" i="38"/>
  <c r="AE188" i="38" s="1"/>
  <c r="Q188" i="38"/>
  <c r="R188" i="38"/>
  <c r="S188" i="38"/>
  <c r="Z188" i="38"/>
  <c r="AA188" i="38"/>
  <c r="AB188" i="38"/>
  <c r="AC188" i="38"/>
  <c r="T188" i="38"/>
  <c r="U24" i="40"/>
  <c r="L24" i="40"/>
  <c r="L33" i="39"/>
  <c r="U33" i="39"/>
  <c r="U22" i="39"/>
  <c r="L22" i="39"/>
  <c r="Q471" i="38"/>
  <c r="S471" i="38"/>
  <c r="AB471" i="38"/>
  <c r="R471" i="38"/>
  <c r="Z471" i="38"/>
  <c r="AA471" i="38"/>
  <c r="AC471" i="38"/>
  <c r="AD471" i="38"/>
  <c r="P471" i="38"/>
  <c r="T471" i="38"/>
  <c r="P44" i="37"/>
  <c r="Q44" i="37"/>
  <c r="M44" i="37"/>
  <c r="N44" i="37"/>
  <c r="O44" i="37"/>
  <c r="W26" i="37"/>
  <c r="Y26" i="37"/>
  <c r="X26" i="37"/>
  <c r="V26" i="37"/>
  <c r="Z26" i="37"/>
  <c r="T334" i="38"/>
  <c r="P334" i="38"/>
  <c r="AD334" i="38"/>
  <c r="Q334" i="38"/>
  <c r="Q537" i="38" s="1"/>
  <c r="R334" i="38"/>
  <c r="R537" i="38" s="1"/>
  <c r="S334" i="38"/>
  <c r="S537" i="38" s="1"/>
  <c r="Z334" i="38"/>
  <c r="AA334" i="38"/>
  <c r="AB334" i="38"/>
  <c r="AC334" i="38"/>
  <c r="U21" i="40"/>
  <c r="L21" i="40"/>
  <c r="AD27" i="38"/>
  <c r="P27" i="38"/>
  <c r="Q27" i="38"/>
  <c r="R27" i="38"/>
  <c r="S27" i="38"/>
  <c r="S550" i="38" s="1"/>
  <c r="T27" i="38"/>
  <c r="T550" i="38" s="1"/>
  <c r="AB27" i="38"/>
  <c r="AC27" i="38"/>
  <c r="Z27" i="38"/>
  <c r="AA27" i="38"/>
  <c r="L36" i="40"/>
  <c r="U36" i="40"/>
  <c r="AE21" i="38"/>
  <c r="AD245" i="38"/>
  <c r="Q245" i="38"/>
  <c r="R245" i="38"/>
  <c r="S245" i="38"/>
  <c r="T245" i="38"/>
  <c r="AC245" i="38"/>
  <c r="P245" i="38"/>
  <c r="AA245" i="38"/>
  <c r="AB245" i="38"/>
  <c r="Z245" i="38"/>
  <c r="AB343" i="38"/>
  <c r="P343" i="38"/>
  <c r="Q343" i="38"/>
  <c r="R343" i="38"/>
  <c r="R538" i="38" s="1"/>
  <c r="S343" i="38"/>
  <c r="S538" i="38" s="1"/>
  <c r="T343" i="38"/>
  <c r="T538" i="38" s="1"/>
  <c r="Z343" i="38"/>
  <c r="AA343" i="38"/>
  <c r="AC343" i="38"/>
  <c r="AD343" i="38"/>
  <c r="T390" i="38"/>
  <c r="S390" i="38"/>
  <c r="P390" i="38"/>
  <c r="Q390" i="38"/>
  <c r="R390" i="38"/>
  <c r="AA390" i="38"/>
  <c r="Z390" i="38"/>
  <c r="AB390" i="38"/>
  <c r="AD390" i="38"/>
  <c r="AC390" i="38"/>
  <c r="O8" i="37"/>
  <c r="P8" i="37"/>
  <c r="M8" i="37"/>
  <c r="N8" i="37"/>
  <c r="N56" i="37" s="1"/>
  <c r="Q8" i="37"/>
  <c r="Q56" i="37" s="1"/>
  <c r="T157" i="38"/>
  <c r="Z157" i="38"/>
  <c r="AA157" i="38"/>
  <c r="AB157" i="38"/>
  <c r="AC157" i="38"/>
  <c r="AD157" i="38"/>
  <c r="Q157" i="38"/>
  <c r="R157" i="38"/>
  <c r="P157" i="38"/>
  <c r="S157" i="38"/>
  <c r="L16" i="40"/>
  <c r="U16" i="40"/>
  <c r="M13" i="37"/>
  <c r="N13" i="37"/>
  <c r="Q13" i="37"/>
  <c r="O13" i="37"/>
  <c r="P13" i="37"/>
  <c r="Z8" i="37"/>
  <c r="Z56" i="37" s="1"/>
  <c r="Y8" i="37"/>
  <c r="V8" i="37"/>
  <c r="W8" i="37"/>
  <c r="W56" i="37" s="1"/>
  <c r="X8" i="37"/>
  <c r="R399" i="38"/>
  <c r="R561" i="38" s="1"/>
  <c r="S399" i="38"/>
  <c r="S561" i="38" s="1"/>
  <c r="T399" i="38"/>
  <c r="T561" i="38" s="1"/>
  <c r="P399" i="38"/>
  <c r="AE399" i="38" s="1"/>
  <c r="Q399" i="38"/>
  <c r="Z399" i="38"/>
  <c r="AB399" i="38"/>
  <c r="AA399" i="38"/>
  <c r="AC399" i="38"/>
  <c r="AD399" i="38"/>
  <c r="AA59" i="38"/>
  <c r="P59" i="38"/>
  <c r="Q59" i="38"/>
  <c r="R59" i="38"/>
  <c r="S59" i="38"/>
  <c r="Z59" i="38"/>
  <c r="AB59" i="38"/>
  <c r="AC59" i="38"/>
  <c r="AD59" i="38"/>
  <c r="T59" i="38"/>
  <c r="T526" i="38" s="1"/>
  <c r="AE250" i="38"/>
  <c r="AE327" i="38"/>
  <c r="AC316" i="38"/>
  <c r="AD316" i="38"/>
  <c r="T316" i="38"/>
  <c r="Q316" i="38"/>
  <c r="R316" i="38"/>
  <c r="S316" i="38"/>
  <c r="Z316" i="38"/>
  <c r="AA316" i="38"/>
  <c r="AB316" i="38"/>
  <c r="P316" i="38"/>
  <c r="T314" i="38"/>
  <c r="P314" i="38"/>
  <c r="Q314" i="38"/>
  <c r="Q535" i="38" s="1"/>
  <c r="R314" i="38"/>
  <c r="S314" i="38"/>
  <c r="S535" i="38" s="1"/>
  <c r="Z314" i="38"/>
  <c r="AA314" i="38"/>
  <c r="AB314" i="38"/>
  <c r="AC314" i="38"/>
  <c r="AD314" i="38"/>
  <c r="U41" i="40"/>
  <c r="L41" i="40"/>
  <c r="U33" i="40"/>
  <c r="L33" i="40"/>
  <c r="S71" i="38"/>
  <c r="AD71" i="38"/>
  <c r="Q71" i="38"/>
  <c r="R71" i="38"/>
  <c r="T71" i="38"/>
  <c r="Z71" i="38"/>
  <c r="P71" i="38"/>
  <c r="AA71" i="38"/>
  <c r="AB71" i="38"/>
  <c r="AC71" i="38"/>
  <c r="L14" i="40"/>
  <c r="U14" i="40"/>
  <c r="O27" i="37"/>
  <c r="P27" i="37"/>
  <c r="P56" i="37" s="1"/>
  <c r="Q27" i="37"/>
  <c r="M27" i="37"/>
  <c r="AB27" i="37" s="1"/>
  <c r="N27" i="37"/>
  <c r="L26" i="39"/>
  <c r="U26" i="39"/>
  <c r="M10" i="37"/>
  <c r="O10" i="37"/>
  <c r="P10" i="37"/>
  <c r="Q10" i="37"/>
  <c r="N10" i="37"/>
  <c r="AB256" i="38"/>
  <c r="AC256" i="38"/>
  <c r="AD256" i="38"/>
  <c r="S256" i="38"/>
  <c r="P256" i="38"/>
  <c r="Q256" i="38"/>
  <c r="R256" i="38"/>
  <c r="T256" i="38"/>
  <c r="Z256" i="38"/>
  <c r="AA256" i="38"/>
  <c r="AE369" i="38"/>
  <c r="U41" i="39"/>
  <c r="L41" i="39"/>
  <c r="T152" i="38"/>
  <c r="R152" i="38"/>
  <c r="Z152" i="38"/>
  <c r="AD152" i="38"/>
  <c r="AD524" i="38" s="1"/>
  <c r="P152" i="38"/>
  <c r="Q152" i="38"/>
  <c r="S152" i="38"/>
  <c r="AA152" i="38"/>
  <c r="AB152" i="38"/>
  <c r="AB524" i="38" s="1"/>
  <c r="AC152" i="38"/>
  <c r="L14" i="39"/>
  <c r="U14" i="39"/>
  <c r="AC381" i="38"/>
  <c r="AD381" i="38"/>
  <c r="P381" i="38"/>
  <c r="Q381" i="38"/>
  <c r="Q544" i="38" s="1"/>
  <c r="R381" i="38"/>
  <c r="R544" i="38" s="1"/>
  <c r="T381" i="38"/>
  <c r="T544" i="38" s="1"/>
  <c r="S381" i="38"/>
  <c r="Z381" i="38"/>
  <c r="AA381" i="38"/>
  <c r="AB381" i="38"/>
  <c r="V7" i="37"/>
  <c r="AB7" i="37" s="1"/>
  <c r="W7" i="37"/>
  <c r="X7" i="37"/>
  <c r="X56" i="37" s="1"/>
  <c r="Y7" i="37"/>
  <c r="Y56" i="37" s="1"/>
  <c r="Z7" i="37"/>
  <c r="O12" i="37"/>
  <c r="P12" i="37"/>
  <c r="M12" i="37"/>
  <c r="N12" i="37"/>
  <c r="Q12" i="37"/>
  <c r="U26" i="40"/>
  <c r="L26" i="40"/>
  <c r="P426" i="38"/>
  <c r="Q426" i="38"/>
  <c r="R426" i="38"/>
  <c r="S426" i="38"/>
  <c r="T426" i="38"/>
  <c r="Z426" i="38"/>
  <c r="AA426" i="38"/>
  <c r="AA529" i="38" s="1"/>
  <c r="AB426" i="38"/>
  <c r="AD426" i="38"/>
  <c r="AC426" i="38"/>
  <c r="L10" i="40"/>
  <c r="U10" i="40"/>
  <c r="L42" i="40"/>
  <c r="U42" i="40"/>
  <c r="AE39" i="38"/>
  <c r="M37" i="37"/>
  <c r="O37" i="37"/>
  <c r="P37" i="37"/>
  <c r="Q37" i="37"/>
  <c r="N37" i="37"/>
  <c r="AE9" i="38"/>
  <c r="P244" i="38"/>
  <c r="Q244" i="38"/>
  <c r="S244" i="38"/>
  <c r="T244" i="38"/>
  <c r="Z244" i="38"/>
  <c r="AA244" i="38"/>
  <c r="AB244" i="38"/>
  <c r="AC244" i="38"/>
  <c r="R244" i="38"/>
  <c r="AD244" i="38"/>
  <c r="P295" i="38"/>
  <c r="Q295" i="38"/>
  <c r="R295" i="38"/>
  <c r="T295" i="38"/>
  <c r="Z295" i="38"/>
  <c r="AA295" i="38"/>
  <c r="AB295" i="38"/>
  <c r="AC295" i="38"/>
  <c r="AD295" i="38"/>
  <c r="S295" i="38"/>
  <c r="R349" i="38"/>
  <c r="R539" i="38" s="1"/>
  <c r="P349" i="38"/>
  <c r="Q349" i="38"/>
  <c r="S349" i="38"/>
  <c r="T349" i="38"/>
  <c r="Z349" i="38"/>
  <c r="AA349" i="38"/>
  <c r="AB349" i="38"/>
  <c r="AD349" i="38"/>
  <c r="AC349" i="38"/>
  <c r="R354" i="38"/>
  <c r="S354" i="38"/>
  <c r="Q354" i="38"/>
  <c r="T354" i="38"/>
  <c r="Z354" i="38"/>
  <c r="AA354" i="38"/>
  <c r="AB354" i="38"/>
  <c r="P354" i="38"/>
  <c r="AC354" i="38"/>
  <c r="AD354" i="38"/>
  <c r="AC158" i="38"/>
  <c r="S158" i="38"/>
  <c r="T158" i="38"/>
  <c r="Z158" i="38"/>
  <c r="AA158" i="38"/>
  <c r="AB158" i="38"/>
  <c r="R158" i="38"/>
  <c r="P158" i="38"/>
  <c r="Q158" i="38"/>
  <c r="AD158" i="38"/>
  <c r="V44" i="37"/>
  <c r="X44" i="37"/>
  <c r="Y44" i="37"/>
  <c r="W44" i="37"/>
  <c r="Z44" i="37"/>
  <c r="U10" i="39"/>
  <c r="L10" i="39"/>
  <c r="AB353" i="38"/>
  <c r="P353" i="38"/>
  <c r="T353" i="38"/>
  <c r="T539" i="38" s="1"/>
  <c r="Q353" i="38"/>
  <c r="Q539" i="38" s="1"/>
  <c r="S353" i="38"/>
  <c r="Z353" i="38"/>
  <c r="AA353" i="38"/>
  <c r="AC353" i="38"/>
  <c r="AD353" i="38"/>
  <c r="R353" i="38"/>
  <c r="L34" i="39"/>
  <c r="U34" i="39"/>
  <c r="M26" i="37"/>
  <c r="P26" i="37"/>
  <c r="Q26" i="37"/>
  <c r="O26" i="37"/>
  <c r="N26" i="37"/>
  <c r="U39" i="40"/>
  <c r="L39" i="40"/>
  <c r="Q29" i="38"/>
  <c r="Q553" i="38" s="1"/>
  <c r="S29" i="38"/>
  <c r="S553" i="38" s="1"/>
  <c r="P29" i="38"/>
  <c r="R29" i="38"/>
  <c r="R553" i="38" s="1"/>
  <c r="T29" i="38"/>
  <c r="T553" i="38" s="1"/>
  <c r="Z29" i="38"/>
  <c r="AA29" i="38"/>
  <c r="AB29" i="38"/>
  <c r="AC29" i="38"/>
  <c r="AD29" i="38"/>
  <c r="AE74" i="38"/>
  <c r="AA430" i="38"/>
  <c r="P430" i="38"/>
  <c r="Z430" i="38"/>
  <c r="AB430" i="38"/>
  <c r="T430" i="38"/>
  <c r="S430" i="38"/>
  <c r="AC430" i="38"/>
  <c r="AD430" i="38"/>
  <c r="R430" i="38"/>
  <c r="Q430" i="38"/>
  <c r="U23" i="39"/>
  <c r="L23" i="39"/>
  <c r="M36" i="37"/>
  <c r="N36" i="37"/>
  <c r="O36" i="37"/>
  <c r="Q36" i="37"/>
  <c r="P36" i="37"/>
  <c r="M20" i="37"/>
  <c r="AB20" i="37" s="1"/>
  <c r="N20" i="37"/>
  <c r="P20" i="37"/>
  <c r="Q20" i="37"/>
  <c r="O20" i="37"/>
  <c r="AE5" i="38"/>
  <c r="AB52" i="38"/>
  <c r="AB536" i="38" s="1"/>
  <c r="T52" i="38"/>
  <c r="AC52" i="38"/>
  <c r="AC536" i="38" s="1"/>
  <c r="P52" i="38"/>
  <c r="AA52" i="38"/>
  <c r="AA536" i="38" s="1"/>
  <c r="AD52" i="38"/>
  <c r="AD536" i="38" s="1"/>
  <c r="Z52" i="38"/>
  <c r="Z536" i="38" s="1"/>
  <c r="Q52" i="38"/>
  <c r="R52" i="38"/>
  <c r="S52" i="38"/>
  <c r="Q10" i="38"/>
  <c r="S10" i="38"/>
  <c r="S558" i="38" s="1"/>
  <c r="P10" i="38"/>
  <c r="R10" i="38"/>
  <c r="R510" i="38" s="1"/>
  <c r="T10" i="38"/>
  <c r="Z10" i="38"/>
  <c r="AA10" i="38"/>
  <c r="AC10" i="38"/>
  <c r="AB10" i="38"/>
  <c r="AD10" i="38"/>
  <c r="AC463" i="38"/>
  <c r="T463" i="38"/>
  <c r="Q463" i="38"/>
  <c r="R463" i="38"/>
  <c r="S463" i="38"/>
  <c r="S518" i="38" s="1"/>
  <c r="Z463" i="38"/>
  <c r="AA463" i="38"/>
  <c r="AA518" i="38" s="1"/>
  <c r="AB463" i="38"/>
  <c r="AB518" i="38" s="1"/>
  <c r="AD463" i="38"/>
  <c r="P463" i="38"/>
  <c r="AE463" i="38" s="1"/>
  <c r="P225" i="38"/>
  <c r="AD225" i="38"/>
  <c r="Q225" i="38"/>
  <c r="R225" i="38"/>
  <c r="S225" i="38"/>
  <c r="T225" i="38"/>
  <c r="Z225" i="38"/>
  <c r="AA225" i="38"/>
  <c r="AB225" i="38"/>
  <c r="AC225" i="38"/>
  <c r="V17" i="37"/>
  <c r="X17" i="37"/>
  <c r="Y17" i="37"/>
  <c r="Z17" i="37"/>
  <c r="W17" i="37"/>
  <c r="L25" i="39"/>
  <c r="U25" i="39"/>
  <c r="AC232" i="38"/>
  <c r="AD232" i="38"/>
  <c r="AB232" i="38"/>
  <c r="P232" i="38"/>
  <c r="Q232" i="38"/>
  <c r="R232" i="38"/>
  <c r="S232" i="38"/>
  <c r="T232" i="38"/>
  <c r="Z232" i="38"/>
  <c r="AA232" i="38"/>
  <c r="L12" i="39"/>
  <c r="U12" i="39"/>
  <c r="S64" i="38"/>
  <c r="AA64" i="38"/>
  <c r="P64" i="38"/>
  <c r="R64" i="38"/>
  <c r="R528" i="38" s="1"/>
  <c r="T64" i="38"/>
  <c r="Q64" i="38"/>
  <c r="Q528" i="38" s="1"/>
  <c r="AD64" i="38"/>
  <c r="AB64" i="38"/>
  <c r="AC64" i="38"/>
  <c r="Z64" i="38"/>
  <c r="AE246" i="38"/>
  <c r="AE233" i="38"/>
  <c r="AA165" i="38"/>
  <c r="AA540" i="38" s="1"/>
  <c r="AC165" i="38"/>
  <c r="P165" i="38"/>
  <c r="AE165" i="38" s="1"/>
  <c r="Q165" i="38"/>
  <c r="R165" i="38"/>
  <c r="S165" i="38"/>
  <c r="T165" i="38"/>
  <c r="Z165" i="38"/>
  <c r="Z540" i="38" s="1"/>
  <c r="AB165" i="38"/>
  <c r="AB540" i="38" s="1"/>
  <c r="AD165" i="38"/>
  <c r="AE326" i="38"/>
  <c r="P255" i="38"/>
  <c r="Q255" i="38"/>
  <c r="R255" i="38"/>
  <c r="R515" i="38" s="1"/>
  <c r="S255" i="38"/>
  <c r="T255" i="38"/>
  <c r="T515" i="38" s="1"/>
  <c r="Z255" i="38"/>
  <c r="Z515" i="38" s="1"/>
  <c r="AC255" i="38"/>
  <c r="AC515" i="38" s="1"/>
  <c r="AA255" i="38"/>
  <c r="AD255" i="38"/>
  <c r="AB255" i="38"/>
  <c r="T411" i="38"/>
  <c r="T568" i="38" s="1"/>
  <c r="P411" i="38"/>
  <c r="AE411" i="38" s="1"/>
  <c r="Q411" i="38"/>
  <c r="R411" i="38"/>
  <c r="S411" i="38"/>
  <c r="AA411" i="38"/>
  <c r="AD411" i="38"/>
  <c r="Z411" i="38"/>
  <c r="AC411" i="38"/>
  <c r="AB411" i="38"/>
  <c r="L17" i="40"/>
  <c r="U17" i="40"/>
  <c r="U25" i="40"/>
  <c r="L25" i="40"/>
  <c r="R422" i="38"/>
  <c r="S422" i="38"/>
  <c r="P422" i="38"/>
  <c r="Q422" i="38"/>
  <c r="T422" i="38"/>
  <c r="Z422" i="38"/>
  <c r="AA422" i="38"/>
  <c r="AB422" i="38"/>
  <c r="AD422" i="38"/>
  <c r="AC422" i="38"/>
  <c r="L31" i="40"/>
  <c r="U31" i="40"/>
  <c r="L7" i="39"/>
  <c r="U7" i="39"/>
  <c r="V47" i="37"/>
  <c r="W47" i="37"/>
  <c r="X47" i="37"/>
  <c r="Y47" i="37"/>
  <c r="Z47" i="37"/>
  <c r="M47" i="37"/>
  <c r="N47" i="37"/>
  <c r="P47" i="37"/>
  <c r="O47" i="37"/>
  <c r="Q47" i="37"/>
  <c r="AA420" i="38"/>
  <c r="AD420" i="38"/>
  <c r="AD525" i="38" s="1"/>
  <c r="S420" i="38"/>
  <c r="T420" i="38"/>
  <c r="AC420" i="38"/>
  <c r="AC525" i="38" s="1"/>
  <c r="R420" i="38"/>
  <c r="P420" i="38"/>
  <c r="Q420" i="38"/>
  <c r="Z420" i="38"/>
  <c r="Z525" i="38" s="1"/>
  <c r="AB420" i="38"/>
  <c r="V27" i="37"/>
  <c r="W27" i="37"/>
  <c r="X27" i="37"/>
  <c r="Z27" i="37"/>
  <c r="Y27" i="37"/>
  <c r="U12" i="40"/>
  <c r="L12" i="40"/>
  <c r="V18" i="37"/>
  <c r="W18" i="37"/>
  <c r="X18" i="37"/>
  <c r="Y18" i="37"/>
  <c r="Z18" i="37"/>
  <c r="L44" i="39"/>
  <c r="U44" i="39"/>
  <c r="N19" i="37"/>
  <c r="P19" i="37"/>
  <c r="O19" i="37"/>
  <c r="Q19" i="37"/>
  <c r="M19" i="37"/>
  <c r="L23" i="40"/>
  <c r="U23" i="40"/>
  <c r="T421" i="38"/>
  <c r="Z421" i="38"/>
  <c r="P421" i="38"/>
  <c r="Q421" i="38"/>
  <c r="R421" i="38"/>
  <c r="S421" i="38"/>
  <c r="AB421" i="38"/>
  <c r="AB525" i="38" s="1"/>
  <c r="AA421" i="38"/>
  <c r="AA525" i="38" s="1"/>
  <c r="AD421" i="38"/>
  <c r="AC421" i="38"/>
  <c r="T191" i="38"/>
  <c r="T556" i="38" s="1"/>
  <c r="Z191" i="38"/>
  <c r="AA191" i="38"/>
  <c r="S191" i="38"/>
  <c r="AB191" i="38"/>
  <c r="AC191" i="38"/>
  <c r="AD191" i="38"/>
  <c r="P191" i="38"/>
  <c r="Q191" i="38"/>
  <c r="R191" i="38"/>
  <c r="R556" i="38" s="1"/>
  <c r="P171" i="38"/>
  <c r="Q171" i="38"/>
  <c r="R171" i="38"/>
  <c r="R524" i="38" s="1"/>
  <c r="Z171" i="38"/>
  <c r="AA171" i="38"/>
  <c r="AB171" i="38"/>
  <c r="AC171" i="38"/>
  <c r="T171" i="38"/>
  <c r="T524" i="38" s="1"/>
  <c r="AD171" i="38"/>
  <c r="S171" i="38"/>
  <c r="S524" i="38" s="1"/>
  <c r="P16" i="38"/>
  <c r="Q16" i="38"/>
  <c r="S16" i="38"/>
  <c r="T16" i="38"/>
  <c r="AC16" i="38"/>
  <c r="R16" i="38"/>
  <c r="AB16" i="38"/>
  <c r="AD16" i="38"/>
  <c r="AD546" i="38" s="1"/>
  <c r="Z16" i="38"/>
  <c r="AA16" i="38"/>
  <c r="AD120" i="38"/>
  <c r="AB120" i="38"/>
  <c r="P120" i="38"/>
  <c r="Q120" i="38"/>
  <c r="Q552" i="38" s="1"/>
  <c r="AA120" i="38"/>
  <c r="AC120" i="38"/>
  <c r="Z120" i="38"/>
  <c r="S120" i="38"/>
  <c r="S552" i="38" s="1"/>
  <c r="T120" i="38"/>
  <c r="T552" i="38" s="1"/>
  <c r="R120" i="38"/>
  <c r="Q131" i="38"/>
  <c r="AD131" i="38"/>
  <c r="AD535" i="38" s="1"/>
  <c r="P131" i="38"/>
  <c r="AE131" i="38" s="1"/>
  <c r="R131" i="38"/>
  <c r="S131" i="38"/>
  <c r="AC131" i="38"/>
  <c r="T131" i="38"/>
  <c r="Z131" i="38"/>
  <c r="AA131" i="38"/>
  <c r="AA535" i="38" s="1"/>
  <c r="AB131" i="38"/>
  <c r="AB127" i="38"/>
  <c r="AC127" i="38"/>
  <c r="S127" i="38"/>
  <c r="S560" i="38" s="1"/>
  <c r="T127" i="38"/>
  <c r="T560" i="38" s="1"/>
  <c r="AA127" i="38"/>
  <c r="Q127" i="38"/>
  <c r="Q560" i="38" s="1"/>
  <c r="P127" i="38"/>
  <c r="R127" i="38"/>
  <c r="R560" i="38" s="1"/>
  <c r="AD127" i="38"/>
  <c r="Z127" i="38"/>
  <c r="P6" i="38"/>
  <c r="P510" i="38" s="1"/>
  <c r="Q6" i="38"/>
  <c r="Q522" i="38" s="1"/>
  <c r="S6" i="38"/>
  <c r="S510" i="38" s="1"/>
  <c r="T6" i="38"/>
  <c r="T510" i="38" s="1"/>
  <c r="AC6" i="38"/>
  <c r="AC522" i="38" s="1"/>
  <c r="R6" i="38"/>
  <c r="Z6" i="38"/>
  <c r="Z510" i="38" s="1"/>
  <c r="AA6" i="38"/>
  <c r="AA522" i="38" s="1"/>
  <c r="AB6" i="38"/>
  <c r="AB510" i="38" s="1"/>
  <c r="AD6" i="38"/>
  <c r="R566" i="38"/>
  <c r="R514" i="38"/>
  <c r="S516" i="38"/>
  <c r="T518" i="38"/>
  <c r="Q531" i="38"/>
  <c r="R533" i="38"/>
  <c r="P550" i="38"/>
  <c r="S557" i="38"/>
  <c r="P566" i="38"/>
  <c r="S514" i="38"/>
  <c r="T516" i="38"/>
  <c r="P527" i="38"/>
  <c r="R531" i="38"/>
  <c r="S533" i="38"/>
  <c r="T535" i="38"/>
  <c r="P548" i="38"/>
  <c r="Q550" i="38"/>
  <c r="S554" i="38"/>
  <c r="T557" i="38"/>
  <c r="Q566" i="38"/>
  <c r="P521" i="38"/>
  <c r="P549" i="38"/>
  <c r="R516" i="38"/>
  <c r="Q521" i="38"/>
  <c r="T523" i="38"/>
  <c r="P528" i="38"/>
  <c r="S530" i="38"/>
  <c r="P535" i="38"/>
  <c r="Q542" i="38"/>
  <c r="Q549" i="38"/>
  <c r="T551" i="38"/>
  <c r="P557" i="38"/>
  <c r="T566" i="38"/>
  <c r="P514" i="38"/>
  <c r="R521" i="38"/>
  <c r="T530" i="38"/>
  <c r="R549" i="38"/>
  <c r="Q557" i="38"/>
  <c r="Q514" i="38"/>
  <c r="P519" i="38"/>
  <c r="S521" i="38"/>
  <c r="R535" i="38"/>
  <c r="P540" i="38"/>
  <c r="S549" i="38"/>
  <c r="R557" i="38"/>
  <c r="Q567" i="38"/>
  <c r="T514" i="38"/>
  <c r="Q519" i="38"/>
  <c r="T521" i="38"/>
  <c r="P533" i="38"/>
  <c r="Q547" i="38"/>
  <c r="T549" i="38"/>
  <c r="P558" i="38"/>
  <c r="T562" i="38"/>
  <c r="R567" i="38"/>
  <c r="R519" i="38"/>
  <c r="Q526" i="38"/>
  <c r="T528" i="38"/>
  <c r="Q533" i="38"/>
  <c r="R540" i="38"/>
  <c r="R547" i="38"/>
  <c r="Q558" i="38"/>
  <c r="S567" i="38"/>
  <c r="T533" i="38"/>
  <c r="P545" i="38"/>
  <c r="S547" i="38"/>
  <c r="S519" i="38"/>
  <c r="Q563" i="38"/>
  <c r="R518" i="38"/>
  <c r="Q523" i="38"/>
  <c r="T525" i="38"/>
  <c r="P530" i="38"/>
  <c r="S532" i="38"/>
  <c r="S539" i="38"/>
  <c r="T546" i="38"/>
  <c r="P516" i="38"/>
  <c r="R523" i="38"/>
  <c r="Q530" i="38"/>
  <c r="T532" i="38"/>
  <c r="S556" i="38"/>
  <c r="Q516" i="38"/>
  <c r="S523" i="38"/>
  <c r="R530" i="38"/>
  <c r="S566" i="38"/>
  <c r="P547" i="38"/>
  <c r="Q527" i="38"/>
  <c r="R548" i="38"/>
  <c r="Q559" i="38"/>
  <c r="P568" i="38"/>
  <c r="S515" i="38"/>
  <c r="Q524" i="38"/>
  <c r="P532" i="38"/>
  <c r="T536" i="38"/>
  <c r="S545" i="38"/>
  <c r="S555" i="38"/>
  <c r="T558" i="38"/>
  <c r="Q518" i="38"/>
  <c r="R527" i="38"/>
  <c r="P536" i="38"/>
  <c r="T540" i="38"/>
  <c r="S548" i="38"/>
  <c r="R559" i="38"/>
  <c r="Q568" i="38"/>
  <c r="P515" i="38"/>
  <c r="S527" i="38"/>
  <c r="Q536" i="38"/>
  <c r="T548" i="38"/>
  <c r="R545" i="38"/>
  <c r="P565" i="38"/>
  <c r="T543" i="38"/>
  <c r="T519" i="38"/>
  <c r="S559" i="38"/>
  <c r="Q515" i="38"/>
  <c r="P523" i="38"/>
  <c r="R536" i="38"/>
  <c r="Q545" i="38"/>
  <c r="T559" i="38"/>
  <c r="P524" i="38"/>
  <c r="S536" i="38"/>
  <c r="Q520" i="38"/>
  <c r="Q564" i="38"/>
  <c r="Q556" i="38"/>
  <c r="P546" i="38"/>
  <c r="P534" i="38"/>
  <c r="R555" i="38"/>
  <c r="P569" i="38"/>
  <c r="P520" i="38"/>
  <c r="R541" i="38"/>
  <c r="R550" i="38"/>
  <c r="S569" i="38"/>
  <c r="T564" i="38"/>
  <c r="Q532" i="38"/>
  <c r="P541" i="38"/>
  <c r="T545" i="38"/>
  <c r="Q569" i="38"/>
  <c r="S541" i="38"/>
  <c r="R563" i="38"/>
  <c r="T569" i="38"/>
  <c r="T555" i="38"/>
  <c r="S564" i="38"/>
  <c r="Q541" i="38"/>
  <c r="R569" i="38"/>
  <c r="R520" i="38"/>
  <c r="T541" i="38"/>
  <c r="R525" i="38"/>
  <c r="S546" i="38"/>
  <c r="Q517" i="38"/>
  <c r="S520" i="38"/>
  <c r="P525" i="38"/>
  <c r="Q546" i="38"/>
  <c r="T520" i="38"/>
  <c r="Q525" i="38"/>
  <c r="R546" i="38"/>
  <c r="Q555" i="38"/>
  <c r="P564" i="38"/>
  <c r="S525" i="38"/>
  <c r="T547" i="38"/>
  <c r="R543" i="38"/>
  <c r="P556" i="38"/>
  <c r="T531" i="38"/>
  <c r="Q548" i="38"/>
  <c r="P559" i="38"/>
  <c r="R565" i="38"/>
  <c r="R564" i="38"/>
  <c r="Q65" i="38"/>
  <c r="R65" i="38"/>
  <c r="P65" i="38"/>
  <c r="S65" i="38"/>
  <c r="S528" i="38" s="1"/>
  <c r="T65" i="38"/>
  <c r="Z65" i="38"/>
  <c r="AA65" i="38"/>
  <c r="AD65" i="38"/>
  <c r="AB65" i="38"/>
  <c r="AC65" i="38"/>
  <c r="Q122" i="38"/>
  <c r="R122" i="38"/>
  <c r="T122" i="38"/>
  <c r="P122" i="38"/>
  <c r="AE122" i="38" s="1"/>
  <c r="S122" i="38"/>
  <c r="Z122" i="38"/>
  <c r="AA122" i="38"/>
  <c r="AB122" i="38"/>
  <c r="AC122" i="38"/>
  <c r="AD122" i="38"/>
  <c r="Q72" i="38"/>
  <c r="Q565" i="38" s="1"/>
  <c r="AB72" i="38"/>
  <c r="AD72" i="38"/>
  <c r="P72" i="38"/>
  <c r="R72" i="38"/>
  <c r="S72" i="38"/>
  <c r="S565" i="38" s="1"/>
  <c r="T72" i="38"/>
  <c r="T565" i="38" s="1"/>
  <c r="AA72" i="38"/>
  <c r="Z72" i="38"/>
  <c r="AC72" i="38"/>
  <c r="AB107" i="38"/>
  <c r="AC107" i="38"/>
  <c r="AC518" i="38" s="1"/>
  <c r="AD107" i="38"/>
  <c r="Z107" i="38"/>
  <c r="Z518" i="38" s="1"/>
  <c r="AA107" i="38"/>
  <c r="T107" i="38"/>
  <c r="S107" i="38"/>
  <c r="P107" i="38"/>
  <c r="R107" i="38"/>
  <c r="Q107" i="38"/>
  <c r="AE223" i="38"/>
  <c r="AC344" i="38"/>
  <c r="P344" i="38"/>
  <c r="Q344" i="38"/>
  <c r="R344" i="38"/>
  <c r="S344" i="38"/>
  <c r="T344" i="38"/>
  <c r="Z344" i="38"/>
  <c r="AA344" i="38"/>
  <c r="AB344" i="38"/>
  <c r="AD344" i="38"/>
  <c r="AE375" i="38"/>
  <c r="U31" i="39"/>
  <c r="L31" i="39"/>
  <c r="U7" i="40"/>
  <c r="L7" i="40"/>
  <c r="AD45" i="38"/>
  <c r="Q45" i="38"/>
  <c r="Q554" i="38" s="1"/>
  <c r="Z45" i="38"/>
  <c r="AA45" i="38"/>
  <c r="AC45" i="38"/>
  <c r="P45" i="38"/>
  <c r="R45" i="38"/>
  <c r="R554" i="38" s="1"/>
  <c r="S45" i="38"/>
  <c r="T45" i="38"/>
  <c r="T554" i="38" s="1"/>
  <c r="AB45" i="38"/>
  <c r="P41" i="38"/>
  <c r="Q41" i="38"/>
  <c r="S41" i="38"/>
  <c r="T41" i="38"/>
  <c r="Z41" i="38"/>
  <c r="R41" i="38"/>
  <c r="AC41" i="38"/>
  <c r="AC546" i="38" s="1"/>
  <c r="AA41" i="38"/>
  <c r="AB41" i="38"/>
  <c r="AD41" i="38"/>
  <c r="AC144" i="38"/>
  <c r="R144" i="38"/>
  <c r="T144" i="38"/>
  <c r="P144" i="38"/>
  <c r="Q144" i="38"/>
  <c r="S144" i="38"/>
  <c r="AD144" i="38"/>
  <c r="AB144" i="38"/>
  <c r="Z144" i="38"/>
  <c r="AA144" i="38"/>
  <c r="AD89" i="38"/>
  <c r="P89" i="38"/>
  <c r="Q89" i="38"/>
  <c r="R89" i="38"/>
  <c r="S89" i="38"/>
  <c r="T89" i="38"/>
  <c r="AC89" i="38"/>
  <c r="AC533" i="38" s="1"/>
  <c r="Z89" i="38"/>
  <c r="Z533" i="38" s="1"/>
  <c r="AA89" i="38"/>
  <c r="AB89" i="38"/>
  <c r="AB533" i="38" s="1"/>
  <c r="P213" i="38"/>
  <c r="Q213" i="38"/>
  <c r="R213" i="38"/>
  <c r="S213" i="38"/>
  <c r="T213" i="38"/>
  <c r="Z213" i="38"/>
  <c r="AA213" i="38"/>
  <c r="AB213" i="38"/>
  <c r="AC213" i="38"/>
  <c r="AD213" i="38"/>
  <c r="AE265" i="38"/>
  <c r="AB292" i="38"/>
  <c r="AC292" i="38"/>
  <c r="R292" i="38"/>
  <c r="AA292" i="38"/>
  <c r="P292" i="38"/>
  <c r="P529" i="38" s="1"/>
  <c r="Q292" i="38"/>
  <c r="S292" i="38"/>
  <c r="T292" i="38"/>
  <c r="T529" i="38" s="1"/>
  <c r="Z292" i="38"/>
  <c r="AD292" i="38"/>
  <c r="S367" i="38"/>
  <c r="S542" i="38" s="1"/>
  <c r="Q367" i="38"/>
  <c r="T367" i="38"/>
  <c r="P367" i="38"/>
  <c r="AD367" i="38"/>
  <c r="Z367" i="38"/>
  <c r="AA367" i="38"/>
  <c r="AB367" i="38"/>
  <c r="AC367" i="38"/>
  <c r="R367" i="38"/>
  <c r="R542" i="38" s="1"/>
  <c r="AE347" i="38"/>
  <c r="AE277" i="38"/>
  <c r="Q348" i="38"/>
  <c r="AB348" i="38"/>
  <c r="P348" i="38"/>
  <c r="S348" i="38"/>
  <c r="T348" i="38"/>
  <c r="R348" i="38"/>
  <c r="Z348" i="38"/>
  <c r="AA348" i="38"/>
  <c r="AC348" i="38"/>
  <c r="AD348" i="38"/>
  <c r="U17" i="39"/>
  <c r="L17" i="39"/>
  <c r="U40" i="40"/>
  <c r="L40" i="40"/>
  <c r="L47" i="39"/>
  <c r="U47" i="39"/>
  <c r="U27" i="40"/>
  <c r="L27" i="40"/>
  <c r="N39" i="37"/>
  <c r="M39" i="37"/>
  <c r="P39" i="37"/>
  <c r="Q39" i="37"/>
  <c r="O39" i="37"/>
  <c r="S75" i="38"/>
  <c r="P75" i="38"/>
  <c r="P567" i="38" s="1"/>
  <c r="Q75" i="38"/>
  <c r="R75" i="38"/>
  <c r="T75" i="38"/>
  <c r="AB75" i="38"/>
  <c r="Z75" i="38"/>
  <c r="AA75" i="38"/>
  <c r="AC75" i="38"/>
  <c r="AD75" i="38"/>
  <c r="N11" i="37"/>
  <c r="O11" i="37"/>
  <c r="P11" i="37"/>
  <c r="M11" i="37"/>
  <c r="Q11" i="37"/>
  <c r="U44" i="40"/>
  <c r="L44" i="40"/>
  <c r="V19" i="37"/>
  <c r="Z19" i="37"/>
  <c r="W19" i="37"/>
  <c r="X19" i="37"/>
  <c r="Y19" i="37"/>
  <c r="P518" i="38" l="1"/>
  <c r="AE255" i="38"/>
  <c r="M14" i="39"/>
  <c r="N14" i="39"/>
  <c r="O14" i="39"/>
  <c r="P14" i="39"/>
  <c r="Q14" i="39"/>
  <c r="Q20" i="40"/>
  <c r="P20" i="40"/>
  <c r="M20" i="40"/>
  <c r="N20" i="40"/>
  <c r="O20" i="40"/>
  <c r="V32" i="40"/>
  <c r="W32" i="40"/>
  <c r="X32" i="40"/>
  <c r="Y32" i="40"/>
  <c r="Z32" i="40"/>
  <c r="AE103" i="38"/>
  <c r="AE213" i="38"/>
  <c r="P555" i="38"/>
  <c r="W5" i="40"/>
  <c r="X5" i="40"/>
  <c r="Y5" i="40"/>
  <c r="Z5" i="40"/>
  <c r="V5" i="40"/>
  <c r="M29" i="40"/>
  <c r="N29" i="40"/>
  <c r="P29" i="40"/>
  <c r="O29" i="40"/>
  <c r="Q29" i="40"/>
  <c r="X20" i="39"/>
  <c r="Y20" i="39"/>
  <c r="Z20" i="39"/>
  <c r="W20" i="39"/>
  <c r="V20" i="39"/>
  <c r="W7" i="40"/>
  <c r="X7" i="40"/>
  <c r="Y7" i="40"/>
  <c r="V7" i="40"/>
  <c r="Z7" i="40"/>
  <c r="T570" i="38"/>
  <c r="T571" i="38" s="1"/>
  <c r="AE232" i="38"/>
  <c r="AE225" i="38"/>
  <c r="AE349" i="38"/>
  <c r="Y41" i="39"/>
  <c r="Z41" i="39"/>
  <c r="X41" i="39"/>
  <c r="V41" i="39"/>
  <c r="W41" i="39"/>
  <c r="V41" i="40"/>
  <c r="W41" i="40"/>
  <c r="X41" i="40"/>
  <c r="Y41" i="40"/>
  <c r="Z41" i="40"/>
  <c r="W37" i="39"/>
  <c r="V37" i="39"/>
  <c r="X37" i="39"/>
  <c r="Z37" i="39"/>
  <c r="Y37" i="39"/>
  <c r="AE278" i="38"/>
  <c r="M21" i="39"/>
  <c r="N21" i="39"/>
  <c r="O21" i="39"/>
  <c r="P21" i="39"/>
  <c r="Q21" i="39"/>
  <c r="M5" i="39"/>
  <c r="N5" i="39"/>
  <c r="O5" i="39"/>
  <c r="P5" i="39"/>
  <c r="Q5" i="39"/>
  <c r="AE427" i="38"/>
  <c r="O28" i="39"/>
  <c r="P28" i="39"/>
  <c r="Q28" i="39"/>
  <c r="N28" i="39"/>
  <c r="M28" i="39"/>
  <c r="Z37" i="40"/>
  <c r="Y37" i="40"/>
  <c r="V37" i="40"/>
  <c r="W37" i="40"/>
  <c r="X37" i="40"/>
  <c r="AE415" i="38"/>
  <c r="V19" i="40"/>
  <c r="W19" i="40"/>
  <c r="X19" i="40"/>
  <c r="Y19" i="40"/>
  <c r="Z19" i="40"/>
  <c r="AE476" i="38"/>
  <c r="N31" i="39"/>
  <c r="O31" i="39"/>
  <c r="P31" i="39"/>
  <c r="Q31" i="39"/>
  <c r="M31" i="39"/>
  <c r="M37" i="40"/>
  <c r="O37" i="40"/>
  <c r="P37" i="40"/>
  <c r="N37" i="40"/>
  <c r="Q37" i="40"/>
  <c r="AE348" i="38"/>
  <c r="AB36" i="37"/>
  <c r="X18" i="40"/>
  <c r="Y18" i="40"/>
  <c r="Z18" i="40"/>
  <c r="W18" i="40"/>
  <c r="V18" i="40"/>
  <c r="M15" i="39"/>
  <c r="AB15" i="39" s="1"/>
  <c r="N15" i="39"/>
  <c r="O15" i="39"/>
  <c r="P15" i="39"/>
  <c r="Q15" i="39"/>
  <c r="AE437" i="38"/>
  <c r="X35" i="40"/>
  <c r="Y35" i="40"/>
  <c r="Z35" i="40"/>
  <c r="W35" i="40"/>
  <c r="V35" i="40"/>
  <c r="N11" i="39"/>
  <c r="O11" i="39"/>
  <c r="P11" i="39"/>
  <c r="Q11" i="39"/>
  <c r="M11" i="39"/>
  <c r="AB6" i="37"/>
  <c r="AE127" i="38"/>
  <c r="AE353" i="38"/>
  <c r="AE244" i="38"/>
  <c r="Z36" i="40"/>
  <c r="W36" i="40"/>
  <c r="V36" i="40"/>
  <c r="X36" i="40"/>
  <c r="Y36" i="40"/>
  <c r="W35" i="39"/>
  <c r="X35" i="39"/>
  <c r="Y35" i="39"/>
  <c r="Z35" i="39"/>
  <c r="V35" i="39"/>
  <c r="W28" i="40"/>
  <c r="V28" i="40"/>
  <c r="X28" i="40"/>
  <c r="Y28" i="40"/>
  <c r="Z28" i="40"/>
  <c r="AD553" i="38"/>
  <c r="AD554" i="38" s="1"/>
  <c r="AB553" i="38"/>
  <c r="AB554" i="38" s="1"/>
  <c r="W32" i="39"/>
  <c r="X32" i="39"/>
  <c r="Y32" i="39"/>
  <c r="Z32" i="39"/>
  <c r="V32" i="39"/>
  <c r="AE14" i="38"/>
  <c r="M35" i="40"/>
  <c r="N35" i="40"/>
  <c r="O35" i="40"/>
  <c r="P35" i="40"/>
  <c r="Q35" i="40"/>
  <c r="W11" i="39"/>
  <c r="X11" i="39"/>
  <c r="Z11" i="39"/>
  <c r="Y11" i="39"/>
  <c r="V11" i="39"/>
  <c r="O46" i="40"/>
  <c r="P46" i="40"/>
  <c r="Q46" i="40"/>
  <c r="N46" i="40"/>
  <c r="M46" i="40"/>
  <c r="AE29" i="38"/>
  <c r="AE167" i="38"/>
  <c r="M32" i="39"/>
  <c r="AB32" i="39" s="1"/>
  <c r="N32" i="39"/>
  <c r="O32" i="39"/>
  <c r="Q32" i="39"/>
  <c r="P32" i="39"/>
  <c r="AE170" i="38"/>
  <c r="AE88" i="38"/>
  <c r="M42" i="39"/>
  <c r="N42" i="39"/>
  <c r="O42" i="39"/>
  <c r="P42" i="39"/>
  <c r="Q42" i="39"/>
  <c r="AE174" i="38"/>
  <c r="X39" i="39"/>
  <c r="Y39" i="39"/>
  <c r="Z39" i="39"/>
  <c r="W39" i="39"/>
  <c r="V39" i="39"/>
  <c r="Z19" i="39"/>
  <c r="Y19" i="39"/>
  <c r="V19" i="39"/>
  <c r="W19" i="39"/>
  <c r="X19" i="39"/>
  <c r="AE292" i="38"/>
  <c r="V31" i="39"/>
  <c r="W31" i="39"/>
  <c r="X31" i="39"/>
  <c r="Y31" i="39"/>
  <c r="Z31" i="39"/>
  <c r="AE422" i="38"/>
  <c r="V16" i="39"/>
  <c r="W16" i="39"/>
  <c r="X16" i="39"/>
  <c r="Z16" i="39"/>
  <c r="Y16" i="39"/>
  <c r="N43" i="40"/>
  <c r="M43" i="40"/>
  <c r="O43" i="40"/>
  <c r="P43" i="40"/>
  <c r="Q43" i="40"/>
  <c r="P538" i="38"/>
  <c r="W25" i="40"/>
  <c r="X25" i="40"/>
  <c r="Y25" i="40"/>
  <c r="Z25" i="40"/>
  <c r="V25" i="40"/>
  <c r="V10" i="39"/>
  <c r="X10" i="39"/>
  <c r="W10" i="39"/>
  <c r="Y10" i="39"/>
  <c r="Z10" i="39"/>
  <c r="V26" i="40"/>
  <c r="W26" i="40"/>
  <c r="X26" i="40"/>
  <c r="Z26" i="40"/>
  <c r="Y26" i="40"/>
  <c r="O14" i="40"/>
  <c r="P14" i="40"/>
  <c r="Q14" i="40"/>
  <c r="N14" i="40"/>
  <c r="M14" i="40"/>
  <c r="AB14" i="40" s="1"/>
  <c r="M6" i="39"/>
  <c r="O6" i="39"/>
  <c r="N6" i="39"/>
  <c r="P6" i="39"/>
  <c r="Q6" i="39"/>
  <c r="AE391" i="38"/>
  <c r="P560" i="38"/>
  <c r="AE421" i="38"/>
  <c r="AE52" i="38"/>
  <c r="V39" i="40"/>
  <c r="W39" i="40"/>
  <c r="X39" i="40"/>
  <c r="Y39" i="40"/>
  <c r="Z39" i="40"/>
  <c r="Z14" i="39"/>
  <c r="Y14" i="39"/>
  <c r="W14" i="39"/>
  <c r="X14" i="39"/>
  <c r="V14" i="39"/>
  <c r="N22" i="39"/>
  <c r="O22" i="39"/>
  <c r="G9" i="8" s="1"/>
  <c r="G14" i="8" s="1"/>
  <c r="M22" i="39"/>
  <c r="P22" i="39"/>
  <c r="Q22" i="39"/>
  <c r="AE113" i="38"/>
  <c r="AE401" i="38"/>
  <c r="AE308" i="38"/>
  <c r="AE267" i="38"/>
  <c r="AE166" i="38"/>
  <c r="AB46" i="37"/>
  <c r="N11" i="40"/>
  <c r="O11" i="40"/>
  <c r="P11" i="40"/>
  <c r="Q11" i="40"/>
  <c r="M11" i="40"/>
  <c r="N32" i="40"/>
  <c r="O32" i="40"/>
  <c r="P32" i="40"/>
  <c r="Q32" i="40"/>
  <c r="M32" i="40"/>
  <c r="AB32" i="40" s="1"/>
  <c r="AB28" i="37"/>
  <c r="V42" i="39"/>
  <c r="W42" i="39"/>
  <c r="X42" i="39"/>
  <c r="Y42" i="39"/>
  <c r="Z42" i="39"/>
  <c r="M39" i="39"/>
  <c r="N39" i="39"/>
  <c r="P39" i="39"/>
  <c r="Q39" i="39"/>
  <c r="O39" i="39"/>
  <c r="AE381" i="38"/>
  <c r="AE218" i="38"/>
  <c r="AE69" i="38"/>
  <c r="M28" i="40"/>
  <c r="N28" i="40"/>
  <c r="O28" i="40"/>
  <c r="P28" i="40"/>
  <c r="Q28" i="40"/>
  <c r="M25" i="40"/>
  <c r="AB25" i="40" s="1"/>
  <c r="N25" i="40"/>
  <c r="O25" i="40"/>
  <c r="P25" i="40"/>
  <c r="Q25" i="40"/>
  <c r="M25" i="39"/>
  <c r="N25" i="39"/>
  <c r="O25" i="39"/>
  <c r="P25" i="39"/>
  <c r="Q25" i="39"/>
  <c r="P39" i="40"/>
  <c r="M39" i="40"/>
  <c r="N39" i="40"/>
  <c r="O39" i="40"/>
  <c r="Q39" i="40"/>
  <c r="X22" i="40"/>
  <c r="Y22" i="40"/>
  <c r="Z22" i="40"/>
  <c r="W22" i="40"/>
  <c r="V22" i="40"/>
  <c r="AE503" i="38"/>
  <c r="Y11" i="40"/>
  <c r="Z11" i="40"/>
  <c r="X11" i="40"/>
  <c r="W11" i="40"/>
  <c r="V11" i="40"/>
  <c r="AB11" i="37"/>
  <c r="AE120" i="38"/>
  <c r="Z17" i="40"/>
  <c r="V17" i="40"/>
  <c r="W17" i="40"/>
  <c r="X17" i="40"/>
  <c r="Y17" i="40"/>
  <c r="AE256" i="38"/>
  <c r="M22" i="40"/>
  <c r="N22" i="40"/>
  <c r="O22" i="40"/>
  <c r="Q22" i="40"/>
  <c r="P22" i="40"/>
  <c r="AE189" i="38"/>
  <c r="AE121" i="38"/>
  <c r="Z27" i="39"/>
  <c r="X27" i="39"/>
  <c r="Y27" i="39"/>
  <c r="V27" i="39"/>
  <c r="W27" i="39"/>
  <c r="AE351" i="38"/>
  <c r="AE371" i="38"/>
  <c r="M47" i="39"/>
  <c r="N47" i="39"/>
  <c r="O47" i="39"/>
  <c r="P47" i="39"/>
  <c r="Q47" i="39"/>
  <c r="AA553" i="38"/>
  <c r="V15" i="40"/>
  <c r="W15" i="40"/>
  <c r="X15" i="40"/>
  <c r="Y15" i="40"/>
  <c r="Z15" i="40"/>
  <c r="O27" i="39"/>
  <c r="P27" i="39"/>
  <c r="Q27" i="39"/>
  <c r="N27" i="39"/>
  <c r="M27" i="39"/>
  <c r="AE24" i="38"/>
  <c r="O34" i="40"/>
  <c r="P34" i="40"/>
  <c r="Q34" i="40"/>
  <c r="N34" i="40"/>
  <c r="M34" i="40"/>
  <c r="P554" i="38"/>
  <c r="AD510" i="38"/>
  <c r="W23" i="40"/>
  <c r="X23" i="40"/>
  <c r="Y23" i="40"/>
  <c r="Z23" i="40"/>
  <c r="V23" i="40"/>
  <c r="AE71" i="38"/>
  <c r="AE343" i="38"/>
  <c r="N33" i="39"/>
  <c r="M33" i="39"/>
  <c r="P33" i="39"/>
  <c r="Q33" i="39"/>
  <c r="O33" i="39"/>
  <c r="AE400" i="38"/>
  <c r="S522" i="38"/>
  <c r="P522" i="38"/>
  <c r="P570" i="38" s="1"/>
  <c r="P571" i="38" s="1"/>
  <c r="M36" i="39"/>
  <c r="N36" i="39"/>
  <c r="O36" i="39"/>
  <c r="P36" i="39"/>
  <c r="Q36" i="39"/>
  <c r="M9" i="40"/>
  <c r="N9" i="40"/>
  <c r="P9" i="40"/>
  <c r="Q9" i="40"/>
  <c r="O9" i="40"/>
  <c r="AE248" i="38"/>
  <c r="M15" i="40"/>
  <c r="N15" i="40"/>
  <c r="O15" i="40"/>
  <c r="P15" i="40"/>
  <c r="Q15" i="40"/>
  <c r="AE160" i="38"/>
  <c r="AE339" i="38"/>
  <c r="P47" i="40"/>
  <c r="Q47" i="40"/>
  <c r="O47" i="40"/>
  <c r="M47" i="40"/>
  <c r="N47" i="40"/>
  <c r="AE338" i="38"/>
  <c r="Z44" i="40"/>
  <c r="Y44" i="40"/>
  <c r="V44" i="40"/>
  <c r="W44" i="40"/>
  <c r="X44" i="40"/>
  <c r="AB47" i="37"/>
  <c r="Q10" i="39"/>
  <c r="P10" i="39"/>
  <c r="M10" i="39"/>
  <c r="N10" i="39"/>
  <c r="O10" i="39"/>
  <c r="AE334" i="38"/>
  <c r="AE116" i="38"/>
  <c r="V6" i="39"/>
  <c r="W6" i="39"/>
  <c r="X6" i="39"/>
  <c r="Y6" i="39"/>
  <c r="Z6" i="39"/>
  <c r="P517" i="38"/>
  <c r="AE64" i="38"/>
  <c r="W47" i="40"/>
  <c r="Z47" i="40"/>
  <c r="Y47" i="40"/>
  <c r="V47" i="40"/>
  <c r="X47" i="40"/>
  <c r="M19" i="39"/>
  <c r="N19" i="39"/>
  <c r="P19" i="39"/>
  <c r="O19" i="39"/>
  <c r="Q19" i="39"/>
  <c r="W27" i="40"/>
  <c r="V27" i="40"/>
  <c r="X27" i="40"/>
  <c r="Y27" i="40"/>
  <c r="Z27" i="40"/>
  <c r="AE41" i="38"/>
  <c r="AB17" i="37"/>
  <c r="AB30" i="37"/>
  <c r="Q23" i="39"/>
  <c r="P23" i="39"/>
  <c r="M23" i="39"/>
  <c r="N23" i="39"/>
  <c r="O23" i="39"/>
  <c r="P27" i="40"/>
  <c r="Q27" i="40"/>
  <c r="O27" i="40"/>
  <c r="N27" i="40"/>
  <c r="M27" i="40"/>
  <c r="AE89" i="38"/>
  <c r="R558" i="38"/>
  <c r="R570" i="38" s="1"/>
  <c r="R571" i="38" s="1"/>
  <c r="AE171" i="38"/>
  <c r="AB37" i="37"/>
  <c r="AB12" i="37"/>
  <c r="AE314" i="38"/>
  <c r="AB8" i="37"/>
  <c r="W33" i="39"/>
  <c r="X33" i="39"/>
  <c r="Y33" i="39"/>
  <c r="Z33" i="39"/>
  <c r="V33" i="39"/>
  <c r="AE76" i="38"/>
  <c r="AE159" i="38"/>
  <c r="AE99" i="38"/>
  <c r="AE441" i="38"/>
  <c r="V20" i="40"/>
  <c r="X20" i="40"/>
  <c r="W20" i="40"/>
  <c r="Y20" i="40"/>
  <c r="Z20" i="40"/>
  <c r="V9" i="40"/>
  <c r="Z9" i="40"/>
  <c r="Y9" i="40"/>
  <c r="W9" i="40"/>
  <c r="X9" i="40"/>
  <c r="Q40" i="40"/>
  <c r="P40" i="40"/>
  <c r="M40" i="40"/>
  <c r="N40" i="40"/>
  <c r="O40" i="40"/>
  <c r="AE72" i="38"/>
  <c r="AB18" i="37"/>
  <c r="AE187" i="38"/>
  <c r="O18" i="40"/>
  <c r="M18" i="40"/>
  <c r="N18" i="40"/>
  <c r="P18" i="40"/>
  <c r="Q18" i="40"/>
  <c r="Y21" i="39"/>
  <c r="Z21" i="39"/>
  <c r="X21" i="39"/>
  <c r="W21" i="39"/>
  <c r="V21" i="39"/>
  <c r="N16" i="39"/>
  <c r="O16" i="39"/>
  <c r="P16" i="39"/>
  <c r="Q16" i="39"/>
  <c r="M16" i="39"/>
  <c r="X28" i="39"/>
  <c r="Y28" i="39"/>
  <c r="Z28" i="39"/>
  <c r="W28" i="39"/>
  <c r="V28" i="39"/>
  <c r="V43" i="40"/>
  <c r="W43" i="40"/>
  <c r="X43" i="40"/>
  <c r="Y43" i="40"/>
  <c r="Z43" i="40"/>
  <c r="P552" i="38"/>
  <c r="Q570" i="38"/>
  <c r="Q571" i="38" s="1"/>
  <c r="V22" i="39"/>
  <c r="W22" i="39"/>
  <c r="X22" i="39"/>
  <c r="Y22" i="39"/>
  <c r="Z22" i="39"/>
  <c r="N23" i="40"/>
  <c r="O23" i="40"/>
  <c r="P23" i="40"/>
  <c r="Q23" i="40"/>
  <c r="M23" i="40"/>
  <c r="Z7" i="39"/>
  <c r="V7" i="39"/>
  <c r="W7" i="39"/>
  <c r="Y7" i="39"/>
  <c r="X7" i="39"/>
  <c r="AE295" i="38"/>
  <c r="V42" i="40"/>
  <c r="W42" i="40"/>
  <c r="X42" i="40"/>
  <c r="Y42" i="40"/>
  <c r="Z42" i="40"/>
  <c r="AE316" i="38"/>
  <c r="AE59" i="38"/>
  <c r="M24" i="40"/>
  <c r="N24" i="40"/>
  <c r="O24" i="40"/>
  <c r="P24" i="40"/>
  <c r="Q24" i="40"/>
  <c r="AE266" i="38"/>
  <c r="V36" i="39"/>
  <c r="W36" i="39"/>
  <c r="X36" i="39"/>
  <c r="Z36" i="39"/>
  <c r="Y36" i="39"/>
  <c r="AE45" i="38"/>
  <c r="P561" i="38"/>
  <c r="AA510" i="38"/>
  <c r="AB19" i="37"/>
  <c r="Q7" i="39"/>
  <c r="P7" i="39"/>
  <c r="M7" i="39"/>
  <c r="AB7" i="39" s="1"/>
  <c r="N7" i="39"/>
  <c r="O7" i="39"/>
  <c r="V12" i="39"/>
  <c r="W12" i="39"/>
  <c r="X12" i="39"/>
  <c r="Y12" i="39"/>
  <c r="Z12" i="39"/>
  <c r="M42" i="40"/>
  <c r="N42" i="40"/>
  <c r="O42" i="40"/>
  <c r="Q42" i="40"/>
  <c r="P42" i="40"/>
  <c r="AB33" i="37"/>
  <c r="X38" i="40"/>
  <c r="Y38" i="40"/>
  <c r="Z38" i="40"/>
  <c r="W38" i="40"/>
  <c r="V38" i="40"/>
  <c r="AE291" i="38"/>
  <c r="AE296" i="38"/>
  <c r="W17" i="39"/>
  <c r="V17" i="39"/>
  <c r="X17" i="39"/>
  <c r="Y17" i="39"/>
  <c r="Z17" i="39"/>
  <c r="AE144" i="38"/>
  <c r="P543" i="38"/>
  <c r="P553" i="38"/>
  <c r="AE420" i="38"/>
  <c r="M31" i="40"/>
  <c r="N31" i="40"/>
  <c r="O31" i="40"/>
  <c r="P31" i="40"/>
  <c r="Q31" i="40"/>
  <c r="P34" i="39"/>
  <c r="M34" i="39"/>
  <c r="N34" i="39"/>
  <c r="O34" i="39"/>
  <c r="Q34" i="39"/>
  <c r="AE158" i="38"/>
  <c r="M10" i="40"/>
  <c r="O10" i="40"/>
  <c r="P10" i="40"/>
  <c r="Q10" i="40"/>
  <c r="N10" i="40"/>
  <c r="AE152" i="38"/>
  <c r="Z522" i="38"/>
  <c r="Z553" i="38" s="1"/>
  <c r="Z554" i="38" s="1"/>
  <c r="AB13" i="37"/>
  <c r="AB44" i="37"/>
  <c r="O24" i="39"/>
  <c r="P24" i="39"/>
  <c r="Q24" i="39"/>
  <c r="N24" i="39"/>
  <c r="M24" i="39"/>
  <c r="X8" i="39"/>
  <c r="Y8" i="39"/>
  <c r="Z8" i="39"/>
  <c r="W8" i="39"/>
  <c r="V8" i="39"/>
  <c r="V29" i="39"/>
  <c r="W29" i="39"/>
  <c r="X29" i="39"/>
  <c r="Y29" i="39"/>
  <c r="Z29" i="39"/>
  <c r="AE179" i="38"/>
  <c r="X45" i="39"/>
  <c r="Z45" i="39"/>
  <c r="W45" i="39"/>
  <c r="Y45" i="39"/>
  <c r="V45" i="39"/>
  <c r="X46" i="39"/>
  <c r="V46" i="39"/>
  <c r="W46" i="39"/>
  <c r="Y46" i="39"/>
  <c r="Z46" i="39"/>
  <c r="V30" i="40"/>
  <c r="Y30" i="40"/>
  <c r="Z30" i="40"/>
  <c r="X30" i="40"/>
  <c r="W30" i="40"/>
  <c r="AE379" i="38"/>
  <c r="Y18" i="39"/>
  <c r="Z18" i="39"/>
  <c r="X18" i="39"/>
  <c r="V18" i="39"/>
  <c r="W18" i="39"/>
  <c r="W15" i="39"/>
  <c r="X15" i="39"/>
  <c r="Y15" i="39"/>
  <c r="Z15" i="39"/>
  <c r="V15" i="39"/>
  <c r="AE294" i="38"/>
  <c r="V40" i="40"/>
  <c r="X40" i="40"/>
  <c r="Y40" i="40"/>
  <c r="W40" i="40"/>
  <c r="Z40" i="40"/>
  <c r="AE344" i="38"/>
  <c r="AE65" i="38"/>
  <c r="S570" i="38"/>
  <c r="S571" i="38" s="1"/>
  <c r="AE191" i="38"/>
  <c r="AB26" i="37"/>
  <c r="Q510" i="38"/>
  <c r="Z24" i="40"/>
  <c r="Y24" i="40"/>
  <c r="V24" i="40"/>
  <c r="W24" i="40"/>
  <c r="X24" i="40"/>
  <c r="Q30" i="39"/>
  <c r="P30" i="39"/>
  <c r="M30" i="39"/>
  <c r="N30" i="39"/>
  <c r="O30" i="39"/>
  <c r="P17" i="39"/>
  <c r="Q17" i="39"/>
  <c r="O17" i="39"/>
  <c r="N17" i="39"/>
  <c r="M17" i="39"/>
  <c r="AE367" i="38"/>
  <c r="Y31" i="40"/>
  <c r="Z31" i="40"/>
  <c r="X31" i="40"/>
  <c r="V31" i="40"/>
  <c r="W31" i="40"/>
  <c r="M12" i="39"/>
  <c r="N12" i="39"/>
  <c r="O12" i="39"/>
  <c r="Q12" i="39"/>
  <c r="P12" i="39"/>
  <c r="AE430" i="38"/>
  <c r="Z34" i="39"/>
  <c r="Y34" i="39"/>
  <c r="W34" i="39"/>
  <c r="X34" i="39"/>
  <c r="V34" i="39"/>
  <c r="X10" i="40"/>
  <c r="Y10" i="40"/>
  <c r="Z10" i="40"/>
  <c r="W10" i="40"/>
  <c r="V10" i="40"/>
  <c r="AE27" i="38"/>
  <c r="V24" i="39"/>
  <c r="X24" i="39"/>
  <c r="W24" i="39"/>
  <c r="Y24" i="39"/>
  <c r="Z24" i="39"/>
  <c r="Q8" i="39"/>
  <c r="P8" i="39"/>
  <c r="M8" i="39"/>
  <c r="N8" i="39"/>
  <c r="O8" i="39"/>
  <c r="M38" i="40"/>
  <c r="N38" i="40"/>
  <c r="Q38" i="40"/>
  <c r="O38" i="40"/>
  <c r="P38" i="40"/>
  <c r="Q29" i="39"/>
  <c r="M29" i="39"/>
  <c r="N29" i="39"/>
  <c r="O29" i="39"/>
  <c r="P29" i="39"/>
  <c r="AE17" i="38"/>
  <c r="V30" i="39"/>
  <c r="X30" i="39"/>
  <c r="Z30" i="39"/>
  <c r="W30" i="39"/>
  <c r="Y30" i="39"/>
  <c r="V56" i="37"/>
  <c r="P539" i="38"/>
  <c r="V16" i="40"/>
  <c r="W16" i="40"/>
  <c r="X16" i="40"/>
  <c r="Y16" i="40"/>
  <c r="Z16" i="40"/>
  <c r="AE245" i="38"/>
  <c r="N21" i="40"/>
  <c r="O21" i="40"/>
  <c r="P21" i="40"/>
  <c r="Q21" i="40"/>
  <c r="M21" i="40"/>
  <c r="AB6" i="40"/>
  <c r="Q13" i="40"/>
  <c r="M13" i="40"/>
  <c r="N13" i="40"/>
  <c r="O13" i="40"/>
  <c r="P13" i="40"/>
  <c r="AE60" i="38"/>
  <c r="Y8" i="40"/>
  <c r="V8" i="40"/>
  <c r="W8" i="40"/>
  <c r="X8" i="40"/>
  <c r="Z8" i="40"/>
  <c r="AE445" i="38"/>
  <c r="M45" i="39"/>
  <c r="N45" i="39"/>
  <c r="O45" i="39"/>
  <c r="P45" i="39"/>
  <c r="Q45" i="39"/>
  <c r="M46" i="39"/>
  <c r="O46" i="39"/>
  <c r="N46" i="39"/>
  <c r="P46" i="39"/>
  <c r="Q46" i="39"/>
  <c r="AE490" i="38"/>
  <c r="M30" i="40"/>
  <c r="N30" i="40"/>
  <c r="O30" i="40"/>
  <c r="P30" i="40"/>
  <c r="Q30" i="40"/>
  <c r="AE214" i="38"/>
  <c r="AE407" i="38"/>
  <c r="AE153" i="38"/>
  <c r="AE43" i="38"/>
  <c r="M18" i="39"/>
  <c r="N18" i="39"/>
  <c r="O18" i="39"/>
  <c r="P18" i="39"/>
  <c r="Q18" i="39"/>
  <c r="V46" i="40"/>
  <c r="W46" i="40"/>
  <c r="X46" i="40"/>
  <c r="Z46" i="40"/>
  <c r="Y46" i="40"/>
  <c r="AB39" i="37"/>
  <c r="AE354" i="38"/>
  <c r="M35" i="39"/>
  <c r="Q35" i="39"/>
  <c r="N35" i="39"/>
  <c r="P35" i="39"/>
  <c r="O35" i="39"/>
  <c r="AE227" i="38"/>
  <c r="AE66" i="38"/>
  <c r="V12" i="40"/>
  <c r="W12" i="40"/>
  <c r="X12" i="40"/>
  <c r="Y12" i="40"/>
  <c r="Z12" i="40"/>
  <c r="M26" i="40"/>
  <c r="N26" i="40"/>
  <c r="O26" i="40"/>
  <c r="P26" i="40"/>
  <c r="Q26" i="40"/>
  <c r="V14" i="40"/>
  <c r="X14" i="40"/>
  <c r="Y14" i="40"/>
  <c r="W14" i="40"/>
  <c r="Z14" i="40"/>
  <c r="AE507" i="38"/>
  <c r="P542" i="38"/>
  <c r="AB10" i="37"/>
  <c r="M16" i="40"/>
  <c r="O16" i="40"/>
  <c r="Q16" i="40"/>
  <c r="N16" i="40"/>
  <c r="P16" i="40"/>
  <c r="V21" i="40"/>
  <c r="W21" i="40"/>
  <c r="X21" i="40"/>
  <c r="Y21" i="40"/>
  <c r="Z21" i="40"/>
  <c r="AE489" i="38"/>
  <c r="V13" i="40"/>
  <c r="W13" i="40"/>
  <c r="Y13" i="40"/>
  <c r="Z13" i="40"/>
  <c r="X13" i="40"/>
  <c r="M8" i="40"/>
  <c r="N8" i="40"/>
  <c r="O8" i="40"/>
  <c r="P8" i="40"/>
  <c r="Q8" i="40"/>
  <c r="W38" i="39"/>
  <c r="X38" i="39"/>
  <c r="Y38" i="39"/>
  <c r="Z38" i="39"/>
  <c r="V38" i="39"/>
  <c r="X29" i="40"/>
  <c r="Z29" i="40"/>
  <c r="V29" i="40"/>
  <c r="W29" i="40"/>
  <c r="Y29" i="40"/>
  <c r="M20" i="39"/>
  <c r="Q20" i="39"/>
  <c r="N20" i="39"/>
  <c r="O20" i="39"/>
  <c r="P20" i="39"/>
  <c r="AE175" i="38"/>
  <c r="V34" i="40"/>
  <c r="Z34" i="40"/>
  <c r="Y34" i="40"/>
  <c r="W34" i="40"/>
  <c r="X34" i="40"/>
  <c r="AC553" i="38"/>
  <c r="AC554" i="38" s="1"/>
  <c r="AE333" i="38"/>
  <c r="O9" i="39"/>
  <c r="P9" i="39"/>
  <c r="Q9" i="39"/>
  <c r="N9" i="39"/>
  <c r="M9" i="39"/>
  <c r="AB9" i="39" s="1"/>
  <c r="Q44" i="40"/>
  <c r="M44" i="40"/>
  <c r="N44" i="40"/>
  <c r="O44" i="40"/>
  <c r="P44" i="40"/>
  <c r="P12" i="40"/>
  <c r="Q12" i="40"/>
  <c r="O12" i="40"/>
  <c r="M12" i="40"/>
  <c r="N12" i="40"/>
  <c r="V25" i="39"/>
  <c r="Z25" i="39"/>
  <c r="W25" i="39"/>
  <c r="X25" i="39"/>
  <c r="Y25" i="39"/>
  <c r="V23" i="39"/>
  <c r="W23" i="39"/>
  <c r="Y23" i="39"/>
  <c r="Z23" i="39"/>
  <c r="X23" i="39"/>
  <c r="AE426" i="38"/>
  <c r="M36" i="40"/>
  <c r="O36" i="40"/>
  <c r="N36" i="40"/>
  <c r="P36" i="40"/>
  <c r="Q36" i="40"/>
  <c r="AE224" i="38"/>
  <c r="Z47" i="39"/>
  <c r="V47" i="39"/>
  <c r="W47" i="39"/>
  <c r="X47" i="39"/>
  <c r="Y47" i="39"/>
  <c r="O17" i="40"/>
  <c r="P17" i="40"/>
  <c r="Q17" i="40"/>
  <c r="N17" i="40"/>
  <c r="M17" i="40"/>
  <c r="AB17" i="40" s="1"/>
  <c r="AE107" i="38"/>
  <c r="P526" i="38"/>
  <c r="V44" i="39"/>
  <c r="Z44" i="39"/>
  <c r="Y44" i="39"/>
  <c r="W44" i="39"/>
  <c r="X44" i="39"/>
  <c r="V26" i="39"/>
  <c r="Z26" i="39"/>
  <c r="Y26" i="39"/>
  <c r="X26" i="39"/>
  <c r="W26" i="39"/>
  <c r="Q33" i="40"/>
  <c r="N33" i="40"/>
  <c r="O33" i="40"/>
  <c r="P33" i="40"/>
  <c r="M33" i="40"/>
  <c r="V13" i="39"/>
  <c r="W13" i="39"/>
  <c r="X13" i="39"/>
  <c r="Y13" i="39"/>
  <c r="Z13" i="39"/>
  <c r="M38" i="39"/>
  <c r="AB38" i="39" s="1"/>
  <c r="N38" i="39"/>
  <c r="O38" i="39"/>
  <c r="P38" i="39"/>
  <c r="Q38" i="39"/>
  <c r="AE94" i="38"/>
  <c r="P544" i="38"/>
  <c r="P563" i="38"/>
  <c r="O44" i="39"/>
  <c r="P44" i="39"/>
  <c r="Q44" i="39"/>
  <c r="N44" i="39"/>
  <c r="M44" i="39"/>
  <c r="AE10" i="38"/>
  <c r="M26" i="39"/>
  <c r="O26" i="39"/>
  <c r="Q26" i="39"/>
  <c r="P26" i="39"/>
  <c r="N26" i="39"/>
  <c r="V33" i="40"/>
  <c r="W33" i="40"/>
  <c r="Y33" i="40"/>
  <c r="X33" i="40"/>
  <c r="Z33" i="40"/>
  <c r="AE157" i="38"/>
  <c r="AE471" i="38"/>
  <c r="O5" i="40"/>
  <c r="P5" i="40"/>
  <c r="Q5" i="40"/>
  <c r="N5" i="40"/>
  <c r="M5" i="40"/>
  <c r="N13" i="39"/>
  <c r="M13" i="39"/>
  <c r="O13" i="39"/>
  <c r="P13" i="39"/>
  <c r="Q13" i="39"/>
  <c r="M45" i="40"/>
  <c r="N45" i="40"/>
  <c r="O45" i="40"/>
  <c r="Q45" i="40"/>
  <c r="P45" i="40"/>
  <c r="Q43" i="39"/>
  <c r="N43" i="39"/>
  <c r="P43" i="39"/>
  <c r="O43" i="39"/>
  <c r="M43" i="39"/>
  <c r="AE128" i="38"/>
  <c r="AE101" i="38"/>
  <c r="AE492" i="38"/>
  <c r="M40" i="39"/>
  <c r="N40" i="39"/>
  <c r="O40" i="39"/>
  <c r="P40" i="39"/>
  <c r="Q40" i="39"/>
  <c r="V9" i="39"/>
  <c r="W9" i="39"/>
  <c r="X9" i="39"/>
  <c r="Y9" i="39"/>
  <c r="Z9" i="39"/>
  <c r="AE75" i="38"/>
  <c r="P7" i="40"/>
  <c r="Q7" i="40"/>
  <c r="O7" i="40"/>
  <c r="M7" i="40"/>
  <c r="N7" i="40"/>
  <c r="P551" i="38"/>
  <c r="P537" i="38"/>
  <c r="AE6" i="38"/>
  <c r="AE16" i="38"/>
  <c r="N41" i="39"/>
  <c r="O41" i="39"/>
  <c r="M41" i="39"/>
  <c r="P41" i="39"/>
  <c r="Q41" i="39"/>
  <c r="M56" i="37"/>
  <c r="N41" i="40"/>
  <c r="O41" i="40"/>
  <c r="P41" i="40"/>
  <c r="Q41" i="40"/>
  <c r="M41" i="40"/>
  <c r="AB41" i="40" s="1"/>
  <c r="AE390" i="38"/>
  <c r="P37" i="39"/>
  <c r="Q37" i="39"/>
  <c r="O37" i="39"/>
  <c r="N37" i="39"/>
  <c r="M37" i="39"/>
  <c r="V5" i="39"/>
  <c r="W5" i="39"/>
  <c r="X5" i="39"/>
  <c r="Z5" i="39"/>
  <c r="Y5" i="39"/>
  <c r="W45" i="40"/>
  <c r="X45" i="40"/>
  <c r="Y45" i="40"/>
  <c r="Z45" i="40"/>
  <c r="V45" i="40"/>
  <c r="V43" i="39"/>
  <c r="W43" i="39"/>
  <c r="Y43" i="39"/>
  <c r="X43" i="39"/>
  <c r="Z43" i="39"/>
  <c r="AB45" i="37"/>
  <c r="AE217" i="38"/>
  <c r="M19" i="40"/>
  <c r="N19" i="40"/>
  <c r="O19" i="40"/>
  <c r="P19" i="40"/>
  <c r="Q19" i="40"/>
  <c r="V40" i="39"/>
  <c r="W40" i="39"/>
  <c r="X40" i="39"/>
  <c r="Y40" i="39"/>
  <c r="Z40" i="39"/>
  <c r="AB26" i="40" l="1"/>
  <c r="AB15" i="40"/>
  <c r="Z56" i="40"/>
  <c r="M56" i="40"/>
  <c r="AB5" i="40"/>
  <c r="AB31" i="40"/>
  <c r="Z56" i="39"/>
  <c r="AB40" i="39"/>
  <c r="AB12" i="40"/>
  <c r="AB8" i="39"/>
  <c r="AB23" i="40"/>
  <c r="AB34" i="40"/>
  <c r="AB28" i="39"/>
  <c r="AB21" i="40"/>
  <c r="Y56" i="40"/>
  <c r="AB44" i="39"/>
  <c r="AB38" i="40"/>
  <c r="AB9" i="40"/>
  <c r="AB41" i="39"/>
  <c r="AB16" i="40"/>
  <c r="AB30" i="39"/>
  <c r="AB23" i="39"/>
  <c r="AB39" i="40"/>
  <c r="Y56" i="39"/>
  <c r="N56" i="40"/>
  <c r="X56" i="39"/>
  <c r="Q56" i="40"/>
  <c r="AB42" i="40"/>
  <c r="AB47" i="40"/>
  <c r="AB47" i="39"/>
  <c r="M56" i="39"/>
  <c r="AB5" i="39"/>
  <c r="AB13" i="39"/>
  <c r="AB36" i="39"/>
  <c r="AB10" i="39"/>
  <c r="AB29" i="40"/>
  <c r="AB16" i="39"/>
  <c r="AB29" i="39"/>
  <c r="AB27" i="40"/>
  <c r="W56" i="39"/>
  <c r="P56" i="40"/>
  <c r="AB8" i="40"/>
  <c r="O56" i="40"/>
  <c r="AB35" i="39"/>
  <c r="AB43" i="39"/>
  <c r="AB30" i="40"/>
  <c r="AB12" i="39"/>
  <c r="AB45" i="40"/>
  <c r="X56" i="40"/>
  <c r="AB37" i="39"/>
  <c r="AB25" i="39"/>
  <c r="AB46" i="39"/>
  <c r="AB40" i="40"/>
  <c r="AB39" i="39"/>
  <c r="AB34" i="39"/>
  <c r="AB19" i="39"/>
  <c r="AB46" i="40"/>
  <c r="AB37" i="40"/>
  <c r="V56" i="39"/>
  <c r="AB42" i="39"/>
  <c r="AB31" i="39"/>
  <c r="AB19" i="40"/>
  <c r="AB7" i="40"/>
  <c r="AB13" i="40"/>
  <c r="AB24" i="40"/>
  <c r="AB27" i="39"/>
  <c r="Q56" i="39"/>
  <c r="AB36" i="40"/>
  <c r="AB44" i="40"/>
  <c r="AB20" i="39"/>
  <c r="AB35" i="40"/>
  <c r="P56" i="39"/>
  <c r="AB20" i="40"/>
  <c r="AB10" i="40"/>
  <c r="AB22" i="39"/>
  <c r="O56" i="39"/>
  <c r="AB33" i="39"/>
  <c r="AB6" i="39"/>
  <c r="N56" i="39"/>
  <c r="AB17" i="39"/>
  <c r="V56" i="40"/>
  <c r="AB43" i="40"/>
  <c r="AB14" i="39"/>
  <c r="AB26" i="39"/>
  <c r="AB33" i="40"/>
  <c r="AB18" i="39"/>
  <c r="AB45" i="39"/>
  <c r="AB24" i="39"/>
  <c r="AB18" i="40"/>
  <c r="AB22" i="40"/>
  <c r="AB28" i="40"/>
  <c r="AB11" i="40"/>
  <c r="AB11" i="39"/>
  <c r="AB21" i="39"/>
  <c r="W56" i="40"/>
  <c r="AA554" i="38"/>
  <c r="AB56" i="39" l="1"/>
  <c r="AB56" i="40"/>
  <c r="Y8" i="8" l="1"/>
  <c r="C20" i="8" l="1"/>
  <c r="L20" i="8" s="1"/>
  <c r="C19" i="8"/>
  <c r="L19" i="8" s="1"/>
  <c r="C18" i="8"/>
  <c r="L18" i="8" s="1"/>
  <c r="C17" i="8"/>
  <c r="L17" i="8" s="1"/>
  <c r="C13" i="8"/>
  <c r="L13" i="8" s="1"/>
  <c r="C12" i="8"/>
  <c r="L12" i="8" s="1"/>
  <c r="C10" i="8"/>
  <c r="L10" i="8" s="1"/>
  <c r="C9" i="8"/>
  <c r="L9" i="8" s="1"/>
  <c r="C8" i="8"/>
  <c r="L8" i="8" s="1"/>
  <c r="L14" i="8" s="1"/>
  <c r="L21" i="8" l="1"/>
  <c r="R20" i="8"/>
  <c r="R19" i="8"/>
  <c r="R18" i="8"/>
  <c r="R17" i="8"/>
  <c r="R13" i="8" l="1"/>
  <c r="R12" i="8" l="1"/>
  <c r="R10" i="8"/>
  <c r="R9" i="8"/>
  <c r="R8" i="8"/>
  <c r="D17" i="8" l="1"/>
  <c r="M17" i="8" s="1"/>
  <c r="D10" i="8"/>
  <c r="M10" i="8" s="1"/>
  <c r="D9" i="8"/>
  <c r="M9" i="8" s="1"/>
  <c r="D8" i="8"/>
  <c r="M8" i="8" s="1"/>
  <c r="G23" i="7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E30" i="1" l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A18" i="7"/>
  <c r="A19" i="7" s="1"/>
  <c r="A20" i="7" s="1"/>
  <c r="A21" i="7" s="1"/>
  <c r="A22" i="7" s="1"/>
  <c r="E19" i="7"/>
  <c r="D19" i="7"/>
  <c r="C19" i="7"/>
  <c r="E21" i="7"/>
  <c r="D21" i="7"/>
  <c r="C21" i="7"/>
  <c r="E20" i="7"/>
  <c r="D20" i="7"/>
  <c r="C20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C5" i="7"/>
  <c r="E4" i="7"/>
  <c r="D4" i="7"/>
  <c r="C4" i="7"/>
  <c r="A56" i="2"/>
  <c r="A57" i="2"/>
  <c r="A58" i="2"/>
  <c r="A59" i="2" s="1"/>
  <c r="A60" i="2" s="1"/>
  <c r="A61" i="2" s="1"/>
  <c r="A62" i="2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31" i="1"/>
  <c r="A27" i="1"/>
  <c r="A28" i="1"/>
  <c r="A29" i="1"/>
  <c r="A30" i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G31" i="1" l="1"/>
  <c r="D29" i="13"/>
  <c r="C29" i="13" s="1"/>
  <c r="E28" i="13"/>
  <c r="C28" i="13"/>
  <c r="D29" i="12"/>
  <c r="E29" i="12" s="1"/>
  <c r="E30" i="12" s="1"/>
  <c r="E31" i="12" s="1"/>
  <c r="D28" i="13" l="1"/>
  <c r="F28" i="13" s="1"/>
  <c r="G28" i="13" s="1"/>
  <c r="D30" i="13"/>
  <c r="E29" i="13"/>
  <c r="E30" i="13" s="1"/>
  <c r="E31" i="13" s="1"/>
  <c r="D30" i="12"/>
  <c r="C29" i="12"/>
  <c r="D31" i="12" l="1"/>
  <c r="C30" i="12"/>
  <c r="D31" i="13"/>
  <c r="C30" i="13"/>
  <c r="C31" i="13" s="1"/>
  <c r="A28" i="9" l="1"/>
  <c r="A27" i="9"/>
  <c r="A26" i="9"/>
  <c r="A25" i="9"/>
  <c r="A24" i="9"/>
  <c r="A23" i="9"/>
  <c r="C22" i="9"/>
  <c r="C23" i="9" s="1"/>
  <c r="A22" i="9"/>
  <c r="F21" i="9"/>
  <c r="A21" i="9"/>
  <c r="A20" i="9"/>
  <c r="A19" i="9"/>
  <c r="A18" i="9"/>
  <c r="A17" i="9"/>
  <c r="A16" i="9"/>
  <c r="A15" i="9"/>
  <c r="A14" i="9"/>
  <c r="A13" i="9"/>
  <c r="C12" i="9"/>
  <c r="F12" i="9" s="1"/>
  <c r="F13" i="9" s="1"/>
  <c r="A12" i="9"/>
  <c r="F11" i="9"/>
  <c r="A11" i="9"/>
  <c r="F10" i="9"/>
  <c r="A10" i="9"/>
  <c r="A9" i="9"/>
  <c r="A8" i="9"/>
  <c r="A7" i="9"/>
  <c r="F6" i="9"/>
  <c r="A6" i="9"/>
  <c r="J62" i="5"/>
  <c r="E62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J62" i="4"/>
  <c r="E62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7" i="4"/>
  <c r="J62" i="3"/>
  <c r="E6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7" i="3"/>
  <c r="J62" i="2"/>
  <c r="E62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5" i="7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25" i="13"/>
  <c r="D25" i="13"/>
  <c r="C25" i="13"/>
  <c r="A25" i="13"/>
  <c r="A24" i="13"/>
  <c r="E23" i="13"/>
  <c r="D23" i="13"/>
  <c r="A23" i="13"/>
  <c r="E22" i="13"/>
  <c r="D22" i="13"/>
  <c r="C22" i="13"/>
  <c r="A22" i="13"/>
  <c r="E21" i="13"/>
  <c r="D21" i="13"/>
  <c r="C21" i="13"/>
  <c r="A21" i="13"/>
  <c r="E20" i="13"/>
  <c r="D20" i="13"/>
  <c r="C20" i="13"/>
  <c r="A20" i="13"/>
  <c r="E19" i="13"/>
  <c r="D19" i="13"/>
  <c r="C19" i="13"/>
  <c r="A19" i="13"/>
  <c r="E18" i="13"/>
  <c r="D18" i="13"/>
  <c r="C18" i="13"/>
  <c r="A18" i="13"/>
  <c r="E17" i="13"/>
  <c r="D17" i="13"/>
  <c r="C17" i="13"/>
  <c r="A17" i="13"/>
  <c r="A16" i="13"/>
  <c r="A15" i="13"/>
  <c r="A14" i="13"/>
  <c r="A13" i="13"/>
  <c r="A12" i="13"/>
  <c r="A11" i="13"/>
  <c r="A10" i="13"/>
  <c r="A9" i="13"/>
  <c r="C25" i="12"/>
  <c r="A25" i="12"/>
  <c r="A24" i="12"/>
  <c r="A23" i="12"/>
  <c r="A22" i="12"/>
  <c r="A21" i="12"/>
  <c r="E20" i="12"/>
  <c r="D20" i="12"/>
  <c r="C20" i="12"/>
  <c r="A20" i="12"/>
  <c r="A19" i="12"/>
  <c r="E18" i="12"/>
  <c r="D18" i="12"/>
  <c r="C18" i="12"/>
  <c r="A18" i="12"/>
  <c r="E17" i="12"/>
  <c r="E19" i="12" s="1"/>
  <c r="D17" i="12"/>
  <c r="C17" i="12"/>
  <c r="A17" i="12"/>
  <c r="A16" i="12"/>
  <c r="A15" i="12"/>
  <c r="A14" i="12"/>
  <c r="A13" i="12"/>
  <c r="A12" i="12"/>
  <c r="A11" i="12"/>
  <c r="A10" i="12"/>
  <c r="A9" i="12"/>
  <c r="R34" i="8"/>
  <c r="U27" i="8" s="1"/>
  <c r="C34" i="8"/>
  <c r="L34" i="8" s="1"/>
  <c r="N17" i="8" s="1"/>
  <c r="R33" i="8"/>
  <c r="C33" i="8"/>
  <c r="L33" i="8" s="1"/>
  <c r="R32" i="8"/>
  <c r="C32" i="8"/>
  <c r="L32" i="8" s="1"/>
  <c r="R31" i="8"/>
  <c r="C31" i="8"/>
  <c r="L31" i="8" s="1"/>
  <c r="R21" i="8"/>
  <c r="C21" i="8"/>
  <c r="R14" i="8"/>
  <c r="C14" i="8"/>
  <c r="S13" i="8"/>
  <c r="D13" i="8"/>
  <c r="M13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N13" i="8" l="1"/>
  <c r="N11" i="8"/>
  <c r="N8" i="8"/>
  <c r="N9" i="8"/>
  <c r="N10" i="8"/>
  <c r="H23" i="8"/>
  <c r="G23" i="8"/>
  <c r="T13" i="8"/>
  <c r="H26" i="8"/>
  <c r="G26" i="8"/>
  <c r="T11" i="8"/>
  <c r="R26" i="8"/>
  <c r="R23" i="8"/>
  <c r="C22" i="7"/>
  <c r="S8" i="8" s="1"/>
  <c r="A54" i="2"/>
  <c r="A55" i="2" s="1"/>
  <c r="C31" i="1"/>
  <c r="D22" i="7"/>
  <c r="S9" i="8" s="1"/>
  <c r="T9" i="8" s="1"/>
  <c r="A48" i="3"/>
  <c r="A49" i="3" s="1"/>
  <c r="D31" i="1"/>
  <c r="E22" i="7"/>
  <c r="S10" i="8" s="1"/>
  <c r="T10" i="8" s="1"/>
  <c r="A49" i="4"/>
  <c r="A50" i="4" s="1"/>
  <c r="A51" i="4" s="1"/>
  <c r="E31" i="1"/>
  <c r="E9" i="8"/>
  <c r="E10" i="8"/>
  <c r="G22" i="7"/>
  <c r="S17" i="8" s="1"/>
  <c r="T17" i="8" s="1"/>
  <c r="E17" i="8"/>
  <c r="D18" i="8"/>
  <c r="F17" i="9"/>
  <c r="D12" i="8"/>
  <c r="C25" i="9"/>
  <c r="S20" i="8" s="1"/>
  <c r="F22" i="9"/>
  <c r="F23" i="9" s="1"/>
  <c r="C13" i="9"/>
  <c r="E21" i="12"/>
  <c r="E22" i="12" s="1"/>
  <c r="E23" i="12" s="1"/>
  <c r="C19" i="12"/>
  <c r="C21" i="12" s="1"/>
  <c r="C22" i="12" s="1"/>
  <c r="D19" i="12"/>
  <c r="D21" i="12" s="1"/>
  <c r="D22" i="12" s="1"/>
  <c r="C23" i="8"/>
  <c r="C26" i="8"/>
  <c r="E11" i="8"/>
  <c r="E8" i="8"/>
  <c r="E13" i="8"/>
  <c r="F27" i="8"/>
  <c r="E18" i="8" l="1"/>
  <c r="M18" i="8"/>
  <c r="D14" i="8"/>
  <c r="M12" i="8"/>
  <c r="L23" i="8"/>
  <c r="L24" i="8" s="1"/>
  <c r="L26" i="8"/>
  <c r="E12" i="8"/>
  <c r="G24" i="8"/>
  <c r="G27" i="8" s="1"/>
  <c r="G29" i="8" s="1"/>
  <c r="T8" i="8"/>
  <c r="V8" i="8"/>
  <c r="H24" i="8"/>
  <c r="H27" i="8" s="1"/>
  <c r="H29" i="8" s="1"/>
  <c r="R24" i="8"/>
  <c r="R27" i="8" s="1"/>
  <c r="R29" i="8" s="1"/>
  <c r="D23" i="8"/>
  <c r="D26" i="8"/>
  <c r="M26" i="8" s="1"/>
  <c r="S18" i="8"/>
  <c r="T18" i="8" s="1"/>
  <c r="S19" i="8"/>
  <c r="F27" i="9"/>
  <c r="S12" i="8"/>
  <c r="C15" i="9"/>
  <c r="D20" i="8" s="1"/>
  <c r="M20" i="8" s="1"/>
  <c r="N20" i="8" s="1"/>
  <c r="D19" i="8"/>
  <c r="M19" i="8" s="1"/>
  <c r="N19" i="8" s="1"/>
  <c r="C18" i="9"/>
  <c r="C28" i="9"/>
  <c r="T20" i="8"/>
  <c r="D23" i="12"/>
  <c r="D25" i="12" s="1"/>
  <c r="C28" i="12"/>
  <c r="C31" i="12"/>
  <c r="C24" i="8"/>
  <c r="C27" i="8" s="1"/>
  <c r="C29" i="8" s="1"/>
  <c r="E25" i="12"/>
  <c r="E28" i="12" s="1"/>
  <c r="E23" i="8" l="1"/>
  <c r="M23" i="8"/>
  <c r="N23" i="8" s="1"/>
  <c r="N12" i="8"/>
  <c r="N14" i="8" s="1"/>
  <c r="M14" i="8"/>
  <c r="L27" i="8"/>
  <c r="L29" i="8" s="1"/>
  <c r="N18" i="8"/>
  <c r="N21" i="8" s="1"/>
  <c r="M21" i="8"/>
  <c r="M24" i="8" s="1"/>
  <c r="M27" i="8"/>
  <c r="M29" i="8" s="1"/>
  <c r="E14" i="8"/>
  <c r="F26" i="8" s="1"/>
  <c r="D21" i="8"/>
  <c r="D24" i="8" s="1"/>
  <c r="D27" i="8" s="1"/>
  <c r="D29" i="8" s="1"/>
  <c r="E19" i="8"/>
  <c r="E20" i="8"/>
  <c r="T12" i="8"/>
  <c r="S14" i="8"/>
  <c r="T19" i="8"/>
  <c r="T21" i="8" s="1"/>
  <c r="S21" i="8"/>
  <c r="D28" i="12"/>
  <c r="F28" i="12" s="1"/>
  <c r="G28" i="12" s="1"/>
  <c r="N24" i="8" l="1"/>
  <c r="N29" i="8" s="1"/>
  <c r="F14" i="8"/>
  <c r="E21" i="8"/>
  <c r="S23" i="8"/>
  <c r="S26" i="8"/>
  <c r="T14" i="8"/>
  <c r="U26" i="8" l="1"/>
  <c r="T23" i="8"/>
  <c r="U14" i="8"/>
  <c r="S24" i="8"/>
  <c r="S27" i="8" s="1"/>
  <c r="S29" i="8" s="1"/>
  <c r="E24" i="8"/>
  <c r="E29" i="8" s="1"/>
  <c r="F29" i="8" l="1"/>
  <c r="T24" i="8"/>
  <c r="T29" i="8" s="1"/>
  <c r="U29" i="8" l="1"/>
</calcChain>
</file>

<file path=xl/sharedStrings.xml><?xml version="1.0" encoding="utf-8"?>
<sst xmlns="http://schemas.openxmlformats.org/spreadsheetml/2006/main" count="3938" uniqueCount="569">
  <si>
    <t>Program Name</t>
  </si>
  <si>
    <t>Bainbridge Tlines Trans</t>
  </si>
  <si>
    <t>Capacity Electric</t>
  </si>
  <si>
    <t>Capacity Gas</t>
  </si>
  <si>
    <t>CIAC - Electric</t>
  </si>
  <si>
    <t>CIAC - Gas</t>
  </si>
  <si>
    <t>Customer Construction Electric</t>
  </si>
  <si>
    <t>Customer Construction Gas</t>
  </si>
  <si>
    <t>Customer Sited Energy Storage</t>
  </si>
  <si>
    <t>Data Center Hardware Refresh</t>
  </si>
  <si>
    <t>Emergent Electric</t>
  </si>
  <si>
    <t>Emergent Gas</t>
  </si>
  <si>
    <t>Energize Eastside</t>
  </si>
  <si>
    <t>Gas Modernization</t>
  </si>
  <si>
    <t>Goldendale MM</t>
  </si>
  <si>
    <t>Grid Modernization</t>
  </si>
  <si>
    <t>GTZ</t>
  </si>
  <si>
    <t>IT Operational Program</t>
  </si>
  <si>
    <t>Lower Baker Dam Grouting Program</t>
  </si>
  <si>
    <t>Major Projects Electric</t>
  </si>
  <si>
    <t>Major Projects Gas</t>
  </si>
  <si>
    <t>Marine Crossing</t>
  </si>
  <si>
    <t>Mint Farm MM</t>
  </si>
  <si>
    <t>PI Electric</t>
  </si>
  <si>
    <t>PI Gas</t>
  </si>
  <si>
    <t>Pipe Replacement</t>
  </si>
  <si>
    <t>Projected</t>
  </si>
  <si>
    <t>Remove</t>
  </si>
  <si>
    <t>Sammamish Juanita 115Kv Tline</t>
  </si>
  <si>
    <t>Thurston Transmission Capacity</t>
  </si>
  <si>
    <t>Transport Network Modernization</t>
  </si>
  <si>
    <t>Resilience Enhancement</t>
  </si>
  <si>
    <t>Grand Total</t>
  </si>
  <si>
    <t>Four Factor Allocation Percentages:</t>
  </si>
  <si>
    <t>Gas:</t>
  </si>
  <si>
    <t>Electric:</t>
  </si>
  <si>
    <t>Gross Plant</t>
  </si>
  <si>
    <t>Electric with Common Allocation:</t>
  </si>
  <si>
    <t>Gas with Common Allocation:</t>
  </si>
  <si>
    <t>U&amp;U Category</t>
  </si>
  <si>
    <t>Company</t>
  </si>
  <si>
    <t>Programmatic: Programmatic</t>
  </si>
  <si>
    <t>C</t>
  </si>
  <si>
    <t>E</t>
  </si>
  <si>
    <t>G</t>
  </si>
  <si>
    <t>Specific: Specific</t>
  </si>
  <si>
    <t>Projected: Projected</t>
  </si>
  <si>
    <t>ADIT</t>
  </si>
  <si>
    <t>Accum Depr</t>
  </si>
  <si>
    <t>DFIT</t>
  </si>
  <si>
    <t>Pre-Capitalized Plant</t>
  </si>
  <si>
    <t>Depr Exp</t>
  </si>
  <si>
    <t>Line</t>
  </si>
  <si>
    <t>No.</t>
  </si>
  <si>
    <t>Gross Plant CWIP Closings</t>
  </si>
  <si>
    <t>Accum Depr and Amort CWIP Closings</t>
  </si>
  <si>
    <t>DFIT CWIP Closings</t>
  </si>
  <si>
    <t>Gross Plant Retirements</t>
  </si>
  <si>
    <t>Accum Depr and Amort Retirements</t>
  </si>
  <si>
    <t>ADIT + EDIT Retirements</t>
  </si>
  <si>
    <t>Deprec and Amort Exp CWIP Closings</t>
  </si>
  <si>
    <t>FIT CWIP Closings</t>
  </si>
  <si>
    <t>Deprec and Amort Exp Retirements</t>
  </si>
  <si>
    <t>FIT/EDIT/FT Retirements</t>
  </si>
  <si>
    <t>Net Operating Income Deficiency</t>
  </si>
  <si>
    <t>Grossed Up Deficiency</t>
  </si>
  <si>
    <t>Cost of Debt</t>
  </si>
  <si>
    <t>ROR per Settlement</t>
  </si>
  <si>
    <t>Statutory Federal Income Tax Rate</t>
  </si>
  <si>
    <t>Conversion Factor</t>
  </si>
  <si>
    <t>Common Depr/Amort Expense</t>
  </si>
  <si>
    <t>Common Accum Depr/Amort</t>
  </si>
  <si>
    <t>Electric Depr/Amort Expense</t>
  </si>
  <si>
    <t>Electric Accum Depr/Amort</t>
  </si>
  <si>
    <t>Less: Colstrip Depr/Amort</t>
  </si>
  <si>
    <t>Plus: Elec portion of Common</t>
  </si>
  <si>
    <t>Increase (Decrease) Expense</t>
  </si>
  <si>
    <t>Increase (Decrease) FIT</t>
  </si>
  <si>
    <t>EDIT</t>
  </si>
  <si>
    <t>Flow-Through</t>
  </si>
  <si>
    <t>Gas Depr/Amort Expense</t>
  </si>
  <si>
    <t>Gas Accum Depr/Amort</t>
  </si>
  <si>
    <t>Plus: Gas portion of Common</t>
  </si>
  <si>
    <t>Program</t>
  </si>
  <si>
    <t>Misc Additions</t>
  </si>
  <si>
    <t>Depreciation Impact of Actual Retirements:</t>
  </si>
  <si>
    <t>Common:</t>
  </si>
  <si>
    <t>Inc (Dec) Expense</t>
  </si>
  <si>
    <t>Inc (Dec) Rate Base</t>
  </si>
  <si>
    <t>Increase (Decrease) Rate Base</t>
  </si>
  <si>
    <t>Inc(Dec) Electric Expense</t>
  </si>
  <si>
    <t>Inc(Dec) Gas Expense</t>
  </si>
  <si>
    <t>Inc(Dec) Electric Rate Base</t>
  </si>
  <si>
    <t>Inc(Dec) Gas Rate Base</t>
  </si>
  <si>
    <t>Rate Base Increase (Decrease):</t>
  </si>
  <si>
    <t xml:space="preserve">Total Inc (Dec) Rate Base </t>
  </si>
  <si>
    <t>Net Operating Income Increase (Decrease):</t>
  </si>
  <si>
    <t>Total Increase (Decrease) NOI</t>
  </si>
  <si>
    <t>Sub-Total Increase (Decrease) NOI</t>
  </si>
  <si>
    <t>Plus: Tax Benefit of Proforma Interest</t>
  </si>
  <si>
    <t>Plus: Return on Rate Base</t>
  </si>
  <si>
    <t>SEF 23-24 Compliance</t>
  </si>
  <si>
    <t>GAS REVENUE REQUIREMENT</t>
  </si>
  <si>
    <t>(Surplus)</t>
  </si>
  <si>
    <t>Deficiency</t>
  </si>
  <si>
    <t>Total Gas</t>
  </si>
  <si>
    <t>Rate Base</t>
  </si>
  <si>
    <t>Actual</t>
  </si>
  <si>
    <t>Check</t>
  </si>
  <si>
    <t>Approved</t>
  </si>
  <si>
    <t xml:space="preserve">DETERMINATION OF DEFICIENCY ASSOCIATED WITH </t>
  </si>
  <si>
    <t>From 220066 1/9/2023 Compliance Filing</t>
  </si>
  <si>
    <t xml:space="preserve">PROVISIONAL PROFORMA ADJUSTMENTS - FOR RATES </t>
  </si>
  <si>
    <t>SUBJECT TO REFUND</t>
  </si>
  <si>
    <t>ELECTRIC</t>
  </si>
  <si>
    <t>LINE</t>
  </si>
  <si>
    <t>PLANT RELATED COSTS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</si>
  <si>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</si>
  <si>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</si>
  <si>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</si>
  <si>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</si>
  <si>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</si>
  <si>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</si>
  <si>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Grossed Up Deficiency - Cumulative</t>
  </si>
  <si>
    <t>Grossed Up Deficiency - Cumulative In Rates</t>
  </si>
  <si>
    <t>Grossed Up Deficiency - By Year</t>
  </si>
  <si>
    <t>NATURAL GAS</t>
  </si>
  <si>
    <t>EV Circuit</t>
  </si>
  <si>
    <t>Total</t>
  </si>
  <si>
    <t>Annual Deficiency</t>
  </si>
  <si>
    <t>Threshold</t>
  </si>
  <si>
    <t>Annual Threshold</t>
  </si>
  <si>
    <t>AMI Meters and Modules Deployment</t>
  </si>
  <si>
    <t>SAP S/4 Hana</t>
  </si>
  <si>
    <t>Depr Expense</t>
  </si>
  <si>
    <t>Deferred Tax</t>
  </si>
  <si>
    <t>Actual CWIP Closings 2023 - End of Period</t>
  </si>
  <si>
    <t>2023 Year End</t>
  </si>
  <si>
    <t>2023, Rate Year 1</t>
  </si>
  <si>
    <t>UG-__________</t>
  </si>
  <si>
    <t>Note: Amounts in bold and italics are different from the June 27, 2022 revised filing.</t>
  </si>
  <si>
    <t>Exh. SEF-24 page 2 of 3</t>
  </si>
  <si>
    <t>EOP</t>
  </si>
  <si>
    <t>AMA</t>
  </si>
  <si>
    <t>DEC 2021</t>
  </si>
  <si>
    <t>ADJUSTED</t>
  </si>
  <si>
    <t>TRADITIONAL</t>
  </si>
  <si>
    <t>GAP YEAR</t>
  </si>
  <si>
    <t>RESULTS</t>
  </si>
  <si>
    <t>RATE YEAR 1</t>
  </si>
  <si>
    <t>RATE YEAR 2</t>
  </si>
  <si>
    <t>PROFORMA</t>
  </si>
  <si>
    <t>RESULTS OF</t>
  </si>
  <si>
    <t>PROVISIONAL</t>
  </si>
  <si>
    <t>START OF</t>
  </si>
  <si>
    <t>END OF</t>
  </si>
  <si>
    <t>NO.</t>
  </si>
  <si>
    <t>DESCRIPTION</t>
  </si>
  <si>
    <t>ADJUSTMENTS</t>
  </si>
  <si>
    <t>OPERATIONS</t>
  </si>
  <si>
    <t>Programmatic</t>
  </si>
  <si>
    <t>403 GAS DEPRECIATION EXPENSE</t>
  </si>
  <si>
    <t>403 GAS PORTION OF COMMON</t>
  </si>
  <si>
    <t>404 GAS AMORTIZATION EXPENSE</t>
  </si>
  <si>
    <t>404 GAS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</si>
  <si>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</si>
  <si>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</si>
  <si>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</si>
  <si>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</si>
  <si>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RATE BASE</t>
  </si>
  <si>
    <t>ACCUM. DEPRECIATION &amp; AMORTIZATION</t>
  </si>
  <si>
    <t>TOTAL ADJUSTMENT TO RATE BASE</t>
  </si>
  <si>
    <t>Programmatic Customer Drive</t>
  </si>
  <si>
    <t>Specific</t>
  </si>
  <si>
    <t>Total All Provisional Proformas</t>
  </si>
  <si>
    <t>Exh. SEF-24 page 3 of 3</t>
  </si>
  <si>
    <t>SUBTOTAL DEPRECIATION EXPENSE 403</t>
  </si>
  <si>
    <t>403.1 GAS ASSET RETIREMENT COST DEPRECIATION</t>
  </si>
  <si>
    <t>403.1 GAS PORTION OF COMMON</t>
  </si>
  <si>
    <t>411.10 GAS ASSET RETIREMENT OBLIGATION ACCRETION</t>
  </si>
  <si>
    <t>TOTAL DEPRECIATION AND ACCRETION</t>
  </si>
  <si>
    <t>INCREASE (DECREASE) EDIT</t>
  </si>
  <si>
    <t>INCREASE (DECREASE) FLOW-THROUGH</t>
  </si>
  <si>
    <t>INCREASE (DECREASE) TAX EXPENSE</t>
  </si>
  <si>
    <t>ADJUSTMENT TO RATE BASE:</t>
  </si>
  <si>
    <t>ADJUSTMENT TO ACCUM. DEPREC. AT 100% DEPREC. EXP. LINE 12</t>
  </si>
  <si>
    <t>TOTAL ADJUSTMENT TO RATEBASE</t>
  </si>
  <si>
    <t>UE-__________</t>
  </si>
  <si>
    <t>Exh. SEF-23 pages 2 of 3</t>
  </si>
  <si>
    <t>(less Colstrip)</t>
  </si>
  <si>
    <t>403 ELEC. DEPRECIATION EXPENSE</t>
  </si>
  <si>
    <t>403 ELEC. PORTION OF COMMON</t>
  </si>
  <si>
    <t>404 ELEC. AMORTIZATION EXPENSE</t>
  </si>
  <si>
    <t>404 ELEC. PORTION OF COMMON</t>
  </si>
  <si>
    <t>GROSS PLANT</t>
  </si>
  <si>
    <t>Exh. SEF-23 page 3 of 3</t>
  </si>
  <si>
    <t>403.1 ELEC. ASSET RETIREMENT COST DEPRECIATION</t>
  </si>
  <si>
    <t>403.1 ELEC. PORTION OF COMMON</t>
  </si>
  <si>
    <t>411.10 ELEC. ASSET RETIREMENT OBLIGATION ACCRETION</t>
  </si>
  <si>
    <r>
      <t xml:space="preserve">RY 1 </t>
    </r>
    <r>
      <rPr>
        <b/>
        <sz val="11"/>
        <color rgb="FF0000FF"/>
        <rFont val="Calibri"/>
        <family val="2"/>
        <scheme val="minor"/>
      </rPr>
      <t>In Rates</t>
    </r>
  </si>
  <si>
    <r>
      <t xml:space="preserve">RY 1 </t>
    </r>
    <r>
      <rPr>
        <b/>
        <sz val="11"/>
        <color rgb="FF00B050"/>
        <rFont val="Calibri"/>
        <family val="2"/>
        <scheme val="minor"/>
      </rPr>
      <t>Actuals</t>
    </r>
  </si>
  <si>
    <t>Subject to Refund</t>
  </si>
  <si>
    <t>&lt;------ reconciled ------&gt;</t>
  </si>
  <si>
    <t>YE 2023 Additions</t>
  </si>
  <si>
    <t>2023 Accum Depr</t>
  </si>
  <si>
    <t>check to add detail</t>
  </si>
  <si>
    <t>Total Additions per period</t>
  </si>
  <si>
    <t>UG Feeders</t>
  </si>
  <si>
    <t>Rooftop Solar</t>
  </si>
  <si>
    <t>RNG</t>
  </si>
  <si>
    <t>Projected - Gas</t>
  </si>
  <si>
    <t>Projected - Electric</t>
  </si>
  <si>
    <t>Projected - Common</t>
  </si>
  <si>
    <t>IT Operational Program - Common</t>
  </si>
  <si>
    <t>Freddy Hot Gas Path</t>
  </si>
  <si>
    <t>EMS Upgrade</t>
  </si>
  <si>
    <t>Control Center</t>
  </si>
  <si>
    <t>Colstrip 3&amp;4</t>
  </si>
  <si>
    <t>AMI Meters and Modules Deployment - Gas</t>
  </si>
  <si>
    <t>AMI Meters and Modules Deployment - Electric</t>
  </si>
  <si>
    <t>AMI Meters and Modules Deployment - Common</t>
  </si>
  <si>
    <t>Column Reference do not delete</t>
  </si>
  <si>
    <t>Rate Year 3</t>
  </si>
  <si>
    <t>Rate Year 2</t>
  </si>
  <si>
    <t>Rate Year 1</t>
  </si>
  <si>
    <t>GAP Year</t>
  </si>
  <si>
    <t>Trad Proforma</t>
  </si>
  <si>
    <t>Used and Useful Category</t>
  </si>
  <si>
    <t>Alloc</t>
  </si>
  <si>
    <t>101-E398</t>
  </si>
  <si>
    <t>101-E397</t>
  </si>
  <si>
    <t>101-E396</t>
  </si>
  <si>
    <t>101-E395</t>
  </si>
  <si>
    <t>101-E394</t>
  </si>
  <si>
    <t>101-E393</t>
  </si>
  <si>
    <t>101-E392</t>
  </si>
  <si>
    <t>101-E391</t>
  </si>
  <si>
    <t>101-E390</t>
  </si>
  <si>
    <t>101-E373</t>
  </si>
  <si>
    <t>101-E371</t>
  </si>
  <si>
    <t>101-E370</t>
  </si>
  <si>
    <t>101-E369</t>
  </si>
  <si>
    <t>101-E368</t>
  </si>
  <si>
    <t>101-E367</t>
  </si>
  <si>
    <t>101-E366</t>
  </si>
  <si>
    <t>101-E365</t>
  </si>
  <si>
    <t>101-GRNG</t>
  </si>
  <si>
    <t>101-E364</t>
  </si>
  <si>
    <t>101-G397</t>
  </si>
  <si>
    <t>101-E363</t>
  </si>
  <si>
    <t>101-G396</t>
  </si>
  <si>
    <t>101-E362</t>
  </si>
  <si>
    <t>101-G395</t>
  </si>
  <si>
    <t>101-E361</t>
  </si>
  <si>
    <t>101-G394</t>
  </si>
  <si>
    <t>101-E360</t>
  </si>
  <si>
    <t>101-G392</t>
  </si>
  <si>
    <t>101-E359</t>
  </si>
  <si>
    <t>101-G391</t>
  </si>
  <si>
    <t>101-E358</t>
  </si>
  <si>
    <t>101-G390</t>
  </si>
  <si>
    <t>101-E357</t>
  </si>
  <si>
    <t>101-G389</t>
  </si>
  <si>
    <t>101-E356</t>
  </si>
  <si>
    <t>101-G387</t>
  </si>
  <si>
    <t>101-E355</t>
  </si>
  <si>
    <t>101-G385</t>
  </si>
  <si>
    <t>101-E353</t>
  </si>
  <si>
    <t>101-G384</t>
  </si>
  <si>
    <t>101-E352</t>
  </si>
  <si>
    <t>101-G383</t>
  </si>
  <si>
    <t>101-E350</t>
  </si>
  <si>
    <t>101-G382</t>
  </si>
  <si>
    <t>101-E346</t>
  </si>
  <si>
    <t>101-G381</t>
  </si>
  <si>
    <t>101-E345</t>
  </si>
  <si>
    <t>101-G380</t>
  </si>
  <si>
    <t>101-E344</t>
  </si>
  <si>
    <t>101-G378</t>
  </si>
  <si>
    <t>101-E342</t>
  </si>
  <si>
    <t>101-G376</t>
  </si>
  <si>
    <t>101-E341</t>
  </si>
  <si>
    <t>101-G375</t>
  </si>
  <si>
    <t>101-E335</t>
  </si>
  <si>
    <t>101-G374</t>
  </si>
  <si>
    <t>101-E333</t>
  </si>
  <si>
    <t>101-G362</t>
  </si>
  <si>
    <t>101-E332</t>
  </si>
  <si>
    <t>101-G357</t>
  </si>
  <si>
    <t>101-E331</t>
  </si>
  <si>
    <t>101-G356</t>
  </si>
  <si>
    <t>101-E330</t>
  </si>
  <si>
    <t>101-G355</t>
  </si>
  <si>
    <t>101-E316</t>
  </si>
  <si>
    <t>101-G354</t>
  </si>
  <si>
    <t>101-E315</t>
  </si>
  <si>
    <t>101-G353</t>
  </si>
  <si>
    <t>101-E314</t>
  </si>
  <si>
    <t>101-G352</t>
  </si>
  <si>
    <t>101-E312</t>
  </si>
  <si>
    <t>101-G351</t>
  </si>
  <si>
    <t>101-E311</t>
  </si>
  <si>
    <t>101-G303</t>
  </si>
  <si>
    <t>101-E303</t>
  </si>
  <si>
    <t>101-G302</t>
  </si>
  <si>
    <t>101-E302</t>
  </si>
  <si>
    <t>101-C397</t>
  </si>
  <si>
    <t>101-C396</t>
  </si>
  <si>
    <t>101-C394</t>
  </si>
  <si>
    <t>101-C392</t>
  </si>
  <si>
    <t>101-C391</t>
  </si>
  <si>
    <t>101-C390</t>
  </si>
  <si>
    <t>101-C389</t>
  </si>
  <si>
    <t>101-C303</t>
  </si>
  <si>
    <t>101-C302</t>
  </si>
  <si>
    <t>check</t>
  </si>
  <si>
    <t>E3670 DST U/G Conductor/Devices</t>
  </si>
  <si>
    <t>E3660 DST U/G Conduit</t>
  </si>
  <si>
    <t>E3640 DST Poles/Towers/Fixtures</t>
  </si>
  <si>
    <t>C3970 CMN Comm Equip, new</t>
  </si>
  <si>
    <t>C3912 CMN Computer Eq, new</t>
  </si>
  <si>
    <t>C303.3 INT Misc Intangible Plant</t>
  </si>
  <si>
    <t>E3536 TSM Substation Equipment</t>
  </si>
  <si>
    <t>C303.10 INT Misc Intangible Plant</t>
  </si>
  <si>
    <t>E3556 TSM Poles</t>
  </si>
  <si>
    <t>E34402 PRD Gen, Com Solar</t>
  </si>
  <si>
    <t>GRNG New RNG Gas Assets</t>
  </si>
  <si>
    <t>E3650 DST O/H Conductor/Devices</t>
  </si>
  <si>
    <t>E3630 DST Battery Storage Equipment</t>
  </si>
  <si>
    <t>E3610 DST Structures &amp; Improvement</t>
  </si>
  <si>
    <t>G3970 GEN Comm Equip, new</t>
  </si>
  <si>
    <t>G396 GEN Power Op Equip, new</t>
  </si>
  <si>
    <t>G3950 GEN Laboratory Equip, new</t>
  </si>
  <si>
    <t>G3940 GEN Tools/Garage/Shop, new</t>
  </si>
  <si>
    <t>G392 GEN Trans Equip, new</t>
  </si>
  <si>
    <t>G3912 GEN Computer Eq, new</t>
  </si>
  <si>
    <t>G390 GEN Structures &amp; Improvements</t>
  </si>
  <si>
    <t>G389 GEN Land &amp; Land Rights</t>
  </si>
  <si>
    <t>G385 DST Industrial M&amp;R Sta Eq</t>
  </si>
  <si>
    <t>G384 DST House Regulator Installs</t>
  </si>
  <si>
    <t>G383 DST House Regulators</t>
  </si>
  <si>
    <t>G3822 DST Module Installations, AMI</t>
  </si>
  <si>
    <t>G3820 DST Meter Installations (AMR)</t>
  </si>
  <si>
    <t>G3812 DST Modules, AMI</t>
  </si>
  <si>
    <t>G3810 DST Meters (AMR)</t>
  </si>
  <si>
    <t>G3803 DST Services, Steel Wrapped</t>
  </si>
  <si>
    <t>G3802 DST Services, Plastic</t>
  </si>
  <si>
    <t>G3801 DST Services, Cathodic Protec</t>
  </si>
  <si>
    <t>G3780 DST Measuring &amp; Reg Station</t>
  </si>
  <si>
    <t>G3765 DST Mains, Cathodic Protectio</t>
  </si>
  <si>
    <t>G3764 DST Mains, Wrapped Steel</t>
  </si>
  <si>
    <t>G3762 DST Mains, Plastic</t>
  </si>
  <si>
    <t>G3750 DST Structures &amp; Improvements</t>
  </si>
  <si>
    <t>G357 UGS Other Equipment</t>
  </si>
  <si>
    <t>G356 UGS Purification Equipment</t>
  </si>
  <si>
    <t>G355 UGS Regulating Station</t>
  </si>
  <si>
    <t>G354 UGS Compressor Station</t>
  </si>
  <si>
    <t>G353 UGS Lines</t>
  </si>
  <si>
    <t>G3520 UGS Wells</t>
  </si>
  <si>
    <t>G3514 UGS Other Structures</t>
  </si>
  <si>
    <t>G3512 UGS Compressor Sta Structures</t>
  </si>
  <si>
    <t>G3511 UGS Well Structures</t>
  </si>
  <si>
    <t>G303.7 INT Misc Intangible Plant</t>
  </si>
  <si>
    <t>G303.5 INT Misc Intangible Plant</t>
  </si>
  <si>
    <t>G303.3 INT Misc Intangible Plant</t>
  </si>
  <si>
    <t>G303.10 INT Misc Intangible Plant</t>
  </si>
  <si>
    <t>G302.10 INT Franchises &amp; Consents</t>
  </si>
  <si>
    <t>E3980 GEN Misc Equipment, new</t>
  </si>
  <si>
    <t>E3980 GEN Misc Equip, Encogen</t>
  </si>
  <si>
    <t>E3970 GEN CommEq, LSR</t>
  </si>
  <si>
    <t>E3970 GEN CommEq, Colstrip 1-4 new</t>
  </si>
  <si>
    <t>E3970 GEN CommEq, 3rd AC new</t>
  </si>
  <si>
    <t>E3970 GEN Comm Equip, new</t>
  </si>
  <si>
    <t>E396 GEN Power-Op Equip, new</t>
  </si>
  <si>
    <t>E3950 GEN Laboratory Equip, new</t>
  </si>
  <si>
    <t>E3940 GEN Tools/Garage/Shop, new</t>
  </si>
  <si>
    <t>E3940 GEN Tools LSR</t>
  </si>
  <si>
    <t>E3930 GEN Stores Equip, new</t>
  </si>
  <si>
    <t>E392 GEN Trans Equip, new</t>
  </si>
  <si>
    <t>E3912 GEN Computer Eq, new</t>
  </si>
  <si>
    <t>E3911 GEN Off Furn &amp; Eq, LSR</t>
  </si>
  <si>
    <t>E3900 GEN Structures &amp; Improvement</t>
  </si>
  <si>
    <t>E3900 GEN Str&amp;Impv, Burlington/Skag</t>
  </si>
  <si>
    <t>E373 DST Street Lighting &amp; Signal</t>
  </si>
  <si>
    <t>E3711 DST EV Charger Cust Premises</t>
  </si>
  <si>
    <t>E3701 DST Meters AMI</t>
  </si>
  <si>
    <t>E369 DST Services</t>
  </si>
  <si>
    <t>E368 DST Line Transformers</t>
  </si>
  <si>
    <t>E3620 DST Substation Equipment</t>
  </si>
  <si>
    <t>E3600 DST Land &amp; Land Rights</t>
  </si>
  <si>
    <t>E3590 TSM Roads, 3rd AC Line</t>
  </si>
  <si>
    <t>E3589 (GIF) UG Conductor, LSR</t>
  </si>
  <si>
    <t>E3569 (GIF) O/H Conductor, LSR</t>
  </si>
  <si>
    <t>E3569 (GIF) O/H Cond, TLN-HPK@plant</t>
  </si>
  <si>
    <t>E3567 TSM O/H Conductor/Devices</t>
  </si>
  <si>
    <t>E3566 TSM O/H Conductor/Devices</t>
  </si>
  <si>
    <t>E356 TSM O/H Conductor &amp; Devices</t>
  </si>
  <si>
    <t>E356 TSM O/H Cond, 3rd AC Line</t>
  </si>
  <si>
    <t>E3559 (GIF) TSM Poles, LSR</t>
  </si>
  <si>
    <t>E3557 TSM Poles</t>
  </si>
  <si>
    <t>E355 TSM Poles &amp; Fixtures</t>
  </si>
  <si>
    <t>E3539 (GIF) Sta Eq, LSR</t>
  </si>
  <si>
    <t>E3539 (GIF) Sta Eq, HPK sub@plant</t>
  </si>
  <si>
    <t>E3539 (GIF) Sta Eq, Hopkins Ridge</t>
  </si>
  <si>
    <t>E3537 TSM Substation Equipment</t>
  </si>
  <si>
    <t>E353 TSM Station Equipment</t>
  </si>
  <si>
    <t>E353 TSM Sta Eq, Colstrip 3-4</t>
  </si>
  <si>
    <t>E353 TSM Sta Eq, 3rd AC Line</t>
  </si>
  <si>
    <t>E3529 (GIF) Struc/Improv, LSR</t>
  </si>
  <si>
    <t>E352 TSM Structures &amp; Improvement</t>
  </si>
  <si>
    <t>E35016 TSM Easements</t>
  </si>
  <si>
    <t>E35010 TSM Easement</t>
  </si>
  <si>
    <t>E3500 TSM Land, 3rd AC</t>
  </si>
  <si>
    <t>E34611 PRD Sta Main Tools,WildHorse</t>
  </si>
  <si>
    <t>E34611 PRD Sta Main Tools, LSR</t>
  </si>
  <si>
    <t>E34611 PRD Sta Main Tools, Hopkins</t>
  </si>
  <si>
    <t>E3461 PRD Sta MainTools,Frederickso</t>
  </si>
  <si>
    <t>E3461 PRD Sta MainTools, Whitehorn</t>
  </si>
  <si>
    <t>E3461 PRD Sta Main Tools,Goldendale</t>
  </si>
  <si>
    <t>E3461 PRD Sta Main Tools, Sumas</t>
  </si>
  <si>
    <t>E3461 PRD Sta Main Tools, Mint Farm</t>
  </si>
  <si>
    <t>E3461 PRD Sta Main Tools, Fredonia</t>
  </si>
  <si>
    <t>E3461 PRD Sta Main Tools, Encogen</t>
  </si>
  <si>
    <t>E34601 PRD Other, LSR</t>
  </si>
  <si>
    <t>E346 PRD Other, Mint Farm</t>
  </si>
  <si>
    <t>E346 PRD Other, Goldendale</t>
  </si>
  <si>
    <t>E34501 PRD Accessory,Wild HorseWind</t>
  </si>
  <si>
    <t>E34501 PRD Accessory,Wild Horse Exp</t>
  </si>
  <si>
    <t>E34501 PRD Accessory, LSR</t>
  </si>
  <si>
    <t>E34501 PRD Accessory, Hopkins Ridge</t>
  </si>
  <si>
    <t>E345 PRD Accessory, Whitehorn 2-3 C</t>
  </si>
  <si>
    <t>E345 PRD Accessory, Mint Farm</t>
  </si>
  <si>
    <t>E345 PRD Accessory, Fredonia 3&amp;4 OP</t>
  </si>
  <si>
    <t>E345 PRD Accessory, Fredonia</t>
  </si>
  <si>
    <t>E345 PRD Accessory, Frederickson</t>
  </si>
  <si>
    <t>E345 PRD Accessory, Ferndale</t>
  </si>
  <si>
    <t>E345 PRD Accessory, Encogen</t>
  </si>
  <si>
    <t>E345 PRD Accessory, Cystal Mtn</t>
  </si>
  <si>
    <t>E34420 PRD Gen, Mint Farm</t>
  </si>
  <si>
    <t>E34420 PRD Gen, Goldendale</t>
  </si>
  <si>
    <t>E34420 PRD Gen, Fred 1/APC</t>
  </si>
  <si>
    <t>E34420 PRD Gen, Ferndale</t>
  </si>
  <si>
    <t>E34420 PRD Gen, Encogen</t>
  </si>
  <si>
    <t>E34401 PRD Gen,Wild Horse Expansion</t>
  </si>
  <si>
    <t>E34401 PRD Gen, Wild Horse Wind</t>
  </si>
  <si>
    <t>E34401 PRD Gen, LSR</t>
  </si>
  <si>
    <t>E34401 PRD Gen, Hopkins Ridge</t>
  </si>
  <si>
    <t>E34401 PRD Gen, Hopkins Expansion</t>
  </si>
  <si>
    <t>E3440 PRD Gen, Whitehorn 2-3 Com</t>
  </si>
  <si>
    <t>E3440 PRD Gen, Fredonia 3&amp;4 OP</t>
  </si>
  <si>
    <t>E3440 PRD Gen, Fredonia</t>
  </si>
  <si>
    <t>E3440 PRD Gen, Frederickson</t>
  </si>
  <si>
    <t>E3440 PRD Gen, Crystal Mtn</t>
  </si>
  <si>
    <t>E342 PRD Fuel Holder, Mint Farm</t>
  </si>
  <si>
    <t>E342 PRD Fuel Holder, Ferndale</t>
  </si>
  <si>
    <t>E342 PRD Fuel Holder, Encogen</t>
  </si>
  <si>
    <t>E34101 PRD Str/Impv, LSR</t>
  </si>
  <si>
    <t>E3410 PRD Str/Impv, Whitehorn 2-3Cm</t>
  </si>
  <si>
    <t>E3410 PRD Str/Impv, Mint Farm</t>
  </si>
  <si>
    <t>E3410 PRD Str/Impv, Fredonia</t>
  </si>
  <si>
    <t>E3410 PRD Str/Impv, Frederickson</t>
  </si>
  <si>
    <t>E3410 PRD Str/Impv, Ferndale</t>
  </si>
  <si>
    <t>E3410 PRD Str/Impv, Encogen</t>
  </si>
  <si>
    <t>E3410 PRD Str/Impv, Crystal Mtn</t>
  </si>
  <si>
    <t>E3351 HYD Sta Main Tools, Lwer Bker</t>
  </si>
  <si>
    <t>E3351 HYD Sta Main Tools, LB-2013</t>
  </si>
  <si>
    <t>E3351 HYD Sta Main Tool, Upper Bker</t>
  </si>
  <si>
    <t>E3351 HYD S/M/Tools, Snoq 1-2013</t>
  </si>
  <si>
    <t>E335 HYD Misc, Upper Baker</t>
  </si>
  <si>
    <t>E335 HYD Misc, UB Hatchery</t>
  </si>
  <si>
    <t>E335 HYD Misc, Lower Baker</t>
  </si>
  <si>
    <t>E333 HYD Wtrwhl/Trbn, Snoqualmie 2</t>
  </si>
  <si>
    <t>E333 HYD Wtrwhl/Trbn, Snoqualmie 1</t>
  </si>
  <si>
    <t>E333 HYD Wtrwhl/Trbn, Lower Baker</t>
  </si>
  <si>
    <t>E332 HYD Res/Dam/Wwy, Upper Baker</t>
  </si>
  <si>
    <t>E332 HYD Res/Dam/Wwy, UB FSC</t>
  </si>
  <si>
    <t>E332 HYD R/D/W,LBAdultFishTr2010</t>
  </si>
  <si>
    <t>E332 HYD R/D/W, Snoq 2 - 2013</t>
  </si>
  <si>
    <t>E331 HYD Str/Impv, Upper Baker</t>
  </si>
  <si>
    <t>E331 HYD S/I, UB FishHatchery2010</t>
  </si>
  <si>
    <t>E3300 HYD Land, Lower Baker</t>
  </si>
  <si>
    <t>E316 STM Misc, Mint Farm</t>
  </si>
  <si>
    <t>E314 STM Turbogen, Mint Farm</t>
  </si>
  <si>
    <t>E314 STM Turbogen, Goldendale</t>
  </si>
  <si>
    <t>E314 STM Turbogen, Fred 1/APC</t>
  </si>
  <si>
    <t>E314 STM Turbogen, Encogen</t>
  </si>
  <si>
    <t>E312 STM Boiler, Mint Farm</t>
  </si>
  <si>
    <t>E312 STM Boiler, Goldendale</t>
  </si>
  <si>
    <t>E312 STM Boiler, Ferndale</t>
  </si>
  <si>
    <t>E312 STM Boiler, Encogen</t>
  </si>
  <si>
    <t>E311 STM Str/Impv, Goldendale</t>
  </si>
  <si>
    <t>E311 STM Str/Impv, Ferndale</t>
  </si>
  <si>
    <t>E311 STM Str/Imprv, Mint Farm</t>
  </si>
  <si>
    <t>E303.5 INT Misc Intangible Plant</t>
  </si>
  <si>
    <t>E303.4 INT Misc Intangible Plant</t>
  </si>
  <si>
    <t>E303.3 INT Misc Intangible Plant</t>
  </si>
  <si>
    <t>E303.10 INT Misc Intangible Plant</t>
  </si>
  <si>
    <t>E302.10 INT Franchises, Baker Project</t>
  </si>
  <si>
    <t>E302.10 INT Franchises</t>
  </si>
  <si>
    <t>C396 GEN Power Op Equip, new</t>
  </si>
  <si>
    <t>C3940 CMN Tools/Shop/Garage new</t>
  </si>
  <si>
    <t>C3920 GEN Trans Equip, new</t>
  </si>
  <si>
    <t>C3911 CMN Office Furn &amp; Eq, new</t>
  </si>
  <si>
    <t>C3901 CMN LH, Redmond West/Willow</t>
  </si>
  <si>
    <t>C3901 CMN LH, PSE East Building</t>
  </si>
  <si>
    <t>C3901 CMN LH, Bothell Access Center</t>
  </si>
  <si>
    <t>C3900 CMN Structure &amp; Improvement</t>
  </si>
  <si>
    <t>C3900 CMN Str/Impv, Tacoma Office</t>
  </si>
  <si>
    <t>C3900 CMN Str/Impv, S King Complex</t>
  </si>
  <si>
    <t>C3900 CMN Str/Impv, Olympia Svc Ctr</t>
  </si>
  <si>
    <t>C3900 CMN Str/Impv, Kittitas Svc Ct</t>
  </si>
  <si>
    <t>C3900 CMN Str/Impv, Fleet Svc Facl</t>
  </si>
  <si>
    <t>C389 CMN Land &amp; Land Rights</t>
  </si>
  <si>
    <t>C303.8 INT Misc Intangible Plant</t>
  </si>
  <si>
    <t>C303.7 INT Misc Intangible Plant</t>
  </si>
  <si>
    <t>C303.5 INT Misc Intangible Plant</t>
  </si>
  <si>
    <t>C302.10 INT Franchises &amp; Consents</t>
  </si>
  <si>
    <t>E36010 DST Easements</t>
  </si>
  <si>
    <t>G362 OSP Gas Holders</t>
  </si>
  <si>
    <t>E3587 TSM U/G Conductor/Devices</t>
  </si>
  <si>
    <t>E3577 TSM U/G Conduit</t>
  </si>
  <si>
    <t>E355 TSM Poles, Wild Horse-WindRidg</t>
  </si>
  <si>
    <t>E353 TSM Sta Eq, Wind Ridge-NonProj</t>
  </si>
  <si>
    <t>G387 DST Other Equipment</t>
  </si>
  <si>
    <t>E3539 (GIF) Sta Eq, Fredonia 1&amp;2</t>
  </si>
  <si>
    <t>E3631 DST Battery, Customer Site</t>
  </si>
  <si>
    <t>G3742 DST Easements</t>
  </si>
  <si>
    <t>E396 GEN Power-Op Equip, Colstrip 4</t>
  </si>
  <si>
    <t>E396 GEN Power-Op Equip, Colstrip 3</t>
  </si>
  <si>
    <t>E3940 GEN Tools, Colstrip 4</t>
  </si>
  <si>
    <t>E3940 GEN Tools, Colstrip 3</t>
  </si>
  <si>
    <t>E392 GEN Trans Equip, Colstrip 4</t>
  </si>
  <si>
    <t>E392 GEN Trans Equip, Colstrip 3</t>
  </si>
  <si>
    <t>E316 STM Misc, Colstrip 4</t>
  </si>
  <si>
    <t>E316 STM Misc, Colstrip 3</t>
  </si>
  <si>
    <t>E315 STM Accessory, Colstrip 4</t>
  </si>
  <si>
    <t>E315 STM Accessory, Colstrip 3-4 Cm</t>
  </si>
  <si>
    <t>E315 STM Accessory, Colstrip 3</t>
  </si>
  <si>
    <t>E314 STM Turbogen, Colstrip 4</t>
  </si>
  <si>
    <t>E314 STM Turbogen, Colstrip 3</t>
  </si>
  <si>
    <t>E312 STM Boiler, Colstrip 4</t>
  </si>
  <si>
    <t>E312 STM Boiler, Colstrip 3-4 Com</t>
  </si>
  <si>
    <t>E312 STM Boiler, Colstrip 3</t>
  </si>
  <si>
    <t>E311 STM Str/Impv, Colstrip 4</t>
  </si>
  <si>
    <t>E311 STM Str/Impv, Colstrip 3-4 Com</t>
  </si>
  <si>
    <t>E311 STM Str/Impv, Colstrip 3</t>
  </si>
  <si>
    <t>G3911 GEN Office Furn &amp; Eq, new</t>
  </si>
  <si>
    <t>C3974 CMN Comm Equip, AMI Network</t>
  </si>
  <si>
    <t>RBxFERC Key</t>
  </si>
  <si>
    <t>Depreciation Group</t>
  </si>
  <si>
    <t>Alloc Check</t>
  </si>
  <si>
    <t>Rate Year 3 Accumulated Depr</t>
  </si>
  <si>
    <t>Rate Year 2 Accumulated Depr</t>
  </si>
  <si>
    <t>Rate Year 1 Accumulated Depr</t>
  </si>
  <si>
    <t>GAP Year Accumulated Depr</t>
  </si>
  <si>
    <t>Trad Proforma Accumulated Depr</t>
  </si>
  <si>
    <t>Rate Year 3 Depr Exp</t>
  </si>
  <si>
    <t>Rate Year 2 Depr Exp</t>
  </si>
  <si>
    <t>Rate Year 1 Depr Exp</t>
  </si>
  <si>
    <t>GAP Year Depr Exp</t>
  </si>
  <si>
    <t>Trad Proforma Depr Exp</t>
  </si>
  <si>
    <r>
      <t xml:space="preserve">ELECTRIC REVENUE REQUIREMENT </t>
    </r>
    <r>
      <rPr>
        <b/>
        <sz val="12.6"/>
        <color rgb="FFFF0000"/>
        <rFont val="Calibri"/>
        <family val="2"/>
      </rPr>
      <t>AS FILED</t>
    </r>
  </si>
  <si>
    <r>
      <t xml:space="preserve">ELECTRIC REVENUE REQUIREMENT </t>
    </r>
    <r>
      <rPr>
        <b/>
        <sz val="12.6"/>
        <color rgb="FFFF0000"/>
        <rFont val="Calibri"/>
        <family val="2"/>
      </rPr>
      <t>AS REVISED TO EXCLUDE ENERGIZE EASTSIDE</t>
    </r>
  </si>
  <si>
    <t>Grossed Up Deficiency -  In Rates</t>
  </si>
  <si>
    <t>Check (S/B zero)</t>
  </si>
  <si>
    <t>Grossed Up Deficiency to be transferred from 141R to 141 N</t>
  </si>
  <si>
    <t>Excludes</t>
  </si>
  <si>
    <t xml:space="preserve">Amounts for Energize Eastside approved in rates subject to </t>
  </si>
  <si>
    <t>refund that is not being transferred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</si>
</sst>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000%"/>
    <numFmt numFmtId="169" formatCode="_(* #,##0_);_(* \(#,##0\);_(* &quot;-&quot;??_);_(@_)"/>
    <numFmt numFmtId="171" formatCode="_(&quot;$&quot;* #,##0_);_(&quot;$&quot;* \(#,##0\);_(&quot;$&quot;* &quot;-&quot;??_);_(@_)"/>
    <numFmt numFmtId="173" formatCode="&quot;ADJ&quot;\ 0.00\ &quot;ER&quot;"/>
  </numFmts>
  <fonts count="4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0"/>
      <color rgb="FF0000FF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</font>
    <font>
      <b/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.6"/>
      <color rgb="FFFF0000"/>
      <name val="Calibri"/>
      <family val="2"/>
    </font>
    <font>
      <sz val="10"/>
      <color theme="0" tint="-0.499984740745262"/>
      <name val="Times New Roman"/>
      <family val="1"/>
    </font>
    <font>
      <sz val="11"/>
      <color theme="0" tint="-0.499984740745262"/>
      <name val="Calibri"/>
      <family val="2"/>
    </font>
    <font>
      <sz val="11"/>
      <color theme="0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23" fillId="0" borderId="0"/>
    <xf numFmtId="0" fontId="1" fillId="0" borderId="0"/>
  </cellStyleXfs>
  <cellXfs count="249">
    <xf numFmtId="0" fontId="0" fillId="0" borderId="0" xfId="0"/>
    <xf numFmtId="0" fontId="5" fillId="0" borderId="1" xfId="0" applyFont="1" applyBorder="1"/>
    <xf numFmtId="0" fontId="0" fillId="0" borderId="0" xfId="0" applyAlignment="1">
      <alignment horizontal="left"/>
    </xf>
    <xf numFmtId="43" fontId="0" fillId="0" borderId="0" xfId="0" applyNumberFormat="1"/>
    <xf numFmtId="10" fontId="0" fillId="0" borderId="0" xfId="2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/>
    <xf numFmtId="43" fontId="0" fillId="0" borderId="0" xfId="1" applyFont="1"/>
    <xf numFmtId="0" fontId="0" fillId="0" borderId="0" xfId="0" applyBorder="1"/>
    <xf numFmtId="0" fontId="5" fillId="0" borderId="0" xfId="0" applyFont="1" applyBorder="1"/>
    <xf numFmtId="43" fontId="5" fillId="0" borderId="0" xfId="0" applyNumberFormat="1" applyFont="1" applyBorder="1"/>
    <xf numFmtId="43" fontId="5" fillId="0" borderId="0" xfId="0" applyNumberFormat="1" applyFont="1"/>
    <xf numFmtId="43" fontId="0" fillId="0" borderId="1" xfId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0" xfId="4"/>
    <xf numFmtId="0" fontId="6" fillId="0" borderId="0" xfId="4" applyFont="1" applyAlignment="1">
      <alignment horizontal="centerContinuous"/>
    </xf>
    <xf numFmtId="0" fontId="6" fillId="0" borderId="0" xfId="4" applyFont="1" applyAlignment="1">
      <alignment horizontal="left"/>
    </xf>
    <xf numFmtId="0" fontId="6" fillId="0" borderId="0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43" fontId="9" fillId="0" borderId="0" xfId="4" applyNumberFormat="1"/>
    <xf numFmtId="43" fontId="9" fillId="0" borderId="0" xfId="4" applyNumberFormat="1" applyBorder="1"/>
    <xf numFmtId="43" fontId="9" fillId="0" borderId="0" xfId="4" applyNumberFormat="1" applyFill="1" applyBorder="1"/>
    <xf numFmtId="43" fontId="9" fillId="0" borderId="0" xfId="4" applyNumberFormat="1" applyFill="1"/>
    <xf numFmtId="0" fontId="9" fillId="0" borderId="0" xfId="4" applyFill="1"/>
    <xf numFmtId="0" fontId="9" fillId="0" borderId="0" xfId="4" applyAlignment="1">
      <alignment horizontal="center"/>
    </xf>
    <xf numFmtId="10" fontId="0" fillId="0" borderId="0" xfId="5" applyNumberFormat="1" applyFont="1"/>
    <xf numFmtId="0" fontId="10" fillId="0" borderId="0" xfId="6"/>
    <xf numFmtId="0" fontId="8" fillId="0" borderId="1" xfId="6" applyFont="1" applyBorder="1" applyAlignment="1">
      <alignment horizontal="center"/>
    </xf>
    <xf numFmtId="43" fontId="0" fillId="0" borderId="0" xfId="7" applyFont="1"/>
    <xf numFmtId="43" fontId="0" fillId="0" borderId="0" xfId="7" applyFont="1" applyFill="1"/>
    <xf numFmtId="0" fontId="8" fillId="0" borderId="0" xfId="6" applyFont="1"/>
    <xf numFmtId="43" fontId="0" fillId="0" borderId="1" xfId="7" applyFont="1" applyBorder="1"/>
    <xf numFmtId="43" fontId="0" fillId="0" borderId="0" xfId="7" applyFont="1" applyFill="1" applyBorder="1"/>
    <xf numFmtId="43" fontId="0" fillId="0" borderId="1" xfId="7" applyFont="1" applyBorder="1" applyAlignment="1">
      <alignment horizontal="center"/>
    </xf>
    <xf numFmtId="43" fontId="0" fillId="0" borderId="0" xfId="7" applyFont="1" applyBorder="1"/>
    <xf numFmtId="43" fontId="8" fillId="0" borderId="0" xfId="7" applyFont="1"/>
    <xf numFmtId="43" fontId="7" fillId="0" borderId="0" xfId="7" applyFont="1"/>
    <xf numFmtId="0" fontId="10" fillId="0" borderId="0" xfId="6" applyAlignment="1">
      <alignment horizontal="right"/>
    </xf>
    <xf numFmtId="10" fontId="10" fillId="0" borderId="0" xfId="6" applyNumberFormat="1" applyAlignment="1">
      <alignment horizontal="left"/>
    </xf>
    <xf numFmtId="0" fontId="4" fillId="0" borderId="0" xfId="6" applyFont="1"/>
    <xf numFmtId="0" fontId="10" fillId="0" borderId="0" xfId="6" applyFill="1" applyAlignment="1">
      <alignment horizontal="right"/>
    </xf>
    <xf numFmtId="0" fontId="10" fillId="0" borderId="0" xfId="6" applyFill="1"/>
    <xf numFmtId="43" fontId="0" fillId="0" borderId="1" xfId="7" applyFont="1" applyFill="1" applyBorder="1"/>
    <xf numFmtId="0" fontId="11" fillId="0" borderId="0" xfId="0" applyFont="1"/>
    <xf numFmtId="0" fontId="10" fillId="0" borderId="4" xfId="6" applyFill="1" applyBorder="1"/>
    <xf numFmtId="43" fontId="0" fillId="0" borderId="4" xfId="7" applyFont="1" applyFill="1" applyBorder="1"/>
    <xf numFmtId="43" fontId="0" fillId="0" borderId="5" xfId="7" applyFont="1" applyBorder="1"/>
    <xf numFmtId="43" fontId="8" fillId="0" borderId="6" xfId="7" applyFont="1" applyBorder="1"/>
    <xf numFmtId="43" fontId="8" fillId="0" borderId="7" xfId="7" applyFont="1" applyBorder="1"/>
    <xf numFmtId="43" fontId="7" fillId="0" borderId="7" xfId="7" applyFont="1" applyBorder="1"/>
    <xf numFmtId="0" fontId="6" fillId="0" borderId="0" xfId="4" applyFont="1"/>
    <xf numFmtId="0" fontId="6" fillId="0" borderId="7" xfId="4" applyFont="1" applyBorder="1"/>
    <xf numFmtId="43" fontId="6" fillId="0" borderId="7" xfId="4" applyNumberFormat="1" applyFont="1" applyBorder="1"/>
    <xf numFmtId="43" fontId="6" fillId="0" borderId="0" xfId="4" applyNumberFormat="1" applyFont="1" applyFill="1" applyBorder="1"/>
    <xf numFmtId="0" fontId="6" fillId="0" borderId="0" xfId="4" applyFont="1" applyBorder="1"/>
    <xf numFmtId="43" fontId="6" fillId="0" borderId="0" xfId="4" applyNumberFormat="1" applyFont="1" applyBorder="1"/>
    <xf numFmtId="0" fontId="6" fillId="0" borderId="2" xfId="4" applyFont="1" applyBorder="1"/>
    <xf numFmtId="43" fontId="6" fillId="0" borderId="2" xfId="4" applyNumberFormat="1" applyFont="1" applyBorder="1"/>
    <xf numFmtId="0" fontId="6" fillId="0" borderId="3" xfId="4" applyFont="1" applyBorder="1"/>
    <xf numFmtId="0" fontId="6" fillId="0" borderId="0" xfId="4" applyFont="1" applyAlignment="1">
      <alignment horizontal="center"/>
    </xf>
    <xf numFmtId="0" fontId="0" fillId="0" borderId="0" xfId="0" applyAlignment="1">
      <alignment horizontal="centerContinuous"/>
    </xf>
    <xf numFmtId="0" fontId="9" fillId="0" borderId="4" xfId="4" applyBorder="1"/>
    <xf numFmtId="0" fontId="6" fillId="0" borderId="4" xfId="4" applyFont="1" applyBorder="1"/>
    <xf numFmtId="0" fontId="12" fillId="0" borderId="0" xfId="4" applyFont="1" applyAlignment="1">
      <alignment horizontal="centerContinuous"/>
    </xf>
    <xf numFmtId="0" fontId="12" fillId="0" borderId="0" xfId="0" applyFont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5" fillId="0" borderId="7" xfId="0" applyFont="1" applyBorder="1"/>
    <xf numFmtId="0" fontId="0" fillId="0" borderId="7" xfId="0" applyBorder="1"/>
    <xf numFmtId="43" fontId="5" fillId="0" borderId="7" xfId="0" applyNumberFormat="1" applyFont="1" applyBorder="1"/>
    <xf numFmtId="0" fontId="0" fillId="0" borderId="9" xfId="0" applyBorder="1"/>
    <xf numFmtId="0" fontId="13" fillId="0" borderId="0" xfId="0" applyFont="1"/>
    <xf numFmtId="0" fontId="13" fillId="0" borderId="4" xfId="0" applyFont="1" applyBorder="1"/>
    <xf numFmtId="0" fontId="9" fillId="0" borderId="1" xfId="4" applyBorder="1"/>
    <xf numFmtId="0" fontId="9" fillId="0" borderId="8" xfId="4" applyBorder="1"/>
    <xf numFmtId="0" fontId="0" fillId="0" borderId="0" xfId="0" applyFill="1" applyBorder="1"/>
    <xf numFmtId="0" fontId="10" fillId="0" borderId="1" xfId="6" applyBorder="1"/>
    <xf numFmtId="0" fontId="8" fillId="0" borderId="8" xfId="6" applyFont="1" applyFill="1" applyBorder="1" applyAlignment="1">
      <alignment horizontal="center"/>
    </xf>
    <xf numFmtId="166" fontId="0" fillId="0" borderId="0" xfId="5" applyNumberFormat="1" applyFont="1"/>
    <xf numFmtId="0" fontId="15" fillId="0" borderId="0" xfId="11" applyFont="1"/>
    <xf numFmtId="0" fontId="16" fillId="0" borderId="0" xfId="11" applyFont="1"/>
    <xf numFmtId="0" fontId="17" fillId="0" borderId="0" xfId="11" applyFont="1" applyAlignment="1">
      <alignment horizontal="right"/>
    </xf>
    <xf numFmtId="0" fontId="18" fillId="0" borderId="0" xfId="11" applyFont="1"/>
    <xf numFmtId="0" fontId="15" fillId="0" borderId="1" xfId="11" applyFont="1" applyBorder="1" applyAlignment="1">
      <alignment horizontal="center"/>
    </xf>
    <xf numFmtId="0" fontId="3" fillId="0" borderId="0" xfId="11"/>
    <xf numFmtId="0" fontId="16" fillId="0" borderId="0" xfId="11" applyFont="1" applyAlignment="1">
      <alignment horizontal="left" indent="1"/>
    </xf>
    <xf numFmtId="10" fontId="19" fillId="0" borderId="0" xfId="11" applyNumberFormat="1" applyFont="1" applyFill="1" applyBorder="1"/>
    <xf numFmtId="10" fontId="3" fillId="0" borderId="0" xfId="11" applyNumberFormat="1"/>
    <xf numFmtId="169" fontId="19" fillId="0" borderId="0" xfId="11" applyNumberFormat="1" applyFont="1" applyFill="1" applyBorder="1"/>
    <xf numFmtId="43" fontId="3" fillId="0" borderId="0" xfId="11" applyNumberFormat="1"/>
    <xf numFmtId="41" fontId="19" fillId="0" borderId="0" xfId="11" applyNumberFormat="1" applyFont="1" applyFill="1" applyBorder="1"/>
    <xf numFmtId="41" fontId="19" fillId="0" borderId="10" xfId="11" applyNumberFormat="1" applyFont="1" applyFill="1" applyBorder="1"/>
    <xf numFmtId="169" fontId="19" fillId="0" borderId="10" xfId="11" applyNumberFormat="1" applyFont="1" applyFill="1" applyBorder="1"/>
    <xf numFmtId="169" fontId="19" fillId="0" borderId="3" xfId="11" applyNumberFormat="1" applyFont="1" applyFill="1" applyBorder="1"/>
    <xf numFmtId="5" fontId="16" fillId="0" borderId="0" xfId="11" applyNumberFormat="1" applyFont="1"/>
    <xf numFmtId="43" fontId="19" fillId="0" borderId="0" xfId="11" applyNumberFormat="1" applyFont="1" applyFill="1" applyBorder="1"/>
    <xf numFmtId="43" fontId="19" fillId="0" borderId="11" xfId="11" applyNumberFormat="1" applyFont="1" applyFill="1" applyBorder="1"/>
    <xf numFmtId="169" fontId="19" fillId="0" borderId="11" xfId="11" applyNumberFormat="1" applyFont="1" applyFill="1" applyBorder="1"/>
    <xf numFmtId="10" fontId="20" fillId="0" borderId="0" xfId="11" applyNumberFormat="1" applyFont="1" applyFill="1" applyBorder="1"/>
    <xf numFmtId="42" fontId="19" fillId="0" borderId="0" xfId="11" applyNumberFormat="1" applyFont="1" applyFill="1" applyBorder="1"/>
    <xf numFmtId="42" fontId="16" fillId="0" borderId="0" xfId="11" applyNumberFormat="1" applyFont="1"/>
    <xf numFmtId="5" fontId="19" fillId="0" borderId="0" xfId="11" applyNumberFormat="1" applyFont="1" applyFill="1" applyBorder="1"/>
    <xf numFmtId="169" fontId="19" fillId="0" borderId="2" xfId="11" applyNumberFormat="1" applyFont="1" applyFill="1" applyBorder="1"/>
    <xf numFmtId="0" fontId="21" fillId="0" borderId="0" xfId="11" applyFont="1" applyFill="1"/>
    <xf numFmtId="169" fontId="16" fillId="0" borderId="0" xfId="11" applyNumberFormat="1" applyFont="1"/>
    <xf numFmtId="43" fontId="16" fillId="0" borderId="0" xfId="11" applyNumberFormat="1" applyFont="1"/>
    <xf numFmtId="4" fontId="22" fillId="0" borderId="4" xfId="4" applyNumberFormat="1" applyFont="1" applyBorder="1" applyAlignment="1">
      <alignment horizontal="left"/>
    </xf>
    <xf numFmtId="44" fontId="9" fillId="0" borderId="0" xfId="12" applyFont="1"/>
    <xf numFmtId="44" fontId="6" fillId="0" borderId="3" xfId="12" applyFont="1" applyBorder="1"/>
    <xf numFmtId="4" fontId="22" fillId="0" borderId="0" xfId="4" applyNumberFormat="1" applyFont="1" applyBorder="1" applyAlignment="1">
      <alignment horizontal="left"/>
    </xf>
    <xf numFmtId="0" fontId="9" fillId="0" borderId="0" xfId="4" applyBorder="1"/>
    <xf numFmtId="10" fontId="9" fillId="0" borderId="0" xfId="2" applyNumberFormat="1" applyFont="1"/>
    <xf numFmtId="0" fontId="5" fillId="0" borderId="0" xfId="0" applyFont="1"/>
    <xf numFmtId="171" fontId="0" fillId="0" borderId="0" xfId="0" applyNumberFormat="1"/>
    <xf numFmtId="37" fontId="17" fillId="0" borderId="0" xfId="11" applyNumberFormat="1" applyFont="1" applyAlignment="1">
      <alignment horizontal="left"/>
    </xf>
    <xf numFmtId="0" fontId="20" fillId="0" borderId="0" xfId="11" applyFont="1"/>
    <xf numFmtId="10" fontId="20" fillId="0" borderId="0" xfId="11" applyNumberFormat="1" applyFont="1"/>
    <xf numFmtId="171" fontId="20" fillId="0" borderId="0" xfId="11" applyNumberFormat="1" applyFont="1"/>
    <xf numFmtId="171" fontId="20" fillId="0" borderId="0" xfId="12" applyNumberFormat="1" applyFont="1"/>
    <xf numFmtId="9" fontId="20" fillId="0" borderId="0" xfId="2" applyNumberFormat="1" applyFont="1"/>
    <xf numFmtId="0" fontId="20" fillId="0" borderId="0" xfId="11" applyFont="1" applyAlignment="1">
      <alignment horizontal="left" indent="1"/>
    </xf>
    <xf numFmtId="0" fontId="19" fillId="0" borderId="0" xfId="11" applyFont="1"/>
    <xf numFmtId="169" fontId="19" fillId="0" borderId="0" xfId="11" applyNumberFormat="1" applyFont="1"/>
    <xf numFmtId="44" fontId="9" fillId="0" borderId="0" xfId="4" applyNumberFormat="1"/>
    <xf numFmtId="0" fontId="24" fillId="0" borderId="0" xfId="0" applyFont="1"/>
    <xf numFmtId="0" fontId="25" fillId="0" borderId="0" xfId="0" applyFont="1"/>
    <xf numFmtId="0" fontId="0" fillId="0" borderId="0" xfId="0" applyFont="1"/>
    <xf numFmtId="0" fontId="24" fillId="0" borderId="13" xfId="0" applyNumberFormat="1" applyFont="1" applyFill="1" applyBorder="1" applyAlignment="1">
      <alignment horizontal="right"/>
    </xf>
    <xf numFmtId="173" fontId="24" fillId="0" borderId="14" xfId="0" applyNumberFormat="1" applyFont="1" applyFill="1" applyBorder="1" applyAlignment="1">
      <alignment horizontal="right"/>
    </xf>
    <xf numFmtId="43" fontId="24" fillId="0" borderId="0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0" xfId="0" applyFont="1"/>
    <xf numFmtId="43" fontId="4" fillId="0" borderId="0" xfId="0" applyNumberFormat="1" applyFont="1"/>
    <xf numFmtId="43" fontId="29" fillId="0" borderId="0" xfId="0" applyNumberFormat="1" applyFont="1"/>
    <xf numFmtId="43" fontId="4" fillId="0" borderId="1" xfId="0" applyNumberFormat="1" applyFont="1" applyBorder="1"/>
    <xf numFmtId="43" fontId="29" fillId="0" borderId="1" xfId="0" applyNumberFormat="1" applyFont="1" applyBorder="1"/>
    <xf numFmtId="9" fontId="4" fillId="0" borderId="0" xfId="0" applyNumberFormat="1" applyFont="1"/>
    <xf numFmtId="43" fontId="4" fillId="0" borderId="3" xfId="0" applyNumberFormat="1" applyFont="1" applyBorder="1"/>
    <xf numFmtId="43" fontId="29" fillId="0" borderId="3" xfId="0" applyNumberFormat="1" applyFont="1" applyBorder="1"/>
    <xf numFmtId="43" fontId="30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/>
    <xf numFmtId="43" fontId="4" fillId="0" borderId="0" xfId="0" applyNumberFormat="1" applyFont="1" applyFill="1"/>
    <xf numFmtId="169" fontId="4" fillId="0" borderId="0" xfId="0" applyNumberFormat="1" applyFont="1" applyFill="1"/>
    <xf numFmtId="43" fontId="4" fillId="0" borderId="1" xfId="0" applyNumberFormat="1" applyFont="1" applyFill="1" applyBorder="1"/>
    <xf numFmtId="169" fontId="4" fillId="0" borderId="1" xfId="0" applyNumberFormat="1" applyFont="1" applyFill="1" applyBorder="1"/>
    <xf numFmtId="0" fontId="0" fillId="0" borderId="0" xfId="0" applyFill="1"/>
    <xf numFmtId="43" fontId="4" fillId="0" borderId="0" xfId="0" applyNumberFormat="1" applyFont="1" applyFill="1" applyBorder="1"/>
    <xf numFmtId="169" fontId="4" fillId="0" borderId="0" xfId="0" applyNumberFormat="1" applyFont="1" applyFill="1" applyBorder="1"/>
    <xf numFmtId="9" fontId="4" fillId="0" borderId="0" xfId="0" applyNumberFormat="1" applyFont="1" applyFill="1"/>
    <xf numFmtId="43" fontId="4" fillId="0" borderId="10" xfId="0" applyNumberFormat="1" applyFont="1" applyFill="1" applyBorder="1"/>
    <xf numFmtId="169" fontId="4" fillId="0" borderId="10" xfId="0" applyNumberFormat="1" applyFont="1" applyFill="1" applyBorder="1"/>
    <xf numFmtId="43" fontId="4" fillId="0" borderId="3" xfId="0" applyNumberFormat="1" applyFont="1" applyFill="1" applyBorder="1"/>
    <xf numFmtId="169" fontId="4" fillId="0" borderId="3" xfId="0" applyNumberFormat="1" applyFont="1" applyFill="1" applyBorder="1"/>
    <xf numFmtId="43" fontId="31" fillId="0" borderId="0" xfId="0" applyNumberFormat="1" applyFont="1" applyFill="1"/>
    <xf numFmtId="0" fontId="0" fillId="0" borderId="0" xfId="0" applyFill="1" applyAlignment="1">
      <alignment horizontal="right"/>
    </xf>
    <xf numFmtId="43" fontId="0" fillId="0" borderId="0" xfId="0" applyNumberFormat="1" applyFill="1" applyAlignment="1">
      <alignment horizontal="right"/>
    </xf>
    <xf numFmtId="10" fontId="0" fillId="0" borderId="0" xfId="2" applyNumberFormat="1" applyFont="1" applyFill="1" applyAlignment="1">
      <alignment horizontal="left"/>
    </xf>
    <xf numFmtId="43" fontId="0" fillId="0" borderId="0" xfId="0" applyNumberFormat="1" applyFill="1" applyAlignment="1">
      <alignment horizontal="left"/>
    </xf>
    <xf numFmtId="43" fontId="34" fillId="0" borderId="0" xfId="4" applyNumberFormat="1" applyFont="1"/>
    <xf numFmtId="0" fontId="34" fillId="0" borderId="0" xfId="4" applyFont="1" applyAlignment="1">
      <alignment horizontal="centerContinuous"/>
    </xf>
    <xf numFmtId="44" fontId="34" fillId="0" borderId="0" xfId="4" applyNumberFormat="1" applyFont="1"/>
    <xf numFmtId="0" fontId="14" fillId="0" borderId="0" xfId="8" applyFont="1" applyAlignment="1">
      <alignment horizontal="centerContinuous"/>
    </xf>
    <xf numFmtId="44" fontId="1" fillId="0" borderId="0" xfId="12" applyFont="1"/>
    <xf numFmtId="43" fontId="9" fillId="0" borderId="0" xfId="1" applyFont="1"/>
    <xf numFmtId="0" fontId="1" fillId="0" borderId="0" xfId="14"/>
    <xf numFmtId="0" fontId="1" fillId="0" borderId="0" xfId="14" applyAlignment="1">
      <alignment horizontal="center"/>
    </xf>
    <xf numFmtId="43" fontId="1" fillId="0" borderId="0" xfId="14" applyNumberFormat="1"/>
    <xf numFmtId="0" fontId="35" fillId="0" borderId="0" xfId="14" applyFont="1" applyAlignment="1">
      <alignment horizontal="right"/>
    </xf>
    <xf numFmtId="0" fontId="1" fillId="0" borderId="0" xfId="14" applyAlignment="1">
      <alignment horizontal="left"/>
    </xf>
    <xf numFmtId="43" fontId="1" fillId="0" borderId="1" xfId="14" applyNumberFormat="1" applyFont="1" applyBorder="1"/>
    <xf numFmtId="0" fontId="1" fillId="0" borderId="1" xfId="14" applyBorder="1" applyAlignment="1">
      <alignment horizontal="center"/>
    </xf>
    <xf numFmtId="43" fontId="1" fillId="0" borderId="0" xfId="14" applyNumberFormat="1" applyFont="1"/>
    <xf numFmtId="43" fontId="1" fillId="0" borderId="1" xfId="14" applyNumberFormat="1" applyBorder="1"/>
    <xf numFmtId="0" fontId="1" fillId="0" borderId="1" xfId="14" applyBorder="1" applyAlignment="1">
      <alignment horizontal="left"/>
    </xf>
    <xf numFmtId="43" fontId="1" fillId="2" borderId="0" xfId="14" applyNumberFormat="1" applyFill="1"/>
    <xf numFmtId="0" fontId="1" fillId="0" borderId="0" xfId="14" applyFill="1"/>
    <xf numFmtId="43" fontId="1" fillId="0" borderId="0" xfId="14" applyNumberFormat="1" applyFont="1" applyFill="1"/>
    <xf numFmtId="0" fontId="1" fillId="0" borderId="0" xfId="14" applyFill="1" applyAlignment="1">
      <alignment horizontal="center"/>
    </xf>
    <xf numFmtId="43" fontId="1" fillId="0" borderId="0" xfId="14" applyNumberFormat="1" applyFill="1"/>
    <xf numFmtId="0" fontId="1" fillId="0" borderId="1" xfId="14" applyBorder="1"/>
    <xf numFmtId="0" fontId="36" fillId="0" borderId="1" xfId="14" applyFont="1" applyBorder="1" applyAlignment="1">
      <alignment horizontal="center"/>
    </xf>
    <xf numFmtId="0" fontId="36" fillId="0" borderId="1" xfId="14" applyFont="1" applyBorder="1" applyAlignment="1">
      <alignment horizontal="right"/>
    </xf>
    <xf numFmtId="0" fontId="35" fillId="0" borderId="0" xfId="14" applyFont="1" applyAlignment="1">
      <alignment horizontal="center"/>
    </xf>
    <xf numFmtId="0" fontId="6" fillId="0" borderId="0" xfId="14" applyFont="1" applyAlignment="1">
      <alignment horizontal="center"/>
    </xf>
    <xf numFmtId="0" fontId="6" fillId="0" borderId="0" xfId="14" applyFont="1"/>
    <xf numFmtId="10" fontId="1" fillId="0" borderId="0" xfId="14" applyNumberFormat="1" applyAlignment="1">
      <alignment horizontal="left"/>
    </xf>
    <xf numFmtId="0" fontId="1" fillId="0" borderId="0" xfId="14" applyAlignment="1">
      <alignment horizontal="right"/>
    </xf>
    <xf numFmtId="10" fontId="1" fillId="0" borderId="0" xfId="14" applyNumberFormat="1" applyFont="1"/>
    <xf numFmtId="0" fontId="1" fillId="2" borderId="0" xfId="14" applyFill="1"/>
    <xf numFmtId="43" fontId="1" fillId="2" borderId="0" xfId="14" applyNumberFormat="1" applyFont="1" applyFill="1"/>
    <xf numFmtId="0" fontId="1" fillId="0" borderId="0" xfId="14" applyFont="1" applyAlignment="1">
      <alignment horizontal="center"/>
    </xf>
    <xf numFmtId="43" fontId="1" fillId="0" borderId="4" xfId="14" applyNumberFormat="1" applyBorder="1"/>
    <xf numFmtId="43" fontId="1" fillId="0" borderId="8" xfId="14" applyNumberFormat="1" applyFont="1" applyBorder="1"/>
    <xf numFmtId="43" fontId="1" fillId="0" borderId="1" xfId="14" applyNumberFormat="1" applyFont="1" applyBorder="1" applyAlignment="1">
      <alignment horizontal="center"/>
    </xf>
    <xf numFmtId="0" fontId="1" fillId="0" borderId="0" xfId="14" applyBorder="1"/>
    <xf numFmtId="43" fontId="1" fillId="0" borderId="0" xfId="14" applyNumberFormat="1" applyBorder="1"/>
    <xf numFmtId="43" fontId="1" fillId="0" borderId="0" xfId="14" applyNumberFormat="1" applyFont="1" applyBorder="1"/>
    <xf numFmtId="0" fontId="1" fillId="0" borderId="0" xfId="14" applyBorder="1" applyAlignment="1">
      <alignment horizontal="center"/>
    </xf>
    <xf numFmtId="0" fontId="1" fillId="0" borderId="0" xfId="14" applyBorder="1" applyAlignment="1">
      <alignment horizontal="left"/>
    </xf>
    <xf numFmtId="43" fontId="1" fillId="0" borderId="0" xfId="14" applyNumberFormat="1" applyFont="1" applyAlignment="1">
      <alignment horizontal="center"/>
    </xf>
    <xf numFmtId="43" fontId="1" fillId="0" borderId="4" xfId="14" applyNumberFormat="1" applyFont="1" applyBorder="1"/>
    <xf numFmtId="43" fontId="1" fillId="0" borderId="0" xfId="14" applyNumberFormat="1" applyAlignment="1">
      <alignment horizontal="center"/>
    </xf>
    <xf numFmtId="0" fontId="1" fillId="0" borderId="1" xfId="14" applyFont="1" applyFill="1" applyBorder="1" applyAlignment="1">
      <alignment horizontal="center" wrapText="1"/>
    </xf>
    <xf numFmtId="0" fontId="6" fillId="0" borderId="0" xfId="14" applyFont="1" applyBorder="1" applyAlignment="1">
      <alignment horizontal="center" wrapText="1"/>
    </xf>
    <xf numFmtId="0" fontId="6" fillId="0" borderId="0" xfId="14" applyFont="1" applyBorder="1" applyAlignment="1">
      <alignment horizontal="center"/>
    </xf>
    <xf numFmtId="0" fontId="6" fillId="0" borderId="0" xfId="14" applyFont="1" applyAlignment="1">
      <alignment horizontal="center" wrapText="1"/>
    </xf>
    <xf numFmtId="10" fontId="1" fillId="0" borderId="0" xfId="14" applyNumberFormat="1" applyAlignment="1">
      <alignment horizontal="right"/>
    </xf>
    <xf numFmtId="0" fontId="6" fillId="0" borderId="12" xfId="4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 indent="1"/>
    </xf>
    <xf numFmtId="10" fontId="19" fillId="0" borderId="0" xfId="0" applyNumberFormat="1" applyFont="1" applyFill="1" applyBorder="1"/>
    <xf numFmtId="169" fontId="19" fillId="0" borderId="0" xfId="0" applyNumberFormat="1" applyFont="1" applyFill="1" applyBorder="1"/>
    <xf numFmtId="41" fontId="19" fillId="0" borderId="0" xfId="0" applyNumberFormat="1" applyFont="1" applyFill="1" applyBorder="1"/>
    <xf numFmtId="41" fontId="19" fillId="0" borderId="10" xfId="0" applyNumberFormat="1" applyFont="1" applyFill="1" applyBorder="1"/>
    <xf numFmtId="169" fontId="19" fillId="0" borderId="10" xfId="0" applyNumberFormat="1" applyFont="1" applyFill="1" applyBorder="1"/>
    <xf numFmtId="169" fontId="19" fillId="0" borderId="3" xfId="0" applyNumberFormat="1" applyFont="1" applyFill="1" applyBorder="1"/>
    <xf numFmtId="43" fontId="19" fillId="0" borderId="0" xfId="0" applyNumberFormat="1" applyFont="1" applyFill="1" applyBorder="1"/>
    <xf numFmtId="43" fontId="19" fillId="0" borderId="11" xfId="0" applyNumberFormat="1" applyFont="1" applyFill="1" applyBorder="1"/>
    <xf numFmtId="43" fontId="31" fillId="0" borderId="0" xfId="1" applyFont="1"/>
    <xf numFmtId="169" fontId="19" fillId="3" borderId="11" xfId="0" applyNumberFormat="1" applyFont="1" applyFill="1" applyBorder="1"/>
    <xf numFmtId="10" fontId="20" fillId="0" borderId="0" xfId="0" applyNumberFormat="1" applyFont="1" applyFill="1" applyBorder="1"/>
    <xf numFmtId="42" fontId="19" fillId="0" borderId="0" xfId="0" applyNumberFormat="1" applyFont="1" applyFill="1" applyBorder="1"/>
    <xf numFmtId="5" fontId="19" fillId="0" borderId="0" xfId="0" applyNumberFormat="1" applyFont="1" applyFill="1" applyBorder="1"/>
    <xf numFmtId="169" fontId="19" fillId="0" borderId="2" xfId="0" applyNumberFormat="1" applyFont="1" applyFill="1" applyBorder="1"/>
    <xf numFmtId="0" fontId="16" fillId="0" borderId="0" xfId="0" applyFont="1" applyAlignment="1">
      <alignment horizontal="center"/>
    </xf>
    <xf numFmtId="171" fontId="19" fillId="0" borderId="0" xfId="12" applyNumberFormat="1" applyFont="1" applyFill="1" applyBorder="1"/>
    <xf numFmtId="0" fontId="38" fillId="0" borderId="0" xfId="0" applyFont="1"/>
    <xf numFmtId="0" fontId="39" fillId="0" borderId="0" xfId="0" applyFont="1"/>
    <xf numFmtId="171" fontId="40" fillId="0" borderId="0" xfId="12" applyNumberFormat="1" applyFont="1" applyFill="1" applyBorder="1"/>
  </cellXfs>
  <cellStyles count="15">
    <cellStyle name="Comma" xfId="1" builtinId="3"/>
    <cellStyle name="Comma 2" xfId="7"/>
    <cellStyle name="Currency" xfId="12" builtinId="4"/>
    <cellStyle name="Currency 2" xfId="9"/>
    <cellStyle name="Normal" xfId="0" builtinId="0"/>
    <cellStyle name="Normal 2" xfId="4"/>
    <cellStyle name="Normal 2 2" xfId="8"/>
    <cellStyle name="Normal 3" xfId="3"/>
    <cellStyle name="Normal 4" xfId="6"/>
    <cellStyle name="Normal 5" xfId="11"/>
    <cellStyle name="Normal 53" xfId="13"/>
    <cellStyle name="Normal 6" xfId="14"/>
    <cellStyle name="Percent" xfId="2" builtinId="5"/>
    <cellStyle name="Percent 2" xfId="5"/>
    <cellStyle name="Percent 2 2" xfId="10"/>
  </cellStyles>
  <dxfs count="38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B40" sqref="B40"/>
    </sheetView>
  </sheetViews>
  <sheetFormatPr defaultRowHeight="15" x14ac:dyDescent="0.25"/>
  <cols>
    <col min="1" max="1" width="4.42578125" customWidth="1"/>
    <col min="2" max="2" width="50.5703125" bestFit="1" customWidth="1"/>
    <col min="3" max="4" width="16" bestFit="1" customWidth="1"/>
    <col min="5" max="5" width="13.5703125" bestFit="1" customWidth="1"/>
    <col min="6" max="6" width="11.5703125" bestFit="1" customWidth="1"/>
  </cols>
  <sheetData>
    <row r="1" spans="1:6" x14ac:dyDescent="0.25">
      <c r="A1" s="225" t="s">
        <v>110</v>
      </c>
      <c r="B1" s="226"/>
      <c r="C1" s="226"/>
      <c r="D1" s="226"/>
      <c r="E1" s="226"/>
    </row>
    <row r="2" spans="1:6" x14ac:dyDescent="0.25">
      <c r="A2" s="225" t="s">
        <v>112</v>
      </c>
      <c r="B2" s="226"/>
      <c r="C2" s="226"/>
      <c r="D2" s="226"/>
      <c r="E2" s="226"/>
    </row>
    <row r="3" spans="1:6" x14ac:dyDescent="0.25">
      <c r="A3" s="225" t="s">
        <v>113</v>
      </c>
      <c r="B3" s="226"/>
      <c r="C3" s="226"/>
      <c r="D3" s="226"/>
      <c r="E3" s="226"/>
    </row>
    <row r="4" spans="1:6" x14ac:dyDescent="0.25">
      <c r="A4" s="225"/>
      <c r="B4" s="226"/>
      <c r="C4" s="226"/>
      <c r="D4" s="226"/>
      <c r="E4" s="226"/>
    </row>
    <row r="5" spans="1:6" x14ac:dyDescent="0.25">
      <c r="A5" s="227" t="s">
        <v>114</v>
      </c>
      <c r="B5" s="226"/>
      <c r="C5" s="226"/>
      <c r="D5" s="244" t="s">
        <v>566</v>
      </c>
      <c r="E5" s="226"/>
    </row>
    <row r="6" spans="1:6" x14ac:dyDescent="0.25">
      <c r="A6" s="226"/>
      <c r="B6" s="226"/>
      <c r="C6" s="226"/>
      <c r="D6" s="244" t="s">
        <v>12</v>
      </c>
      <c r="E6" s="226"/>
    </row>
    <row r="7" spans="1:6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6" x14ac:dyDescent="0.25">
      <c r="A8" s="226"/>
      <c r="B8" s="226"/>
      <c r="C8" s="226"/>
      <c r="D8" s="226"/>
    </row>
    <row r="9" spans="1:6" x14ac:dyDescent="0.25">
      <c r="A9" s="229">
        <v>9</v>
      </c>
      <c r="B9" s="226" t="s">
        <v>66</v>
      </c>
      <c r="C9" s="230">
        <v>2.6200000000000001E-2</v>
      </c>
      <c r="D9" s="230">
        <f>'Rev Req Comparison'!C31</f>
        <v>2.5499999999999998E-2</v>
      </c>
    </row>
    <row r="10" spans="1:6" x14ac:dyDescent="0.25">
      <c r="A10" s="229">
        <v>10</v>
      </c>
      <c r="B10" s="226" t="s">
        <v>67</v>
      </c>
      <c r="C10" s="230">
        <v>7.2300000000000003E-2</v>
      </c>
      <c r="D10" s="230">
        <f>'Rev Req Comparison'!C32</f>
        <v>7.1599999999999997E-2</v>
      </c>
    </row>
    <row r="11" spans="1:6" x14ac:dyDescent="0.25">
      <c r="A11" s="229">
        <v>11</v>
      </c>
      <c r="B11" s="226" t="s">
        <v>68</v>
      </c>
      <c r="C11" s="230">
        <v>0.21</v>
      </c>
      <c r="D11" s="230">
        <f>'Rev Req Comparison'!C33</f>
        <v>0.21</v>
      </c>
    </row>
    <row r="12" spans="1:6" x14ac:dyDescent="0.25">
      <c r="A12" s="229">
        <v>12</v>
      </c>
      <c r="B12" s="226" t="s">
        <v>69</v>
      </c>
      <c r="C12" s="230">
        <v>0.752355</v>
      </c>
      <c r="D12" s="230">
        <f>'Rev Req Comparison'!C34</f>
        <v>0.752355</v>
      </c>
    </row>
    <row r="13" spans="1:6" x14ac:dyDescent="0.25">
      <c r="A13" s="229">
        <v>13</v>
      </c>
      <c r="B13" s="226" t="s">
        <v>106</v>
      </c>
      <c r="C13" s="245">
        <v>466843558.72516948</v>
      </c>
      <c r="D13" s="245">
        <f>'Rev Req Comparison'!L14</f>
        <v>673825899.6063031</v>
      </c>
      <c r="E13" s="245"/>
      <c r="F13" s="115"/>
    </row>
    <row r="14" spans="1:6" x14ac:dyDescent="0.25">
      <c r="A14" s="229">
        <v>14</v>
      </c>
      <c r="B14" s="226"/>
      <c r="C14" s="231"/>
      <c r="D14" s="231"/>
    </row>
    <row r="15" spans="1:6" x14ac:dyDescent="0.25">
      <c r="A15" s="229">
        <v>15</v>
      </c>
      <c r="B15" s="226" t="s">
        <v>117</v>
      </c>
      <c r="C15" s="231">
        <v>-7056541.818855999</v>
      </c>
      <c r="D15" s="231">
        <f>'Rev Req Comparison'!L17+'Rev Req Comparison'!L19</f>
        <v>-29893757.666683979</v>
      </c>
    </row>
    <row r="16" spans="1:6" x14ac:dyDescent="0.25">
      <c r="A16" s="229">
        <v>16</v>
      </c>
      <c r="B16" s="226" t="s">
        <v>118</v>
      </c>
      <c r="C16" s="232">
        <v>1731154.2774910009</v>
      </c>
      <c r="D16" s="232">
        <f>'Rev Req Comparison'!L18+'Rev Req Comparison'!L20</f>
        <v>6178674.5094035594</v>
      </c>
    </row>
    <row r="17" spans="1:4" x14ac:dyDescent="0.25">
      <c r="A17" s="229">
        <v>17</v>
      </c>
      <c r="B17" s="226" t="s">
        <v>119</v>
      </c>
      <c r="C17" s="233">
        <f>SUM(C15:C16)</f>
        <v>-5325387.5413649976</v>
      </c>
      <c r="D17" s="233">
        <f t="shared" ref="D17" si="0">SUM(D15:D16)</f>
        <v>-23715083.157280419</v>
      </c>
    </row>
    <row r="18" spans="1:4" x14ac:dyDescent="0.25">
      <c r="A18" s="229">
        <v>18</v>
      </c>
      <c r="B18" s="226" t="s">
        <v>120</v>
      </c>
      <c r="C18" s="232">
        <f>C13*C9*C11</f>
        <v>2568573.2601058823</v>
      </c>
      <c r="D18" s="232">
        <f t="shared" ref="D18" si="1">D13*D9*D11</f>
        <v>3608337.6923917532</v>
      </c>
    </row>
    <row r="19" spans="1:4" x14ac:dyDescent="0.25">
      <c r="A19" s="229">
        <v>19</v>
      </c>
      <c r="B19" s="226" t="s">
        <v>121</v>
      </c>
      <c r="C19" s="233">
        <f>SUM(C17:C18)</f>
        <v>-2756814.2812591153</v>
      </c>
      <c r="D19" s="233">
        <f t="shared" ref="D19" si="2">SUM(D17:D18)</f>
        <v>-20106745.464888666</v>
      </c>
    </row>
    <row r="20" spans="1:4" x14ac:dyDescent="0.25">
      <c r="A20" s="229">
        <v>20</v>
      </c>
      <c r="B20" s="226" t="s">
        <v>122</v>
      </c>
      <c r="C20" s="232">
        <f>C13*C10</f>
        <v>33752789.295829758</v>
      </c>
      <c r="D20" s="232">
        <f t="shared" ref="D20" si="3">D13*D10</f>
        <v>48245934.4118113</v>
      </c>
    </row>
    <row r="21" spans="1:4" x14ac:dyDescent="0.25">
      <c r="A21" s="229">
        <v>21</v>
      </c>
      <c r="B21" s="226" t="s">
        <v>64</v>
      </c>
      <c r="C21" s="234">
        <f>C20-C19</f>
        <v>36509603.57708887</v>
      </c>
      <c r="D21" s="234">
        <f t="shared" ref="D21" si="4">D20-D19</f>
        <v>68352679.876699969</v>
      </c>
    </row>
    <row r="22" spans="1:4" ht="15.75" thickBot="1" x14ac:dyDescent="0.3">
      <c r="A22" s="229">
        <v>22</v>
      </c>
      <c r="B22" s="226" t="s">
        <v>123</v>
      </c>
      <c r="C22" s="235">
        <f>C21/C12</f>
        <v>48527096.353568286</v>
      </c>
      <c r="D22" s="235">
        <f t="shared" ref="D22" si="5">D21/D12</f>
        <v>90851632.376604095</v>
      </c>
    </row>
    <row r="23" spans="1:4" ht="15.75" thickTop="1" x14ac:dyDescent="0.25">
      <c r="A23" s="229">
        <v>23</v>
      </c>
      <c r="B23" s="226" t="s">
        <v>563</v>
      </c>
      <c r="C23" s="231">
        <f>C22</f>
        <v>48527096.353568286</v>
      </c>
      <c r="D23" s="231">
        <f>C22</f>
        <v>48527096.353568286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42324536.023035809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  <row r="27" spans="1:4" x14ac:dyDescent="0.25">
      <c r="A27" s="229">
        <v>27</v>
      </c>
    </row>
    <row r="28" spans="1:4" x14ac:dyDescent="0.25">
      <c r="A28" s="229">
        <v>28</v>
      </c>
      <c r="B28" s="246" t="s">
        <v>567</v>
      </c>
      <c r="C28" s="247"/>
      <c r="D28" s="247"/>
    </row>
    <row r="29" spans="1:4" x14ac:dyDescent="0.25">
      <c r="A29" s="229">
        <v>29</v>
      </c>
      <c r="B29" s="246" t="s">
        <v>568</v>
      </c>
      <c r="C29" s="247"/>
      <c r="D29" s="248">
        <f>'SEF-23'!D28-D25</f>
        <v>858126.39986994863</v>
      </c>
    </row>
  </sheetData>
  <pageMargins left="0.7" right="0.7" top="0.75" bottom="0.75" header="0.3" footer="0.3"/>
  <pageSetup orientation="portrait" horizontalDpi="200" verticalDpi="200" copies="0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B40" sqref="B40"/>
    </sheetView>
  </sheetViews>
  <sheetFormatPr defaultColWidth="9.28515625" defaultRowHeight="12.75" x14ac:dyDescent="0.2"/>
  <cols>
    <col min="1" max="1" width="4.28515625" style="82" bestFit="1" customWidth="1"/>
    <col min="2" max="2" width="58.7109375" style="82" customWidth="1"/>
    <col min="3" max="3" width="15" style="82" bestFit="1" customWidth="1"/>
    <col min="4" max="4" width="15.28515625" style="82" bestFit="1" customWidth="1"/>
    <col min="5" max="6" width="16.42578125" style="82" bestFit="1" customWidth="1"/>
    <col min="7" max="9" width="15.28515625" style="82" bestFit="1" customWidth="1"/>
    <col min="10" max="10" width="16.85546875" style="82" bestFit="1" customWidth="1"/>
    <col min="11" max="16384" width="9.28515625" style="82"/>
  </cols>
  <sheetData>
    <row r="1" spans="1:10" x14ac:dyDescent="0.2">
      <c r="A1" s="81" t="s">
        <v>110</v>
      </c>
      <c r="E1" s="83" t="s">
        <v>111</v>
      </c>
    </row>
    <row r="2" spans="1:10" x14ac:dyDescent="0.2">
      <c r="A2" s="81" t="s">
        <v>112</v>
      </c>
    </row>
    <row r="3" spans="1:10" x14ac:dyDescent="0.2">
      <c r="A3" s="81" t="s">
        <v>113</v>
      </c>
    </row>
    <row r="4" spans="1:10" x14ac:dyDescent="0.2">
      <c r="A4" s="81"/>
    </row>
    <row r="5" spans="1:10" x14ac:dyDescent="0.2">
      <c r="A5" s="84" t="s">
        <v>114</v>
      </c>
    </row>
    <row r="7" spans="1:10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0" ht="15" x14ac:dyDescent="0.25">
      <c r="F8" s="86"/>
    </row>
    <row r="9" spans="1:10" ht="15" x14ac:dyDescent="0.25">
      <c r="A9" s="122">
        <f>ROW()</f>
        <v>9</v>
      </c>
      <c r="B9" s="117" t="s">
        <v>66</v>
      </c>
      <c r="C9" s="88">
        <v>2.6200000000000001E-2</v>
      </c>
      <c r="D9" s="88">
        <v>2.5499999999999998E-2</v>
      </c>
      <c r="E9" s="88">
        <v>2.5499999999999998E-2</v>
      </c>
      <c r="F9" s="89"/>
      <c r="G9" s="89"/>
      <c r="H9" s="89"/>
    </row>
    <row r="10" spans="1:10" ht="15" x14ac:dyDescent="0.25">
      <c r="A10" s="122">
        <f>ROW()</f>
        <v>10</v>
      </c>
      <c r="B10" s="117" t="s">
        <v>67</v>
      </c>
      <c r="C10" s="88">
        <v>7.2300000000000003E-2</v>
      </c>
      <c r="D10" s="88">
        <v>7.1599999999999997E-2</v>
      </c>
      <c r="E10" s="88">
        <v>7.1599999999999997E-2</v>
      </c>
      <c r="F10" s="89"/>
      <c r="G10" s="89"/>
      <c r="H10" s="89"/>
    </row>
    <row r="11" spans="1:10" ht="15" x14ac:dyDescent="0.25">
      <c r="A11" s="122">
        <f>ROW()</f>
        <v>11</v>
      </c>
      <c r="B11" s="117" t="s">
        <v>68</v>
      </c>
      <c r="C11" s="88">
        <v>0.21</v>
      </c>
      <c r="D11" s="88">
        <v>0.21</v>
      </c>
      <c r="E11" s="88">
        <v>0.21</v>
      </c>
      <c r="F11" s="89"/>
      <c r="G11" s="89"/>
      <c r="H11" s="89"/>
    </row>
    <row r="12" spans="1:10" ht="15" x14ac:dyDescent="0.25">
      <c r="A12" s="122">
        <f>ROW()</f>
        <v>12</v>
      </c>
      <c r="B12" s="117" t="s">
        <v>69</v>
      </c>
      <c r="C12" s="88">
        <v>0.752355</v>
      </c>
      <c r="D12" s="88">
        <v>0.752355</v>
      </c>
      <c r="E12" s="88">
        <v>0.752355</v>
      </c>
      <c r="F12" s="89"/>
      <c r="G12" s="89"/>
      <c r="H12" s="89"/>
    </row>
    <row r="13" spans="1:10" ht="15" x14ac:dyDescent="0.25">
      <c r="A13" s="122">
        <f>ROW()</f>
        <v>13</v>
      </c>
      <c r="B13" s="117" t="s">
        <v>106</v>
      </c>
      <c r="C13" s="90">
        <v>466843558.72516948</v>
      </c>
      <c r="D13" s="90">
        <v>682036404.07630312</v>
      </c>
      <c r="E13" s="90">
        <v>1388026490.6517072</v>
      </c>
      <c r="F13" s="91"/>
      <c r="G13" s="91"/>
      <c r="H13" s="91"/>
      <c r="I13" s="91"/>
      <c r="J13" s="91"/>
    </row>
    <row r="14" spans="1:10" ht="15" x14ac:dyDescent="0.25">
      <c r="A14" s="122">
        <f>ROW()</f>
        <v>14</v>
      </c>
      <c r="B14" s="117"/>
      <c r="C14" s="90"/>
      <c r="D14" s="90"/>
      <c r="E14" s="90"/>
      <c r="F14" s="89"/>
      <c r="G14" s="89"/>
      <c r="H14" s="89"/>
      <c r="I14" s="89"/>
      <c r="J14" s="89"/>
    </row>
    <row r="15" spans="1:10" ht="15" x14ac:dyDescent="0.25">
      <c r="A15" s="122">
        <f>ROW()</f>
        <v>15</v>
      </c>
      <c r="B15" s="117" t="s">
        <v>117</v>
      </c>
      <c r="C15" s="90">
        <v>-7056541.818855999</v>
      </c>
      <c r="D15" s="90">
        <v>-30022505.538783982</v>
      </c>
      <c r="E15" s="90">
        <v>-72434981.631290019</v>
      </c>
      <c r="F15" s="91"/>
      <c r="G15" s="91"/>
      <c r="H15" s="91"/>
      <c r="I15" s="91"/>
      <c r="J15" s="91"/>
    </row>
    <row r="16" spans="1:10" ht="15" x14ac:dyDescent="0.25">
      <c r="A16" s="122">
        <f>ROW()</f>
        <v>16</v>
      </c>
      <c r="B16" s="117" t="s">
        <v>118</v>
      </c>
      <c r="C16" s="92">
        <v>1731154.2774910009</v>
      </c>
      <c r="D16" s="92">
        <v>6205711.5625445591</v>
      </c>
      <c r="E16" s="92">
        <v>15652329.743660886</v>
      </c>
      <c r="F16" s="91"/>
      <c r="G16" s="91"/>
      <c r="H16" s="91"/>
      <c r="I16" s="91"/>
      <c r="J16" s="91"/>
    </row>
    <row r="17" spans="1:9" ht="15" x14ac:dyDescent="0.25">
      <c r="A17" s="122">
        <f>ROW()</f>
        <v>17</v>
      </c>
      <c r="B17" s="117" t="s">
        <v>119</v>
      </c>
      <c r="C17" s="93">
        <f>SUM(C15:C16)</f>
        <v>-5325387.5413649976</v>
      </c>
      <c r="D17" s="93">
        <f>SUM(D15:D16)</f>
        <v>-23816793.976239424</v>
      </c>
      <c r="E17" s="93">
        <f>SUM(E15:E16)</f>
        <v>-56782651.887629136</v>
      </c>
      <c r="F17" s="89"/>
      <c r="G17" s="89"/>
      <c r="H17" s="89"/>
    </row>
    <row r="18" spans="1:9" ht="15" x14ac:dyDescent="0.25">
      <c r="A18" s="122">
        <f>ROW()</f>
        <v>18</v>
      </c>
      <c r="B18" s="117" t="s">
        <v>120</v>
      </c>
      <c r="C18" s="92">
        <f>C13*C9*C11</f>
        <v>2568573.2601058823</v>
      </c>
      <c r="D18" s="92">
        <f>D13*D9*D11</f>
        <v>3652304.9438286028</v>
      </c>
      <c r="E18" s="92">
        <f>E13*E9*E11</f>
        <v>7432881.8574398914</v>
      </c>
      <c r="F18" s="89"/>
      <c r="G18" s="89"/>
      <c r="H18" s="89"/>
    </row>
    <row r="19" spans="1:9" ht="15" x14ac:dyDescent="0.25">
      <c r="A19" s="122">
        <f>ROW()</f>
        <v>19</v>
      </c>
      <c r="B19" s="117" t="s">
        <v>121</v>
      </c>
      <c r="C19" s="93">
        <f>SUM(C17:C18)</f>
        <v>-2756814.2812591153</v>
      </c>
      <c r="D19" s="93">
        <f>SUM(D17:D18)</f>
        <v>-20164489.032410823</v>
      </c>
      <c r="E19" s="93">
        <f>SUM(E17:E18)</f>
        <v>-49349770.030189246</v>
      </c>
      <c r="F19" s="89"/>
      <c r="G19" s="89"/>
      <c r="H19" s="89"/>
    </row>
    <row r="20" spans="1:9" ht="15" x14ac:dyDescent="0.25">
      <c r="A20" s="122">
        <f>ROW()</f>
        <v>20</v>
      </c>
      <c r="B20" s="117" t="s">
        <v>122</v>
      </c>
      <c r="C20" s="92">
        <f>C13*C10</f>
        <v>33752789.295829758</v>
      </c>
      <c r="D20" s="92">
        <f>D13*D10</f>
        <v>48833806.531863302</v>
      </c>
      <c r="E20" s="92">
        <f>E13*E10</f>
        <v>99382696.730662227</v>
      </c>
      <c r="F20" s="89"/>
      <c r="G20" s="89"/>
      <c r="H20" s="89"/>
    </row>
    <row r="21" spans="1:9" ht="15" x14ac:dyDescent="0.25">
      <c r="A21" s="122">
        <f>ROW()</f>
        <v>21</v>
      </c>
      <c r="B21" s="117" t="s">
        <v>64</v>
      </c>
      <c r="C21" s="94">
        <f>C20-C19</f>
        <v>36509603.57708887</v>
      </c>
      <c r="D21" s="94">
        <f>D20-D19</f>
        <v>68998295.564274132</v>
      </c>
      <c r="E21" s="94">
        <f>E20-E19</f>
        <v>148732466.76085147</v>
      </c>
      <c r="F21" s="89"/>
      <c r="G21" s="89"/>
      <c r="H21" s="89"/>
    </row>
    <row r="22" spans="1:9" ht="15.75" thickBot="1" x14ac:dyDescent="0.3">
      <c r="A22" s="122">
        <f>ROW()</f>
        <v>22</v>
      </c>
      <c r="B22" s="117" t="s">
        <v>123</v>
      </c>
      <c r="C22" s="95">
        <f>C21/C12</f>
        <v>48527096.353568286</v>
      </c>
      <c r="D22" s="95">
        <f>D21/D12</f>
        <v>91709758.776474044</v>
      </c>
      <c r="E22" s="95">
        <f>E21/E12</f>
        <v>197689211.5568468</v>
      </c>
      <c r="F22" s="89"/>
      <c r="G22" s="89"/>
      <c r="H22" s="89"/>
      <c r="I22" s="96"/>
    </row>
    <row r="23" spans="1:9" ht="15.75" thickTop="1" x14ac:dyDescent="0.25">
      <c r="A23" s="122">
        <f>ROW()</f>
        <v>23</v>
      </c>
      <c r="B23" s="117" t="s">
        <v>124</v>
      </c>
      <c r="C23" s="90">
        <v>0</v>
      </c>
      <c r="D23" s="90">
        <f>D22</f>
        <v>91709758.776474044</v>
      </c>
      <c r="E23" s="90">
        <f>E22</f>
        <v>197689211.5568468</v>
      </c>
      <c r="F23" s="89"/>
      <c r="G23" s="89"/>
      <c r="H23" s="89"/>
      <c r="I23" s="96"/>
    </row>
    <row r="24" spans="1:9" ht="15" x14ac:dyDescent="0.25">
      <c r="A24" s="122">
        <f>ROW()</f>
        <v>24</v>
      </c>
      <c r="B24" s="117"/>
      <c r="C24" s="97"/>
      <c r="D24" s="90"/>
      <c r="E24" s="90"/>
      <c r="F24" s="89"/>
      <c r="G24" s="89"/>
      <c r="H24" s="89"/>
    </row>
    <row r="25" spans="1:9" ht="15.75" thickBot="1" x14ac:dyDescent="0.3">
      <c r="A25" s="122">
        <f>ROW()</f>
        <v>25</v>
      </c>
      <c r="B25" s="117" t="s">
        <v>125</v>
      </c>
      <c r="C25" s="98">
        <f>C23</f>
        <v>0</v>
      </c>
      <c r="D25" s="99">
        <f>D23-C23</f>
        <v>91709758.776474044</v>
      </c>
      <c r="E25" s="99">
        <f>E23-D23</f>
        <v>105979452.78037275</v>
      </c>
      <c r="F25" s="89"/>
      <c r="G25" s="89"/>
      <c r="H25" s="89"/>
    </row>
    <row r="26" spans="1:9" ht="15.75" thickTop="1" x14ac:dyDescent="0.25">
      <c r="A26" s="117"/>
      <c r="B26" s="117"/>
      <c r="C26" s="123"/>
      <c r="D26" s="123"/>
      <c r="E26" s="123"/>
    </row>
    <row r="27" spans="1:9" ht="15" x14ac:dyDescent="0.25">
      <c r="A27" s="117"/>
      <c r="B27" s="117"/>
      <c r="C27" s="123"/>
      <c r="D27" s="123"/>
      <c r="E27" s="123"/>
    </row>
    <row r="28" spans="1:9" ht="15" x14ac:dyDescent="0.25">
      <c r="A28" s="117"/>
      <c r="B28" s="117" t="s">
        <v>129</v>
      </c>
      <c r="C28" s="124">
        <f>C22</f>
        <v>48527096.353568286</v>
      </c>
      <c r="D28" s="124">
        <f>D25-C28</f>
        <v>43182662.422905758</v>
      </c>
      <c r="E28" s="124">
        <f>E25</f>
        <v>105979452.78037275</v>
      </c>
      <c r="F28" s="106">
        <f>SUM(C28:E28)</f>
        <v>197689211.5568468</v>
      </c>
      <c r="G28" s="116">
        <f>F28-E23</f>
        <v>0</v>
      </c>
    </row>
    <row r="29" spans="1:9" ht="15" x14ac:dyDescent="0.25">
      <c r="A29" s="117"/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9" ht="15" x14ac:dyDescent="0.25">
      <c r="A30" s="117"/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9" ht="15" x14ac:dyDescent="0.25">
      <c r="A31" s="117"/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9" ht="15" x14ac:dyDescent="0.25">
      <c r="B32" s="86"/>
      <c r="C32" s="86"/>
      <c r="D32" s="86"/>
      <c r="E32" s="86"/>
      <c r="F32" s="86"/>
    </row>
    <row r="33" spans="2:6" ht="15" x14ac:dyDescent="0.25">
      <c r="B33" s="86"/>
      <c r="C33" s="86"/>
      <c r="D33" s="86"/>
      <c r="E33" s="86"/>
      <c r="F33" s="86"/>
    </row>
    <row r="34" spans="2:6" ht="15" x14ac:dyDescent="0.25">
      <c r="B34" s="86"/>
      <c r="C34" s="86"/>
      <c r="D34" s="86"/>
      <c r="E34" s="86"/>
      <c r="F34" s="86"/>
    </row>
    <row r="35" spans="2:6" ht="15" x14ac:dyDescent="0.25">
      <c r="B35" s="86"/>
      <c r="C35" s="86"/>
      <c r="D35" s="86"/>
      <c r="E35" s="86"/>
      <c r="F35" s="86"/>
    </row>
    <row r="36" spans="2:6" ht="15" x14ac:dyDescent="0.25">
      <c r="B36" s="86"/>
      <c r="C36" s="86"/>
      <c r="D36" s="86"/>
      <c r="E36" s="86"/>
      <c r="F36" s="86"/>
    </row>
    <row r="37" spans="2:6" ht="15" x14ac:dyDescent="0.25">
      <c r="B37" s="86"/>
      <c r="C37" s="86"/>
      <c r="D37" s="86"/>
      <c r="E37" s="86"/>
      <c r="F37" s="86"/>
    </row>
    <row r="38" spans="2:6" ht="15" x14ac:dyDescent="0.25">
      <c r="B38" s="86"/>
      <c r="C38" s="86"/>
      <c r="D38" s="86"/>
      <c r="E38" s="86"/>
      <c r="F38" s="86"/>
    </row>
    <row r="39" spans="2:6" ht="15" x14ac:dyDescent="0.25">
      <c r="B39" s="86"/>
      <c r="C39" s="86"/>
      <c r="D39" s="86"/>
      <c r="E39" s="86"/>
      <c r="F39" s="86"/>
    </row>
    <row r="40" spans="2:6" ht="15" x14ac:dyDescent="0.25">
      <c r="B40" s="86"/>
      <c r="C40" s="86"/>
      <c r="D40" s="86"/>
      <c r="E40" s="86"/>
      <c r="F40" s="86"/>
    </row>
    <row r="41" spans="2:6" ht="15" x14ac:dyDescent="0.25">
      <c r="B41" s="86"/>
      <c r="C41" s="86"/>
      <c r="D41" s="86"/>
      <c r="E41" s="86"/>
      <c r="F41" s="86"/>
    </row>
    <row r="42" spans="2:6" ht="15" x14ac:dyDescent="0.25">
      <c r="B42" s="86"/>
      <c r="C42" s="86"/>
      <c r="D42" s="86"/>
      <c r="E42" s="86"/>
      <c r="F42" s="86"/>
    </row>
    <row r="43" spans="2:6" ht="15" x14ac:dyDescent="0.25">
      <c r="B43" s="86"/>
      <c r="C43" s="86"/>
      <c r="D43" s="86"/>
      <c r="E43" s="86"/>
      <c r="F43" s="86"/>
    </row>
    <row r="44" spans="2:6" ht="15" x14ac:dyDescent="0.25">
      <c r="B44" s="86"/>
      <c r="C44" s="86"/>
      <c r="D44" s="86"/>
      <c r="E44" s="86"/>
      <c r="F44" s="86"/>
    </row>
    <row r="45" spans="2:6" ht="15" x14ac:dyDescent="0.25">
      <c r="B45" s="86"/>
      <c r="C45" s="86"/>
      <c r="D45" s="86"/>
      <c r="E45" s="86"/>
      <c r="F45" s="86"/>
    </row>
    <row r="46" spans="2:6" ht="15" x14ac:dyDescent="0.25">
      <c r="B46" s="86"/>
      <c r="C46" s="86"/>
      <c r="D46" s="86"/>
      <c r="E46" s="86"/>
      <c r="F46" s="86"/>
    </row>
    <row r="47" spans="2:6" ht="15" x14ac:dyDescent="0.25">
      <c r="B47" s="86"/>
      <c r="C47" s="86"/>
      <c r="D47" s="86"/>
      <c r="E47" s="86"/>
      <c r="F47" s="86"/>
    </row>
    <row r="48" spans="2:6" ht="15" x14ac:dyDescent="0.25">
      <c r="B48" s="86"/>
      <c r="C48" s="86"/>
      <c r="D48" s="86"/>
      <c r="E48" s="86"/>
      <c r="F48" s="86"/>
    </row>
    <row r="49" spans="2:6" ht="15" x14ac:dyDescent="0.25">
      <c r="B49" s="86"/>
      <c r="C49" s="86"/>
      <c r="D49" s="86"/>
      <c r="E49" s="86"/>
      <c r="F49" s="86"/>
    </row>
    <row r="50" spans="2:6" ht="15" x14ac:dyDescent="0.25">
      <c r="B50" s="86"/>
      <c r="C50" s="86"/>
      <c r="D50" s="86"/>
      <c r="E50" s="86"/>
      <c r="F50" s="86"/>
    </row>
    <row r="51" spans="2:6" ht="15" x14ac:dyDescent="0.25">
      <c r="B51" s="86"/>
      <c r="C51" s="86"/>
      <c r="D51" s="86"/>
      <c r="E51" s="86"/>
      <c r="F51" s="86"/>
    </row>
    <row r="52" spans="2:6" ht="15" x14ac:dyDescent="0.25">
      <c r="B52" s="86"/>
      <c r="C52" s="86"/>
      <c r="D52" s="86"/>
      <c r="E52" s="86"/>
      <c r="F52" s="86"/>
    </row>
    <row r="53" spans="2:6" ht="15" x14ac:dyDescent="0.25">
      <c r="B53" s="86"/>
      <c r="C53" s="86"/>
      <c r="D53" s="86"/>
      <c r="E53" s="86"/>
      <c r="F53" s="86"/>
    </row>
    <row r="54" spans="2:6" ht="15" x14ac:dyDescent="0.25">
      <c r="B54" s="86"/>
      <c r="C54" s="86"/>
      <c r="D54" s="86"/>
      <c r="E54" s="86"/>
      <c r="F54" s="86"/>
    </row>
    <row r="55" spans="2:6" ht="15" x14ac:dyDescent="0.25">
      <c r="B55" s="86"/>
      <c r="C55" s="86"/>
      <c r="D55" s="86"/>
      <c r="E55" s="86"/>
      <c r="F55" s="86"/>
    </row>
    <row r="56" spans="2:6" ht="15" x14ac:dyDescent="0.25">
      <c r="B56" s="86"/>
      <c r="C56" s="86"/>
      <c r="D56" s="86"/>
      <c r="E56" s="86"/>
      <c r="F56" s="86"/>
    </row>
    <row r="57" spans="2:6" ht="15" x14ac:dyDescent="0.25">
      <c r="B57" s="86"/>
      <c r="C57" s="86"/>
      <c r="D57" s="86"/>
      <c r="E57" s="86"/>
      <c r="F57" s="86"/>
    </row>
    <row r="58" spans="2:6" ht="15" x14ac:dyDescent="0.25">
      <c r="B58" s="86"/>
      <c r="C58" s="86"/>
      <c r="D58" s="86"/>
      <c r="E58" s="86"/>
      <c r="F58" s="86"/>
    </row>
    <row r="59" spans="2:6" ht="15" x14ac:dyDescent="0.25">
      <c r="B59" s="86"/>
      <c r="C59" s="86"/>
      <c r="D59" s="86"/>
      <c r="E59" s="86"/>
      <c r="F59" s="86"/>
    </row>
    <row r="60" spans="2:6" ht="15" x14ac:dyDescent="0.25">
      <c r="B60" s="86"/>
      <c r="C60" s="86"/>
      <c r="D60" s="86"/>
      <c r="E60" s="86"/>
      <c r="F60" s="86"/>
    </row>
    <row r="61" spans="2:6" ht="15" x14ac:dyDescent="0.25">
      <c r="B61" s="86"/>
      <c r="C61" s="86"/>
      <c r="D61" s="86"/>
      <c r="E61" s="86"/>
      <c r="F61" s="86"/>
    </row>
    <row r="62" spans="2:6" ht="15" x14ac:dyDescent="0.25">
      <c r="B62" s="86"/>
      <c r="C62" s="86"/>
      <c r="D62" s="86"/>
      <c r="E62" s="86"/>
      <c r="F62" s="86"/>
    </row>
    <row r="63" spans="2:6" ht="15" x14ac:dyDescent="0.25">
      <c r="B63" s="86"/>
      <c r="C63" s="86"/>
      <c r="D63" s="86"/>
      <c r="E63" s="86"/>
      <c r="F63" s="86"/>
    </row>
    <row r="64" spans="2:6" ht="15" x14ac:dyDescent="0.25">
      <c r="B64" s="86"/>
      <c r="C64" s="86"/>
      <c r="D64" s="86"/>
      <c r="E64" s="86"/>
      <c r="F64" s="86"/>
    </row>
    <row r="65" spans="2:6" ht="15" x14ac:dyDescent="0.25">
      <c r="B65" s="86"/>
      <c r="C65" s="86"/>
      <c r="D65" s="86"/>
      <c r="E65" s="86"/>
      <c r="F65" s="86"/>
    </row>
    <row r="66" spans="2:6" ht="15" x14ac:dyDescent="0.25">
      <c r="B66" s="86"/>
      <c r="C66" s="86"/>
      <c r="D66" s="86"/>
      <c r="E66" s="86"/>
      <c r="F66" s="86"/>
    </row>
    <row r="67" spans="2:6" ht="15" x14ac:dyDescent="0.25">
      <c r="B67" s="86"/>
      <c r="C67" s="86"/>
      <c r="D67" s="86"/>
      <c r="E67" s="86"/>
      <c r="F67" s="86"/>
    </row>
    <row r="68" spans="2:6" ht="15" x14ac:dyDescent="0.25">
      <c r="B68" s="86"/>
      <c r="C68" s="86"/>
      <c r="D68" s="86"/>
      <c r="E68" s="86"/>
      <c r="F68" s="86"/>
    </row>
    <row r="69" spans="2:6" ht="15" x14ac:dyDescent="0.25">
      <c r="B69" s="86"/>
      <c r="C69" s="86"/>
      <c r="D69" s="86"/>
      <c r="E69" s="86"/>
      <c r="F69" s="86"/>
    </row>
    <row r="70" spans="2:6" ht="15" x14ac:dyDescent="0.25">
      <c r="B70" s="86"/>
      <c r="C70" s="86"/>
      <c r="D70" s="86"/>
      <c r="E70" s="86"/>
      <c r="F70" s="86"/>
    </row>
    <row r="71" spans="2:6" ht="15" x14ac:dyDescent="0.25">
      <c r="B71" s="86"/>
      <c r="C71" s="86"/>
      <c r="D71" s="86"/>
      <c r="E71" s="86"/>
      <c r="F71" s="86"/>
    </row>
    <row r="72" spans="2:6" ht="15" x14ac:dyDescent="0.25">
      <c r="B72" s="86"/>
      <c r="C72" s="86"/>
      <c r="D72" s="86"/>
      <c r="E72" s="86"/>
      <c r="F72" s="86"/>
    </row>
    <row r="73" spans="2:6" ht="15" x14ac:dyDescent="0.25">
      <c r="B73" s="86"/>
      <c r="C73" s="86"/>
      <c r="D73" s="86"/>
      <c r="E73" s="86"/>
      <c r="F73" s="86"/>
    </row>
    <row r="74" spans="2:6" ht="15" x14ac:dyDescent="0.25">
      <c r="B74" s="86"/>
      <c r="C74" s="86"/>
      <c r="D74" s="86"/>
      <c r="E74" s="86"/>
      <c r="F74" s="86"/>
    </row>
  </sheetData>
  <pageMargins left="0.7" right="0.7" top="0.75" bottom="0.75" header="0.3" footer="0.3"/>
  <pageSetup orientation="portrait" horizontalDpi="4294967293" verticalDpi="90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B40" sqref="B40"/>
    </sheetView>
  </sheetViews>
  <sheetFormatPr defaultColWidth="9.28515625" defaultRowHeight="12.75" x14ac:dyDescent="0.2"/>
  <cols>
    <col min="1" max="1" width="6.28515625" style="82" customWidth="1"/>
    <col min="2" max="2" width="53.7109375" style="82" bestFit="1" customWidth="1"/>
    <col min="3" max="5" width="15.7109375" style="82" bestFit="1" customWidth="1"/>
    <col min="6" max="6" width="15.28515625" style="82" bestFit="1" customWidth="1"/>
    <col min="7" max="10" width="15" style="82" bestFit="1" customWidth="1"/>
    <col min="11" max="11" width="5.140625" style="82" bestFit="1" customWidth="1"/>
    <col min="12" max="16384" width="9.28515625" style="82"/>
  </cols>
  <sheetData>
    <row r="1" spans="1:11" x14ac:dyDescent="0.2">
      <c r="A1" s="81" t="s">
        <v>110</v>
      </c>
      <c r="E1" s="83" t="s">
        <v>111</v>
      </c>
    </row>
    <row r="2" spans="1:11" x14ac:dyDescent="0.2">
      <c r="A2" s="81" t="s">
        <v>112</v>
      </c>
    </row>
    <row r="3" spans="1:11" x14ac:dyDescent="0.2">
      <c r="A3" s="81" t="s">
        <v>113</v>
      </c>
    </row>
    <row r="4" spans="1:11" x14ac:dyDescent="0.2">
      <c r="A4" s="81"/>
    </row>
    <row r="5" spans="1:11" x14ac:dyDescent="0.2">
      <c r="A5" s="84" t="s">
        <v>126</v>
      </c>
    </row>
    <row r="7" spans="1:11" ht="15" x14ac:dyDescent="0.25">
      <c r="A7" s="85" t="s">
        <v>115</v>
      </c>
      <c r="B7" s="85" t="s">
        <v>116</v>
      </c>
      <c r="C7" s="85">
        <v>2022</v>
      </c>
      <c r="D7" s="85">
        <v>2023</v>
      </c>
      <c r="E7" s="85">
        <v>2024</v>
      </c>
      <c r="F7" s="86"/>
    </row>
    <row r="8" spans="1:11" ht="15" x14ac:dyDescent="0.25">
      <c r="F8" s="86"/>
    </row>
    <row r="9" spans="1:11" ht="15" x14ac:dyDescent="0.25">
      <c r="A9" s="87">
        <f>ROW()</f>
        <v>9</v>
      </c>
      <c r="B9" s="82" t="s">
        <v>66</v>
      </c>
      <c r="C9" s="100">
        <v>2.6200000000000001E-2</v>
      </c>
      <c r="D9" s="100">
        <v>2.5499999999999998E-2</v>
      </c>
      <c r="E9" s="100">
        <v>2.5499999999999998E-2</v>
      </c>
      <c r="F9" s="86"/>
    </row>
    <row r="10" spans="1:11" ht="15" x14ac:dyDescent="0.25">
      <c r="A10" s="87">
        <f>ROW()</f>
        <v>10</v>
      </c>
      <c r="B10" s="82" t="s">
        <v>67</v>
      </c>
      <c r="C10" s="100">
        <v>7.2300000000000003E-2</v>
      </c>
      <c r="D10" s="100">
        <v>7.1599999999999997E-2</v>
      </c>
      <c r="E10" s="100">
        <v>7.1599999999999997E-2</v>
      </c>
      <c r="F10" s="86"/>
    </row>
    <row r="11" spans="1:11" ht="15" x14ac:dyDescent="0.25">
      <c r="A11" s="87">
        <f>ROW()</f>
        <v>11</v>
      </c>
      <c r="B11" s="82" t="s">
        <v>68</v>
      </c>
      <c r="C11" s="100">
        <v>0.21</v>
      </c>
      <c r="D11" s="100">
        <v>0.21</v>
      </c>
      <c r="E11" s="100">
        <v>0.21</v>
      </c>
      <c r="F11" s="86"/>
    </row>
    <row r="12" spans="1:11" ht="15" x14ac:dyDescent="0.25">
      <c r="A12" s="87">
        <f>ROW()</f>
        <v>12</v>
      </c>
      <c r="B12" s="82" t="s">
        <v>69</v>
      </c>
      <c r="C12" s="100">
        <v>0.75480100000000006</v>
      </c>
      <c r="D12" s="100">
        <v>0.75480100000000006</v>
      </c>
      <c r="E12" s="100">
        <v>0.75480100000000006</v>
      </c>
      <c r="F12" s="86"/>
    </row>
    <row r="13" spans="1:11" ht="15" x14ac:dyDescent="0.25">
      <c r="A13" s="87">
        <f>ROW()</f>
        <v>13</v>
      </c>
      <c r="B13" s="82" t="s">
        <v>106</v>
      </c>
      <c r="C13" s="101">
        <v>263916344.05486456</v>
      </c>
      <c r="D13" s="101">
        <v>334493403.3409487</v>
      </c>
      <c r="E13" s="101">
        <v>644810592.53539729</v>
      </c>
      <c r="F13" s="91"/>
      <c r="G13" s="91"/>
      <c r="H13" s="91"/>
      <c r="I13" s="102"/>
      <c r="J13" s="102"/>
    </row>
    <row r="14" spans="1:11" ht="15" x14ac:dyDescent="0.25">
      <c r="A14" s="87">
        <f>ROW()</f>
        <v>14</v>
      </c>
      <c r="C14" s="101"/>
      <c r="D14" s="103"/>
      <c r="E14" s="103"/>
      <c r="F14" s="86"/>
      <c r="I14" s="102"/>
      <c r="J14" s="102"/>
    </row>
    <row r="15" spans="1:11" ht="15" x14ac:dyDescent="0.25">
      <c r="A15" s="87">
        <f>ROW()</f>
        <v>15</v>
      </c>
      <c r="B15" s="82" t="s">
        <v>117</v>
      </c>
      <c r="C15" s="101">
        <v>-4562846.2311439998</v>
      </c>
      <c r="D15" s="101">
        <v>-15825245.001215998</v>
      </c>
      <c r="E15" s="101">
        <v>-35109891.338709995</v>
      </c>
      <c r="F15" s="91"/>
      <c r="G15" s="91"/>
      <c r="H15" s="91"/>
      <c r="I15" s="91"/>
      <c r="J15" s="91"/>
      <c r="K15" s="91"/>
    </row>
    <row r="16" spans="1:11" ht="15" x14ac:dyDescent="0.25">
      <c r="A16" s="87">
        <f>ROW()</f>
        <v>16</v>
      </c>
      <c r="B16" s="82" t="s">
        <v>118</v>
      </c>
      <c r="C16" s="92">
        <v>1296670.5468090023</v>
      </c>
      <c r="D16" s="92">
        <v>3645192.0389554403</v>
      </c>
      <c r="E16" s="92">
        <v>7766732.2376391236</v>
      </c>
      <c r="F16" s="91"/>
      <c r="G16" s="91"/>
      <c r="H16" s="91"/>
      <c r="I16" s="91"/>
      <c r="J16" s="91"/>
    </row>
    <row r="17" spans="1:10" ht="15" x14ac:dyDescent="0.25">
      <c r="A17" s="87">
        <f>ROW()</f>
        <v>17</v>
      </c>
      <c r="B17" s="82" t="s">
        <v>119</v>
      </c>
      <c r="C17" s="93">
        <f>SUM(C15:C16)</f>
        <v>-3266175.6843349976</v>
      </c>
      <c r="D17" s="93">
        <f>SUM(D15:D16)</f>
        <v>-12180052.962260557</v>
      </c>
      <c r="E17" s="93">
        <f>SUM(E15:E16)</f>
        <v>-27343159.101070873</v>
      </c>
      <c r="F17" s="86"/>
      <c r="I17" s="102"/>
      <c r="J17" s="102"/>
    </row>
    <row r="18" spans="1:10" ht="15" x14ac:dyDescent="0.25">
      <c r="A18" s="87">
        <f>ROW()</f>
        <v>18</v>
      </c>
      <c r="B18" s="82" t="s">
        <v>120</v>
      </c>
      <c r="C18" s="92">
        <f>C13*C9*C11</f>
        <v>1452067.7249898647</v>
      </c>
      <c r="D18" s="92">
        <f>D13*D9*D11</f>
        <v>1791212.1748907804</v>
      </c>
      <c r="E18" s="92">
        <f>E13*E9*E11</f>
        <v>3452960.7230270519</v>
      </c>
      <c r="F18" s="86"/>
      <c r="I18" s="102"/>
      <c r="J18" s="102"/>
    </row>
    <row r="19" spans="1:10" ht="15" x14ac:dyDescent="0.25">
      <c r="A19" s="87">
        <f>ROW()</f>
        <v>19</v>
      </c>
      <c r="B19" s="82" t="s">
        <v>121</v>
      </c>
      <c r="C19" s="93">
        <f>SUM(C17:C18)</f>
        <v>-1814107.9593451328</v>
      </c>
      <c r="D19" s="93">
        <f>SUM(D17:D18)</f>
        <v>-10388840.787369777</v>
      </c>
      <c r="E19" s="93">
        <f>SUM(E17:E18)</f>
        <v>-23890198.378043823</v>
      </c>
      <c r="F19" s="86"/>
      <c r="I19" s="102"/>
      <c r="J19" s="102"/>
    </row>
    <row r="20" spans="1:10" ht="15" x14ac:dyDescent="0.25">
      <c r="A20" s="87">
        <f>ROW()</f>
        <v>20</v>
      </c>
      <c r="B20" s="82" t="s">
        <v>122</v>
      </c>
      <c r="C20" s="92">
        <f>C13*C10</f>
        <v>19081151.675166707</v>
      </c>
      <c r="D20" s="92">
        <f>D13*D10</f>
        <v>23949727.679211926</v>
      </c>
      <c r="E20" s="92">
        <f>E13*E10</f>
        <v>46168438.425534442</v>
      </c>
      <c r="F20" s="86"/>
      <c r="I20" s="102"/>
      <c r="J20" s="102"/>
    </row>
    <row r="21" spans="1:10" ht="15" x14ac:dyDescent="0.25">
      <c r="A21" s="87">
        <f>ROW()</f>
        <v>21</v>
      </c>
      <c r="B21" s="82" t="s">
        <v>64</v>
      </c>
      <c r="C21" s="94">
        <f>C20-C19</f>
        <v>20895259.63451184</v>
      </c>
      <c r="D21" s="94">
        <f>D20-D19</f>
        <v>34338568.466581702</v>
      </c>
      <c r="E21" s="94">
        <f>E20-E19</f>
        <v>70058636.803578258</v>
      </c>
      <c r="F21" s="86"/>
      <c r="I21" s="102"/>
      <c r="J21" s="102"/>
    </row>
    <row r="22" spans="1:10" ht="15" x14ac:dyDescent="0.25">
      <c r="A22" s="87">
        <f>ROW()</f>
        <v>22</v>
      </c>
      <c r="B22" s="82" t="s">
        <v>123</v>
      </c>
      <c r="C22" s="104">
        <f>C21/C12</f>
        <v>27683137.190480456</v>
      </c>
      <c r="D22" s="104">
        <f>D21/D12</f>
        <v>45493538.650030538</v>
      </c>
      <c r="E22" s="104">
        <f>E21/E12</f>
        <v>92817360.872042105</v>
      </c>
      <c r="F22" s="86"/>
      <c r="I22" s="102"/>
      <c r="J22" s="102"/>
    </row>
    <row r="23" spans="1:10" ht="15" x14ac:dyDescent="0.25">
      <c r="A23" s="87">
        <f>ROW()</f>
        <v>23</v>
      </c>
      <c r="B23" s="82" t="s">
        <v>124</v>
      </c>
      <c r="C23" s="94">
        <v>0</v>
      </c>
      <c r="D23" s="94">
        <f>D22</f>
        <v>45493538.650030538</v>
      </c>
      <c r="E23" s="94">
        <f>E22</f>
        <v>92817360.872042105</v>
      </c>
      <c r="F23" s="86"/>
    </row>
    <row r="24" spans="1:10" ht="15" x14ac:dyDescent="0.25">
      <c r="A24" s="87">
        <f>ROW()</f>
        <v>24</v>
      </c>
      <c r="C24" s="97"/>
      <c r="D24" s="90"/>
      <c r="E24" s="90"/>
      <c r="F24" s="86"/>
    </row>
    <row r="25" spans="1:10" ht="15.75" thickBot="1" x14ac:dyDescent="0.3">
      <c r="A25" s="87">
        <f>ROW()</f>
        <v>25</v>
      </c>
      <c r="B25" s="82" t="s">
        <v>125</v>
      </c>
      <c r="C25" s="98">
        <f>C23</f>
        <v>0</v>
      </c>
      <c r="D25" s="99">
        <f>D23-C23</f>
        <v>45493538.650030538</v>
      </c>
      <c r="E25" s="99">
        <f>E23-D23</f>
        <v>47323822.222011566</v>
      </c>
      <c r="F25" s="86"/>
    </row>
    <row r="26" spans="1:10" ht="15.75" thickTop="1" x14ac:dyDescent="0.25">
      <c r="F26" s="86"/>
    </row>
    <row r="27" spans="1:10" ht="15" x14ac:dyDescent="0.25">
      <c r="B27" s="105"/>
      <c r="C27" s="106"/>
      <c r="D27" s="106"/>
      <c r="E27" s="106"/>
      <c r="F27" s="86"/>
    </row>
    <row r="28" spans="1:10" ht="15" x14ac:dyDescent="0.25">
      <c r="B28" s="117" t="s">
        <v>129</v>
      </c>
      <c r="C28" s="124">
        <f>C22</f>
        <v>27683137.190480456</v>
      </c>
      <c r="D28" s="124">
        <f>D25-C28</f>
        <v>17810401.459550083</v>
      </c>
      <c r="E28" s="124">
        <f>E25</f>
        <v>47323822.222011566</v>
      </c>
      <c r="F28" s="106">
        <f>SUM(C28:E28)</f>
        <v>92817360.872042105</v>
      </c>
      <c r="G28" s="116">
        <f>F28-E23</f>
        <v>0</v>
      </c>
    </row>
    <row r="29" spans="1:10" ht="15" x14ac:dyDescent="0.25">
      <c r="B29" s="117" t="s">
        <v>130</v>
      </c>
      <c r="C29" s="118" t="e">
        <f>D29</f>
        <v>#REF!</v>
      </c>
      <c r="D29" s="118" t="e">
        <f>#REF!</f>
        <v>#REF!</v>
      </c>
      <c r="E29" s="118" t="e">
        <f>D29</f>
        <v>#REF!</v>
      </c>
      <c r="F29" s="86"/>
    </row>
    <row r="30" spans="1:10" ht="15" x14ac:dyDescent="0.25">
      <c r="B30" s="117" t="s">
        <v>131</v>
      </c>
      <c r="C30" s="119" t="e">
        <f>D30</f>
        <v>#REF!</v>
      </c>
      <c r="D30" s="120" t="e">
        <f>D13*D29/D12</f>
        <v>#REF!</v>
      </c>
      <c r="E30" s="120" t="e">
        <f>E13*E29/E12</f>
        <v>#REF!</v>
      </c>
      <c r="F30" s="86"/>
    </row>
    <row r="31" spans="1:10" ht="15" x14ac:dyDescent="0.25">
      <c r="B31" s="117"/>
      <c r="C31" s="121" t="e">
        <f>C30/C22</f>
        <v>#REF!</v>
      </c>
      <c r="D31" s="121" t="e">
        <f>D30/D28</f>
        <v>#REF!</v>
      </c>
      <c r="E31" s="121" t="e">
        <f>E30/E28</f>
        <v>#REF!</v>
      </c>
      <c r="F31" s="86"/>
    </row>
    <row r="32" spans="1:10" x14ac:dyDescent="0.2">
      <c r="C32" s="106"/>
      <c r="D32" s="106"/>
      <c r="E32" s="106"/>
      <c r="F32" s="106"/>
    </row>
    <row r="33" spans="3:6" x14ac:dyDescent="0.2">
      <c r="C33" s="106"/>
      <c r="D33" s="106"/>
      <c r="E33" s="106"/>
      <c r="F33" s="106"/>
    </row>
    <row r="34" spans="3:6" x14ac:dyDescent="0.2">
      <c r="C34" s="106"/>
      <c r="D34" s="106"/>
      <c r="E34" s="106"/>
      <c r="F34" s="106"/>
    </row>
    <row r="35" spans="3:6" x14ac:dyDescent="0.2">
      <c r="C35" s="106"/>
      <c r="D35" s="106"/>
      <c r="E35" s="106"/>
      <c r="F35" s="106"/>
    </row>
    <row r="36" spans="3:6" x14ac:dyDescent="0.2">
      <c r="C36" s="106"/>
      <c r="D36" s="106"/>
      <c r="E36" s="106"/>
      <c r="F36" s="106"/>
    </row>
    <row r="37" spans="3:6" x14ac:dyDescent="0.2">
      <c r="C37" s="106"/>
      <c r="D37" s="106"/>
      <c r="E37" s="106"/>
      <c r="F37" s="106"/>
    </row>
    <row r="38" spans="3:6" x14ac:dyDescent="0.2">
      <c r="C38" s="106"/>
      <c r="D38" s="106"/>
      <c r="E38" s="106"/>
      <c r="F38" s="106"/>
    </row>
    <row r="39" spans="3:6" x14ac:dyDescent="0.2">
      <c r="C39" s="106"/>
      <c r="D39" s="106"/>
      <c r="E39" s="106"/>
      <c r="F39" s="106"/>
    </row>
    <row r="41" spans="3:6" x14ac:dyDescent="0.2">
      <c r="C41" s="107"/>
      <c r="D41" s="107"/>
      <c r="E41" s="107"/>
      <c r="F41" s="107"/>
    </row>
    <row r="42" spans="3:6" x14ac:dyDescent="0.2">
      <c r="C42" s="107"/>
      <c r="D42" s="107"/>
      <c r="E42" s="107"/>
      <c r="F42" s="107"/>
    </row>
    <row r="43" spans="3:6" x14ac:dyDescent="0.2">
      <c r="C43" s="107"/>
      <c r="D43" s="107"/>
      <c r="E43" s="107"/>
      <c r="F43" s="107"/>
    </row>
    <row r="44" spans="3:6" x14ac:dyDescent="0.2">
      <c r="C44" s="107"/>
      <c r="D44" s="107"/>
      <c r="E44" s="107"/>
      <c r="F44" s="107"/>
    </row>
    <row r="45" spans="3:6" x14ac:dyDescent="0.2">
      <c r="C45" s="107"/>
      <c r="D45" s="107"/>
      <c r="E45" s="107"/>
      <c r="F45" s="107"/>
    </row>
    <row r="46" spans="3:6" x14ac:dyDescent="0.2">
      <c r="C46" s="107"/>
      <c r="D46" s="107"/>
      <c r="E46" s="107"/>
      <c r="F46" s="107"/>
    </row>
    <row r="47" spans="3:6" x14ac:dyDescent="0.2">
      <c r="C47" s="107"/>
      <c r="D47" s="107"/>
      <c r="E47" s="107"/>
      <c r="F47" s="107"/>
    </row>
    <row r="48" spans="3:6" x14ac:dyDescent="0.2">
      <c r="C48" s="107"/>
      <c r="D48" s="107"/>
      <c r="E48" s="107"/>
      <c r="F48" s="107"/>
    </row>
    <row r="49" spans="3:6" x14ac:dyDescent="0.2">
      <c r="C49" s="107"/>
      <c r="D49" s="107"/>
      <c r="E49" s="107"/>
      <c r="F49" s="107"/>
    </row>
    <row r="50" spans="3:6" x14ac:dyDescent="0.2">
      <c r="C50" s="107"/>
      <c r="D50" s="107"/>
      <c r="E50" s="107"/>
      <c r="F50" s="107"/>
    </row>
    <row r="51" spans="3:6" x14ac:dyDescent="0.2">
      <c r="C51" s="107"/>
      <c r="D51" s="107"/>
      <c r="E51" s="107"/>
      <c r="F51" s="107"/>
    </row>
    <row r="52" spans="3:6" x14ac:dyDescent="0.2">
      <c r="C52" s="107"/>
      <c r="D52" s="107"/>
      <c r="E52" s="107"/>
      <c r="F52" s="107"/>
    </row>
    <row r="53" spans="3:6" x14ac:dyDescent="0.2">
      <c r="C53" s="107"/>
      <c r="D53" s="107"/>
      <c r="E53" s="107"/>
      <c r="F53" s="107"/>
    </row>
    <row r="54" spans="3:6" x14ac:dyDescent="0.2">
      <c r="C54" s="102"/>
    </row>
    <row r="55" spans="3:6" x14ac:dyDescent="0.2">
      <c r="C55" s="102"/>
    </row>
    <row r="56" spans="3:6" x14ac:dyDescent="0.2">
      <c r="C56" s="102"/>
    </row>
  </sheetData>
  <pageMargins left="0.7" right="0.7" top="0.75" bottom="0.75" header="0.3" footer="0.3"/>
  <pageSetup orientation="portrait" horizontalDpi="4294967293" verticalDpi="0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workbookViewId="0">
      <pane xSplit="2" ySplit="5" topLeftCell="C39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42578125" bestFit="1" customWidth="1"/>
    <col min="4" max="4" width="9.140625" bestFit="1" customWidth="1"/>
    <col min="5" max="5" width="19.85546875" bestFit="1" customWidth="1"/>
    <col min="7" max="7" width="41.5703125" bestFit="1" customWidth="1"/>
    <col min="8" max="8" width="25.42578125" bestFit="1" customWidth="1"/>
    <col min="9" max="9" width="9.140625" bestFit="1" customWidth="1"/>
    <col min="10" max="10" width="17.140625" customWidth="1"/>
  </cols>
  <sheetData>
    <row r="2" spans="1:10" ht="18.75" x14ac:dyDescent="0.3">
      <c r="B2" s="66" t="s">
        <v>37</v>
      </c>
      <c r="F2" s="67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203</v>
      </c>
      <c r="F5" s="68"/>
      <c r="G5" s="13" t="s">
        <v>0</v>
      </c>
      <c r="H5" s="13" t="s">
        <v>39</v>
      </c>
      <c r="I5" s="13" t="s">
        <v>40</v>
      </c>
      <c r="J5" s="13" t="s">
        <v>203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2585143.9233339997</v>
      </c>
      <c r="F6" s="67"/>
      <c r="G6" t="s">
        <v>132</v>
      </c>
      <c r="H6" t="s">
        <v>41</v>
      </c>
      <c r="I6" t="s">
        <v>42</v>
      </c>
      <c r="J6" s="7">
        <v>1335304.8533326667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15089799.116666663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11040154.186666667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163258.24333333335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5006137.7654166659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5736257.5908333333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-14236237.534166669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-1568587.6816666666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79257830.225416675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20101.651250000003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2832.6887500000003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118640878.05041665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9261.4049999999825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5179821.9019085001</v>
      </c>
      <c r="F19" s="67"/>
      <c r="G19" t="s">
        <v>9</v>
      </c>
      <c r="H19" t="s">
        <v>41</v>
      </c>
      <c r="I19" t="s">
        <v>42</v>
      </c>
      <c r="J19" s="7">
        <v>2675534.3339248337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105587700.83374995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23739315.732083339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54183824.50166665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277146.53916666663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19090948.870416671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-3595.8600000000006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160280782.9966667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-29641.090000000007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6522851.8203169974</v>
      </c>
      <c r="F28" s="67"/>
      <c r="G28" t="s">
        <v>17</v>
      </c>
      <c r="H28" t="s">
        <v>41</v>
      </c>
      <c r="I28" t="s">
        <v>42</v>
      </c>
      <c r="J28" s="7">
        <v>3369249.8180163321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232924.97000000003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154464.00999999998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2677726.1862499998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1560532.325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506294.4120833333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14435849.020000001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26095020.657266743</v>
      </c>
      <c r="F36" s="67"/>
      <c r="G36" t="s">
        <v>84</v>
      </c>
      <c r="H36" t="s">
        <v>84</v>
      </c>
      <c r="I36" t="s">
        <v>42</v>
      </c>
      <c r="J36" s="7">
        <v>13478865.689816581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30932629.891666666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4413164.9916666672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34271524.095000081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48534662.120833345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60557014.25833334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71143812.659166664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21865008.785833333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16843979.2794035</v>
      </c>
      <c r="F44" s="67"/>
      <c r="G44" t="s">
        <v>26</v>
      </c>
      <c r="H44" t="s">
        <v>45</v>
      </c>
      <c r="I44" t="s">
        <v>42</v>
      </c>
      <c r="J44" s="7">
        <v>8700423.6314298343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19188087.734583333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1541876.3087499999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13985814.217697</v>
      </c>
      <c r="F47" s="67"/>
      <c r="G47" t="s">
        <v>26</v>
      </c>
      <c r="H47" t="s">
        <v>41</v>
      </c>
      <c r="I47" t="s">
        <v>42</v>
      </c>
      <c r="J47" s="7">
        <v>7224095.1206363337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117039704.04416665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3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9432203.7058333326</v>
      </c>
    </row>
    <row r="50" spans="1:13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17787799.592916667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3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2842664.0216666665</v>
      </c>
    </row>
    <row r="52" spans="1:13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3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3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3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3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3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2061746.6195833334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  <c r="L57" s="8"/>
      <c r="M57" s="8"/>
    </row>
    <row r="58" spans="1:13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1834414.8974999997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  <c r="L58" s="8"/>
      <c r="M58" s="8"/>
    </row>
    <row r="59" spans="1:13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  <c r="L59" s="8"/>
      <c r="M59" s="8"/>
    </row>
    <row r="60" spans="1:13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6530908.2300000004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  <c r="L60" s="8"/>
      <c r="M60" s="8"/>
    </row>
    <row r="61" spans="1:13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1158287.94120375</v>
      </c>
      <c r="F61" s="67"/>
      <c r="G61" t="s">
        <v>30</v>
      </c>
      <c r="H61" t="s">
        <v>45</v>
      </c>
      <c r="I61" t="s">
        <v>42</v>
      </c>
      <c r="J61" s="7">
        <v>598290.67754625005</v>
      </c>
      <c r="K61" s="8"/>
      <c r="L61" s="8"/>
      <c r="M61" s="8"/>
    </row>
    <row r="62" spans="1:13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796097147.51363051</v>
      </c>
      <c r="F62" s="72"/>
      <c r="G62" s="69" t="s">
        <v>32</v>
      </c>
      <c r="H62" s="70"/>
      <c r="I62" s="70"/>
      <c r="J62" s="71">
        <f>SUM(J6:J61)</f>
        <v>365488717.46470284</v>
      </c>
      <c r="K62" s="8"/>
      <c r="L62" s="8"/>
      <c r="M62" s="8"/>
    </row>
    <row r="63" spans="1:13" x14ac:dyDescent="0.25">
      <c r="B63" s="9"/>
      <c r="C63" s="8"/>
      <c r="D63" s="8"/>
      <c r="E63" s="10"/>
      <c r="F63" s="8"/>
      <c r="G63" s="9"/>
      <c r="H63" s="8"/>
      <c r="I63" s="8"/>
      <c r="J63" s="10"/>
      <c r="K63" s="8"/>
      <c r="L63" s="8"/>
      <c r="M63" s="8"/>
    </row>
    <row r="64" spans="1:13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pane xSplit="2" ySplit="5" topLeftCell="E5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8554687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8554687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E4" s="5"/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204</v>
      </c>
      <c r="F5" s="68"/>
      <c r="G5" s="13" t="s">
        <v>0</v>
      </c>
      <c r="H5" s="13" t="s">
        <v>39</v>
      </c>
      <c r="I5" s="13" t="s">
        <v>40</v>
      </c>
      <c r="J5" s="13" t="s">
        <v>204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188944.70831136056</v>
      </c>
      <c r="F6" s="67"/>
      <c r="G6" t="s">
        <v>132</v>
      </c>
      <c r="H6" t="s">
        <v>41</v>
      </c>
      <c r="I6" t="s">
        <v>42</v>
      </c>
      <c r="J6" s="7">
        <v>97595.64399582865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479223.53495273483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325156.86525246024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1713.3318589166668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89858.451288883618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127484.82421287484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-414628.32214930793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-52607.404029384103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2261286.2438486847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634.7029489966045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285.57772366386803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3263642.4379582289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1067.5246145833332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1015983.7057397708</v>
      </c>
      <c r="F19" s="67"/>
      <c r="G19" t="s">
        <v>9</v>
      </c>
      <c r="H19" t="s">
        <v>41</v>
      </c>
      <c r="I19" t="s">
        <v>42</v>
      </c>
      <c r="J19" s="7">
        <v>524786.24533661804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2790029.4703639331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627814.93933698232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177488.0274752673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1991.4332651684733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471735.11641573103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-328.52681395833332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4536779.9114811895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-8031.040493055556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1625896.3801376768</v>
      </c>
      <c r="F28" s="67"/>
      <c r="G28" t="s">
        <v>17</v>
      </c>
      <c r="H28" t="s">
        <v>41</v>
      </c>
      <c r="I28" t="s">
        <v>42</v>
      </c>
      <c r="J28" s="7">
        <v>839824.5481875838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57803.900114562501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54708.101222222227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79875.919268406564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2530.2505838263887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20370.790299451386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1378362.3740106877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2367588.9134471864</v>
      </c>
      <c r="F36" s="67"/>
      <c r="G36" t="s">
        <v>84</v>
      </c>
      <c r="H36" t="s">
        <v>84</v>
      </c>
      <c r="I36" t="s">
        <v>42</v>
      </c>
      <c r="J36" s="7">
        <v>1222931.1251442397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681643.62735216203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48583.297369701584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942974.88288525585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819483.89911246474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1303797.2430099526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2529677.1644083103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950232.76538122701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2253405.2480796594</v>
      </c>
      <c r="F44" s="67"/>
      <c r="G44" t="s">
        <v>26</v>
      </c>
      <c r="H44" t="s">
        <v>45</v>
      </c>
      <c r="I44" t="s">
        <v>42</v>
      </c>
      <c r="J44" s="7">
        <v>1163951.8160387201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1501951.6569591404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80787.15298742603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2139622.1529673613</v>
      </c>
      <c r="F47" s="67"/>
      <c r="G47" t="s">
        <v>26</v>
      </c>
      <c r="H47" t="s">
        <v>41</v>
      </c>
      <c r="I47" t="s">
        <v>42</v>
      </c>
      <c r="J47" s="7">
        <v>1105179.4135588161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4852789.2262072265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332860.85802441637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558451.24263954291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59887.78265254166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23249.906689138377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2068.0370027919971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36730.138531472228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199416.3005986122</v>
      </c>
      <c r="F61" s="67"/>
      <c r="G61" t="s">
        <v>30</v>
      </c>
      <c r="H61" t="s">
        <v>45</v>
      </c>
      <c r="I61" t="s">
        <v>42</v>
      </c>
      <c r="J61" s="7">
        <v>103004.53743386005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32353171.102767024</v>
      </c>
      <c r="F62" s="72"/>
      <c r="G62" s="69" t="s">
        <v>32</v>
      </c>
      <c r="H62" s="70"/>
      <c r="I62" s="70"/>
      <c r="J62" s="71">
        <f>SUM(J6:J61)</f>
        <v>13494376.952434788</v>
      </c>
    </row>
    <row r="63" spans="1:10" x14ac:dyDescent="0.25">
      <c r="B63" s="9"/>
      <c r="E63" s="11"/>
      <c r="G63" s="9"/>
      <c r="J63" s="11"/>
    </row>
    <row r="64" spans="1:10" x14ac:dyDescent="0.25">
      <c r="B64" s="9"/>
      <c r="E64" s="11"/>
      <c r="G64" s="9"/>
      <c r="J64" s="11"/>
    </row>
    <row r="65" spans="2:10" x14ac:dyDescent="0.25">
      <c r="B65" s="9"/>
      <c r="E65" s="11"/>
      <c r="G65" s="9"/>
      <c r="J65" s="11"/>
    </row>
    <row r="66" spans="2:10" x14ac:dyDescent="0.25">
      <c r="B66" s="9"/>
      <c r="E66" s="11"/>
      <c r="G66" s="9"/>
      <c r="J66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  <c r="F1" s="67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135</v>
      </c>
      <c r="F5" s="68"/>
      <c r="G5" s="13" t="s">
        <v>0</v>
      </c>
      <c r="H5" s="13" t="s">
        <v>39</v>
      </c>
      <c r="I5" s="13" t="s">
        <v>40</v>
      </c>
      <c r="J5" s="13" t="s">
        <v>135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454726.98588401458</v>
      </c>
      <c r="F6" s="67"/>
      <c r="G6" t="s">
        <v>132</v>
      </c>
      <c r="H6" t="s">
        <v>41</v>
      </c>
      <c r="I6" t="s">
        <v>42</v>
      </c>
      <c r="J6" s="7">
        <v>234880.21139231935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686458.46548178222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799247.73928539664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7953.1627200601843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107382.38246529897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264050.65786646964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-60662.983759304043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-31370.699667204364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799870.02381538227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615.79252405677221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65.394046855606078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4462663.8953570956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6830.9920522102666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379675.07577025512</v>
      </c>
      <c r="F19" s="67"/>
      <c r="G19" t="s">
        <v>9</v>
      </c>
      <c r="H19" t="s">
        <v>41</v>
      </c>
      <c r="I19" t="s">
        <v>42</v>
      </c>
      <c r="J19" s="7">
        <v>196113.63483067774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1400751.509383799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949428.75361364952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1055058.2659856556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-20644.571249068267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729457.39143396297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-16.704245347448644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1655045.275893853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-756.94879326502291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208436.04056009062</v>
      </c>
      <c r="F28" s="67"/>
      <c r="G28" t="s">
        <v>17</v>
      </c>
      <c r="H28" t="s">
        <v>41</v>
      </c>
      <c r="I28" t="s">
        <v>42</v>
      </c>
      <c r="J28" s="7">
        <v>107663.50533025003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6969.7947312774413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-102.42049783094808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126527.70782320583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16464.086238965152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10175.062828016216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-12983.695394158094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2472789.0014670389</v>
      </c>
      <c r="F36" s="67"/>
      <c r="G36" t="s">
        <v>84</v>
      </c>
      <c r="H36" t="s">
        <v>84</v>
      </c>
      <c r="I36" t="s">
        <v>42</v>
      </c>
      <c r="J36" s="7">
        <v>1277270.1454347488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-526431.16332908382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-352034.83110481821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686173.00898094219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1890061.7372362106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2815729.3854248286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2619136.8856605999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1073249.3370517879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784066.42161520582</v>
      </c>
      <c r="F44" s="67"/>
      <c r="G44" t="s">
        <v>26</v>
      </c>
      <c r="H44" t="s">
        <v>45</v>
      </c>
      <c r="I44" t="s">
        <v>42</v>
      </c>
      <c r="J44" s="7">
        <v>404993.96906602837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794756.55402615387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117642.96385471657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274664.76931139099</v>
      </c>
      <c r="F47" s="67"/>
      <c r="G47" t="s">
        <v>26</v>
      </c>
      <c r="H47" t="s">
        <v>41</v>
      </c>
      <c r="I47" t="s">
        <v>42</v>
      </c>
      <c r="J47" s="7">
        <v>141872.64244382738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3064190.2691187928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0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453855.06613024208</v>
      </c>
    </row>
    <row r="50" spans="1:10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399848.02949220315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0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100282.88726583292</v>
      </c>
    </row>
    <row r="52" spans="1:10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0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0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0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0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0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34077.986262483762</v>
      </c>
      <c r="F57" s="67"/>
      <c r="G57" t="s">
        <v>31</v>
      </c>
      <c r="H57" t="s">
        <v>41</v>
      </c>
      <c r="I57" t="s">
        <v>43</v>
      </c>
      <c r="J57" s="7">
        <v>0</v>
      </c>
    </row>
    <row r="58" spans="1:10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262480.79237658833</v>
      </c>
      <c r="F58" s="67"/>
      <c r="G58" t="s">
        <v>28</v>
      </c>
      <c r="H58" t="s">
        <v>45</v>
      </c>
      <c r="I58" t="s">
        <v>43</v>
      </c>
      <c r="J58" s="7">
        <v>0</v>
      </c>
    </row>
    <row r="59" spans="1:10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</row>
    <row r="60" spans="1:10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109217.79629341209</v>
      </c>
      <c r="F60" s="67"/>
      <c r="G60" t="s">
        <v>29</v>
      </c>
      <c r="H60" t="s">
        <v>45</v>
      </c>
      <c r="I60" t="s">
        <v>43</v>
      </c>
      <c r="J60" s="7">
        <v>0</v>
      </c>
    </row>
    <row r="61" spans="1:10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96472.838539197008</v>
      </c>
      <c r="F61" s="67"/>
      <c r="G61" t="s">
        <v>30</v>
      </c>
      <c r="H61" t="s">
        <v>45</v>
      </c>
      <c r="I61" t="s">
        <v>42</v>
      </c>
      <c r="J61" s="7">
        <v>49831.132554520023</v>
      </c>
    </row>
    <row r="62" spans="1:10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17872129.362987526</v>
      </c>
      <c r="F62" s="72"/>
      <c r="G62" s="69" t="s">
        <v>32</v>
      </c>
      <c r="H62" s="70"/>
      <c r="I62" s="70"/>
      <c r="J62" s="71">
        <f>SUM(J6:J61)</f>
        <v>15712042.045893749</v>
      </c>
    </row>
    <row r="63" spans="1:10" x14ac:dyDescent="0.25">
      <c r="A63" s="26"/>
      <c r="B63" s="9"/>
      <c r="E63" s="11"/>
      <c r="G63" s="9"/>
      <c r="J63" s="11"/>
    </row>
    <row r="64" spans="1:10" x14ac:dyDescent="0.25">
      <c r="A64" s="26"/>
      <c r="B64" s="9"/>
      <c r="E64" s="11"/>
      <c r="G64" s="9"/>
      <c r="J64" s="11"/>
    </row>
    <row r="65" spans="1:10" x14ac:dyDescent="0.25">
      <c r="A65" s="26"/>
      <c r="B65" s="9"/>
      <c r="E65" s="11"/>
      <c r="G65" s="9"/>
      <c r="J65" s="11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pane xSplit="2" ySplit="5" topLeftCell="C6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25.140625" bestFit="1" customWidth="1"/>
    <col min="4" max="4" width="9.140625" bestFit="1" customWidth="1"/>
    <col min="5" max="5" width="15.140625" bestFit="1" customWidth="1"/>
    <col min="7" max="7" width="41.5703125" bestFit="1" customWidth="1"/>
    <col min="8" max="8" width="25.140625" bestFit="1" customWidth="1"/>
    <col min="9" max="9" width="9.140625" bestFit="1" customWidth="1"/>
    <col min="10" max="10" width="15.140625" bestFit="1" customWidth="1"/>
  </cols>
  <sheetData>
    <row r="1" spans="1:10" x14ac:dyDescent="0.25">
      <c r="B1" s="4"/>
    </row>
    <row r="2" spans="1:10" ht="18.75" x14ac:dyDescent="0.3">
      <c r="B2" s="66" t="s">
        <v>37</v>
      </c>
      <c r="C2" s="73"/>
      <c r="D2" s="73"/>
      <c r="E2" s="73"/>
      <c r="F2" s="74"/>
      <c r="G2" s="66" t="s">
        <v>38</v>
      </c>
    </row>
    <row r="3" spans="1:10" x14ac:dyDescent="0.25">
      <c r="F3" s="67"/>
    </row>
    <row r="4" spans="1:10" x14ac:dyDescent="0.25">
      <c r="A4" s="61" t="s">
        <v>52</v>
      </c>
      <c r="F4" s="67"/>
    </row>
    <row r="5" spans="1:10" x14ac:dyDescent="0.25">
      <c r="A5" s="19" t="s">
        <v>53</v>
      </c>
      <c r="B5" s="13" t="s">
        <v>0</v>
      </c>
      <c r="C5" s="13" t="s">
        <v>39</v>
      </c>
      <c r="D5" s="13" t="s">
        <v>40</v>
      </c>
      <c r="E5" s="13" t="s">
        <v>134</v>
      </c>
      <c r="F5" s="68"/>
      <c r="G5" s="13" t="s">
        <v>0</v>
      </c>
      <c r="H5" s="13" t="s">
        <v>39</v>
      </c>
      <c r="I5" s="13" t="s">
        <v>40</v>
      </c>
      <c r="J5" s="13" t="s">
        <v>134</v>
      </c>
    </row>
    <row r="6" spans="1:10" x14ac:dyDescent="0.25">
      <c r="A6" s="26">
        <v>1</v>
      </c>
      <c r="B6" t="s">
        <v>132</v>
      </c>
      <c r="C6" t="s">
        <v>41</v>
      </c>
      <c r="D6" t="s">
        <v>42</v>
      </c>
      <c r="E6" s="7">
        <v>184822.5372357915</v>
      </c>
      <c r="F6" s="67"/>
      <c r="G6" t="s">
        <v>132</v>
      </c>
      <c r="H6" t="s">
        <v>41</v>
      </c>
      <c r="I6" t="s">
        <v>42</v>
      </c>
      <c r="J6" s="7">
        <v>95466.418232500146</v>
      </c>
    </row>
    <row r="7" spans="1:10" s="8" customFormat="1" x14ac:dyDescent="0.25">
      <c r="A7" s="26">
        <f>A6+1</f>
        <v>2</v>
      </c>
      <c r="B7" t="s">
        <v>132</v>
      </c>
      <c r="C7" t="s">
        <v>41</v>
      </c>
      <c r="D7" t="s">
        <v>43</v>
      </c>
      <c r="E7" s="7">
        <v>748941.05452572461</v>
      </c>
      <c r="F7" s="67"/>
      <c r="G7" t="s">
        <v>132</v>
      </c>
      <c r="H7" t="s">
        <v>41</v>
      </c>
      <c r="I7" t="s">
        <v>43</v>
      </c>
      <c r="J7" s="7">
        <v>0</v>
      </c>
    </row>
    <row r="8" spans="1:10" s="8" customFormat="1" x14ac:dyDescent="0.25">
      <c r="A8" s="26">
        <f t="shared" ref="A8:A62" si="0">A7+1</f>
        <v>3</v>
      </c>
      <c r="B8" t="s">
        <v>132</v>
      </c>
      <c r="C8" t="s">
        <v>41</v>
      </c>
      <c r="D8" t="s">
        <v>44</v>
      </c>
      <c r="E8" s="7">
        <v>0</v>
      </c>
      <c r="F8" s="67"/>
      <c r="G8" t="s">
        <v>132</v>
      </c>
      <c r="H8" t="s">
        <v>41</v>
      </c>
      <c r="I8" t="s">
        <v>44</v>
      </c>
      <c r="J8" s="7">
        <v>636646.70544048306</v>
      </c>
    </row>
    <row r="9" spans="1:10" s="8" customFormat="1" x14ac:dyDescent="0.25">
      <c r="A9" s="26">
        <f t="shared" si="0"/>
        <v>4</v>
      </c>
      <c r="B9" t="s">
        <v>1</v>
      </c>
      <c r="C9" t="s">
        <v>45</v>
      </c>
      <c r="D9" t="s">
        <v>43</v>
      </c>
      <c r="E9" s="7">
        <v>14509.210332333334</v>
      </c>
      <c r="F9" s="67"/>
      <c r="G9" t="s">
        <v>1</v>
      </c>
      <c r="H9" t="s">
        <v>45</v>
      </c>
      <c r="I9" t="s">
        <v>43</v>
      </c>
      <c r="J9" s="7">
        <v>0</v>
      </c>
    </row>
    <row r="10" spans="1:10" s="8" customFormat="1" x14ac:dyDescent="0.25">
      <c r="A10" s="26">
        <f t="shared" si="0"/>
        <v>5</v>
      </c>
      <c r="B10" t="s">
        <v>2</v>
      </c>
      <c r="C10" t="s">
        <v>41</v>
      </c>
      <c r="D10" t="s">
        <v>43</v>
      </c>
      <c r="E10" s="7">
        <v>169609.75651247142</v>
      </c>
      <c r="F10" s="67"/>
      <c r="G10" t="s">
        <v>2</v>
      </c>
      <c r="H10" t="s">
        <v>41</v>
      </c>
      <c r="I10" t="s">
        <v>43</v>
      </c>
      <c r="J10" s="7">
        <v>0</v>
      </c>
    </row>
    <row r="11" spans="1:10" s="8" customFormat="1" x14ac:dyDescent="0.25">
      <c r="A11" s="26">
        <f t="shared" si="0"/>
        <v>6</v>
      </c>
      <c r="B11" t="s">
        <v>3</v>
      </c>
      <c r="C11" t="s">
        <v>41</v>
      </c>
      <c r="D11" t="s">
        <v>44</v>
      </c>
      <c r="E11" s="7">
        <v>0</v>
      </c>
      <c r="F11" s="67"/>
      <c r="G11" t="s">
        <v>3</v>
      </c>
      <c r="H11" t="s">
        <v>41</v>
      </c>
      <c r="I11" t="s">
        <v>44</v>
      </c>
      <c r="J11" s="7">
        <v>181980.89940942632</v>
      </c>
    </row>
    <row r="12" spans="1:10" s="8" customFormat="1" x14ac:dyDescent="0.25">
      <c r="A12" s="26">
        <f t="shared" si="0"/>
        <v>7</v>
      </c>
      <c r="B12" t="s">
        <v>4</v>
      </c>
      <c r="C12" t="s">
        <v>46</v>
      </c>
      <c r="D12" t="s">
        <v>43</v>
      </c>
      <c r="E12" s="7">
        <v>-631668.08080489072</v>
      </c>
      <c r="F12" s="67"/>
      <c r="G12" t="s">
        <v>4</v>
      </c>
      <c r="H12" t="s">
        <v>46</v>
      </c>
      <c r="I12" t="s">
        <v>43</v>
      </c>
      <c r="J12" s="7">
        <v>0</v>
      </c>
    </row>
    <row r="13" spans="1:10" s="8" customFormat="1" x14ac:dyDescent="0.25">
      <c r="A13" s="26">
        <f t="shared" si="0"/>
        <v>8</v>
      </c>
      <c r="B13" t="s">
        <v>5</v>
      </c>
      <c r="C13" t="s">
        <v>46</v>
      </c>
      <c r="D13" t="s">
        <v>44</v>
      </c>
      <c r="E13" s="7">
        <v>0</v>
      </c>
      <c r="F13" s="67"/>
      <c r="G13" t="s">
        <v>5</v>
      </c>
      <c r="H13" t="s">
        <v>46</v>
      </c>
      <c r="I13" t="s">
        <v>44</v>
      </c>
      <c r="J13" s="7">
        <v>-53328.032734999993</v>
      </c>
    </row>
    <row r="14" spans="1:10" s="8" customFormat="1" x14ac:dyDescent="0.25">
      <c r="A14" s="26">
        <f t="shared" si="0"/>
        <v>9</v>
      </c>
      <c r="B14" t="s">
        <v>6</v>
      </c>
      <c r="C14" t="s">
        <v>46</v>
      </c>
      <c r="D14" t="s">
        <v>43</v>
      </c>
      <c r="E14" s="7">
        <v>3262097.4905843786</v>
      </c>
      <c r="F14" s="67"/>
      <c r="G14" t="s">
        <v>6</v>
      </c>
      <c r="H14" t="s">
        <v>46</v>
      </c>
      <c r="I14" t="s">
        <v>43</v>
      </c>
      <c r="J14" s="7">
        <v>0</v>
      </c>
    </row>
    <row r="15" spans="1:10" s="8" customFormat="1" x14ac:dyDescent="0.25">
      <c r="A15" s="26">
        <f t="shared" si="0"/>
        <v>10</v>
      </c>
      <c r="B15" t="s">
        <v>6</v>
      </c>
      <c r="C15" t="s">
        <v>46</v>
      </c>
      <c r="D15" t="s">
        <v>44</v>
      </c>
      <c r="E15" s="7">
        <v>0</v>
      </c>
      <c r="F15" s="67"/>
      <c r="G15" t="s">
        <v>6</v>
      </c>
      <c r="H15" t="s">
        <v>46</v>
      </c>
      <c r="I15" t="s">
        <v>44</v>
      </c>
      <c r="J15" s="7">
        <v>833.44953175874252</v>
      </c>
    </row>
    <row r="16" spans="1:10" s="8" customFormat="1" x14ac:dyDescent="0.25">
      <c r="A16" s="26">
        <f t="shared" si="0"/>
        <v>11</v>
      </c>
      <c r="B16" t="s">
        <v>7</v>
      </c>
      <c r="C16" t="s">
        <v>46</v>
      </c>
      <c r="D16" t="s">
        <v>43</v>
      </c>
      <c r="E16" s="7">
        <v>204.80034065348721</v>
      </c>
      <c r="F16" s="67"/>
      <c r="G16" t="s">
        <v>7</v>
      </c>
      <c r="H16" t="s">
        <v>46</v>
      </c>
      <c r="I16" t="s">
        <v>43</v>
      </c>
      <c r="J16" s="7">
        <v>0</v>
      </c>
    </row>
    <row r="17" spans="1:10" s="8" customFormat="1" x14ac:dyDescent="0.25">
      <c r="A17" s="26">
        <f t="shared" si="0"/>
        <v>12</v>
      </c>
      <c r="B17" t="s">
        <v>7</v>
      </c>
      <c r="C17" t="s">
        <v>46</v>
      </c>
      <c r="D17" t="s">
        <v>44</v>
      </c>
      <c r="E17" s="7">
        <v>0</v>
      </c>
      <c r="F17" s="67"/>
      <c r="G17" t="s">
        <v>7</v>
      </c>
      <c r="H17" t="s">
        <v>46</v>
      </c>
      <c r="I17" t="s">
        <v>44</v>
      </c>
      <c r="J17" s="7">
        <v>4530169.9028064189</v>
      </c>
    </row>
    <row r="18" spans="1:10" s="8" customFormat="1" x14ac:dyDescent="0.25">
      <c r="A18" s="26">
        <f t="shared" si="0"/>
        <v>13</v>
      </c>
      <c r="B18" t="s">
        <v>8</v>
      </c>
      <c r="C18" t="s">
        <v>41</v>
      </c>
      <c r="D18" t="s">
        <v>43</v>
      </c>
      <c r="E18" s="7">
        <v>770.07891666666524</v>
      </c>
      <c r="F18" s="67"/>
      <c r="G18" t="s">
        <v>8</v>
      </c>
      <c r="H18" t="s">
        <v>41</v>
      </c>
      <c r="I18" t="s">
        <v>43</v>
      </c>
      <c r="J18" s="7">
        <v>0</v>
      </c>
    </row>
    <row r="19" spans="1:10" s="8" customFormat="1" x14ac:dyDescent="0.25">
      <c r="A19" s="26">
        <f t="shared" si="0"/>
        <v>14</v>
      </c>
      <c r="B19" t="s">
        <v>9</v>
      </c>
      <c r="C19" t="s">
        <v>41</v>
      </c>
      <c r="D19" t="s">
        <v>42</v>
      </c>
      <c r="E19" s="7">
        <v>1133177.3872265001</v>
      </c>
      <c r="F19" s="67"/>
      <c r="G19" t="s">
        <v>9</v>
      </c>
      <c r="H19" t="s">
        <v>41</v>
      </c>
      <c r="I19" t="s">
        <v>42</v>
      </c>
      <c r="J19" s="7">
        <v>585320.31860683346</v>
      </c>
    </row>
    <row r="20" spans="1:10" s="8" customFormat="1" x14ac:dyDescent="0.25">
      <c r="A20" s="26">
        <f t="shared" si="0"/>
        <v>15</v>
      </c>
      <c r="B20" t="s">
        <v>10</v>
      </c>
      <c r="C20" t="s">
        <v>41</v>
      </c>
      <c r="D20" t="s">
        <v>43</v>
      </c>
      <c r="E20" s="7">
        <v>3739639.2920287163</v>
      </c>
      <c r="F20" s="67"/>
      <c r="G20" t="s">
        <v>10</v>
      </c>
      <c r="H20" t="s">
        <v>41</v>
      </c>
      <c r="I20" t="s">
        <v>43</v>
      </c>
      <c r="J20" s="7">
        <v>0</v>
      </c>
    </row>
    <row r="21" spans="1:10" s="8" customFormat="1" x14ac:dyDescent="0.25">
      <c r="A21" s="26">
        <f t="shared" si="0"/>
        <v>16</v>
      </c>
      <c r="B21" t="s">
        <v>11</v>
      </c>
      <c r="C21" t="s">
        <v>41</v>
      </c>
      <c r="D21" t="s">
        <v>44</v>
      </c>
      <c r="E21" s="7">
        <v>0</v>
      </c>
      <c r="F21" s="67"/>
      <c r="G21" t="s">
        <v>11</v>
      </c>
      <c r="H21" t="s">
        <v>41</v>
      </c>
      <c r="I21" t="s">
        <v>44</v>
      </c>
      <c r="J21" s="7">
        <v>943299.32068860729</v>
      </c>
    </row>
    <row r="22" spans="1:10" s="8" customFormat="1" x14ac:dyDescent="0.25">
      <c r="A22" s="26">
        <f t="shared" si="0"/>
        <v>17</v>
      </c>
      <c r="B22" t="s">
        <v>12</v>
      </c>
      <c r="C22" t="s">
        <v>45</v>
      </c>
      <c r="D22" t="s">
        <v>43</v>
      </c>
      <c r="E22" s="7">
        <v>1229545.2780046598</v>
      </c>
      <c r="F22" s="67"/>
      <c r="G22" t="s">
        <v>12</v>
      </c>
      <c r="H22" t="s">
        <v>45</v>
      </c>
      <c r="I22" t="s">
        <v>43</v>
      </c>
      <c r="J22" s="7">
        <v>0</v>
      </c>
    </row>
    <row r="23" spans="1:10" s="8" customFormat="1" x14ac:dyDescent="0.25">
      <c r="A23" s="26">
        <f t="shared" si="0"/>
        <v>18</v>
      </c>
      <c r="B23" t="s">
        <v>127</v>
      </c>
      <c r="C23" t="s">
        <v>41</v>
      </c>
      <c r="D23" t="s">
        <v>43</v>
      </c>
      <c r="E23" s="7">
        <v>9665.3951794521654</v>
      </c>
      <c r="F23" s="67"/>
      <c r="G23" t="s">
        <v>127</v>
      </c>
      <c r="H23" t="s">
        <v>41</v>
      </c>
      <c r="I23" t="s">
        <v>43</v>
      </c>
      <c r="J23" s="7">
        <v>0</v>
      </c>
    </row>
    <row r="24" spans="1:10" s="8" customFormat="1" x14ac:dyDescent="0.25">
      <c r="A24" s="26">
        <f t="shared" si="0"/>
        <v>19</v>
      </c>
      <c r="B24" t="s">
        <v>13</v>
      </c>
      <c r="C24" t="s">
        <v>41</v>
      </c>
      <c r="D24" t="s">
        <v>44</v>
      </c>
      <c r="E24" s="7">
        <v>0</v>
      </c>
      <c r="F24" s="67"/>
      <c r="G24" t="s">
        <v>13</v>
      </c>
      <c r="H24" t="s">
        <v>41</v>
      </c>
      <c r="I24" t="s">
        <v>44</v>
      </c>
      <c r="J24" s="7">
        <v>656078.70053785166</v>
      </c>
    </row>
    <row r="25" spans="1:10" s="8" customFormat="1" x14ac:dyDescent="0.25">
      <c r="A25" s="26">
        <f t="shared" si="0"/>
        <v>20</v>
      </c>
      <c r="B25" t="s">
        <v>14</v>
      </c>
      <c r="C25" t="s">
        <v>45</v>
      </c>
      <c r="D25" t="s">
        <v>43</v>
      </c>
      <c r="E25" s="7">
        <v>-265.55426099999994</v>
      </c>
      <c r="F25" s="67"/>
      <c r="G25" t="s">
        <v>14</v>
      </c>
      <c r="H25" t="s">
        <v>45</v>
      </c>
      <c r="I25" t="s">
        <v>43</v>
      </c>
      <c r="J25" s="7">
        <v>0</v>
      </c>
    </row>
    <row r="26" spans="1:10" s="8" customFormat="1" x14ac:dyDescent="0.25">
      <c r="A26" s="26">
        <f t="shared" si="0"/>
        <v>21</v>
      </c>
      <c r="B26" t="s">
        <v>15</v>
      </c>
      <c r="C26" t="s">
        <v>41</v>
      </c>
      <c r="D26" t="s">
        <v>43</v>
      </c>
      <c r="E26" s="7">
        <v>6109532.7676543705</v>
      </c>
      <c r="F26" s="67"/>
      <c r="G26" t="s">
        <v>15</v>
      </c>
      <c r="H26" t="s">
        <v>41</v>
      </c>
      <c r="I26" t="s">
        <v>43</v>
      </c>
      <c r="J26" s="7">
        <v>0</v>
      </c>
    </row>
    <row r="27" spans="1:10" s="8" customFormat="1" x14ac:dyDescent="0.25">
      <c r="A27" s="26">
        <f t="shared" si="0"/>
        <v>22</v>
      </c>
      <c r="B27" t="s">
        <v>16</v>
      </c>
      <c r="C27" t="s">
        <v>41</v>
      </c>
      <c r="D27" t="s">
        <v>43</v>
      </c>
      <c r="E27" s="7">
        <v>-6422.2361666666666</v>
      </c>
      <c r="F27" s="67"/>
      <c r="G27" t="s">
        <v>16</v>
      </c>
      <c r="H27" t="s">
        <v>41</v>
      </c>
      <c r="I27" t="s">
        <v>43</v>
      </c>
      <c r="J27" s="7">
        <v>0</v>
      </c>
    </row>
    <row r="28" spans="1:10" s="8" customFormat="1" x14ac:dyDescent="0.25">
      <c r="A28" s="26">
        <f t="shared" si="0"/>
        <v>23</v>
      </c>
      <c r="B28" t="s">
        <v>17</v>
      </c>
      <c r="C28" t="s">
        <v>41</v>
      </c>
      <c r="D28" t="s">
        <v>42</v>
      </c>
      <c r="E28" s="7">
        <v>1249098.8130698481</v>
      </c>
      <c r="F28" s="67"/>
      <c r="G28" t="s">
        <v>17</v>
      </c>
      <c r="H28" t="s">
        <v>41</v>
      </c>
      <c r="I28" t="s">
        <v>42</v>
      </c>
      <c r="J28" s="7">
        <v>645197.23344190209</v>
      </c>
    </row>
    <row r="29" spans="1:10" s="8" customFormat="1" x14ac:dyDescent="0.25">
      <c r="A29" s="26">
        <f t="shared" si="0"/>
        <v>24</v>
      </c>
      <c r="B29" t="s">
        <v>17</v>
      </c>
      <c r="C29" t="s">
        <v>41</v>
      </c>
      <c r="D29" t="s">
        <v>43</v>
      </c>
      <c r="E29" s="7">
        <v>38082.094586500003</v>
      </c>
      <c r="F29" s="67"/>
      <c r="G29" t="s">
        <v>17</v>
      </c>
      <c r="H29" t="s">
        <v>41</v>
      </c>
      <c r="I29" t="s">
        <v>43</v>
      </c>
      <c r="J29" s="7">
        <v>0</v>
      </c>
    </row>
    <row r="30" spans="1:10" s="8" customFormat="1" x14ac:dyDescent="0.25">
      <c r="A30" s="26">
        <f t="shared" si="0"/>
        <v>25</v>
      </c>
      <c r="B30" t="s">
        <v>17</v>
      </c>
      <c r="C30" t="s">
        <v>41</v>
      </c>
      <c r="D30" t="s">
        <v>44</v>
      </c>
      <c r="E30" s="7">
        <v>0</v>
      </c>
      <c r="F30" s="67"/>
      <c r="G30" t="s">
        <v>17</v>
      </c>
      <c r="H30" t="s">
        <v>41</v>
      </c>
      <c r="I30" t="s">
        <v>44</v>
      </c>
      <c r="J30" s="7">
        <v>36381.202666666672</v>
      </c>
    </row>
    <row r="31" spans="1:10" s="8" customFormat="1" x14ac:dyDescent="0.25">
      <c r="A31" s="26">
        <f t="shared" si="0"/>
        <v>26</v>
      </c>
      <c r="B31" t="s">
        <v>18</v>
      </c>
      <c r="C31" t="s">
        <v>45</v>
      </c>
      <c r="D31" t="s">
        <v>43</v>
      </c>
      <c r="E31" s="7">
        <v>0</v>
      </c>
      <c r="F31" s="67"/>
      <c r="G31" t="s">
        <v>18</v>
      </c>
      <c r="H31" t="s">
        <v>45</v>
      </c>
      <c r="I31" t="s">
        <v>43</v>
      </c>
      <c r="J31" s="7">
        <v>0</v>
      </c>
    </row>
    <row r="32" spans="1:10" s="8" customFormat="1" x14ac:dyDescent="0.25">
      <c r="A32" s="26">
        <f t="shared" si="0"/>
        <v>27</v>
      </c>
      <c r="B32" t="s">
        <v>19</v>
      </c>
      <c r="C32" t="s">
        <v>41</v>
      </c>
      <c r="D32" t="s">
        <v>43</v>
      </c>
      <c r="E32" s="7">
        <v>111013.69658944389</v>
      </c>
      <c r="F32" s="67"/>
      <c r="G32" t="s">
        <v>19</v>
      </c>
      <c r="H32" t="s">
        <v>41</v>
      </c>
      <c r="I32" t="s">
        <v>43</v>
      </c>
      <c r="J32" s="7">
        <v>0</v>
      </c>
    </row>
    <row r="33" spans="1:10" s="8" customFormat="1" x14ac:dyDescent="0.25">
      <c r="A33" s="26">
        <f t="shared" si="0"/>
        <v>28</v>
      </c>
      <c r="B33" t="s">
        <v>20</v>
      </c>
      <c r="C33" t="s">
        <v>41</v>
      </c>
      <c r="D33" t="s">
        <v>44</v>
      </c>
      <c r="E33" s="7">
        <v>0</v>
      </c>
      <c r="F33" s="67"/>
      <c r="G33" t="s">
        <v>20</v>
      </c>
      <c r="H33" t="s">
        <v>41</v>
      </c>
      <c r="I33" t="s">
        <v>44</v>
      </c>
      <c r="J33" s="7">
        <v>9050.9312311666654</v>
      </c>
    </row>
    <row r="34" spans="1:10" s="8" customFormat="1" x14ac:dyDescent="0.25">
      <c r="A34" s="26">
        <f t="shared" si="0"/>
        <v>29</v>
      </c>
      <c r="B34" t="s">
        <v>21</v>
      </c>
      <c r="C34" t="s">
        <v>45</v>
      </c>
      <c r="D34" t="s">
        <v>44</v>
      </c>
      <c r="E34" s="7">
        <v>0</v>
      </c>
      <c r="F34" s="67"/>
      <c r="G34" t="s">
        <v>21</v>
      </c>
      <c r="H34" t="s">
        <v>45</v>
      </c>
      <c r="I34" t="s">
        <v>44</v>
      </c>
      <c r="J34" s="7">
        <v>15917.254481833334</v>
      </c>
    </row>
    <row r="35" spans="1:10" s="8" customFormat="1" x14ac:dyDescent="0.25">
      <c r="A35" s="26">
        <f t="shared" si="0"/>
        <v>30</v>
      </c>
      <c r="B35" t="s">
        <v>22</v>
      </c>
      <c r="C35" t="s">
        <v>45</v>
      </c>
      <c r="D35" t="s">
        <v>43</v>
      </c>
      <c r="E35" s="7">
        <v>1788962.5898035003</v>
      </c>
      <c r="F35" s="67"/>
      <c r="G35" t="s">
        <v>22</v>
      </c>
      <c r="H35" t="s">
        <v>45</v>
      </c>
      <c r="I35" t="s">
        <v>43</v>
      </c>
      <c r="J35" s="7">
        <v>0</v>
      </c>
    </row>
    <row r="36" spans="1:10" s="8" customFormat="1" x14ac:dyDescent="0.25">
      <c r="A36" s="26">
        <f t="shared" si="0"/>
        <v>31</v>
      </c>
      <c r="B36" t="s">
        <v>84</v>
      </c>
      <c r="C36" t="s">
        <v>84</v>
      </c>
      <c r="D36" t="s">
        <v>42</v>
      </c>
      <c r="E36" s="7">
        <v>4592681.6547855409</v>
      </c>
      <c r="F36" s="67"/>
      <c r="G36" t="s">
        <v>84</v>
      </c>
      <c r="H36" t="s">
        <v>84</v>
      </c>
      <c r="I36" t="s">
        <v>42</v>
      </c>
      <c r="J36" s="7">
        <v>2372258.6770093348</v>
      </c>
    </row>
    <row r="37" spans="1:10" s="8" customFormat="1" x14ac:dyDescent="0.25">
      <c r="A37" s="26">
        <f t="shared" si="0"/>
        <v>32</v>
      </c>
      <c r="B37" t="s">
        <v>84</v>
      </c>
      <c r="C37" t="s">
        <v>84</v>
      </c>
      <c r="D37" t="s">
        <v>43</v>
      </c>
      <c r="E37" s="7">
        <v>2629068.0996477022</v>
      </c>
      <c r="F37" s="67"/>
      <c r="G37" t="s">
        <v>84</v>
      </c>
      <c r="H37" t="s">
        <v>84</v>
      </c>
      <c r="I37" t="s">
        <v>43</v>
      </c>
      <c r="J37" s="7">
        <v>0</v>
      </c>
    </row>
    <row r="38" spans="1:10" s="8" customFormat="1" x14ac:dyDescent="0.25">
      <c r="A38" s="26">
        <f t="shared" si="0"/>
        <v>33</v>
      </c>
      <c r="B38" t="s">
        <v>84</v>
      </c>
      <c r="C38" t="s">
        <v>84</v>
      </c>
      <c r="D38" t="s">
        <v>44</v>
      </c>
      <c r="E38" s="7">
        <v>0</v>
      </c>
      <c r="F38" s="67"/>
      <c r="G38" t="s">
        <v>84</v>
      </c>
      <c r="H38" t="s">
        <v>84</v>
      </c>
      <c r="I38" t="s">
        <v>44</v>
      </c>
      <c r="J38" s="7">
        <v>189844.33453256963</v>
      </c>
    </row>
    <row r="39" spans="1:10" s="8" customFormat="1" x14ac:dyDescent="0.25">
      <c r="A39" s="26">
        <f t="shared" si="0"/>
        <v>34</v>
      </c>
      <c r="B39" t="s">
        <v>23</v>
      </c>
      <c r="C39" t="s">
        <v>46</v>
      </c>
      <c r="D39" t="s">
        <v>43</v>
      </c>
      <c r="E39" s="7">
        <v>1633228.3674291214</v>
      </c>
      <c r="F39" s="67"/>
      <c r="G39" t="s">
        <v>23</v>
      </c>
      <c r="H39" t="s">
        <v>46</v>
      </c>
      <c r="I39" t="s">
        <v>43</v>
      </c>
      <c r="J39" s="7">
        <v>0</v>
      </c>
    </row>
    <row r="40" spans="1:10" s="8" customFormat="1" x14ac:dyDescent="0.25">
      <c r="A40" s="26">
        <f t="shared" si="0"/>
        <v>35</v>
      </c>
      <c r="B40" t="s">
        <v>24</v>
      </c>
      <c r="C40" t="s">
        <v>46</v>
      </c>
      <c r="D40" t="s">
        <v>44</v>
      </c>
      <c r="E40" s="7">
        <v>0</v>
      </c>
      <c r="F40" s="67"/>
      <c r="G40" t="s">
        <v>24</v>
      </c>
      <c r="H40" t="s">
        <v>46</v>
      </c>
      <c r="I40" t="s">
        <v>44</v>
      </c>
      <c r="J40" s="7">
        <v>1326797.8207572035</v>
      </c>
    </row>
    <row r="41" spans="1:10" s="8" customFormat="1" x14ac:dyDescent="0.25">
      <c r="A41" s="26">
        <f t="shared" si="0"/>
        <v>36</v>
      </c>
      <c r="B41" t="s">
        <v>25</v>
      </c>
      <c r="C41" t="s">
        <v>41</v>
      </c>
      <c r="D41" t="s">
        <v>44</v>
      </c>
      <c r="E41" s="7">
        <v>0</v>
      </c>
      <c r="F41" s="67"/>
      <c r="G41" t="s">
        <v>25</v>
      </c>
      <c r="H41" t="s">
        <v>41</v>
      </c>
      <c r="I41" t="s">
        <v>44</v>
      </c>
      <c r="J41" s="7">
        <v>1884037.7668192282</v>
      </c>
    </row>
    <row r="42" spans="1:10" s="8" customFormat="1" x14ac:dyDescent="0.25">
      <c r="A42" s="26">
        <f t="shared" si="0"/>
        <v>37</v>
      </c>
      <c r="B42" t="s">
        <v>50</v>
      </c>
      <c r="C42" t="s">
        <v>50</v>
      </c>
      <c r="D42" t="s">
        <v>43</v>
      </c>
      <c r="E42" s="7">
        <v>3424141.0999305411</v>
      </c>
      <c r="F42" s="67"/>
      <c r="G42" t="s">
        <v>50</v>
      </c>
      <c r="H42" t="s">
        <v>50</v>
      </c>
      <c r="I42" t="s">
        <v>43</v>
      </c>
      <c r="J42" s="7">
        <v>0</v>
      </c>
    </row>
    <row r="43" spans="1:10" s="8" customFormat="1" x14ac:dyDescent="0.25">
      <c r="A43" s="26">
        <f t="shared" si="0"/>
        <v>38</v>
      </c>
      <c r="B43" t="s">
        <v>50</v>
      </c>
      <c r="C43" t="s">
        <v>50</v>
      </c>
      <c r="D43" t="s">
        <v>44</v>
      </c>
      <c r="E43" s="7">
        <v>0</v>
      </c>
      <c r="F43" s="67"/>
      <c r="G43" t="s">
        <v>50</v>
      </c>
      <c r="H43" t="s">
        <v>50</v>
      </c>
      <c r="I43" t="s">
        <v>44</v>
      </c>
      <c r="J43" s="7">
        <v>1025279.7349748376</v>
      </c>
    </row>
    <row r="44" spans="1:10" s="8" customFormat="1" x14ac:dyDescent="0.25">
      <c r="A44" s="26">
        <f t="shared" si="0"/>
        <v>39</v>
      </c>
      <c r="B44" t="s">
        <v>26</v>
      </c>
      <c r="C44" t="s">
        <v>45</v>
      </c>
      <c r="D44" t="s">
        <v>42</v>
      </c>
      <c r="E44" s="7">
        <v>2411041.2971608536</v>
      </c>
      <c r="F44" s="67"/>
      <c r="G44" t="s">
        <v>26</v>
      </c>
      <c r="H44" t="s">
        <v>45</v>
      </c>
      <c r="I44" t="s">
        <v>42</v>
      </c>
      <c r="J44" s="7">
        <v>1245375.5926796887</v>
      </c>
    </row>
    <row r="45" spans="1:10" s="8" customFormat="1" x14ac:dyDescent="0.25">
      <c r="A45" s="26">
        <f t="shared" si="0"/>
        <v>40</v>
      </c>
      <c r="B45" t="s">
        <v>26</v>
      </c>
      <c r="C45" t="s">
        <v>45</v>
      </c>
      <c r="D45" t="s">
        <v>43</v>
      </c>
      <c r="E45" s="7">
        <v>1754983.0134382478</v>
      </c>
      <c r="F45" s="67"/>
      <c r="G45" t="s">
        <v>26</v>
      </c>
      <c r="H45" t="s">
        <v>45</v>
      </c>
      <c r="I45" t="s">
        <v>43</v>
      </c>
      <c r="J45" s="7">
        <v>0</v>
      </c>
    </row>
    <row r="46" spans="1:10" s="8" customFormat="1" x14ac:dyDescent="0.25">
      <c r="A46" s="26">
        <f t="shared" si="0"/>
        <v>41</v>
      </c>
      <c r="B46" t="s">
        <v>26</v>
      </c>
      <c r="C46" t="s">
        <v>45</v>
      </c>
      <c r="D46" t="s">
        <v>44</v>
      </c>
      <c r="E46" s="7">
        <v>0</v>
      </c>
      <c r="F46" s="67"/>
      <c r="G46" t="s">
        <v>26</v>
      </c>
      <c r="H46" t="s">
        <v>45</v>
      </c>
      <c r="I46" t="s">
        <v>44</v>
      </c>
      <c r="J46" s="7">
        <v>111473.39759622494</v>
      </c>
    </row>
    <row r="47" spans="1:10" s="8" customFormat="1" x14ac:dyDescent="0.25">
      <c r="A47" s="26">
        <f t="shared" si="0"/>
        <v>42</v>
      </c>
      <c r="B47" t="s">
        <v>26</v>
      </c>
      <c r="C47" t="s">
        <v>41</v>
      </c>
      <c r="D47" t="s">
        <v>42</v>
      </c>
      <c r="E47" s="7">
        <v>2209168.5681625456</v>
      </c>
      <c r="F47" s="67"/>
      <c r="G47" t="s">
        <v>26</v>
      </c>
      <c r="H47" t="s">
        <v>41</v>
      </c>
      <c r="I47" t="s">
        <v>42</v>
      </c>
      <c r="J47" s="7">
        <v>1141102.2358449546</v>
      </c>
    </row>
    <row r="48" spans="1:10" s="8" customFormat="1" x14ac:dyDescent="0.25">
      <c r="A48" s="26">
        <f t="shared" si="0"/>
        <v>43</v>
      </c>
      <c r="B48" t="s">
        <v>26</v>
      </c>
      <c r="C48" t="s">
        <v>41</v>
      </c>
      <c r="D48" t="s">
        <v>43</v>
      </c>
      <c r="E48" s="7">
        <v>5869773.7732337695</v>
      </c>
      <c r="F48" s="67"/>
      <c r="G48" t="s">
        <v>26</v>
      </c>
      <c r="H48" t="s">
        <v>41</v>
      </c>
      <c r="I48" t="s">
        <v>43</v>
      </c>
      <c r="J48" s="7">
        <v>0</v>
      </c>
    </row>
    <row r="49" spans="1:11" s="8" customFormat="1" x14ac:dyDescent="0.25">
      <c r="A49" s="26">
        <f t="shared" si="0"/>
        <v>44</v>
      </c>
      <c r="B49" t="s">
        <v>26</v>
      </c>
      <c r="C49" t="s">
        <v>41</v>
      </c>
      <c r="D49" t="s">
        <v>44</v>
      </c>
      <c r="E49" s="7">
        <v>0</v>
      </c>
      <c r="F49" s="67"/>
      <c r="G49" t="s">
        <v>26</v>
      </c>
      <c r="H49" t="s">
        <v>41</v>
      </c>
      <c r="I49" t="s">
        <v>44</v>
      </c>
      <c r="J49" s="7">
        <v>424467.40941272851</v>
      </c>
    </row>
    <row r="50" spans="1:11" s="8" customFormat="1" x14ac:dyDescent="0.25">
      <c r="A50" s="26">
        <f t="shared" si="0"/>
        <v>45</v>
      </c>
      <c r="B50" t="s">
        <v>26</v>
      </c>
      <c r="C50" t="s">
        <v>46</v>
      </c>
      <c r="D50" t="s">
        <v>43</v>
      </c>
      <c r="E50" s="7">
        <v>662284.22906773898</v>
      </c>
      <c r="F50" s="67"/>
      <c r="G50" t="s">
        <v>26</v>
      </c>
      <c r="H50" t="s">
        <v>46</v>
      </c>
      <c r="I50" t="s">
        <v>43</v>
      </c>
      <c r="J50" s="7">
        <v>0</v>
      </c>
    </row>
    <row r="51" spans="1:11" s="8" customFormat="1" x14ac:dyDescent="0.25">
      <c r="A51" s="26">
        <f t="shared" si="0"/>
        <v>46</v>
      </c>
      <c r="B51" t="s">
        <v>26</v>
      </c>
      <c r="C51" t="s">
        <v>46</v>
      </c>
      <c r="D51" t="s">
        <v>44</v>
      </c>
      <c r="E51" s="7">
        <v>0</v>
      </c>
      <c r="F51" s="67"/>
      <c r="G51" t="s">
        <v>26</v>
      </c>
      <c r="H51" t="s">
        <v>46</v>
      </c>
      <c r="I51" t="s">
        <v>44</v>
      </c>
      <c r="J51" s="7">
        <v>79361.339720143093</v>
      </c>
    </row>
    <row r="52" spans="1:11" s="8" customFormat="1" x14ac:dyDescent="0.25">
      <c r="A52" s="26">
        <f t="shared" si="0"/>
        <v>47</v>
      </c>
      <c r="B52" t="s">
        <v>27</v>
      </c>
      <c r="C52" t="s">
        <v>45</v>
      </c>
      <c r="D52" t="s">
        <v>43</v>
      </c>
      <c r="E52" s="7">
        <v>0</v>
      </c>
      <c r="F52" s="67"/>
      <c r="G52" t="s">
        <v>27</v>
      </c>
      <c r="H52" t="s">
        <v>45</v>
      </c>
      <c r="I52" t="s">
        <v>43</v>
      </c>
      <c r="J52" s="7">
        <v>0</v>
      </c>
    </row>
    <row r="53" spans="1:11" s="8" customFormat="1" x14ac:dyDescent="0.25">
      <c r="A53" s="26">
        <f t="shared" si="0"/>
        <v>48</v>
      </c>
      <c r="B53" t="s">
        <v>27</v>
      </c>
      <c r="C53" t="s">
        <v>45</v>
      </c>
      <c r="D53" t="s">
        <v>44</v>
      </c>
      <c r="E53" s="7">
        <v>0</v>
      </c>
      <c r="F53" s="67"/>
      <c r="G53" t="s">
        <v>27</v>
      </c>
      <c r="H53" t="s">
        <v>45</v>
      </c>
      <c r="I53" t="s">
        <v>44</v>
      </c>
      <c r="J53" s="7">
        <v>0</v>
      </c>
    </row>
    <row r="54" spans="1:11" s="8" customFormat="1" x14ac:dyDescent="0.25">
      <c r="A54" s="26">
        <f t="shared" si="0"/>
        <v>49</v>
      </c>
      <c r="B54" t="s">
        <v>27</v>
      </c>
      <c r="C54" t="s">
        <v>41</v>
      </c>
      <c r="D54" t="s">
        <v>42</v>
      </c>
      <c r="E54" s="7">
        <v>0</v>
      </c>
      <c r="F54" s="67"/>
      <c r="G54" t="s">
        <v>27</v>
      </c>
      <c r="H54" t="s">
        <v>41</v>
      </c>
      <c r="I54" t="s">
        <v>42</v>
      </c>
      <c r="J54" s="7">
        <v>0</v>
      </c>
    </row>
    <row r="55" spans="1:11" s="8" customFormat="1" x14ac:dyDescent="0.25">
      <c r="A55" s="26">
        <f t="shared" si="0"/>
        <v>50</v>
      </c>
      <c r="B55" t="s">
        <v>27</v>
      </c>
      <c r="C55" t="s">
        <v>41</v>
      </c>
      <c r="D55" t="s">
        <v>43</v>
      </c>
      <c r="E55" s="7">
        <v>0</v>
      </c>
      <c r="F55" s="67"/>
      <c r="G55" t="s">
        <v>27</v>
      </c>
      <c r="H55" t="s">
        <v>41</v>
      </c>
      <c r="I55" t="s">
        <v>43</v>
      </c>
      <c r="J55" s="7">
        <v>0</v>
      </c>
    </row>
    <row r="56" spans="1:11" s="8" customFormat="1" x14ac:dyDescent="0.25">
      <c r="A56" s="26">
        <f t="shared" si="0"/>
        <v>51</v>
      </c>
      <c r="B56" t="s">
        <v>27</v>
      </c>
      <c r="C56" t="s">
        <v>41</v>
      </c>
      <c r="D56" t="s">
        <v>44</v>
      </c>
      <c r="E56" s="7">
        <v>0</v>
      </c>
      <c r="F56" s="67"/>
      <c r="G56" t="s">
        <v>27</v>
      </c>
      <c r="H56" t="s">
        <v>41</v>
      </c>
      <c r="I56" t="s">
        <v>44</v>
      </c>
      <c r="J56" s="7">
        <v>0</v>
      </c>
    </row>
    <row r="57" spans="1:11" x14ac:dyDescent="0.25">
      <c r="A57" s="26">
        <f t="shared" si="0"/>
        <v>52</v>
      </c>
      <c r="B57" t="s">
        <v>31</v>
      </c>
      <c r="C57" t="s">
        <v>41</v>
      </c>
      <c r="D57" t="s">
        <v>43</v>
      </c>
      <c r="E57" s="7">
        <v>49182.104828243551</v>
      </c>
      <c r="F57" s="67"/>
      <c r="G57" t="s">
        <v>31</v>
      </c>
      <c r="H57" t="s">
        <v>41</v>
      </c>
      <c r="I57" t="s">
        <v>43</v>
      </c>
      <c r="J57" s="7">
        <v>0</v>
      </c>
      <c r="K57" s="8"/>
    </row>
    <row r="58" spans="1:11" x14ac:dyDescent="0.25">
      <c r="A58" s="26">
        <f t="shared" si="0"/>
        <v>53</v>
      </c>
      <c r="B58" t="s">
        <v>28</v>
      </c>
      <c r="C58" t="s">
        <v>45</v>
      </c>
      <c r="D58" t="s">
        <v>43</v>
      </c>
      <c r="E58" s="7">
        <v>49632.888067007923</v>
      </c>
      <c r="F58" s="67"/>
      <c r="G58" t="s">
        <v>28</v>
      </c>
      <c r="H58" t="s">
        <v>45</v>
      </c>
      <c r="I58" t="s">
        <v>43</v>
      </c>
      <c r="J58" s="7">
        <v>0</v>
      </c>
      <c r="K58" s="8"/>
    </row>
    <row r="59" spans="1:11" x14ac:dyDescent="0.25">
      <c r="A59" s="26">
        <f t="shared" si="0"/>
        <v>54</v>
      </c>
      <c r="B59" t="s">
        <v>133</v>
      </c>
      <c r="C59" t="s">
        <v>45</v>
      </c>
      <c r="D59" t="s">
        <v>42</v>
      </c>
      <c r="E59" s="7">
        <v>0</v>
      </c>
      <c r="F59" s="67"/>
      <c r="G59" t="s">
        <v>133</v>
      </c>
      <c r="H59" t="s">
        <v>45</v>
      </c>
      <c r="I59" t="s">
        <v>42</v>
      </c>
      <c r="J59" s="7">
        <v>0</v>
      </c>
      <c r="K59" s="8"/>
    </row>
    <row r="60" spans="1:11" x14ac:dyDescent="0.25">
      <c r="A60" s="26">
        <f t="shared" si="0"/>
        <v>55</v>
      </c>
      <c r="B60" t="s">
        <v>29</v>
      </c>
      <c r="C60" t="s">
        <v>45</v>
      </c>
      <c r="D60" t="s">
        <v>43</v>
      </c>
      <c r="E60" s="7">
        <v>168872.81168816669</v>
      </c>
      <c r="F60" s="67"/>
      <c r="G60" t="s">
        <v>29</v>
      </c>
      <c r="H60" t="s">
        <v>45</v>
      </c>
      <c r="I60" t="s">
        <v>43</v>
      </c>
      <c r="J60" s="7">
        <v>0</v>
      </c>
      <c r="K60" s="8"/>
    </row>
    <row r="61" spans="1:11" x14ac:dyDescent="0.25">
      <c r="A61" s="26">
        <f t="shared" si="0"/>
        <v>56</v>
      </c>
      <c r="B61" t="s">
        <v>30</v>
      </c>
      <c r="C61" t="s">
        <v>45</v>
      </c>
      <c r="D61" t="s">
        <v>42</v>
      </c>
      <c r="E61" s="7">
        <v>241726.87243741119</v>
      </c>
      <c r="F61" s="67"/>
      <c r="G61" t="s">
        <v>30</v>
      </c>
      <c r="H61" t="s">
        <v>45</v>
      </c>
      <c r="I61" t="s">
        <v>42</v>
      </c>
      <c r="J61" s="7">
        <v>124859.22467725546</v>
      </c>
      <c r="K61" s="8"/>
    </row>
    <row r="62" spans="1:11" ht="15.75" thickBot="1" x14ac:dyDescent="0.3">
      <c r="A62" s="26">
        <f t="shared" si="0"/>
        <v>57</v>
      </c>
      <c r="B62" s="69" t="s">
        <v>32</v>
      </c>
      <c r="C62" s="70"/>
      <c r="D62" s="70"/>
      <c r="E62" s="71">
        <f>SUM(E6:E61)</f>
        <v>44847101.151235342</v>
      </c>
      <c r="F62" s="72"/>
      <c r="G62" s="69" t="s">
        <v>32</v>
      </c>
      <c r="H62" s="70"/>
      <c r="I62" s="70"/>
      <c r="J62" s="71">
        <f>SUM(J6:J61)</f>
        <v>18207871.838364616</v>
      </c>
      <c r="K62" s="8"/>
    </row>
    <row r="63" spans="1:11" x14ac:dyDescent="0.25">
      <c r="B63" s="9"/>
      <c r="C63" s="8"/>
      <c r="D63" s="8"/>
      <c r="E63" s="10"/>
      <c r="F63" s="8"/>
      <c r="G63" s="9"/>
      <c r="H63" s="8"/>
      <c r="I63" s="8"/>
      <c r="J63" s="10"/>
    </row>
    <row r="64" spans="1:11" x14ac:dyDescent="0.25">
      <c r="B64" s="9"/>
      <c r="C64" s="8"/>
      <c r="D64" s="8"/>
      <c r="E64" s="10"/>
      <c r="F64" s="8"/>
      <c r="G64" s="9"/>
      <c r="H64" s="8"/>
      <c r="I64" s="8"/>
      <c r="J64" s="10"/>
    </row>
    <row r="65" spans="2:10" x14ac:dyDescent="0.25">
      <c r="B65" s="9"/>
      <c r="C65" s="8"/>
      <c r="D65" s="8"/>
      <c r="E65" s="10"/>
      <c r="F65" s="8"/>
      <c r="G65" s="9"/>
      <c r="H65" s="8"/>
      <c r="I65" s="8"/>
      <c r="J65" s="10"/>
    </row>
    <row r="66" spans="2:10" x14ac:dyDescent="0.25">
      <c r="B66" s="9"/>
      <c r="C66" s="8"/>
      <c r="D66" s="8"/>
      <c r="E66" s="10"/>
      <c r="F66" s="8"/>
      <c r="G66" s="9"/>
      <c r="H66" s="8"/>
      <c r="I66" s="8"/>
      <c r="J66" s="10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85546875" defaultRowHeight="12.75" x14ac:dyDescent="0.2"/>
  <cols>
    <col min="1" max="1" width="8.85546875" style="28"/>
    <col min="2" max="2" width="35" style="28" customWidth="1"/>
    <col min="3" max="3" width="16.85546875" style="28" bestFit="1" customWidth="1"/>
    <col min="4" max="4" width="5" style="43" customWidth="1"/>
    <col min="5" max="5" width="30.85546875" style="28" bestFit="1" customWidth="1"/>
    <col min="6" max="6" width="18.42578125" style="28" bestFit="1" customWidth="1"/>
    <col min="7" max="16384" width="8.85546875" style="28"/>
  </cols>
  <sheetData>
    <row r="1" spans="1:10" x14ac:dyDescent="0.2">
      <c r="B1" s="32" t="s">
        <v>85</v>
      </c>
      <c r="E1" s="28" t="s">
        <v>33</v>
      </c>
      <c r="F1" s="39" t="s">
        <v>34</v>
      </c>
      <c r="G1" s="40">
        <v>0.34060000000000001</v>
      </c>
    </row>
    <row r="2" spans="1:10" ht="15" x14ac:dyDescent="0.25">
      <c r="B2" s="32" t="s">
        <v>138</v>
      </c>
      <c r="E2" s="41"/>
      <c r="F2" s="39" t="s">
        <v>35</v>
      </c>
      <c r="G2" s="40">
        <v>0.65939999999999999</v>
      </c>
    </row>
    <row r="3" spans="1:10" ht="15" x14ac:dyDescent="0.25">
      <c r="A3" s="61" t="s">
        <v>52</v>
      </c>
    </row>
    <row r="4" spans="1:10" ht="15" x14ac:dyDescent="0.25">
      <c r="A4" s="19" t="s">
        <v>53</v>
      </c>
      <c r="B4" s="78"/>
      <c r="C4" s="29" t="s">
        <v>87</v>
      </c>
      <c r="D4" s="79"/>
      <c r="E4" s="78"/>
      <c r="F4" s="29" t="s">
        <v>88</v>
      </c>
    </row>
    <row r="5" spans="1:10" ht="15" x14ac:dyDescent="0.25">
      <c r="A5" s="26">
        <v>1</v>
      </c>
      <c r="B5" s="32" t="s">
        <v>86</v>
      </c>
      <c r="D5" s="46"/>
      <c r="E5" s="32" t="s">
        <v>86</v>
      </c>
    </row>
    <row r="6" spans="1:10" ht="15.75" thickBot="1" x14ac:dyDescent="0.3">
      <c r="A6" s="26">
        <f>A5+1</f>
        <v>2</v>
      </c>
      <c r="B6" s="28" t="s">
        <v>70</v>
      </c>
      <c r="C6" s="48">
        <v>-3978749.3539995141</v>
      </c>
      <c r="D6" s="47"/>
      <c r="E6" s="28" t="s">
        <v>71</v>
      </c>
      <c r="F6" s="30">
        <f>-C6</f>
        <v>3978749.3539995141</v>
      </c>
    </row>
    <row r="7" spans="1:10" ht="15.75" thickTop="1" x14ac:dyDescent="0.25">
      <c r="A7" s="26">
        <f t="shared" ref="A7:A28" si="0">A6+1</f>
        <v>3</v>
      </c>
      <c r="C7" s="30"/>
      <c r="D7" s="47"/>
      <c r="F7" s="30"/>
    </row>
    <row r="8" spans="1:10" ht="15" x14ac:dyDescent="0.25">
      <c r="A8" s="26">
        <f t="shared" si="0"/>
        <v>4</v>
      </c>
      <c r="C8" s="30"/>
      <c r="D8" s="47"/>
      <c r="F8" s="30"/>
    </row>
    <row r="9" spans="1:10" ht="15" x14ac:dyDescent="0.25">
      <c r="A9" s="26">
        <f t="shared" si="0"/>
        <v>5</v>
      </c>
      <c r="B9" s="32" t="s">
        <v>35</v>
      </c>
      <c r="C9" s="30"/>
      <c r="D9" s="47"/>
      <c r="E9" s="32" t="s">
        <v>35</v>
      </c>
      <c r="F9" s="30"/>
    </row>
    <row r="10" spans="1:10" ht="15" x14ac:dyDescent="0.25">
      <c r="A10" s="26">
        <f t="shared" si="0"/>
        <v>6</v>
      </c>
      <c r="B10" s="28" t="s">
        <v>72</v>
      </c>
      <c r="C10" s="30">
        <v>-3386251.983635236</v>
      </c>
      <c r="D10" s="47"/>
      <c r="E10" s="28" t="s">
        <v>73</v>
      </c>
      <c r="F10" s="30">
        <f>-C10</f>
        <v>3386251.983635236</v>
      </c>
    </row>
    <row r="11" spans="1:10" ht="15" x14ac:dyDescent="0.25">
      <c r="A11" s="26">
        <f t="shared" si="0"/>
        <v>7</v>
      </c>
      <c r="B11" s="28" t="s">
        <v>74</v>
      </c>
      <c r="C11" s="30">
        <v>857168.71318748628</v>
      </c>
      <c r="D11" s="47"/>
      <c r="E11" s="28" t="s">
        <v>74</v>
      </c>
      <c r="F11" s="30">
        <f>-C11</f>
        <v>-857168.71318748628</v>
      </c>
    </row>
    <row r="12" spans="1:10" ht="15" x14ac:dyDescent="0.25">
      <c r="A12" s="26">
        <f t="shared" si="0"/>
        <v>8</v>
      </c>
      <c r="B12" s="28" t="s">
        <v>75</v>
      </c>
      <c r="C12" s="33">
        <f>C6*G2</f>
        <v>-2623587.3240272794</v>
      </c>
      <c r="D12" s="47"/>
      <c r="E12" s="28" t="s">
        <v>75</v>
      </c>
      <c r="F12" s="35">
        <f>-C12</f>
        <v>2623587.3240272794</v>
      </c>
    </row>
    <row r="13" spans="1:10" ht="15" x14ac:dyDescent="0.25">
      <c r="A13" s="26">
        <f t="shared" si="0"/>
        <v>9</v>
      </c>
      <c r="B13" s="28" t="s">
        <v>76</v>
      </c>
      <c r="C13" s="30">
        <f>SUM(C10:C12)</f>
        <v>-5152670.594475029</v>
      </c>
      <c r="D13" s="47"/>
      <c r="E13" s="28" t="s">
        <v>89</v>
      </c>
      <c r="F13" s="30">
        <f>SUM(F10:F12)</f>
        <v>5152670.594475029</v>
      </c>
    </row>
    <row r="14" spans="1:10" ht="15" x14ac:dyDescent="0.25">
      <c r="A14" s="26">
        <f t="shared" si="0"/>
        <v>10</v>
      </c>
      <c r="D14" s="47"/>
      <c r="F14" s="30"/>
    </row>
    <row r="15" spans="1:10" ht="15" x14ac:dyDescent="0.25">
      <c r="A15" s="26">
        <f t="shared" si="0"/>
        <v>11</v>
      </c>
      <c r="B15" s="28" t="s">
        <v>77</v>
      </c>
      <c r="C15" s="36">
        <f>C13*-0.21</f>
        <v>1082060.8248397561</v>
      </c>
      <c r="D15" s="47"/>
      <c r="E15" s="28" t="s">
        <v>47</v>
      </c>
      <c r="F15" s="31">
        <v>-17870599.545940101</v>
      </c>
      <c r="H15"/>
      <c r="I15"/>
      <c r="J15"/>
    </row>
    <row r="16" spans="1:10" ht="15" x14ac:dyDescent="0.25">
      <c r="A16" s="26">
        <f t="shared" si="0"/>
        <v>12</v>
      </c>
      <c r="B16" s="28" t="s">
        <v>78</v>
      </c>
      <c r="C16" s="34">
        <v>1173382.9652480222</v>
      </c>
      <c r="D16" s="47"/>
      <c r="E16" s="28" t="s">
        <v>78</v>
      </c>
      <c r="F16" s="44">
        <v>-1173382.9652480222</v>
      </c>
    </row>
    <row r="17" spans="1:6" ht="15.75" thickBot="1" x14ac:dyDescent="0.3">
      <c r="A17" s="26">
        <f t="shared" si="0"/>
        <v>13</v>
      </c>
      <c r="B17" s="28" t="s">
        <v>79</v>
      </c>
      <c r="C17" s="44">
        <v>-44573.157189539634</v>
      </c>
      <c r="D17" s="47"/>
      <c r="E17" s="28" t="s">
        <v>92</v>
      </c>
      <c r="F17" s="50">
        <f>SUM(F13:F16)</f>
        <v>-13891311.916713094</v>
      </c>
    </row>
    <row r="18" spans="1:6" ht="15.75" thickBot="1" x14ac:dyDescent="0.3">
      <c r="A18" s="26">
        <f t="shared" si="0"/>
        <v>14</v>
      </c>
      <c r="B18" s="28" t="s">
        <v>90</v>
      </c>
      <c r="C18" s="49">
        <f>SUM(C13:C17)</f>
        <v>-2941799.9615767905</v>
      </c>
      <c r="D18" s="47"/>
      <c r="F18" s="37"/>
    </row>
    <row r="19" spans="1:6" ht="15" x14ac:dyDescent="0.25">
      <c r="A19" s="26">
        <f t="shared" si="0"/>
        <v>15</v>
      </c>
      <c r="C19" s="37"/>
      <c r="D19" s="47"/>
      <c r="F19" s="37"/>
    </row>
    <row r="20" spans="1:6" ht="15" x14ac:dyDescent="0.25">
      <c r="A20" s="26">
        <f t="shared" si="0"/>
        <v>16</v>
      </c>
      <c r="B20" s="32" t="s">
        <v>34</v>
      </c>
      <c r="C20" s="30"/>
      <c r="D20" s="47"/>
      <c r="E20" s="32" t="s">
        <v>34</v>
      </c>
      <c r="F20" s="30"/>
    </row>
    <row r="21" spans="1:6" ht="15" x14ac:dyDescent="0.25">
      <c r="A21" s="26">
        <f t="shared" si="0"/>
        <v>17</v>
      </c>
      <c r="B21" s="28" t="s">
        <v>80</v>
      </c>
      <c r="C21" s="30">
        <v>-383506.64321593056</v>
      </c>
      <c r="D21" s="47"/>
      <c r="E21" s="28" t="s">
        <v>81</v>
      </c>
      <c r="F21" s="30">
        <f>-C21</f>
        <v>383506.64321593056</v>
      </c>
    </row>
    <row r="22" spans="1:6" ht="15" x14ac:dyDescent="0.25">
      <c r="A22" s="26">
        <f t="shared" si="0"/>
        <v>18</v>
      </c>
      <c r="B22" s="28" t="s">
        <v>82</v>
      </c>
      <c r="C22" s="33">
        <f>C6*G1</f>
        <v>-1355162.0299722345</v>
      </c>
      <c r="D22" s="47"/>
      <c r="E22" s="28" t="s">
        <v>82</v>
      </c>
      <c r="F22" s="33">
        <f>-C22</f>
        <v>1355162.0299722345</v>
      </c>
    </row>
    <row r="23" spans="1:6" ht="15.75" thickBot="1" x14ac:dyDescent="0.3">
      <c r="A23" s="26">
        <f t="shared" si="0"/>
        <v>19</v>
      </c>
      <c r="B23" s="28" t="s">
        <v>76</v>
      </c>
      <c r="C23" s="38">
        <f>C21+C22</f>
        <v>-1738668.6731881651</v>
      </c>
      <c r="D23" s="47"/>
      <c r="E23" s="28" t="s">
        <v>89</v>
      </c>
      <c r="F23" s="51">
        <f>F21+F22</f>
        <v>1738668.6731881651</v>
      </c>
    </row>
    <row r="24" spans="1:6" ht="15" x14ac:dyDescent="0.25">
      <c r="A24" s="26">
        <f t="shared" si="0"/>
        <v>20</v>
      </c>
      <c r="C24" s="30"/>
      <c r="D24" s="47"/>
      <c r="F24" s="30"/>
    </row>
    <row r="25" spans="1:6" ht="15" x14ac:dyDescent="0.25">
      <c r="A25" s="26">
        <f t="shared" si="0"/>
        <v>21</v>
      </c>
      <c r="B25" s="28" t="s">
        <v>77</v>
      </c>
      <c r="C25" s="36">
        <f>C23*-0.21</f>
        <v>365120.42136951466</v>
      </c>
      <c r="D25" s="47"/>
      <c r="E25" s="28" t="s">
        <v>47</v>
      </c>
      <c r="F25" s="31">
        <v>-10697927.190460086</v>
      </c>
    </row>
    <row r="26" spans="1:6" ht="15" x14ac:dyDescent="0.25">
      <c r="A26" s="26">
        <f t="shared" si="0"/>
        <v>22</v>
      </c>
      <c r="B26" s="28" t="s">
        <v>78</v>
      </c>
      <c r="C26" s="34">
        <v>34611.028251983225</v>
      </c>
      <c r="D26" s="47"/>
      <c r="E26" s="28" t="s">
        <v>78</v>
      </c>
      <c r="F26" s="44">
        <v>56827.410818460281</v>
      </c>
    </row>
    <row r="27" spans="1:6" ht="15.75" thickBot="1" x14ac:dyDescent="0.3">
      <c r="A27" s="26">
        <f t="shared" si="0"/>
        <v>23</v>
      </c>
      <c r="B27" s="28" t="s">
        <v>79</v>
      </c>
      <c r="C27" s="44">
        <v>-85992.295310460031</v>
      </c>
      <c r="D27" s="47"/>
      <c r="E27" s="28" t="s">
        <v>93</v>
      </c>
      <c r="F27" s="50">
        <f>SUM(F23:F26)</f>
        <v>-8902431.1064534616</v>
      </c>
    </row>
    <row r="28" spans="1:6" ht="15.75" thickBot="1" x14ac:dyDescent="0.3">
      <c r="A28" s="26">
        <f t="shared" si="0"/>
        <v>24</v>
      </c>
      <c r="B28" s="28" t="s">
        <v>91</v>
      </c>
      <c r="C28" s="49">
        <f>SUM(C23:C27)</f>
        <v>-1424929.5188771272</v>
      </c>
      <c r="D28" s="47"/>
      <c r="E28" s="30"/>
      <c r="F28" s="30"/>
    </row>
    <row r="29" spans="1:6" ht="15" x14ac:dyDescent="0.25">
      <c r="C29" s="30"/>
      <c r="D29" s="31"/>
      <c r="E29" s="30"/>
      <c r="F29" s="30"/>
    </row>
    <row r="30" spans="1:6" ht="15" x14ac:dyDescent="0.25">
      <c r="C30" s="30"/>
      <c r="D30" s="31"/>
      <c r="E30" s="30"/>
      <c r="F30" s="30"/>
    </row>
    <row r="31" spans="1:6" ht="15" x14ac:dyDescent="0.25">
      <c r="C31" s="30"/>
      <c r="D31" s="31"/>
      <c r="E31" s="30"/>
      <c r="F31" s="30"/>
    </row>
    <row r="32" spans="1:6" ht="15" x14ac:dyDescent="0.25">
      <c r="C32" s="30"/>
      <c r="D32" s="31"/>
    </row>
    <row r="33" spans="3:5" ht="15" x14ac:dyDescent="0.25">
      <c r="C33" s="30"/>
      <c r="D33" s="31"/>
      <c r="E33" s="39"/>
    </row>
    <row r="34" spans="3:5" x14ac:dyDescent="0.2">
      <c r="E34" s="39"/>
    </row>
    <row r="36" spans="3:5" x14ac:dyDescent="0.2">
      <c r="D36" s="4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workbookViewId="0">
      <pane xSplit="3" ySplit="4" topLeftCell="D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25.85546875" style="181" bestFit="1" customWidth="1"/>
    <col min="3" max="3" width="9.140625" style="182" bestFit="1" customWidth="1"/>
    <col min="4" max="5" width="16.7109375" style="181" bestFit="1" customWidth="1"/>
    <col min="6" max="8" width="20.7109375" style="181" customWidth="1"/>
    <col min="9" max="9" width="4.28515625" style="181" customWidth="1"/>
    <col min="10" max="10" width="42.7109375" style="181" bestFit="1" customWidth="1"/>
    <col min="11" max="11" width="42.7109375" style="181" customWidth="1"/>
    <col min="12" max="12" width="9.42578125" style="181" customWidth="1"/>
    <col min="13" max="17" width="20.7109375" style="181" customWidth="1"/>
    <col min="18" max="18" width="4.140625" style="181" customWidth="1"/>
    <col min="19" max="19" width="42.7109375" style="181" bestFit="1" customWidth="1"/>
    <col min="20" max="20" width="27" style="181" bestFit="1" customWidth="1"/>
    <col min="21" max="21" width="9.7109375" style="181" customWidth="1"/>
    <col min="22" max="26" width="20.7109375" style="181" customWidth="1"/>
    <col min="27" max="27" width="4.85546875" style="181" customWidth="1"/>
    <col min="28" max="28" width="5.85546875" style="181" bestFit="1" customWidth="1"/>
    <col min="29" max="29" width="6.140625" style="181" customWidth="1"/>
    <col min="30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  <c r="L1" s="200" t="s">
        <v>37</v>
      </c>
      <c r="U1" s="200" t="s">
        <v>38</v>
      </c>
    </row>
    <row r="2" spans="1:28" x14ac:dyDescent="0.25">
      <c r="AB2" s="199" t="s">
        <v>228</v>
      </c>
    </row>
    <row r="3" spans="1:28" x14ac:dyDescent="0.25">
      <c r="A3" s="201" t="s">
        <v>0</v>
      </c>
      <c r="B3" s="201" t="s">
        <v>227</v>
      </c>
      <c r="C3" s="200" t="s">
        <v>40</v>
      </c>
      <c r="D3" s="200" t="s">
        <v>226</v>
      </c>
      <c r="E3" s="200" t="s">
        <v>225</v>
      </c>
      <c r="F3" s="200" t="s">
        <v>224</v>
      </c>
      <c r="G3" s="200" t="s">
        <v>223</v>
      </c>
      <c r="H3" s="200" t="s">
        <v>222</v>
      </c>
      <c r="J3" s="201" t="s">
        <v>0</v>
      </c>
      <c r="K3" s="201" t="s">
        <v>227</v>
      </c>
      <c r="L3" s="200" t="s">
        <v>40</v>
      </c>
      <c r="M3" s="200" t="s">
        <v>226</v>
      </c>
      <c r="N3" s="200" t="s">
        <v>225</v>
      </c>
      <c r="O3" s="200" t="s">
        <v>224</v>
      </c>
      <c r="P3" s="200" t="s">
        <v>223</v>
      </c>
      <c r="Q3" s="200" t="s">
        <v>222</v>
      </c>
      <c r="S3" s="201" t="s">
        <v>0</v>
      </c>
      <c r="T3" s="201" t="s">
        <v>227</v>
      </c>
      <c r="U3" s="200" t="s">
        <v>40</v>
      </c>
      <c r="V3" s="200" t="s">
        <v>226</v>
      </c>
      <c r="W3" s="200" t="s">
        <v>225</v>
      </c>
      <c r="X3" s="200" t="s">
        <v>224</v>
      </c>
      <c r="Y3" s="200" t="s">
        <v>223</v>
      </c>
      <c r="Z3" s="200" t="s">
        <v>222</v>
      </c>
      <c r="AB3" s="199" t="s">
        <v>108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8"/>
      <c r="T4" s="198"/>
      <c r="U4" s="197"/>
      <c r="V4" s="187"/>
      <c r="W4" s="187"/>
      <c r="X4" s="187"/>
      <c r="Y4" s="187"/>
      <c r="Z4" s="187"/>
      <c r="AB4" s="196"/>
    </row>
    <row r="5" spans="1:28" x14ac:dyDescent="0.25">
      <c r="A5" s="185" t="s">
        <v>220</v>
      </c>
      <c r="B5" s="185" t="s">
        <v>160</v>
      </c>
      <c r="C5" s="182" t="str">
        <f>MID(VLOOKUP(A5,'Calc DG Gross Plant'!$A$5:$D$511,4,FALSE),5,1)</f>
        <v>C</v>
      </c>
      <c r="D5" s="188">
        <v>0</v>
      </c>
      <c r="E5" s="183">
        <v>42525866.620000005</v>
      </c>
      <c r="F5" s="183">
        <v>42525866.620000005</v>
      </c>
      <c r="G5" s="183">
        <v>42525866.620000005</v>
      </c>
      <c r="H5" s="183">
        <v>0</v>
      </c>
      <c r="J5" s="188" t="str">
        <f t="shared" ref="J5:J47" si="0">A5</f>
        <v>AMI Meters and Modules Deployment - Common</v>
      </c>
      <c r="K5" s="188" t="str">
        <f t="shared" ref="K5:K47" si="1">B5</f>
        <v>Programmatic</v>
      </c>
      <c r="L5" s="182" t="str">
        <f t="shared" ref="L5:L47" si="2">C5</f>
        <v>C</v>
      </c>
      <c r="M5" s="188">
        <f t="shared" ref="M5:M50" si="3">IF($L5="C",D5*$F$1,IF($L5="G",0,D5))</f>
        <v>0</v>
      </c>
      <c r="N5" s="188">
        <f t="shared" ref="N5:N50" si="4">IF($L5="C",E5*$F$1,IF($L5="G",0,E5))</f>
        <v>28041556.449228004</v>
      </c>
      <c r="O5" s="188">
        <f t="shared" ref="O5:O50" si="5">IF($L5="C",F5*$F$1,IF($L5="G",0,F5))</f>
        <v>28041556.449228004</v>
      </c>
      <c r="P5" s="188">
        <f t="shared" ref="P5:P50" si="6">IF($L5="C",G5*$F$1,IF($L5="G",0,G5))</f>
        <v>28041556.449228004</v>
      </c>
      <c r="Q5" s="188">
        <f t="shared" ref="Q5:Q50" si="7">IF($L5="C",H5*$F$1,IF($L5="G",0,H5))</f>
        <v>0</v>
      </c>
      <c r="S5" s="188" t="str">
        <f t="shared" ref="S5:S47" si="8">A5</f>
        <v>AMI Meters and Modules Deployment - Common</v>
      </c>
      <c r="T5" s="188" t="str">
        <f t="shared" ref="T5:T47" si="9">B5</f>
        <v>Programmatic</v>
      </c>
      <c r="U5" s="182" t="str">
        <f t="shared" ref="U5:U47" si="10">C5</f>
        <v>C</v>
      </c>
      <c r="V5" s="188">
        <f t="shared" ref="V5:V50" si="11">IF($U5="C",D5*$D$1,IF($U5="E",0,D5))</f>
        <v>0</v>
      </c>
      <c r="W5" s="188">
        <f t="shared" ref="W5:W50" si="12">IF($U5="C",E5*$D$1,IF($U5="E",0,E5))</f>
        <v>14484310.170772003</v>
      </c>
      <c r="X5" s="188">
        <f t="shared" ref="X5:X50" si="13">IF($U5="C",F5*$D$1,IF($U5="E",0,F5))</f>
        <v>14484310.170772003</v>
      </c>
      <c r="Y5" s="188">
        <f t="shared" ref="Y5:Y50" si="14">IF($U5="C",G5*$D$1,IF($U5="E",0,G5))</f>
        <v>14484310.170772003</v>
      </c>
      <c r="Z5" s="188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182" t="str">
        <f>MID(VLOOKUP(A6,'Calc DG Gross Plant'!$A$5:$D$511,4,FALSE),5,1)</f>
        <v>E</v>
      </c>
      <c r="D6" s="188">
        <v>0</v>
      </c>
      <c r="E6" s="183">
        <v>1289514.01</v>
      </c>
      <c r="F6" s="183">
        <v>5634554.4100000001</v>
      </c>
      <c r="G6" s="183">
        <v>105570483.56999999</v>
      </c>
      <c r="H6" s="183">
        <v>0</v>
      </c>
      <c r="J6" s="188" t="str">
        <f t="shared" si="0"/>
        <v>AMI Meters and Modules Deployment - Electric</v>
      </c>
      <c r="K6" s="188" t="str">
        <f t="shared" si="1"/>
        <v>Programmatic</v>
      </c>
      <c r="L6" s="182" t="str">
        <f t="shared" si="2"/>
        <v>E</v>
      </c>
      <c r="M6" s="188">
        <f t="shared" si="3"/>
        <v>0</v>
      </c>
      <c r="N6" s="188">
        <f t="shared" si="4"/>
        <v>1289514.01</v>
      </c>
      <c r="O6" s="188">
        <f t="shared" si="5"/>
        <v>5634554.4100000001</v>
      </c>
      <c r="P6" s="188">
        <f t="shared" si="6"/>
        <v>105570483.56999999</v>
      </c>
      <c r="Q6" s="188">
        <f t="shared" si="7"/>
        <v>0</v>
      </c>
      <c r="S6" s="188" t="str">
        <f t="shared" si="8"/>
        <v>AMI Meters and Modules Deployment - Electric</v>
      </c>
      <c r="T6" s="188" t="str">
        <f t="shared" si="9"/>
        <v>Programmatic</v>
      </c>
      <c r="U6" s="182" t="str">
        <f t="shared" si="10"/>
        <v>E</v>
      </c>
      <c r="V6" s="188">
        <f t="shared" si="11"/>
        <v>0</v>
      </c>
      <c r="W6" s="188">
        <f t="shared" si="12"/>
        <v>0</v>
      </c>
      <c r="X6" s="188">
        <f t="shared" si="13"/>
        <v>0</v>
      </c>
      <c r="Y6" s="188">
        <f t="shared" si="14"/>
        <v>0</v>
      </c>
      <c r="Z6" s="188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182" t="str">
        <f>MID(VLOOKUP(A7,'Calc DG Gross Plant'!$A$5:$D$511,4,FALSE),5,1)</f>
        <v>G</v>
      </c>
      <c r="D7" s="188">
        <v>0</v>
      </c>
      <c r="E7" s="183">
        <v>0</v>
      </c>
      <c r="F7" s="183">
        <v>2616723.4</v>
      </c>
      <c r="G7" s="183">
        <v>62801361.469999999</v>
      </c>
      <c r="H7" s="183">
        <v>0</v>
      </c>
      <c r="J7" s="188" t="str">
        <f t="shared" si="0"/>
        <v>AMI Meters and Modules Deployment - Gas</v>
      </c>
      <c r="K7" s="188" t="str">
        <f t="shared" si="1"/>
        <v>Programmatic</v>
      </c>
      <c r="L7" s="182" t="str">
        <f t="shared" si="2"/>
        <v>G</v>
      </c>
      <c r="M7" s="188">
        <f t="shared" si="3"/>
        <v>0</v>
      </c>
      <c r="N7" s="188">
        <f t="shared" si="4"/>
        <v>0</v>
      </c>
      <c r="O7" s="188">
        <f t="shared" si="5"/>
        <v>0</v>
      </c>
      <c r="P7" s="188">
        <f t="shared" si="6"/>
        <v>0</v>
      </c>
      <c r="Q7" s="188">
        <f t="shared" si="7"/>
        <v>0</v>
      </c>
      <c r="S7" s="188" t="str">
        <f t="shared" si="8"/>
        <v>AMI Meters and Modules Deployment - Gas</v>
      </c>
      <c r="T7" s="188" t="str">
        <f t="shared" si="9"/>
        <v>Programmatic</v>
      </c>
      <c r="U7" s="182" t="str">
        <f t="shared" si="10"/>
        <v>G</v>
      </c>
      <c r="V7" s="188">
        <f t="shared" si="11"/>
        <v>0</v>
      </c>
      <c r="W7" s="188">
        <f t="shared" si="12"/>
        <v>0</v>
      </c>
      <c r="X7" s="188">
        <f t="shared" si="13"/>
        <v>2616723.4</v>
      </c>
      <c r="Y7" s="188">
        <f t="shared" si="14"/>
        <v>62801361.469999999</v>
      </c>
      <c r="Z7" s="188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182" t="str">
        <f>MID(VLOOKUP(A8,'Calc DG Gross Plant'!$A$5:$D$511,4,FALSE),5,1)</f>
        <v>E</v>
      </c>
      <c r="D8" s="188">
        <v>0</v>
      </c>
      <c r="E8" s="183">
        <v>7967622.2999999989</v>
      </c>
      <c r="F8" s="183">
        <v>15392645.76</v>
      </c>
      <c r="G8" s="183">
        <v>28355186.039999999</v>
      </c>
      <c r="H8" s="183">
        <v>0</v>
      </c>
      <c r="J8" s="188" t="str">
        <f t="shared" si="0"/>
        <v>Bainbridge Tlines Trans</v>
      </c>
      <c r="K8" s="188" t="str">
        <f t="shared" si="1"/>
        <v>Specific</v>
      </c>
      <c r="L8" s="182" t="str">
        <f t="shared" si="2"/>
        <v>E</v>
      </c>
      <c r="M8" s="188">
        <f t="shared" si="3"/>
        <v>0</v>
      </c>
      <c r="N8" s="188">
        <f t="shared" si="4"/>
        <v>7967622.2999999989</v>
      </c>
      <c r="O8" s="188">
        <f t="shared" si="5"/>
        <v>15392645.76</v>
      </c>
      <c r="P8" s="188">
        <f t="shared" si="6"/>
        <v>28355186.039999999</v>
      </c>
      <c r="Q8" s="188">
        <f t="shared" si="7"/>
        <v>0</v>
      </c>
      <c r="S8" s="188" t="str">
        <f t="shared" si="8"/>
        <v>Bainbridge Tlines Trans</v>
      </c>
      <c r="T8" s="188" t="str">
        <f t="shared" si="9"/>
        <v>Specific</v>
      </c>
      <c r="U8" s="182" t="str">
        <f t="shared" si="10"/>
        <v>E</v>
      </c>
      <c r="V8" s="188">
        <f t="shared" si="11"/>
        <v>0</v>
      </c>
      <c r="W8" s="188">
        <f t="shared" si="12"/>
        <v>0</v>
      </c>
      <c r="X8" s="188">
        <f t="shared" si="13"/>
        <v>0</v>
      </c>
      <c r="Y8" s="188">
        <f t="shared" si="14"/>
        <v>0</v>
      </c>
      <c r="Z8" s="188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182" t="str">
        <f>MID(VLOOKUP(A9,'Calc DG Gross Plant'!$A$5:$D$511,4,FALSE),5,1)</f>
        <v>E</v>
      </c>
      <c r="D9" s="188">
        <v>0</v>
      </c>
      <c r="E9" s="183">
        <v>3072519.3699999996</v>
      </c>
      <c r="F9" s="183">
        <v>19354971.91</v>
      </c>
      <c r="G9" s="183">
        <v>69498833.429999992</v>
      </c>
      <c r="H9" s="183">
        <v>0</v>
      </c>
      <c r="J9" s="188" t="str">
        <f t="shared" si="0"/>
        <v>Capacity Electric</v>
      </c>
      <c r="K9" s="188" t="str">
        <f t="shared" si="1"/>
        <v>Programmatic</v>
      </c>
      <c r="L9" s="182" t="str">
        <f t="shared" si="2"/>
        <v>E</v>
      </c>
      <c r="M9" s="188">
        <f t="shared" si="3"/>
        <v>0</v>
      </c>
      <c r="N9" s="188">
        <f t="shared" si="4"/>
        <v>3072519.3699999996</v>
      </c>
      <c r="O9" s="188">
        <f t="shared" si="5"/>
        <v>19354971.91</v>
      </c>
      <c r="P9" s="188">
        <f t="shared" si="6"/>
        <v>69498833.429999992</v>
      </c>
      <c r="Q9" s="188">
        <f t="shared" si="7"/>
        <v>0</v>
      </c>
      <c r="S9" s="188" t="str">
        <f t="shared" si="8"/>
        <v>Capacity Electric</v>
      </c>
      <c r="T9" s="188" t="str">
        <f t="shared" si="9"/>
        <v>Programmatic</v>
      </c>
      <c r="U9" s="182" t="str">
        <f t="shared" si="10"/>
        <v>E</v>
      </c>
      <c r="V9" s="188">
        <f t="shared" si="11"/>
        <v>0</v>
      </c>
      <c r="W9" s="188">
        <f t="shared" si="12"/>
        <v>0</v>
      </c>
      <c r="X9" s="188">
        <f t="shared" si="13"/>
        <v>0</v>
      </c>
      <c r="Y9" s="188">
        <f t="shared" si="14"/>
        <v>0</v>
      </c>
      <c r="Z9" s="188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182" t="str">
        <f>MID(VLOOKUP(A10,'Calc DG Gross Plant'!$A$5:$D$511,4,FALSE),5,1)</f>
        <v>G</v>
      </c>
      <c r="D10" s="188">
        <v>0</v>
      </c>
      <c r="E10" s="183">
        <v>4938754.53</v>
      </c>
      <c r="F10" s="183">
        <v>7772018.5499999998</v>
      </c>
      <c r="G10" s="183">
        <v>34604747.909999996</v>
      </c>
      <c r="H10" s="183">
        <v>0</v>
      </c>
      <c r="J10" s="188" t="str">
        <f t="shared" si="0"/>
        <v>Capacity Gas</v>
      </c>
      <c r="K10" s="188" t="str">
        <f t="shared" si="1"/>
        <v>Programmatic</v>
      </c>
      <c r="L10" s="182" t="str">
        <f t="shared" si="2"/>
        <v>G</v>
      </c>
      <c r="M10" s="188">
        <f t="shared" si="3"/>
        <v>0</v>
      </c>
      <c r="N10" s="188">
        <f t="shared" si="4"/>
        <v>0</v>
      </c>
      <c r="O10" s="188">
        <f t="shared" si="5"/>
        <v>0</v>
      </c>
      <c r="P10" s="188">
        <f t="shared" si="6"/>
        <v>0</v>
      </c>
      <c r="Q10" s="188">
        <f t="shared" si="7"/>
        <v>0</v>
      </c>
      <c r="S10" s="188" t="str">
        <f t="shared" si="8"/>
        <v>Capacity Gas</v>
      </c>
      <c r="T10" s="188" t="str">
        <f t="shared" si="9"/>
        <v>Programmatic</v>
      </c>
      <c r="U10" s="182" t="str">
        <f t="shared" si="10"/>
        <v>G</v>
      </c>
      <c r="V10" s="188">
        <f t="shared" si="11"/>
        <v>0</v>
      </c>
      <c r="W10" s="188">
        <f t="shared" si="12"/>
        <v>4938754.53</v>
      </c>
      <c r="X10" s="188">
        <f t="shared" si="13"/>
        <v>7772018.5499999998</v>
      </c>
      <c r="Y10" s="188">
        <f t="shared" si="14"/>
        <v>34604747.909999996</v>
      </c>
      <c r="Z10" s="188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182" t="str">
        <f>MID(VLOOKUP(A11,'Calc DG Gross Plant'!$A$5:$D$511,4,FALSE),5,1)</f>
        <v>E</v>
      </c>
      <c r="D11" s="188">
        <v>0</v>
      </c>
      <c r="E11" s="183">
        <v>-17388699.84</v>
      </c>
      <c r="F11" s="183">
        <v>-20579899.91</v>
      </c>
      <c r="G11" s="183">
        <v>-26962300.07</v>
      </c>
      <c r="H11" s="183">
        <v>0</v>
      </c>
      <c r="J11" s="188" t="str">
        <f t="shared" si="0"/>
        <v>CIAC - Electric</v>
      </c>
      <c r="K11" s="188" t="str">
        <f t="shared" si="1"/>
        <v>Programmatic Customer Drive</v>
      </c>
      <c r="L11" s="182" t="str">
        <f t="shared" si="2"/>
        <v>E</v>
      </c>
      <c r="M11" s="188">
        <f t="shared" si="3"/>
        <v>0</v>
      </c>
      <c r="N11" s="188">
        <f t="shared" si="4"/>
        <v>-17388699.84</v>
      </c>
      <c r="O11" s="188">
        <f t="shared" si="5"/>
        <v>-20579899.91</v>
      </c>
      <c r="P11" s="188">
        <f t="shared" si="6"/>
        <v>-26962300.07</v>
      </c>
      <c r="Q11" s="188">
        <f t="shared" si="7"/>
        <v>0</v>
      </c>
      <c r="S11" s="188" t="str">
        <f t="shared" si="8"/>
        <v>CIAC - Electric</v>
      </c>
      <c r="T11" s="188" t="str">
        <f t="shared" si="9"/>
        <v>Programmatic Customer Drive</v>
      </c>
      <c r="U11" s="182" t="str">
        <f t="shared" si="10"/>
        <v>E</v>
      </c>
      <c r="V11" s="188">
        <f t="shared" si="11"/>
        <v>0</v>
      </c>
      <c r="W11" s="188">
        <f t="shared" si="12"/>
        <v>0</v>
      </c>
      <c r="X11" s="188">
        <f t="shared" si="13"/>
        <v>0</v>
      </c>
      <c r="Y11" s="188">
        <f t="shared" si="14"/>
        <v>0</v>
      </c>
      <c r="Z11" s="188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182" t="str">
        <f>MID(VLOOKUP(A12,'Calc DG Gross Plant'!$A$5:$D$511,4,FALSE),5,1)</f>
        <v>G</v>
      </c>
      <c r="D12" s="188">
        <v>0</v>
      </c>
      <c r="E12" s="183">
        <v>-1548400.0799999996</v>
      </c>
      <c r="F12" s="183">
        <v>-3050950.06</v>
      </c>
      <c r="G12" s="183">
        <v>-6056050.0599999996</v>
      </c>
      <c r="H12" s="183">
        <v>0</v>
      </c>
      <c r="J12" s="188" t="str">
        <f t="shared" si="0"/>
        <v>CIAC - Gas</v>
      </c>
      <c r="K12" s="188" t="str">
        <f t="shared" si="1"/>
        <v>Programmatic Customer Drive</v>
      </c>
      <c r="L12" s="182" t="str">
        <f t="shared" si="2"/>
        <v>G</v>
      </c>
      <c r="M12" s="188">
        <f t="shared" si="3"/>
        <v>0</v>
      </c>
      <c r="N12" s="188">
        <f t="shared" si="4"/>
        <v>0</v>
      </c>
      <c r="O12" s="188">
        <f t="shared" si="5"/>
        <v>0</v>
      </c>
      <c r="P12" s="188">
        <f t="shared" si="6"/>
        <v>0</v>
      </c>
      <c r="Q12" s="188">
        <f t="shared" si="7"/>
        <v>0</v>
      </c>
      <c r="S12" s="188" t="str">
        <f t="shared" si="8"/>
        <v>CIAC - Gas</v>
      </c>
      <c r="T12" s="188" t="str">
        <f t="shared" si="9"/>
        <v>Programmatic Customer Drive</v>
      </c>
      <c r="U12" s="182" t="str">
        <f t="shared" si="10"/>
        <v>G</v>
      </c>
      <c r="V12" s="188">
        <f t="shared" si="11"/>
        <v>0</v>
      </c>
      <c r="W12" s="188">
        <f t="shared" si="12"/>
        <v>-1548400.0799999996</v>
      </c>
      <c r="X12" s="188">
        <f t="shared" si="13"/>
        <v>-3050950.06</v>
      </c>
      <c r="Y12" s="188">
        <f t="shared" si="14"/>
        <v>-6056050.0599999996</v>
      </c>
      <c r="Z12" s="188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182" t="str">
        <f>MID(VLOOKUP(A13,'Calc DG Gross Plant'!$A$5:$D$511,4,FALSE),5,1)</f>
        <v>E</v>
      </c>
      <c r="D13" s="188">
        <v>0</v>
      </c>
      <c r="E13" s="183">
        <v>902499.95999999973</v>
      </c>
      <c r="F13" s="183">
        <v>2982340.0500000003</v>
      </c>
      <c r="G13" s="183">
        <v>14637620.119999995</v>
      </c>
      <c r="H13" s="183">
        <v>0</v>
      </c>
      <c r="J13" s="188" t="str">
        <f t="shared" si="0"/>
        <v>Colstrip 3&amp;4</v>
      </c>
      <c r="K13" s="188" t="str">
        <f t="shared" si="1"/>
        <v>Programmatic</v>
      </c>
      <c r="L13" s="182" t="str">
        <f t="shared" si="2"/>
        <v>E</v>
      </c>
      <c r="M13" s="188">
        <f t="shared" si="3"/>
        <v>0</v>
      </c>
      <c r="N13" s="188">
        <f t="shared" si="4"/>
        <v>902499.95999999973</v>
      </c>
      <c r="O13" s="188">
        <f t="shared" si="5"/>
        <v>2982340.0500000003</v>
      </c>
      <c r="P13" s="188">
        <f t="shared" si="6"/>
        <v>14637620.119999995</v>
      </c>
      <c r="Q13" s="188">
        <f t="shared" si="7"/>
        <v>0</v>
      </c>
      <c r="S13" s="188" t="str">
        <f t="shared" si="8"/>
        <v>Colstrip 3&amp;4</v>
      </c>
      <c r="T13" s="188" t="str">
        <f t="shared" si="9"/>
        <v>Programmatic</v>
      </c>
      <c r="U13" s="182" t="str">
        <f t="shared" si="10"/>
        <v>E</v>
      </c>
      <c r="V13" s="188">
        <f t="shared" si="11"/>
        <v>0</v>
      </c>
      <c r="W13" s="188">
        <f t="shared" si="12"/>
        <v>0</v>
      </c>
      <c r="X13" s="188">
        <f t="shared" si="13"/>
        <v>0</v>
      </c>
      <c r="Y13" s="188">
        <f t="shared" si="14"/>
        <v>0</v>
      </c>
      <c r="Z13" s="188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182" t="str">
        <f>MID(VLOOKUP(A14,'Calc DG Gross Plant'!$A$5:$D$511,4,FALSE),5,1)</f>
        <v>C</v>
      </c>
      <c r="D14" s="188">
        <v>0</v>
      </c>
      <c r="E14" s="183">
        <v>0</v>
      </c>
      <c r="F14" s="183">
        <v>0</v>
      </c>
      <c r="G14" s="183">
        <v>648599.62</v>
      </c>
      <c r="H14" s="183">
        <v>0</v>
      </c>
      <c r="J14" s="188" t="str">
        <f t="shared" si="0"/>
        <v>Control Center</v>
      </c>
      <c r="K14" s="188" t="str">
        <f t="shared" si="1"/>
        <v>Specific</v>
      </c>
      <c r="L14" s="182" t="str">
        <f t="shared" si="2"/>
        <v>C</v>
      </c>
      <c r="M14" s="188">
        <f t="shared" si="3"/>
        <v>0</v>
      </c>
      <c r="N14" s="188">
        <f t="shared" si="4"/>
        <v>0</v>
      </c>
      <c r="O14" s="188">
        <f t="shared" si="5"/>
        <v>0</v>
      </c>
      <c r="P14" s="188">
        <f t="shared" si="6"/>
        <v>427686.58942799998</v>
      </c>
      <c r="Q14" s="188">
        <f t="shared" si="7"/>
        <v>0</v>
      </c>
      <c r="S14" s="188" t="str">
        <f t="shared" si="8"/>
        <v>Control Center</v>
      </c>
      <c r="T14" s="188" t="str">
        <f t="shared" si="9"/>
        <v>Specific</v>
      </c>
      <c r="U14" s="182" t="str">
        <f t="shared" si="10"/>
        <v>C</v>
      </c>
      <c r="V14" s="188">
        <f t="shared" si="11"/>
        <v>0</v>
      </c>
      <c r="W14" s="188">
        <f t="shared" si="12"/>
        <v>0</v>
      </c>
      <c r="X14" s="188">
        <f t="shared" si="13"/>
        <v>0</v>
      </c>
      <c r="Y14" s="188">
        <f t="shared" si="14"/>
        <v>220913.03057200002</v>
      </c>
      <c r="Z14" s="188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182" t="str">
        <f>MID(VLOOKUP(A15,'Calc DG Gross Plant'!$A$5:$D$511,4,FALSE),5,1)</f>
        <v>E</v>
      </c>
      <c r="D15" s="188">
        <v>0</v>
      </c>
      <c r="E15" s="183">
        <v>8026288.7699999996</v>
      </c>
      <c r="F15" s="183">
        <v>10197872.050000001</v>
      </c>
      <c r="G15" s="183">
        <v>15449444.700000001</v>
      </c>
      <c r="H15" s="183">
        <v>0</v>
      </c>
      <c r="J15" s="188" t="str">
        <f t="shared" si="0"/>
        <v>Customer Construction Electric</v>
      </c>
      <c r="K15" s="188" t="str">
        <f t="shared" si="1"/>
        <v>Programmatic Customer Drive</v>
      </c>
      <c r="L15" s="182" t="str">
        <f t="shared" si="2"/>
        <v>E</v>
      </c>
      <c r="M15" s="188">
        <f t="shared" si="3"/>
        <v>0</v>
      </c>
      <c r="N15" s="188">
        <f t="shared" si="4"/>
        <v>8026288.7699999996</v>
      </c>
      <c r="O15" s="188">
        <f t="shared" si="5"/>
        <v>10197872.050000001</v>
      </c>
      <c r="P15" s="188">
        <f t="shared" si="6"/>
        <v>15449444.700000001</v>
      </c>
      <c r="Q15" s="188">
        <f t="shared" si="7"/>
        <v>0</v>
      </c>
      <c r="S15" s="188" t="str">
        <f t="shared" si="8"/>
        <v>Customer Construction Electric</v>
      </c>
      <c r="T15" s="188" t="str">
        <f t="shared" si="9"/>
        <v>Programmatic Customer Drive</v>
      </c>
      <c r="U15" s="182" t="str">
        <f t="shared" si="10"/>
        <v>E</v>
      </c>
      <c r="V15" s="188">
        <f t="shared" si="11"/>
        <v>0</v>
      </c>
      <c r="W15" s="188">
        <f t="shared" si="12"/>
        <v>0</v>
      </c>
      <c r="X15" s="188">
        <f t="shared" si="13"/>
        <v>0</v>
      </c>
      <c r="Y15" s="188">
        <f t="shared" si="14"/>
        <v>0</v>
      </c>
      <c r="Z15" s="188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182" t="str">
        <f>MID(VLOOKUP(A16,'Calc DG Gross Plant'!$A$5:$D$511,4,FALSE),5,1)</f>
        <v>G</v>
      </c>
      <c r="D16" s="188">
        <v>0</v>
      </c>
      <c r="E16" s="183">
        <v>112076224.10000001</v>
      </c>
      <c r="F16" s="183">
        <v>120247865.59</v>
      </c>
      <c r="G16" s="183">
        <v>208862186.84</v>
      </c>
      <c r="H16" s="183">
        <v>0</v>
      </c>
      <c r="J16" s="188" t="str">
        <f t="shared" si="0"/>
        <v>Customer Construction Gas</v>
      </c>
      <c r="K16" s="188" t="str">
        <f t="shared" si="1"/>
        <v>Programmatic Customer Drive</v>
      </c>
      <c r="L16" s="182" t="str">
        <f t="shared" si="2"/>
        <v>G</v>
      </c>
      <c r="M16" s="188">
        <f t="shared" si="3"/>
        <v>0</v>
      </c>
      <c r="N16" s="188">
        <f t="shared" si="4"/>
        <v>0</v>
      </c>
      <c r="O16" s="188">
        <f t="shared" si="5"/>
        <v>0</v>
      </c>
      <c r="P16" s="188">
        <f t="shared" si="6"/>
        <v>0</v>
      </c>
      <c r="Q16" s="188">
        <f t="shared" si="7"/>
        <v>0</v>
      </c>
      <c r="S16" s="188" t="str">
        <f t="shared" si="8"/>
        <v>Customer Construction Gas</v>
      </c>
      <c r="T16" s="188" t="str">
        <f t="shared" si="9"/>
        <v>Programmatic Customer Drive</v>
      </c>
      <c r="U16" s="182" t="str">
        <f t="shared" si="10"/>
        <v>G</v>
      </c>
      <c r="V16" s="188">
        <f t="shared" si="11"/>
        <v>0</v>
      </c>
      <c r="W16" s="188">
        <f t="shared" si="12"/>
        <v>112076224.10000001</v>
      </c>
      <c r="X16" s="188">
        <f t="shared" si="13"/>
        <v>120247865.59</v>
      </c>
      <c r="Y16" s="188">
        <f t="shared" si="14"/>
        <v>208862186.84</v>
      </c>
      <c r="Z16" s="188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182" t="str">
        <f>MID(VLOOKUP(A17,'Calc DG Gross Plant'!$A$5:$D$511,4,FALSE),5,1)</f>
        <v>E</v>
      </c>
      <c r="D17" s="188">
        <v>0</v>
      </c>
      <c r="E17" s="183">
        <v>1128673.25</v>
      </c>
      <c r="F17" s="183">
        <v>1648673.27</v>
      </c>
      <c r="G17" s="183">
        <v>4483041.3</v>
      </c>
      <c r="H17" s="183">
        <v>0</v>
      </c>
      <c r="J17" s="188" t="str">
        <f t="shared" si="0"/>
        <v>Customer Sited Energy Storage</v>
      </c>
      <c r="K17" s="188" t="str">
        <f t="shared" si="1"/>
        <v>Programmatic</v>
      </c>
      <c r="L17" s="182" t="str">
        <f t="shared" si="2"/>
        <v>E</v>
      </c>
      <c r="M17" s="188">
        <f t="shared" si="3"/>
        <v>0</v>
      </c>
      <c r="N17" s="188">
        <f t="shared" si="4"/>
        <v>1128673.25</v>
      </c>
      <c r="O17" s="188">
        <f t="shared" si="5"/>
        <v>1648673.27</v>
      </c>
      <c r="P17" s="188">
        <f t="shared" si="6"/>
        <v>4483041.3</v>
      </c>
      <c r="Q17" s="188">
        <f t="shared" si="7"/>
        <v>0</v>
      </c>
      <c r="S17" s="188" t="str">
        <f t="shared" si="8"/>
        <v>Customer Sited Energy Storage</v>
      </c>
      <c r="T17" s="188" t="str">
        <f t="shared" si="9"/>
        <v>Programmatic</v>
      </c>
      <c r="U17" s="182" t="str">
        <f t="shared" si="10"/>
        <v>E</v>
      </c>
      <c r="V17" s="188">
        <f t="shared" si="11"/>
        <v>0</v>
      </c>
      <c r="W17" s="188">
        <f t="shared" si="12"/>
        <v>0</v>
      </c>
      <c r="X17" s="188">
        <f t="shared" si="13"/>
        <v>0</v>
      </c>
      <c r="Y17" s="188">
        <f t="shared" si="14"/>
        <v>0</v>
      </c>
      <c r="Z17" s="188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182" t="str">
        <f>MID(VLOOKUP(A18,'Calc DG Gross Plant'!$A$5:$D$511,4,FALSE),5,1)</f>
        <v>C</v>
      </c>
      <c r="D18" s="188">
        <v>0</v>
      </c>
      <c r="E18" s="183">
        <v>0</v>
      </c>
      <c r="F18" s="183">
        <v>829114.48</v>
      </c>
      <c r="G18" s="183">
        <v>19898747.469999999</v>
      </c>
      <c r="H18" s="183">
        <v>0</v>
      </c>
      <c r="J18" s="188" t="str">
        <f t="shared" si="0"/>
        <v>Data Center Hardware Refresh</v>
      </c>
      <c r="K18" s="188" t="str">
        <f t="shared" si="1"/>
        <v>Programmatic</v>
      </c>
      <c r="L18" s="182" t="str">
        <f t="shared" si="2"/>
        <v>C</v>
      </c>
      <c r="M18" s="188">
        <f t="shared" si="3"/>
        <v>0</v>
      </c>
      <c r="N18" s="188">
        <f t="shared" si="4"/>
        <v>0</v>
      </c>
      <c r="O18" s="188">
        <f t="shared" si="5"/>
        <v>546718.08811200003</v>
      </c>
      <c r="P18" s="188">
        <f t="shared" si="6"/>
        <v>13121234.081718</v>
      </c>
      <c r="Q18" s="188">
        <f t="shared" si="7"/>
        <v>0</v>
      </c>
      <c r="S18" s="188" t="str">
        <f t="shared" si="8"/>
        <v>Data Center Hardware Refresh</v>
      </c>
      <c r="T18" s="188" t="str">
        <f t="shared" si="9"/>
        <v>Programmatic</v>
      </c>
      <c r="U18" s="182" t="str">
        <f t="shared" si="10"/>
        <v>C</v>
      </c>
      <c r="V18" s="188">
        <f t="shared" si="11"/>
        <v>0</v>
      </c>
      <c r="W18" s="188">
        <f t="shared" si="12"/>
        <v>0</v>
      </c>
      <c r="X18" s="188">
        <f t="shared" si="13"/>
        <v>282396.39188800001</v>
      </c>
      <c r="Y18" s="188">
        <f t="shared" si="14"/>
        <v>6777513.3882820001</v>
      </c>
      <c r="Z18" s="188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182" t="str">
        <f>MID(VLOOKUP(A19,'Calc DG Gross Plant'!$A$5:$D$511,4,FALSE),5,1)</f>
        <v>E</v>
      </c>
      <c r="D19" s="188">
        <v>0</v>
      </c>
      <c r="E19" s="183">
        <v>58072642.930000007</v>
      </c>
      <c r="F19" s="183">
        <v>87594834.919999987</v>
      </c>
      <c r="G19" s="183">
        <v>145761419.47999999</v>
      </c>
      <c r="H19" s="183">
        <v>0</v>
      </c>
      <c r="J19" s="188" t="str">
        <f t="shared" si="0"/>
        <v>Emergent Electric</v>
      </c>
      <c r="K19" s="188" t="str">
        <f t="shared" si="1"/>
        <v>Programmatic</v>
      </c>
      <c r="L19" s="182" t="str">
        <f t="shared" si="2"/>
        <v>E</v>
      </c>
      <c r="M19" s="188">
        <f t="shared" si="3"/>
        <v>0</v>
      </c>
      <c r="N19" s="188">
        <f t="shared" si="4"/>
        <v>58072642.930000007</v>
      </c>
      <c r="O19" s="188">
        <f t="shared" si="5"/>
        <v>87594834.919999987</v>
      </c>
      <c r="P19" s="188">
        <f t="shared" si="6"/>
        <v>145761419.47999999</v>
      </c>
      <c r="Q19" s="188">
        <f t="shared" si="7"/>
        <v>0</v>
      </c>
      <c r="S19" s="188" t="str">
        <f t="shared" si="8"/>
        <v>Emergent Electric</v>
      </c>
      <c r="T19" s="188" t="str">
        <f t="shared" si="9"/>
        <v>Programmatic</v>
      </c>
      <c r="U19" s="182" t="str">
        <f t="shared" si="10"/>
        <v>E</v>
      </c>
      <c r="V19" s="188">
        <f t="shared" si="11"/>
        <v>0</v>
      </c>
      <c r="W19" s="188">
        <f t="shared" si="12"/>
        <v>0</v>
      </c>
      <c r="X19" s="188">
        <f t="shared" si="13"/>
        <v>0</v>
      </c>
      <c r="Y19" s="188">
        <f t="shared" si="14"/>
        <v>0</v>
      </c>
      <c r="Z19" s="188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182" t="str">
        <f>MID(VLOOKUP(A20,'Calc DG Gross Plant'!$A$5:$D$511,4,FALSE),5,1)</f>
        <v>G</v>
      </c>
      <c r="D20" s="188">
        <v>0</v>
      </c>
      <c r="E20" s="183">
        <v>18021826.140000001</v>
      </c>
      <c r="F20" s="183">
        <v>28515180.260000005</v>
      </c>
      <c r="G20" s="183">
        <v>50641812.820000008</v>
      </c>
      <c r="H20" s="183">
        <v>0</v>
      </c>
      <c r="J20" s="188" t="str">
        <f t="shared" si="0"/>
        <v>Emergent Gas</v>
      </c>
      <c r="K20" s="188" t="str">
        <f t="shared" si="1"/>
        <v>Programmatic</v>
      </c>
      <c r="L20" s="182" t="str">
        <f t="shared" si="2"/>
        <v>G</v>
      </c>
      <c r="M20" s="188">
        <f t="shared" si="3"/>
        <v>0</v>
      </c>
      <c r="N20" s="188">
        <f t="shared" si="4"/>
        <v>0</v>
      </c>
      <c r="O20" s="188">
        <f t="shared" si="5"/>
        <v>0</v>
      </c>
      <c r="P20" s="188">
        <f t="shared" si="6"/>
        <v>0</v>
      </c>
      <c r="Q20" s="188">
        <f t="shared" si="7"/>
        <v>0</v>
      </c>
      <c r="S20" s="188" t="str">
        <f t="shared" si="8"/>
        <v>Emergent Gas</v>
      </c>
      <c r="T20" s="188" t="str">
        <f t="shared" si="9"/>
        <v>Programmatic</v>
      </c>
      <c r="U20" s="182" t="str">
        <f t="shared" si="10"/>
        <v>G</v>
      </c>
      <c r="V20" s="188">
        <f t="shared" si="11"/>
        <v>0</v>
      </c>
      <c r="W20" s="188">
        <f t="shared" si="12"/>
        <v>18021826.140000001</v>
      </c>
      <c r="X20" s="188">
        <f t="shared" si="13"/>
        <v>28515180.260000005</v>
      </c>
      <c r="Y20" s="188">
        <f t="shared" si="14"/>
        <v>50641812.820000008</v>
      </c>
      <c r="Z20" s="188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182" t="str">
        <f>MID(VLOOKUP(A21,'Calc DG Gross Plant'!$A$5:$D$511,4,FALSE),5,1)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8" t="str">
        <f t="shared" si="0"/>
        <v>EMS Upgrade</v>
      </c>
      <c r="K21" s="188" t="str">
        <f t="shared" si="1"/>
        <v>Specific</v>
      </c>
      <c r="L21" s="182" t="str">
        <f t="shared" si="2"/>
        <v>E</v>
      </c>
      <c r="M21" s="188">
        <f t="shared" si="3"/>
        <v>0</v>
      </c>
      <c r="N21" s="188">
        <f t="shared" si="4"/>
        <v>0</v>
      </c>
      <c r="O21" s="188">
        <f t="shared" si="5"/>
        <v>0</v>
      </c>
      <c r="P21" s="188">
        <f t="shared" si="6"/>
        <v>0</v>
      </c>
      <c r="Q21" s="188">
        <f t="shared" si="7"/>
        <v>0</v>
      </c>
      <c r="S21" s="188" t="str">
        <f t="shared" si="8"/>
        <v>EMS Upgrade</v>
      </c>
      <c r="T21" s="188" t="str">
        <f t="shared" si="9"/>
        <v>Specific</v>
      </c>
      <c r="U21" s="182" t="str">
        <f t="shared" si="10"/>
        <v>E</v>
      </c>
      <c r="V21" s="188">
        <f t="shared" si="11"/>
        <v>0</v>
      </c>
      <c r="W21" s="188">
        <f t="shared" si="12"/>
        <v>0</v>
      </c>
      <c r="X21" s="188">
        <f t="shared" si="13"/>
        <v>0</v>
      </c>
      <c r="Y21" s="188">
        <f t="shared" si="14"/>
        <v>0</v>
      </c>
      <c r="Z21" s="188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182" t="str">
        <f>MID(VLOOKUP(A22,'Calc DG Gross Plant'!$A$5:$D$511,4,FALSE),5,1)</f>
        <v>E</v>
      </c>
      <c r="D22" s="188">
        <v>0</v>
      </c>
      <c r="E22" s="183">
        <v>0</v>
      </c>
      <c r="F22" s="183">
        <v>8358294.1899999995</v>
      </c>
      <c r="G22" s="183">
        <v>93595465.980000004</v>
      </c>
      <c r="H22" s="183">
        <v>0</v>
      </c>
      <c r="J22" s="188" t="str">
        <f t="shared" si="0"/>
        <v>Energize Eastside</v>
      </c>
      <c r="K22" s="188" t="str">
        <f t="shared" si="1"/>
        <v>Specific</v>
      </c>
      <c r="L22" s="182" t="str">
        <f t="shared" si="2"/>
        <v>E</v>
      </c>
      <c r="M22" s="188">
        <f t="shared" si="3"/>
        <v>0</v>
      </c>
      <c r="N22" s="188">
        <f t="shared" si="4"/>
        <v>0</v>
      </c>
      <c r="O22" s="188">
        <f t="shared" si="5"/>
        <v>8358294.1899999995</v>
      </c>
      <c r="P22" s="188">
        <f t="shared" si="6"/>
        <v>93595465.980000004</v>
      </c>
      <c r="Q22" s="188">
        <f t="shared" si="7"/>
        <v>0</v>
      </c>
      <c r="S22" s="188" t="str">
        <f t="shared" si="8"/>
        <v>Energize Eastside</v>
      </c>
      <c r="T22" s="188" t="str">
        <f t="shared" si="9"/>
        <v>Specific</v>
      </c>
      <c r="U22" s="182" t="str">
        <f t="shared" si="10"/>
        <v>E</v>
      </c>
      <c r="V22" s="188">
        <f t="shared" si="11"/>
        <v>0</v>
      </c>
      <c r="W22" s="188">
        <f t="shared" si="12"/>
        <v>0</v>
      </c>
      <c r="X22" s="188">
        <f t="shared" si="13"/>
        <v>0</v>
      </c>
      <c r="Y22" s="188">
        <f t="shared" si="14"/>
        <v>0</v>
      </c>
      <c r="Z22" s="188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182" t="str">
        <f>MID(VLOOKUP(A23,'Calc DG Gross Plant'!$A$5:$D$511,4,FALSE),5,1)</f>
        <v>E</v>
      </c>
      <c r="D23" s="188">
        <v>0</v>
      </c>
      <c r="E23" s="183">
        <v>3158695.8</v>
      </c>
      <c r="F23" s="183">
        <v>6741693.9500000002</v>
      </c>
      <c r="G23" s="183">
        <v>15982057.68</v>
      </c>
      <c r="H23" s="183">
        <v>0</v>
      </c>
      <c r="J23" s="188" t="str">
        <f t="shared" si="0"/>
        <v>EV Circuit</v>
      </c>
      <c r="K23" s="188" t="str">
        <f t="shared" si="1"/>
        <v>Programmatic</v>
      </c>
      <c r="L23" s="182" t="str">
        <f t="shared" si="2"/>
        <v>E</v>
      </c>
      <c r="M23" s="188">
        <f t="shared" si="3"/>
        <v>0</v>
      </c>
      <c r="N23" s="188">
        <f t="shared" si="4"/>
        <v>3158695.8</v>
      </c>
      <c r="O23" s="188">
        <f t="shared" si="5"/>
        <v>6741693.9500000002</v>
      </c>
      <c r="P23" s="188">
        <f t="shared" si="6"/>
        <v>15982057.68</v>
      </c>
      <c r="Q23" s="188">
        <f t="shared" si="7"/>
        <v>0</v>
      </c>
      <c r="S23" s="188" t="str">
        <f t="shared" si="8"/>
        <v>EV Circuit</v>
      </c>
      <c r="T23" s="188" t="str">
        <f t="shared" si="9"/>
        <v>Programmatic</v>
      </c>
      <c r="U23" s="182" t="str">
        <f t="shared" si="10"/>
        <v>E</v>
      </c>
      <c r="V23" s="188">
        <f t="shared" si="11"/>
        <v>0</v>
      </c>
      <c r="W23" s="188">
        <f t="shared" si="12"/>
        <v>0</v>
      </c>
      <c r="X23" s="188">
        <f t="shared" si="13"/>
        <v>0</v>
      </c>
      <c r="Y23" s="188">
        <f t="shared" si="14"/>
        <v>0</v>
      </c>
      <c r="Z23" s="188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182" t="str">
        <f>MID(VLOOKUP(A24,'Calc DG Gross Plant'!$A$5:$D$511,4,FALSE),5,1)</f>
        <v>E</v>
      </c>
      <c r="D24" s="188">
        <v>0</v>
      </c>
      <c r="E24" s="183">
        <v>1447.55</v>
      </c>
      <c r="F24" s="183">
        <v>1507.86</v>
      </c>
      <c r="G24" s="183">
        <v>288136.64</v>
      </c>
      <c r="H24" s="183">
        <v>0</v>
      </c>
      <c r="J24" s="188" t="str">
        <f t="shared" si="0"/>
        <v>Freddy Hot Gas Path</v>
      </c>
      <c r="K24" s="188" t="str">
        <f t="shared" si="1"/>
        <v>Specific</v>
      </c>
      <c r="L24" s="182" t="str">
        <f t="shared" si="2"/>
        <v>E</v>
      </c>
      <c r="M24" s="188">
        <f t="shared" si="3"/>
        <v>0</v>
      </c>
      <c r="N24" s="188">
        <f t="shared" si="4"/>
        <v>1447.55</v>
      </c>
      <c r="O24" s="188">
        <f t="shared" si="5"/>
        <v>1507.86</v>
      </c>
      <c r="P24" s="188">
        <f t="shared" si="6"/>
        <v>288136.64</v>
      </c>
      <c r="Q24" s="188">
        <f t="shared" si="7"/>
        <v>0</v>
      </c>
      <c r="S24" s="188" t="str">
        <f t="shared" si="8"/>
        <v>Freddy Hot Gas Path</v>
      </c>
      <c r="T24" s="188" t="str">
        <f t="shared" si="9"/>
        <v>Specific</v>
      </c>
      <c r="U24" s="182" t="str">
        <f t="shared" si="10"/>
        <v>E</v>
      </c>
      <c r="V24" s="188">
        <f t="shared" si="11"/>
        <v>0</v>
      </c>
      <c r="W24" s="188">
        <f t="shared" si="12"/>
        <v>0</v>
      </c>
      <c r="X24" s="188">
        <f t="shared" si="13"/>
        <v>0</v>
      </c>
      <c r="Y24" s="188">
        <f t="shared" si="14"/>
        <v>0</v>
      </c>
      <c r="Z24" s="188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182" t="str">
        <f>MID(VLOOKUP(A25,'Calc DG Gross Plant'!$A$5:$D$511,4,FALSE),5,1)</f>
        <v>G</v>
      </c>
      <c r="D25" s="188">
        <v>0</v>
      </c>
      <c r="E25" s="183">
        <v>19964351.760000005</v>
      </c>
      <c r="F25" s="183">
        <v>32005861.580000002</v>
      </c>
      <c r="G25" s="183">
        <v>57237705.45000001</v>
      </c>
      <c r="H25" s="183">
        <v>0</v>
      </c>
      <c r="J25" s="188" t="str">
        <f t="shared" si="0"/>
        <v>Gas Modernization</v>
      </c>
      <c r="K25" s="188" t="str">
        <f t="shared" si="1"/>
        <v>Programmatic</v>
      </c>
      <c r="L25" s="182" t="str">
        <f t="shared" si="2"/>
        <v>G</v>
      </c>
      <c r="M25" s="188">
        <f t="shared" si="3"/>
        <v>0</v>
      </c>
      <c r="N25" s="188">
        <f t="shared" si="4"/>
        <v>0</v>
      </c>
      <c r="O25" s="188">
        <f t="shared" si="5"/>
        <v>0</v>
      </c>
      <c r="P25" s="188">
        <f t="shared" si="6"/>
        <v>0</v>
      </c>
      <c r="Q25" s="188">
        <f t="shared" si="7"/>
        <v>0</v>
      </c>
      <c r="S25" s="188" t="str">
        <f t="shared" si="8"/>
        <v>Gas Modernization</v>
      </c>
      <c r="T25" s="188" t="str">
        <f t="shared" si="9"/>
        <v>Programmatic</v>
      </c>
      <c r="U25" s="182" t="str">
        <f t="shared" si="10"/>
        <v>G</v>
      </c>
      <c r="V25" s="188">
        <f t="shared" si="11"/>
        <v>0</v>
      </c>
      <c r="W25" s="188">
        <f t="shared" si="12"/>
        <v>19964351.760000005</v>
      </c>
      <c r="X25" s="188">
        <f t="shared" si="13"/>
        <v>32005861.580000002</v>
      </c>
      <c r="Y25" s="188">
        <f t="shared" si="14"/>
        <v>57237705.45000001</v>
      </c>
      <c r="Z25" s="188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182" t="str">
        <f>MID(VLOOKUP(A26,'Calc DG Gross Plant'!$A$5:$D$511,4,FALSE),5,1)</f>
        <v>E</v>
      </c>
      <c r="D26" s="188">
        <v>0</v>
      </c>
      <c r="E26" s="183">
        <v>-9590572.3200000003</v>
      </c>
      <c r="F26" s="183">
        <v>-9590572.3200000003</v>
      </c>
      <c r="G26" s="183">
        <v>-9590572.3200000003</v>
      </c>
      <c r="H26" s="183">
        <v>0</v>
      </c>
      <c r="J26" s="188" t="str">
        <f t="shared" si="0"/>
        <v>Goldendale MM</v>
      </c>
      <c r="K26" s="188" t="str">
        <f t="shared" si="1"/>
        <v>Specific</v>
      </c>
      <c r="L26" s="182" t="str">
        <f t="shared" si="2"/>
        <v>E</v>
      </c>
      <c r="M26" s="188">
        <f t="shared" si="3"/>
        <v>0</v>
      </c>
      <c r="N26" s="188">
        <f t="shared" si="4"/>
        <v>-9590572.3200000003</v>
      </c>
      <c r="O26" s="188">
        <f t="shared" si="5"/>
        <v>-9590572.3200000003</v>
      </c>
      <c r="P26" s="188">
        <f t="shared" si="6"/>
        <v>-9590572.3200000003</v>
      </c>
      <c r="Q26" s="188">
        <f t="shared" si="7"/>
        <v>0</v>
      </c>
      <c r="S26" s="188" t="str">
        <f t="shared" si="8"/>
        <v>Goldendale MM</v>
      </c>
      <c r="T26" s="188" t="str">
        <f t="shared" si="9"/>
        <v>Specific</v>
      </c>
      <c r="U26" s="182" t="str">
        <f t="shared" si="10"/>
        <v>E</v>
      </c>
      <c r="V26" s="188">
        <f t="shared" si="11"/>
        <v>0</v>
      </c>
      <c r="W26" s="188">
        <f t="shared" si="12"/>
        <v>0</v>
      </c>
      <c r="X26" s="188">
        <f t="shared" si="13"/>
        <v>0</v>
      </c>
      <c r="Y26" s="188">
        <f t="shared" si="14"/>
        <v>0</v>
      </c>
      <c r="Z26" s="188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182" t="str">
        <f>MID(VLOOKUP(A27,'Calc DG Gross Plant'!$A$5:$D$511,4,FALSE),5,1)</f>
        <v>E</v>
      </c>
      <c r="D27" s="188">
        <v>0</v>
      </c>
      <c r="E27" s="183">
        <v>141899986.32000002</v>
      </c>
      <c r="F27" s="183">
        <v>225004749.23999998</v>
      </c>
      <c r="G27" s="183">
        <v>447159398.98000002</v>
      </c>
      <c r="H27" s="183">
        <v>0</v>
      </c>
      <c r="J27" s="188" t="str">
        <f t="shared" si="0"/>
        <v>Grid Modernization</v>
      </c>
      <c r="K27" s="188" t="str">
        <f t="shared" si="1"/>
        <v>Programmatic</v>
      </c>
      <c r="L27" s="182" t="str">
        <f t="shared" si="2"/>
        <v>E</v>
      </c>
      <c r="M27" s="188">
        <f t="shared" si="3"/>
        <v>0</v>
      </c>
      <c r="N27" s="188">
        <f t="shared" si="4"/>
        <v>141899986.32000002</v>
      </c>
      <c r="O27" s="188">
        <f t="shared" si="5"/>
        <v>225004749.23999998</v>
      </c>
      <c r="P27" s="188">
        <f t="shared" si="6"/>
        <v>447159398.98000002</v>
      </c>
      <c r="Q27" s="188">
        <f t="shared" si="7"/>
        <v>0</v>
      </c>
      <c r="S27" s="188" t="str">
        <f t="shared" si="8"/>
        <v>Grid Modernization</v>
      </c>
      <c r="T27" s="188" t="str">
        <f t="shared" si="9"/>
        <v>Programmatic</v>
      </c>
      <c r="U27" s="182" t="str">
        <f t="shared" si="10"/>
        <v>E</v>
      </c>
      <c r="V27" s="188">
        <f t="shared" si="11"/>
        <v>0</v>
      </c>
      <c r="W27" s="188">
        <f t="shared" si="12"/>
        <v>0</v>
      </c>
      <c r="X27" s="188">
        <f t="shared" si="13"/>
        <v>0</v>
      </c>
      <c r="Y27" s="188">
        <f t="shared" si="14"/>
        <v>0</v>
      </c>
      <c r="Z27" s="188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182" t="str">
        <f>MID(VLOOKUP(A28,'Calc DG Gross Plant'!$A$5:$D$511,4,FALSE),5,1)</f>
        <v>C</v>
      </c>
      <c r="D28" s="188">
        <v>0</v>
      </c>
      <c r="E28" s="183">
        <v>28780121.369999997</v>
      </c>
      <c r="F28" s="183">
        <v>44327845.890000001</v>
      </c>
      <c r="G28" s="183">
        <v>77053298.300000012</v>
      </c>
      <c r="H28" s="183">
        <v>0</v>
      </c>
      <c r="J28" s="188" t="str">
        <f t="shared" si="0"/>
        <v>IT Operational Program - Common</v>
      </c>
      <c r="K28" s="188" t="str">
        <f t="shared" si="1"/>
        <v>Programmatic</v>
      </c>
      <c r="L28" s="182" t="str">
        <f t="shared" si="2"/>
        <v>C</v>
      </c>
      <c r="M28" s="188">
        <f t="shared" si="3"/>
        <v>0</v>
      </c>
      <c r="N28" s="188">
        <f t="shared" si="4"/>
        <v>18977612.031377997</v>
      </c>
      <c r="O28" s="188">
        <f t="shared" si="5"/>
        <v>29229781.579866</v>
      </c>
      <c r="P28" s="188">
        <f t="shared" si="6"/>
        <v>50808944.899020009</v>
      </c>
      <c r="Q28" s="188">
        <f t="shared" si="7"/>
        <v>0</v>
      </c>
      <c r="S28" s="188" t="str">
        <f t="shared" si="8"/>
        <v>IT Operational Program - Common</v>
      </c>
      <c r="T28" s="188" t="str">
        <f t="shared" si="9"/>
        <v>Programmatic</v>
      </c>
      <c r="U28" s="182" t="str">
        <f t="shared" si="10"/>
        <v>C</v>
      </c>
      <c r="V28" s="188">
        <f t="shared" si="11"/>
        <v>0</v>
      </c>
      <c r="W28" s="188">
        <f t="shared" si="12"/>
        <v>9802509.3386220001</v>
      </c>
      <c r="X28" s="188">
        <f t="shared" si="13"/>
        <v>15098064.310134001</v>
      </c>
      <c r="Y28" s="188">
        <f t="shared" si="14"/>
        <v>26244353.400980007</v>
      </c>
      <c r="Z28" s="188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182" t="str">
        <f>MID(VLOOKUP(A29,'Calc DG Gross Plant'!$A$5:$D$511,4,FALSE),5,1)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8" t="str">
        <f t="shared" si="0"/>
        <v>Lower Baker Dam Grouting Program</v>
      </c>
      <c r="K29" s="188" t="str">
        <f t="shared" si="1"/>
        <v>Specific</v>
      </c>
      <c r="L29" s="182" t="str">
        <f t="shared" si="2"/>
        <v>E</v>
      </c>
      <c r="M29" s="188">
        <f t="shared" si="3"/>
        <v>0</v>
      </c>
      <c r="N29" s="188">
        <f t="shared" si="4"/>
        <v>0</v>
      </c>
      <c r="O29" s="188">
        <f t="shared" si="5"/>
        <v>0</v>
      </c>
      <c r="P29" s="188">
        <f t="shared" si="6"/>
        <v>0</v>
      </c>
      <c r="Q29" s="188">
        <f t="shared" si="7"/>
        <v>0</v>
      </c>
      <c r="S29" s="188" t="str">
        <f t="shared" si="8"/>
        <v>Lower Baker Dam Grouting Program</v>
      </c>
      <c r="T29" s="188" t="str">
        <f t="shared" si="9"/>
        <v>Specific</v>
      </c>
      <c r="U29" s="182" t="str">
        <f t="shared" si="10"/>
        <v>E</v>
      </c>
      <c r="V29" s="188">
        <f t="shared" si="11"/>
        <v>0</v>
      </c>
      <c r="W29" s="188">
        <f t="shared" si="12"/>
        <v>0</v>
      </c>
      <c r="X29" s="188">
        <f t="shared" si="13"/>
        <v>0</v>
      </c>
      <c r="Y29" s="188">
        <f t="shared" si="14"/>
        <v>0</v>
      </c>
      <c r="Z29" s="188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182" t="str">
        <f>MID(VLOOKUP(A30,'Calc DG Gross Plant'!$A$5:$D$511,4,FALSE),5,1)</f>
        <v>E</v>
      </c>
      <c r="D30" s="188">
        <v>0</v>
      </c>
      <c r="E30" s="183">
        <v>18519242.819999997</v>
      </c>
      <c r="F30" s="183">
        <v>21115306.319999997</v>
      </c>
      <c r="G30" s="183">
        <v>38723809.619999997</v>
      </c>
      <c r="H30" s="183">
        <v>0</v>
      </c>
      <c r="J30" s="188" t="str">
        <f t="shared" si="0"/>
        <v>Major Projects Electric</v>
      </c>
      <c r="K30" s="188" t="str">
        <f t="shared" si="1"/>
        <v>Programmatic</v>
      </c>
      <c r="L30" s="182" t="str">
        <f t="shared" si="2"/>
        <v>E</v>
      </c>
      <c r="M30" s="188">
        <f t="shared" si="3"/>
        <v>0</v>
      </c>
      <c r="N30" s="188">
        <f t="shared" si="4"/>
        <v>18519242.819999997</v>
      </c>
      <c r="O30" s="188">
        <f t="shared" si="5"/>
        <v>21115306.319999997</v>
      </c>
      <c r="P30" s="188">
        <f t="shared" si="6"/>
        <v>38723809.619999997</v>
      </c>
      <c r="Q30" s="188">
        <f t="shared" si="7"/>
        <v>0</v>
      </c>
      <c r="S30" s="188" t="str">
        <f t="shared" si="8"/>
        <v>Major Projects Electric</v>
      </c>
      <c r="T30" s="188" t="str">
        <f t="shared" si="9"/>
        <v>Programmatic</v>
      </c>
      <c r="U30" s="182" t="str">
        <f t="shared" si="10"/>
        <v>E</v>
      </c>
      <c r="V30" s="188">
        <f t="shared" si="11"/>
        <v>0</v>
      </c>
      <c r="W30" s="188">
        <f t="shared" si="12"/>
        <v>0</v>
      </c>
      <c r="X30" s="188">
        <f t="shared" si="13"/>
        <v>0</v>
      </c>
      <c r="Y30" s="188">
        <f t="shared" si="14"/>
        <v>0</v>
      </c>
      <c r="Z30" s="188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182" t="str">
        <f>MID(VLOOKUP(A31,'Calc DG Gross Plant'!$A$5:$D$511,4,FALSE),5,1)</f>
        <v>G</v>
      </c>
      <c r="D31" s="193">
        <v>0</v>
      </c>
      <c r="E31" s="195">
        <v>3362349.75</v>
      </c>
      <c r="F31" s="195">
        <v>3650368.53</v>
      </c>
      <c r="G31" s="195">
        <v>4226406.09</v>
      </c>
      <c r="H31" s="195">
        <v>0</v>
      </c>
      <c r="I31" s="192"/>
      <c r="J31" s="193" t="str">
        <f t="shared" si="0"/>
        <v>Major Projects Gas</v>
      </c>
      <c r="K31" s="188" t="str">
        <f t="shared" si="1"/>
        <v>Programmatic</v>
      </c>
      <c r="L31" s="194" t="str">
        <f t="shared" si="2"/>
        <v>G</v>
      </c>
      <c r="M31" s="193">
        <f t="shared" si="3"/>
        <v>0</v>
      </c>
      <c r="N31" s="193">
        <f t="shared" si="4"/>
        <v>0</v>
      </c>
      <c r="O31" s="193">
        <f t="shared" si="5"/>
        <v>0</v>
      </c>
      <c r="P31" s="193">
        <f t="shared" si="6"/>
        <v>0</v>
      </c>
      <c r="Q31" s="193">
        <f t="shared" si="7"/>
        <v>0</v>
      </c>
      <c r="R31" s="192"/>
      <c r="S31" s="193" t="str">
        <f t="shared" si="8"/>
        <v>Major Projects Gas</v>
      </c>
      <c r="T31" s="188" t="str">
        <f t="shared" si="9"/>
        <v>Programmatic</v>
      </c>
      <c r="U31" s="194" t="str">
        <f t="shared" si="10"/>
        <v>G</v>
      </c>
      <c r="V31" s="193">
        <f t="shared" si="11"/>
        <v>0</v>
      </c>
      <c r="W31" s="193">
        <f t="shared" si="12"/>
        <v>3362349.75</v>
      </c>
      <c r="X31" s="193">
        <f t="shared" si="13"/>
        <v>3650368.53</v>
      </c>
      <c r="Y31" s="193">
        <f t="shared" si="14"/>
        <v>4226406.09</v>
      </c>
      <c r="Z31" s="193">
        <f t="shared" si="15"/>
        <v>0</v>
      </c>
      <c r="AA31" s="192"/>
      <c r="AB31" s="191">
        <f t="shared" si="16"/>
        <v>0</v>
      </c>
    </row>
    <row r="32" spans="1:28" x14ac:dyDescent="0.25">
      <c r="A32" s="185" t="s">
        <v>21</v>
      </c>
      <c r="B32" s="185" t="s">
        <v>173</v>
      </c>
      <c r="C32" s="182" t="str">
        <f>MID(VLOOKUP(A32,'Calc DG Gross Plant'!$A$5:$D$511,4,FALSE),5,1)</f>
        <v>G</v>
      </c>
      <c r="D32" s="193">
        <v>0</v>
      </c>
      <c r="E32" s="195">
        <v>1256366.2</v>
      </c>
      <c r="F32" s="195">
        <v>1256366.2</v>
      </c>
      <c r="G32" s="195">
        <v>1256366.2</v>
      </c>
      <c r="H32" s="195">
        <v>0</v>
      </c>
      <c r="I32" s="192"/>
      <c r="J32" s="193" t="str">
        <f t="shared" si="0"/>
        <v>Marine Crossing</v>
      </c>
      <c r="K32" s="188" t="str">
        <f t="shared" si="1"/>
        <v>Specific</v>
      </c>
      <c r="L32" s="194" t="str">
        <f t="shared" si="2"/>
        <v>G</v>
      </c>
      <c r="M32" s="193">
        <f t="shared" si="3"/>
        <v>0</v>
      </c>
      <c r="N32" s="193">
        <f t="shared" si="4"/>
        <v>0</v>
      </c>
      <c r="O32" s="193">
        <f t="shared" si="5"/>
        <v>0</v>
      </c>
      <c r="P32" s="193">
        <f t="shared" si="6"/>
        <v>0</v>
      </c>
      <c r="Q32" s="193">
        <f t="shared" si="7"/>
        <v>0</v>
      </c>
      <c r="R32" s="192"/>
      <c r="S32" s="193" t="str">
        <f t="shared" si="8"/>
        <v>Marine Crossing</v>
      </c>
      <c r="T32" s="188" t="str">
        <f t="shared" si="9"/>
        <v>Specific</v>
      </c>
      <c r="U32" s="194" t="str">
        <f t="shared" si="10"/>
        <v>G</v>
      </c>
      <c r="V32" s="193">
        <f t="shared" si="11"/>
        <v>0</v>
      </c>
      <c r="W32" s="193">
        <f t="shared" si="12"/>
        <v>1256366.2</v>
      </c>
      <c r="X32" s="193">
        <f t="shared" si="13"/>
        <v>1256366.2</v>
      </c>
      <c r="Y32" s="193">
        <f t="shared" si="14"/>
        <v>1256366.2</v>
      </c>
      <c r="Z32" s="193">
        <f t="shared" si="15"/>
        <v>0</v>
      </c>
      <c r="AA32" s="192"/>
      <c r="AB32" s="191">
        <f t="shared" si="16"/>
        <v>0</v>
      </c>
    </row>
    <row r="33" spans="1:28" x14ac:dyDescent="0.25">
      <c r="A33" s="185" t="s">
        <v>22</v>
      </c>
      <c r="B33" s="185" t="s">
        <v>173</v>
      </c>
      <c r="C33" s="182" t="str">
        <f>MID(VLOOKUP(A33,'Calc DG Gross Plant'!$A$5:$D$511,4,FALSE),5,1)</f>
        <v>E</v>
      </c>
      <c r="D33" s="188">
        <v>0</v>
      </c>
      <c r="E33" s="183">
        <v>14828422.560000001</v>
      </c>
      <c r="F33" s="183">
        <v>12731803.369999999</v>
      </c>
      <c r="G33" s="183">
        <v>10635184.199999999</v>
      </c>
      <c r="H33" s="183">
        <v>0</v>
      </c>
      <c r="J33" s="188" t="str">
        <f t="shared" si="0"/>
        <v>Mint Farm MM</v>
      </c>
      <c r="K33" s="188" t="str">
        <f t="shared" si="1"/>
        <v>Specific</v>
      </c>
      <c r="L33" s="182" t="str">
        <f t="shared" si="2"/>
        <v>E</v>
      </c>
      <c r="M33" s="188">
        <f t="shared" si="3"/>
        <v>0</v>
      </c>
      <c r="N33" s="188">
        <f t="shared" si="4"/>
        <v>14828422.560000001</v>
      </c>
      <c r="O33" s="188">
        <f t="shared" si="5"/>
        <v>12731803.369999999</v>
      </c>
      <c r="P33" s="188">
        <f t="shared" si="6"/>
        <v>10635184.199999999</v>
      </c>
      <c r="Q33" s="188">
        <f t="shared" si="7"/>
        <v>0</v>
      </c>
      <c r="S33" s="188" t="str">
        <f t="shared" si="8"/>
        <v>Mint Farm MM</v>
      </c>
      <c r="T33" s="188" t="str">
        <f t="shared" si="9"/>
        <v>Specific</v>
      </c>
      <c r="U33" s="182" t="str">
        <f t="shared" si="10"/>
        <v>E</v>
      </c>
      <c r="V33" s="188">
        <f t="shared" si="11"/>
        <v>0</v>
      </c>
      <c r="W33" s="188">
        <f t="shared" si="12"/>
        <v>0</v>
      </c>
      <c r="X33" s="188">
        <f t="shared" si="13"/>
        <v>0</v>
      </c>
      <c r="Y33" s="188">
        <f t="shared" si="14"/>
        <v>0</v>
      </c>
      <c r="Z33" s="188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182" t="str">
        <f>MID(VLOOKUP(A34,'Calc DG Gross Plant'!$A$5:$D$511,4,FALSE),5,1)</f>
        <v>E</v>
      </c>
      <c r="D34" s="188">
        <v>0</v>
      </c>
      <c r="E34" s="183">
        <v>13427256.92</v>
      </c>
      <c r="F34" s="183">
        <v>18494170.390000001</v>
      </c>
      <c r="G34" s="183">
        <v>28457343.260000002</v>
      </c>
      <c r="H34" s="183">
        <v>0</v>
      </c>
      <c r="J34" s="188" t="str">
        <f t="shared" si="0"/>
        <v>PI Electric</v>
      </c>
      <c r="K34" s="188" t="str">
        <f t="shared" si="1"/>
        <v>Programmatic Customer Drive</v>
      </c>
      <c r="L34" s="182" t="str">
        <f t="shared" si="2"/>
        <v>E</v>
      </c>
      <c r="M34" s="188">
        <f t="shared" si="3"/>
        <v>0</v>
      </c>
      <c r="N34" s="188">
        <f t="shared" si="4"/>
        <v>13427256.92</v>
      </c>
      <c r="O34" s="188">
        <f t="shared" si="5"/>
        <v>18494170.390000001</v>
      </c>
      <c r="P34" s="188">
        <f t="shared" si="6"/>
        <v>28457343.260000002</v>
      </c>
      <c r="Q34" s="188">
        <f t="shared" si="7"/>
        <v>0</v>
      </c>
      <c r="S34" s="188" t="str">
        <f t="shared" si="8"/>
        <v>PI Electric</v>
      </c>
      <c r="T34" s="188" t="str">
        <f t="shared" si="9"/>
        <v>Programmatic Customer Drive</v>
      </c>
      <c r="U34" s="182" t="str">
        <f t="shared" si="10"/>
        <v>E</v>
      </c>
      <c r="V34" s="188">
        <f t="shared" si="11"/>
        <v>0</v>
      </c>
      <c r="W34" s="188">
        <f t="shared" si="12"/>
        <v>0</v>
      </c>
      <c r="X34" s="188">
        <f t="shared" si="13"/>
        <v>0</v>
      </c>
      <c r="Y34" s="188">
        <f t="shared" si="14"/>
        <v>0</v>
      </c>
      <c r="Z34" s="188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182" t="str">
        <f>MID(VLOOKUP(A35,'Calc DG Gross Plant'!$A$5:$D$511,4,FALSE),5,1)</f>
        <v>G</v>
      </c>
      <c r="D35" s="188">
        <v>0</v>
      </c>
      <c r="E35" s="183">
        <v>9705747.8200000003</v>
      </c>
      <c r="F35" s="183">
        <v>9806259.4500000011</v>
      </c>
      <c r="G35" s="183">
        <v>9861026.3100000024</v>
      </c>
      <c r="H35" s="183">
        <v>0</v>
      </c>
      <c r="J35" s="188" t="str">
        <f t="shared" si="0"/>
        <v>PI Gas</v>
      </c>
      <c r="K35" s="188" t="str">
        <f t="shared" si="1"/>
        <v>Programmatic Customer Drive</v>
      </c>
      <c r="L35" s="182" t="str">
        <f t="shared" si="2"/>
        <v>G</v>
      </c>
      <c r="M35" s="188">
        <f t="shared" si="3"/>
        <v>0</v>
      </c>
      <c r="N35" s="188">
        <f t="shared" si="4"/>
        <v>0</v>
      </c>
      <c r="O35" s="188">
        <f t="shared" si="5"/>
        <v>0</v>
      </c>
      <c r="P35" s="188">
        <f t="shared" si="6"/>
        <v>0</v>
      </c>
      <c r="Q35" s="188">
        <f t="shared" si="7"/>
        <v>0</v>
      </c>
      <c r="S35" s="188" t="str">
        <f t="shared" si="8"/>
        <v>PI Gas</v>
      </c>
      <c r="T35" s="188" t="str">
        <f t="shared" si="9"/>
        <v>Programmatic Customer Drive</v>
      </c>
      <c r="U35" s="182" t="str">
        <f t="shared" si="10"/>
        <v>G</v>
      </c>
      <c r="V35" s="188">
        <f t="shared" si="11"/>
        <v>0</v>
      </c>
      <c r="W35" s="188">
        <f t="shared" si="12"/>
        <v>9705747.8200000003</v>
      </c>
      <c r="X35" s="188">
        <f t="shared" si="13"/>
        <v>9806259.4500000011</v>
      </c>
      <c r="Y35" s="188">
        <f t="shared" si="14"/>
        <v>9861026.3100000024</v>
      </c>
      <c r="Z35" s="188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182" t="str">
        <f>MID(VLOOKUP(A36,'Calc DG Gross Plant'!$A$5:$D$511,4,FALSE),5,1)</f>
        <v>G</v>
      </c>
      <c r="D36" s="188">
        <v>0</v>
      </c>
      <c r="E36" s="183">
        <v>53168011.580000006</v>
      </c>
      <c r="F36" s="183">
        <v>77876166.570000008</v>
      </c>
      <c r="G36" s="183">
        <v>138334121.74000001</v>
      </c>
      <c r="H36" s="183">
        <v>0</v>
      </c>
      <c r="J36" s="188" t="str">
        <f t="shared" si="0"/>
        <v>Pipe Replacement</v>
      </c>
      <c r="K36" s="188" t="str">
        <f t="shared" si="1"/>
        <v>Programmatic</v>
      </c>
      <c r="L36" s="182" t="str">
        <f t="shared" si="2"/>
        <v>G</v>
      </c>
      <c r="M36" s="188">
        <f t="shared" si="3"/>
        <v>0</v>
      </c>
      <c r="N36" s="188">
        <f t="shared" si="4"/>
        <v>0</v>
      </c>
      <c r="O36" s="188">
        <f t="shared" si="5"/>
        <v>0</v>
      </c>
      <c r="P36" s="188">
        <f t="shared" si="6"/>
        <v>0</v>
      </c>
      <c r="Q36" s="188">
        <f t="shared" si="7"/>
        <v>0</v>
      </c>
      <c r="S36" s="188" t="str">
        <f t="shared" si="8"/>
        <v>Pipe Replacement</v>
      </c>
      <c r="T36" s="188" t="str">
        <f t="shared" si="9"/>
        <v>Programmatic</v>
      </c>
      <c r="U36" s="182" t="str">
        <f t="shared" si="10"/>
        <v>G</v>
      </c>
      <c r="V36" s="188">
        <f t="shared" si="11"/>
        <v>0</v>
      </c>
      <c r="W36" s="188">
        <f t="shared" si="12"/>
        <v>53168011.580000006</v>
      </c>
      <c r="X36" s="188">
        <f t="shared" si="13"/>
        <v>77876166.570000008</v>
      </c>
      <c r="Y36" s="188">
        <f t="shared" si="14"/>
        <v>138334121.74000001</v>
      </c>
      <c r="Z36" s="188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182" t="str">
        <f>MID(VLOOKUP(A37,'Calc DG Gross Plant'!$A$5:$D$511,4,FALSE),5,1)</f>
        <v>C</v>
      </c>
      <c r="D37" s="188">
        <v>0</v>
      </c>
      <c r="E37" s="183">
        <v>28943040.559999999</v>
      </c>
      <c r="F37" s="183">
        <v>51764891.280000001</v>
      </c>
      <c r="G37" s="183">
        <v>136293652.81000003</v>
      </c>
      <c r="H37" s="183">
        <v>0</v>
      </c>
      <c r="J37" s="188" t="str">
        <f t="shared" si="0"/>
        <v>Projected - Common</v>
      </c>
      <c r="K37" s="188" t="str">
        <f t="shared" si="1"/>
        <v>Projected</v>
      </c>
      <c r="L37" s="182" t="str">
        <f t="shared" si="2"/>
        <v>C</v>
      </c>
      <c r="M37" s="188">
        <f t="shared" si="3"/>
        <v>0</v>
      </c>
      <c r="N37" s="188">
        <f t="shared" si="4"/>
        <v>19085040.945264</v>
      </c>
      <c r="O37" s="188">
        <f t="shared" si="5"/>
        <v>34133769.310032003</v>
      </c>
      <c r="P37" s="188">
        <f t="shared" si="6"/>
        <v>89872034.662914023</v>
      </c>
      <c r="Q37" s="188">
        <f t="shared" si="7"/>
        <v>0</v>
      </c>
      <c r="S37" s="188" t="str">
        <f t="shared" si="8"/>
        <v>Projected - Common</v>
      </c>
      <c r="T37" s="188" t="str">
        <f t="shared" si="9"/>
        <v>Projected</v>
      </c>
      <c r="U37" s="182" t="str">
        <f t="shared" si="10"/>
        <v>C</v>
      </c>
      <c r="V37" s="188">
        <f t="shared" si="11"/>
        <v>0</v>
      </c>
      <c r="W37" s="188">
        <f t="shared" si="12"/>
        <v>9857999.6147360001</v>
      </c>
      <c r="X37" s="188">
        <f t="shared" si="13"/>
        <v>17631121.969968002</v>
      </c>
      <c r="Y37" s="188">
        <f t="shared" si="14"/>
        <v>46421618.147086009</v>
      </c>
      <c r="Z37" s="188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182" t="str">
        <f>MID(VLOOKUP(A38,'Calc DG Gross Plant'!$A$5:$D$511,4,FALSE),5,1)</f>
        <v>E</v>
      </c>
      <c r="D38" s="188">
        <v>0</v>
      </c>
      <c r="E38" s="183">
        <v>137801651.11999992</v>
      </c>
      <c r="F38" s="183">
        <v>178176006.90999997</v>
      </c>
      <c r="G38" s="183">
        <v>266939689.60999992</v>
      </c>
      <c r="H38" s="183">
        <v>0</v>
      </c>
      <c r="J38" s="188" t="str">
        <f t="shared" si="0"/>
        <v>Projected - Electric</v>
      </c>
      <c r="K38" s="188" t="str">
        <f t="shared" si="1"/>
        <v>Projected</v>
      </c>
      <c r="L38" s="182" t="str">
        <f t="shared" si="2"/>
        <v>E</v>
      </c>
      <c r="M38" s="188">
        <f t="shared" si="3"/>
        <v>0</v>
      </c>
      <c r="N38" s="188">
        <f t="shared" si="4"/>
        <v>137801651.11999992</v>
      </c>
      <c r="O38" s="188">
        <f t="shared" si="5"/>
        <v>178176006.90999997</v>
      </c>
      <c r="P38" s="188">
        <f t="shared" si="6"/>
        <v>266939689.60999992</v>
      </c>
      <c r="Q38" s="188">
        <f t="shared" si="7"/>
        <v>0</v>
      </c>
      <c r="S38" s="188" t="str">
        <f t="shared" si="8"/>
        <v>Projected - Electric</v>
      </c>
      <c r="T38" s="188" t="str">
        <f t="shared" si="9"/>
        <v>Projected</v>
      </c>
      <c r="U38" s="182" t="str">
        <f t="shared" si="10"/>
        <v>E</v>
      </c>
      <c r="V38" s="188">
        <f t="shared" si="11"/>
        <v>0</v>
      </c>
      <c r="W38" s="188">
        <f t="shared" si="12"/>
        <v>0</v>
      </c>
      <c r="X38" s="188">
        <f t="shared" si="13"/>
        <v>0</v>
      </c>
      <c r="Y38" s="188">
        <f t="shared" si="14"/>
        <v>0</v>
      </c>
      <c r="Z38" s="188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182" t="str">
        <f>MID(VLOOKUP(A39,'Calc DG Gross Plant'!$A$5:$D$511,4,FALSE),5,1)</f>
        <v>G</v>
      </c>
      <c r="D39" s="188">
        <v>0</v>
      </c>
      <c r="E39" s="183">
        <v>20090655.879999999</v>
      </c>
      <c r="F39" s="183">
        <v>30683155.220000006</v>
      </c>
      <c r="G39" s="183">
        <v>50451858.829999998</v>
      </c>
      <c r="H39" s="183">
        <v>0</v>
      </c>
      <c r="J39" s="188" t="str">
        <f t="shared" si="0"/>
        <v>Projected - Gas</v>
      </c>
      <c r="K39" s="188" t="str">
        <f t="shared" si="1"/>
        <v>Projected</v>
      </c>
      <c r="L39" s="182" t="str">
        <f t="shared" si="2"/>
        <v>G</v>
      </c>
      <c r="M39" s="188">
        <f t="shared" si="3"/>
        <v>0</v>
      </c>
      <c r="N39" s="188">
        <f t="shared" si="4"/>
        <v>0</v>
      </c>
      <c r="O39" s="188">
        <f t="shared" si="5"/>
        <v>0</v>
      </c>
      <c r="P39" s="188">
        <f t="shared" si="6"/>
        <v>0</v>
      </c>
      <c r="Q39" s="188">
        <f t="shared" si="7"/>
        <v>0</v>
      </c>
      <c r="S39" s="188" t="str">
        <f t="shared" si="8"/>
        <v>Projected - Gas</v>
      </c>
      <c r="T39" s="188" t="str">
        <f t="shared" si="9"/>
        <v>Projected</v>
      </c>
      <c r="U39" s="182" t="str">
        <f t="shared" si="10"/>
        <v>G</v>
      </c>
      <c r="V39" s="188">
        <f t="shared" si="11"/>
        <v>0</v>
      </c>
      <c r="W39" s="188">
        <f t="shared" si="12"/>
        <v>20090655.879999999</v>
      </c>
      <c r="X39" s="188">
        <f t="shared" si="13"/>
        <v>30683155.220000006</v>
      </c>
      <c r="Y39" s="188">
        <f t="shared" si="14"/>
        <v>50451858.829999998</v>
      </c>
      <c r="Z39" s="188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182" t="str">
        <f>MID(VLOOKUP(A40,'Calc DG Gross Plant'!$A$5:$D$511,4,FALSE),5,1)</f>
        <v>E</v>
      </c>
      <c r="D40" s="188">
        <v>0</v>
      </c>
      <c r="E40" s="183">
        <v>966466.55999999994</v>
      </c>
      <c r="F40" s="183">
        <v>3099764.77</v>
      </c>
      <c r="G40" s="183">
        <v>9723596.8000000007</v>
      </c>
      <c r="H40" s="183">
        <v>0</v>
      </c>
      <c r="J40" s="188" t="str">
        <f t="shared" si="0"/>
        <v>Resilience Enhancement</v>
      </c>
      <c r="K40" s="188" t="str">
        <f t="shared" si="1"/>
        <v>Programmatic</v>
      </c>
      <c r="L40" s="182" t="str">
        <f t="shared" si="2"/>
        <v>E</v>
      </c>
      <c r="M40" s="188">
        <f t="shared" si="3"/>
        <v>0</v>
      </c>
      <c r="N40" s="188">
        <f t="shared" si="4"/>
        <v>966466.55999999994</v>
      </c>
      <c r="O40" s="188">
        <f t="shared" si="5"/>
        <v>3099764.77</v>
      </c>
      <c r="P40" s="188">
        <f t="shared" si="6"/>
        <v>9723596.8000000007</v>
      </c>
      <c r="Q40" s="188">
        <f t="shared" si="7"/>
        <v>0</v>
      </c>
      <c r="S40" s="188" t="str">
        <f t="shared" si="8"/>
        <v>Resilience Enhancement</v>
      </c>
      <c r="T40" s="188" t="str">
        <f t="shared" si="9"/>
        <v>Programmatic</v>
      </c>
      <c r="U40" s="182" t="str">
        <f t="shared" si="10"/>
        <v>E</v>
      </c>
      <c r="V40" s="188">
        <f t="shared" si="11"/>
        <v>0</v>
      </c>
      <c r="W40" s="188">
        <f t="shared" si="12"/>
        <v>0</v>
      </c>
      <c r="X40" s="188">
        <f t="shared" si="13"/>
        <v>0</v>
      </c>
      <c r="Y40" s="188">
        <f t="shared" si="14"/>
        <v>0</v>
      </c>
      <c r="Z40" s="188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182" t="str">
        <f>MID(VLOOKUP(A41,'Calc DG Gross Plant'!$A$5:$D$511,4,FALSE),5,1)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8" t="str">
        <f t="shared" si="0"/>
        <v>RNG</v>
      </c>
      <c r="K41" s="188" t="str">
        <f t="shared" si="1"/>
        <v>Programmatic</v>
      </c>
      <c r="L41" s="182" t="str">
        <f t="shared" si="2"/>
        <v>G</v>
      </c>
      <c r="M41" s="188">
        <f t="shared" si="3"/>
        <v>0</v>
      </c>
      <c r="N41" s="188">
        <f t="shared" si="4"/>
        <v>0</v>
      </c>
      <c r="O41" s="188">
        <f t="shared" si="5"/>
        <v>0</v>
      </c>
      <c r="P41" s="188">
        <f t="shared" si="6"/>
        <v>0</v>
      </c>
      <c r="Q41" s="188">
        <f t="shared" si="7"/>
        <v>0</v>
      </c>
      <c r="S41" s="188" t="str">
        <f t="shared" si="8"/>
        <v>RNG</v>
      </c>
      <c r="T41" s="188" t="str">
        <f t="shared" si="9"/>
        <v>Programmatic</v>
      </c>
      <c r="U41" s="182" t="str">
        <f t="shared" si="10"/>
        <v>G</v>
      </c>
      <c r="V41" s="188">
        <f t="shared" si="11"/>
        <v>0</v>
      </c>
      <c r="W41" s="188">
        <f t="shared" si="12"/>
        <v>0</v>
      </c>
      <c r="X41" s="188">
        <f t="shared" si="13"/>
        <v>0</v>
      </c>
      <c r="Y41" s="188">
        <f t="shared" si="14"/>
        <v>0</v>
      </c>
      <c r="Z41" s="188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182" t="str">
        <f>MID(VLOOKUP(A42,'Calc DG Gross Plant'!$A$5:$D$511,4,FALSE),5,1)</f>
        <v>E</v>
      </c>
      <c r="D42" s="188">
        <v>0</v>
      </c>
      <c r="E42" s="183">
        <v>0</v>
      </c>
      <c r="F42" s="183">
        <v>1690000.02</v>
      </c>
      <c r="G42" s="183">
        <v>5420882.2800000003</v>
      </c>
      <c r="H42" s="183">
        <v>0</v>
      </c>
      <c r="J42" s="188" t="str">
        <f t="shared" si="0"/>
        <v>Rooftop Solar</v>
      </c>
      <c r="K42" s="188" t="str">
        <f t="shared" si="1"/>
        <v>Specific</v>
      </c>
      <c r="L42" s="182" t="str">
        <f t="shared" si="2"/>
        <v>E</v>
      </c>
      <c r="M42" s="188">
        <f t="shared" si="3"/>
        <v>0</v>
      </c>
      <c r="N42" s="188">
        <f t="shared" si="4"/>
        <v>0</v>
      </c>
      <c r="O42" s="188">
        <f t="shared" si="5"/>
        <v>1690000.02</v>
      </c>
      <c r="P42" s="188">
        <f t="shared" si="6"/>
        <v>5420882.2800000003</v>
      </c>
      <c r="Q42" s="188">
        <f t="shared" si="7"/>
        <v>0</v>
      </c>
      <c r="S42" s="188" t="str">
        <f t="shared" si="8"/>
        <v>Rooftop Solar</v>
      </c>
      <c r="T42" s="188" t="str">
        <f t="shared" si="9"/>
        <v>Specific</v>
      </c>
      <c r="U42" s="182" t="str">
        <f t="shared" si="10"/>
        <v>E</v>
      </c>
      <c r="V42" s="188">
        <f t="shared" si="11"/>
        <v>0</v>
      </c>
      <c r="W42" s="188">
        <f t="shared" si="12"/>
        <v>0</v>
      </c>
      <c r="X42" s="188">
        <f t="shared" si="13"/>
        <v>0</v>
      </c>
      <c r="Y42" s="188">
        <f t="shared" si="14"/>
        <v>0</v>
      </c>
      <c r="Z42" s="188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182" t="str">
        <f>MID(VLOOKUP(A43,'Calc DG Gross Plant'!$A$5:$D$511,4,FALSE),5,1)</f>
        <v>E</v>
      </c>
      <c r="D43" s="188">
        <v>0</v>
      </c>
      <c r="E43" s="183">
        <v>22989916.780000001</v>
      </c>
      <c r="F43" s="183">
        <v>27513540.460000001</v>
      </c>
      <c r="G43" s="183">
        <v>32037164.140000001</v>
      </c>
      <c r="H43" s="183">
        <v>0</v>
      </c>
      <c r="J43" s="188" t="str">
        <f t="shared" si="0"/>
        <v>Sammamish Juanita 115Kv Tline</v>
      </c>
      <c r="K43" s="188" t="str">
        <f t="shared" si="1"/>
        <v>Specific</v>
      </c>
      <c r="L43" s="182" t="str">
        <f t="shared" si="2"/>
        <v>E</v>
      </c>
      <c r="M43" s="188">
        <f t="shared" si="3"/>
        <v>0</v>
      </c>
      <c r="N43" s="188">
        <f t="shared" si="4"/>
        <v>22989916.780000001</v>
      </c>
      <c r="O43" s="188">
        <f t="shared" si="5"/>
        <v>27513540.460000001</v>
      </c>
      <c r="P43" s="188">
        <f t="shared" si="6"/>
        <v>32037164.140000001</v>
      </c>
      <c r="Q43" s="188">
        <f t="shared" si="7"/>
        <v>0</v>
      </c>
      <c r="S43" s="188" t="str">
        <f t="shared" si="8"/>
        <v>Sammamish Juanita 115Kv Tline</v>
      </c>
      <c r="T43" s="188" t="str">
        <f t="shared" si="9"/>
        <v>Specific</v>
      </c>
      <c r="U43" s="182" t="str">
        <f t="shared" si="10"/>
        <v>E</v>
      </c>
      <c r="V43" s="188">
        <f t="shared" si="11"/>
        <v>0</v>
      </c>
      <c r="W43" s="188">
        <f t="shared" si="12"/>
        <v>0</v>
      </c>
      <c r="X43" s="188">
        <f t="shared" si="13"/>
        <v>0</v>
      </c>
      <c r="Y43" s="188">
        <f t="shared" si="14"/>
        <v>0</v>
      </c>
      <c r="Z43" s="188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182" t="str">
        <f>MID(VLOOKUP(A44,'Calc DG Gross Plant'!$A$5:$D$511,4,FALSE),5,1)</f>
        <v>C</v>
      </c>
      <c r="D44" s="188">
        <v>0</v>
      </c>
      <c r="E44" s="183">
        <v>0</v>
      </c>
      <c r="F44" s="183">
        <v>0</v>
      </c>
      <c r="G44" s="183">
        <v>5015395.03</v>
      </c>
      <c r="H44" s="183">
        <v>0</v>
      </c>
      <c r="J44" s="188" t="str">
        <f t="shared" si="0"/>
        <v>SAP S/4 Hana</v>
      </c>
      <c r="K44" s="188" t="str">
        <f t="shared" si="1"/>
        <v>Specific</v>
      </c>
      <c r="L44" s="182" t="str">
        <f t="shared" si="2"/>
        <v>C</v>
      </c>
      <c r="M44" s="188">
        <f t="shared" si="3"/>
        <v>0</v>
      </c>
      <c r="N44" s="188">
        <f t="shared" si="4"/>
        <v>0</v>
      </c>
      <c r="O44" s="188">
        <f t="shared" si="5"/>
        <v>0</v>
      </c>
      <c r="P44" s="188">
        <f t="shared" si="6"/>
        <v>3307151.4827820002</v>
      </c>
      <c r="Q44" s="188">
        <f t="shared" si="7"/>
        <v>0</v>
      </c>
      <c r="S44" s="188" t="str">
        <f t="shared" si="8"/>
        <v>SAP S/4 Hana</v>
      </c>
      <c r="T44" s="188" t="str">
        <f t="shared" si="9"/>
        <v>Specific</v>
      </c>
      <c r="U44" s="182" t="str">
        <f t="shared" si="10"/>
        <v>C</v>
      </c>
      <c r="V44" s="188">
        <f t="shared" si="11"/>
        <v>0</v>
      </c>
      <c r="W44" s="188">
        <f t="shared" si="12"/>
        <v>0</v>
      </c>
      <c r="X44" s="188">
        <f t="shared" si="13"/>
        <v>0</v>
      </c>
      <c r="Y44" s="188">
        <f t="shared" si="14"/>
        <v>1708243.5472180001</v>
      </c>
      <c r="Z44" s="188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182" t="str">
        <f>MID(VLOOKUP(A45,'Calc DG Gross Plant'!$A$5:$D$511,4,FALSE),5,1)</f>
        <v>E</v>
      </c>
      <c r="D45" s="188">
        <v>0</v>
      </c>
      <c r="E45" s="183">
        <v>15952966.93</v>
      </c>
      <c r="F45" s="183">
        <v>21039500.23</v>
      </c>
      <c r="G45" s="183">
        <v>26126033.530000001</v>
      </c>
      <c r="H45" s="183">
        <v>0</v>
      </c>
      <c r="J45" s="188" t="str">
        <f t="shared" si="0"/>
        <v>Thurston Transmission Capacity</v>
      </c>
      <c r="K45" s="188" t="str">
        <f t="shared" si="1"/>
        <v>Specific</v>
      </c>
      <c r="L45" s="182" t="str">
        <f t="shared" si="2"/>
        <v>E</v>
      </c>
      <c r="M45" s="188">
        <f t="shared" si="3"/>
        <v>0</v>
      </c>
      <c r="N45" s="188">
        <f t="shared" si="4"/>
        <v>15952966.93</v>
      </c>
      <c r="O45" s="188">
        <f t="shared" si="5"/>
        <v>21039500.23</v>
      </c>
      <c r="P45" s="188">
        <f t="shared" si="6"/>
        <v>26126033.530000001</v>
      </c>
      <c r="Q45" s="188">
        <f t="shared" si="7"/>
        <v>0</v>
      </c>
      <c r="S45" s="188" t="str">
        <f t="shared" si="8"/>
        <v>Thurston Transmission Capacity</v>
      </c>
      <c r="T45" s="188" t="str">
        <f t="shared" si="9"/>
        <v>Specific</v>
      </c>
      <c r="U45" s="182" t="str">
        <f t="shared" si="10"/>
        <v>E</v>
      </c>
      <c r="V45" s="188">
        <f t="shared" si="11"/>
        <v>0</v>
      </c>
      <c r="W45" s="188">
        <f t="shared" si="12"/>
        <v>0</v>
      </c>
      <c r="X45" s="188">
        <f t="shared" si="13"/>
        <v>0</v>
      </c>
      <c r="Y45" s="188">
        <f t="shared" si="14"/>
        <v>0</v>
      </c>
      <c r="Z45" s="188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182" t="str">
        <f>MID(VLOOKUP(A46,'Calc DG Gross Plant'!$A$5:$D$511,4,FALSE),5,1)</f>
        <v>C</v>
      </c>
      <c r="D46" s="188">
        <v>0</v>
      </c>
      <c r="E46" s="183">
        <v>0</v>
      </c>
      <c r="F46" s="183">
        <v>0</v>
      </c>
      <c r="G46" s="183">
        <v>372207.19000000006</v>
      </c>
      <c r="H46" s="183">
        <v>0</v>
      </c>
      <c r="J46" s="188" t="str">
        <f t="shared" si="0"/>
        <v>Transport Network Modernization</v>
      </c>
      <c r="K46" s="188" t="str">
        <f t="shared" si="1"/>
        <v>Specific</v>
      </c>
      <c r="L46" s="182" t="str">
        <f t="shared" si="2"/>
        <v>C</v>
      </c>
      <c r="M46" s="188">
        <f t="shared" si="3"/>
        <v>0</v>
      </c>
      <c r="N46" s="188">
        <f t="shared" si="4"/>
        <v>0</v>
      </c>
      <c r="O46" s="188">
        <f t="shared" si="5"/>
        <v>0</v>
      </c>
      <c r="P46" s="188">
        <f t="shared" si="6"/>
        <v>245433.42108600005</v>
      </c>
      <c r="Q46" s="188">
        <f t="shared" si="7"/>
        <v>0</v>
      </c>
      <c r="S46" s="188" t="str">
        <f t="shared" si="8"/>
        <v>Transport Network Modernization</v>
      </c>
      <c r="T46" s="188" t="str">
        <f t="shared" si="9"/>
        <v>Specific</v>
      </c>
      <c r="U46" s="182" t="str">
        <f t="shared" si="10"/>
        <v>C</v>
      </c>
      <c r="V46" s="188">
        <f t="shared" si="11"/>
        <v>0</v>
      </c>
      <c r="W46" s="188">
        <f t="shared" si="12"/>
        <v>0</v>
      </c>
      <c r="X46" s="188">
        <f t="shared" si="13"/>
        <v>0</v>
      </c>
      <c r="Y46" s="188">
        <f t="shared" si="14"/>
        <v>126773.76891400003</v>
      </c>
      <c r="Z46" s="188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182" t="str">
        <f>MID(VLOOKUP(A47,'Calc DG Gross Plant'!$A$5:$D$511,4,FALSE),5,1)</f>
        <v>E</v>
      </c>
      <c r="D47" s="188">
        <v>0</v>
      </c>
      <c r="E47" s="183">
        <v>0</v>
      </c>
      <c r="F47" s="183">
        <v>3321706.9200000004</v>
      </c>
      <c r="G47" s="183">
        <v>22179592.080000002</v>
      </c>
      <c r="H47" s="183">
        <v>0</v>
      </c>
      <c r="J47" s="188" t="str">
        <f t="shared" si="0"/>
        <v>UG Feeders</v>
      </c>
      <c r="K47" s="188" t="str">
        <f t="shared" si="1"/>
        <v>Programmatic</v>
      </c>
      <c r="L47" s="182" t="str">
        <f t="shared" si="2"/>
        <v>E</v>
      </c>
      <c r="M47" s="188">
        <f t="shared" si="3"/>
        <v>0</v>
      </c>
      <c r="N47" s="188">
        <f t="shared" si="4"/>
        <v>0</v>
      </c>
      <c r="O47" s="188">
        <f t="shared" si="5"/>
        <v>3321706.9200000004</v>
      </c>
      <c r="P47" s="188">
        <f t="shared" si="6"/>
        <v>22179592.080000002</v>
      </c>
      <c r="Q47" s="188">
        <f t="shared" si="7"/>
        <v>0</v>
      </c>
      <c r="S47" s="188" t="str">
        <f t="shared" si="8"/>
        <v>UG Feeders</v>
      </c>
      <c r="T47" s="188" t="str">
        <f t="shared" si="9"/>
        <v>Programmatic</v>
      </c>
      <c r="U47" s="182" t="str">
        <f t="shared" si="10"/>
        <v>E</v>
      </c>
      <c r="V47" s="188">
        <f t="shared" si="11"/>
        <v>0</v>
      </c>
      <c r="W47" s="188">
        <f t="shared" si="12"/>
        <v>0</v>
      </c>
      <c r="X47" s="188">
        <f t="shared" si="13"/>
        <v>0</v>
      </c>
      <c r="Y47" s="188">
        <f t="shared" si="14"/>
        <v>0</v>
      </c>
      <c r="Z47" s="188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D48" s="188"/>
      <c r="E48" s="183"/>
      <c r="F48" s="183"/>
      <c r="G48" s="183"/>
      <c r="H48" s="183"/>
      <c r="J48" s="188">
        <f t="shared" ref="J48:K50" si="18">A48</f>
        <v>0</v>
      </c>
      <c r="K48" s="188">
        <f t="shared" si="18"/>
        <v>0</v>
      </c>
      <c r="L48" s="182"/>
      <c r="M48" s="188">
        <f t="shared" si="3"/>
        <v>0</v>
      </c>
      <c r="N48" s="188">
        <f t="shared" si="4"/>
        <v>0</v>
      </c>
      <c r="O48" s="188">
        <f t="shared" si="5"/>
        <v>0</v>
      </c>
      <c r="P48" s="188">
        <f t="shared" si="6"/>
        <v>0</v>
      </c>
      <c r="Q48" s="188">
        <f t="shared" si="7"/>
        <v>0</v>
      </c>
      <c r="S48" s="188">
        <f t="shared" ref="S48:T50" si="19">A48</f>
        <v>0</v>
      </c>
      <c r="T48" s="188">
        <f t="shared" si="19"/>
        <v>0</v>
      </c>
      <c r="U48" s="182"/>
      <c r="V48" s="188">
        <f t="shared" si="11"/>
        <v>0</v>
      </c>
      <c r="W48" s="188">
        <f t="shared" si="12"/>
        <v>0</v>
      </c>
      <c r="X48" s="188">
        <f t="shared" si="13"/>
        <v>0</v>
      </c>
      <c r="Y48" s="188">
        <f t="shared" si="14"/>
        <v>0</v>
      </c>
      <c r="Z48" s="188">
        <f t="shared" si="15"/>
        <v>0</v>
      </c>
      <c r="AB48" s="183">
        <f t="shared" si="17"/>
        <v>0</v>
      </c>
    </row>
    <row r="49" spans="1:28" x14ac:dyDescent="0.25">
      <c r="A49" s="185"/>
      <c r="B49" s="185"/>
      <c r="D49" s="188"/>
      <c r="E49" s="183"/>
      <c r="F49" s="183"/>
      <c r="G49" s="183"/>
      <c r="H49" s="183"/>
      <c r="J49" s="188">
        <f t="shared" si="18"/>
        <v>0</v>
      </c>
      <c r="K49" s="188">
        <f t="shared" si="18"/>
        <v>0</v>
      </c>
      <c r="L49" s="182"/>
      <c r="M49" s="188">
        <f t="shared" si="3"/>
        <v>0</v>
      </c>
      <c r="N49" s="188">
        <f t="shared" si="4"/>
        <v>0</v>
      </c>
      <c r="O49" s="188">
        <f t="shared" si="5"/>
        <v>0</v>
      </c>
      <c r="P49" s="188">
        <f t="shared" si="6"/>
        <v>0</v>
      </c>
      <c r="Q49" s="188">
        <f t="shared" si="7"/>
        <v>0</v>
      </c>
      <c r="S49" s="188">
        <f t="shared" si="19"/>
        <v>0</v>
      </c>
      <c r="T49" s="188">
        <f t="shared" si="19"/>
        <v>0</v>
      </c>
      <c r="U49" s="182"/>
      <c r="V49" s="188">
        <f t="shared" si="11"/>
        <v>0</v>
      </c>
      <c r="W49" s="188">
        <f t="shared" si="12"/>
        <v>0</v>
      </c>
      <c r="X49" s="188">
        <f t="shared" si="13"/>
        <v>0</v>
      </c>
      <c r="Y49" s="188">
        <f t="shared" si="14"/>
        <v>0</v>
      </c>
      <c r="Z49" s="188">
        <f t="shared" si="15"/>
        <v>0</v>
      </c>
      <c r="AB49" s="183">
        <f t="shared" si="17"/>
        <v>0</v>
      </c>
    </row>
    <row r="50" spans="1:28" x14ac:dyDescent="0.25">
      <c r="A50" s="185"/>
      <c r="B50" s="185"/>
      <c r="D50" s="188"/>
      <c r="E50" s="183"/>
      <c r="F50" s="183"/>
      <c r="G50" s="183"/>
      <c r="H50" s="183"/>
      <c r="J50" s="188">
        <f t="shared" si="18"/>
        <v>0</v>
      </c>
      <c r="K50" s="188">
        <f t="shared" si="18"/>
        <v>0</v>
      </c>
      <c r="L50" s="182"/>
      <c r="M50" s="188">
        <f t="shared" si="3"/>
        <v>0</v>
      </c>
      <c r="N50" s="188">
        <f t="shared" si="4"/>
        <v>0</v>
      </c>
      <c r="O50" s="188">
        <f t="shared" si="5"/>
        <v>0</v>
      </c>
      <c r="P50" s="188">
        <f t="shared" si="6"/>
        <v>0</v>
      </c>
      <c r="Q50" s="188">
        <f t="shared" si="7"/>
        <v>0</v>
      </c>
      <c r="S50" s="188">
        <f t="shared" si="19"/>
        <v>0</v>
      </c>
      <c r="T50" s="188">
        <f t="shared" si="19"/>
        <v>0</v>
      </c>
      <c r="U50" s="182"/>
      <c r="V50" s="188">
        <f t="shared" si="11"/>
        <v>0</v>
      </c>
      <c r="W50" s="188">
        <f t="shared" si="12"/>
        <v>0</v>
      </c>
      <c r="X50" s="188">
        <f t="shared" si="13"/>
        <v>0</v>
      </c>
      <c r="Y50" s="188">
        <f t="shared" si="14"/>
        <v>0</v>
      </c>
      <c r="Z50" s="188">
        <f t="shared" si="15"/>
        <v>0</v>
      </c>
      <c r="AB50" s="183">
        <f t="shared" si="17"/>
        <v>0</v>
      </c>
    </row>
    <row r="51" spans="1:28" x14ac:dyDescent="0.25">
      <c r="A51" s="185"/>
      <c r="B51" s="185"/>
      <c r="D51" s="188"/>
      <c r="E51" s="183"/>
      <c r="F51" s="183"/>
      <c r="G51" s="183"/>
      <c r="H51" s="183"/>
      <c r="J51" s="188"/>
      <c r="K51" s="188"/>
      <c r="L51" s="182"/>
      <c r="M51" s="188"/>
      <c r="N51" s="188"/>
      <c r="O51" s="188"/>
      <c r="P51" s="188"/>
      <c r="Q51" s="188"/>
      <c r="S51" s="188"/>
      <c r="T51" s="188"/>
      <c r="U51" s="182"/>
      <c r="V51" s="188"/>
      <c r="W51" s="188"/>
      <c r="X51" s="188"/>
      <c r="Y51" s="188"/>
      <c r="Z51" s="188"/>
      <c r="AB51" s="183">
        <f t="shared" si="17"/>
        <v>0</v>
      </c>
    </row>
    <row r="52" spans="1:28" x14ac:dyDescent="0.25">
      <c r="A52" s="185"/>
      <c r="B52" s="185"/>
      <c r="D52" s="188"/>
      <c r="E52" s="183"/>
      <c r="F52" s="183"/>
      <c r="G52" s="183"/>
      <c r="H52" s="183"/>
      <c r="J52" s="188"/>
      <c r="K52" s="188"/>
      <c r="L52" s="182"/>
      <c r="M52" s="188"/>
      <c r="N52" s="188"/>
      <c r="O52" s="188"/>
      <c r="P52" s="188"/>
      <c r="Q52" s="188"/>
      <c r="S52" s="188"/>
      <c r="T52" s="188"/>
      <c r="U52" s="182"/>
      <c r="V52" s="188"/>
      <c r="W52" s="188"/>
      <c r="X52" s="188"/>
      <c r="Y52" s="188"/>
      <c r="Z52" s="188"/>
      <c r="AB52" s="183">
        <f t="shared" si="17"/>
        <v>0</v>
      </c>
    </row>
    <row r="53" spans="1:28" x14ac:dyDescent="0.25">
      <c r="A53" s="185"/>
      <c r="B53" s="185"/>
      <c r="D53" s="188"/>
      <c r="E53" s="183"/>
      <c r="F53" s="183"/>
      <c r="G53" s="183"/>
      <c r="H53" s="183"/>
      <c r="J53" s="188"/>
      <c r="K53" s="188"/>
      <c r="L53" s="182"/>
      <c r="M53" s="188"/>
      <c r="N53" s="188"/>
      <c r="O53" s="188"/>
      <c r="P53" s="188"/>
      <c r="Q53" s="188"/>
      <c r="S53" s="188"/>
      <c r="T53" s="188"/>
      <c r="U53" s="182"/>
      <c r="V53" s="188"/>
      <c r="W53" s="188"/>
      <c r="X53" s="188"/>
      <c r="Y53" s="188"/>
      <c r="Z53" s="188"/>
      <c r="AB53" s="183">
        <f t="shared" si="17"/>
        <v>0</v>
      </c>
    </row>
    <row r="54" spans="1:28" x14ac:dyDescent="0.25">
      <c r="A54" s="185"/>
      <c r="B54" s="185"/>
      <c r="D54" s="188"/>
      <c r="E54" s="183"/>
      <c r="F54" s="183"/>
      <c r="G54" s="183"/>
      <c r="H54" s="183"/>
      <c r="J54" s="188"/>
      <c r="K54" s="188"/>
      <c r="L54" s="182"/>
      <c r="M54" s="188"/>
      <c r="N54" s="188"/>
      <c r="O54" s="188"/>
      <c r="P54" s="188"/>
      <c r="Q54" s="188"/>
      <c r="S54" s="188"/>
      <c r="T54" s="188"/>
      <c r="U54" s="182"/>
      <c r="V54" s="188"/>
      <c r="W54" s="188"/>
      <c r="X54" s="188"/>
      <c r="Y54" s="188"/>
      <c r="Z54" s="188"/>
      <c r="AB54" s="183">
        <f t="shared" si="17"/>
        <v>0</v>
      </c>
    </row>
    <row r="55" spans="1:28" x14ac:dyDescent="0.25">
      <c r="A55" s="190"/>
      <c r="B55" s="185"/>
      <c r="D55" s="186"/>
      <c r="E55" s="189"/>
      <c r="F55" s="189"/>
      <c r="G55" s="189"/>
      <c r="H55" s="189"/>
      <c r="J55" s="186"/>
      <c r="K55" s="188"/>
      <c r="L55" s="187"/>
      <c r="M55" s="186"/>
      <c r="N55" s="186"/>
      <c r="O55" s="186"/>
      <c r="P55" s="186"/>
      <c r="Q55" s="186"/>
      <c r="S55" s="186"/>
      <c r="T55" s="188"/>
      <c r="U55" s="187"/>
      <c r="V55" s="186"/>
      <c r="W55" s="186"/>
      <c r="X55" s="186"/>
      <c r="Y55" s="186"/>
      <c r="Z55" s="186"/>
      <c r="AB55" s="183">
        <f t="shared" si="17"/>
        <v>0</v>
      </c>
    </row>
    <row r="56" spans="1:28" x14ac:dyDescent="0.25">
      <c r="A56" s="185" t="s">
        <v>206</v>
      </c>
      <c r="B56" s="185"/>
      <c r="D56" s="183">
        <f>SUM(D5:D55)</f>
        <v>0</v>
      </c>
      <c r="E56" s="183">
        <f>SUM(E5:E55)</f>
        <v>764311458.01999974</v>
      </c>
      <c r="F56" s="183">
        <f>SUM(F5:F55)</f>
        <v>1090750198.3300002</v>
      </c>
      <c r="G56" s="183">
        <f>SUM(G5:G55)</f>
        <v>2238500821.6900001</v>
      </c>
      <c r="H56" s="183">
        <f>SUM(H5:H55)</f>
        <v>0</v>
      </c>
      <c r="J56" s="185" t="s">
        <v>206</v>
      </c>
      <c r="K56" s="185"/>
      <c r="L56" s="182"/>
      <c r="M56" s="183">
        <f>SUM(M5:M55)</f>
        <v>0</v>
      </c>
      <c r="N56" s="183">
        <f>SUM(N5:N55)</f>
        <v>489130751.21586996</v>
      </c>
      <c r="O56" s="183">
        <f>SUM(O5:O55)</f>
        <v>731875290.19723785</v>
      </c>
      <c r="P56" s="183">
        <f>SUM(P5:P55)</f>
        <v>1530295552.6361759</v>
      </c>
      <c r="Q56" s="183">
        <f>SUM(Q5:Q55)</f>
        <v>0</v>
      </c>
      <c r="S56" s="185" t="s">
        <v>206</v>
      </c>
      <c r="T56" s="185"/>
      <c r="U56" s="182"/>
      <c r="V56" s="183">
        <f>SUM(V5:V55)</f>
        <v>0</v>
      </c>
      <c r="W56" s="183">
        <f>SUM(W5:W55)</f>
        <v>275180706.80413002</v>
      </c>
      <c r="X56" s="183">
        <f>SUM(X5:X55)</f>
        <v>358874908.13276201</v>
      </c>
      <c r="Y56" s="183">
        <f>SUM(Y5:Y55)</f>
        <v>708205269.05382395</v>
      </c>
      <c r="Z56" s="183">
        <f>SUM(Z5:Z55)</f>
        <v>0</v>
      </c>
    </row>
    <row r="57" spans="1:28" x14ac:dyDescent="0.25">
      <c r="A57" s="184" t="s">
        <v>205</v>
      </c>
      <c r="B57" s="184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M57" s="183"/>
    </row>
    <row r="58" spans="1:28" x14ac:dyDescent="0.25">
      <c r="M58" s="183"/>
    </row>
  </sheetData>
  <conditionalFormatting sqref="D57:H57">
    <cfRule type="cellIs" dxfId="37" priority="7" operator="equal">
      <formula>0</formula>
    </cfRule>
    <cfRule type="cellIs" dxfId="36" priority="8" operator="notEqual">
      <formula>0</formula>
    </cfRule>
  </conditionalFormatting>
  <conditionalFormatting sqref="AB5">
    <cfRule type="cellIs" dxfId="35" priority="5" operator="equal">
      <formula>0</formula>
    </cfRule>
    <cfRule type="cellIs" dxfId="34" priority="6" operator="notEqual">
      <formula>0</formula>
    </cfRule>
  </conditionalFormatting>
  <conditionalFormatting sqref="AB6:AB48 AB55">
    <cfRule type="cellIs" dxfId="33" priority="3" operator="equal">
      <formula>0</formula>
    </cfRule>
    <cfRule type="cellIs" dxfId="32" priority="4" operator="notEqual">
      <formula>0</formula>
    </cfRule>
  </conditionalFormatting>
  <conditionalFormatting sqref="AB49:AB54">
    <cfRule type="cellIs" dxfId="31" priority="1" operator="equal">
      <formula>0</formula>
    </cfRule>
    <cfRule type="cellIs" dxfId="3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0"/>
  <sheetViews>
    <sheetView zoomScale="90" zoomScaleNormal="90" workbookViewId="0">
      <pane xSplit="1" ySplit="4" topLeftCell="B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109375" defaultRowHeight="15" x14ac:dyDescent="0.25"/>
  <cols>
    <col min="1" max="1" width="46.85546875" style="181" bestFit="1" customWidth="1"/>
    <col min="2" max="2" width="37.42578125" style="181" bestFit="1" customWidth="1"/>
    <col min="3" max="3" width="37.42578125" style="181" customWidth="1"/>
    <col min="4" max="4" width="11.7109375" style="181" bestFit="1" customWidth="1"/>
    <col min="5" max="5" width="16.7109375" style="181" bestFit="1" customWidth="1"/>
    <col min="6" max="9" width="17.7109375" style="181" bestFit="1" customWidth="1"/>
    <col min="10" max="10" width="14.7109375" style="181" bestFit="1" customWidth="1"/>
    <col min="11" max="11" width="3.140625" style="181" customWidth="1"/>
    <col min="12" max="12" width="42.7109375" style="181" bestFit="1" customWidth="1"/>
    <col min="13" max="13" width="46.42578125" style="181" customWidth="1"/>
    <col min="14" max="14" width="31.5703125" style="181" customWidth="1"/>
    <col min="15" max="15" width="11.7109375" style="181" bestFit="1" customWidth="1"/>
    <col min="16" max="16" width="16.140625" style="181" bestFit="1" customWidth="1"/>
    <col min="17" max="20" width="17.7109375" style="181" bestFit="1" customWidth="1"/>
    <col min="21" max="21" width="2.28515625" style="181" customWidth="1"/>
    <col min="22" max="22" width="42.7109375" style="181" bestFit="1" customWidth="1"/>
    <col min="23" max="23" width="34.85546875" style="181" bestFit="1" customWidth="1"/>
    <col min="24" max="24" width="34.85546875" style="181" customWidth="1"/>
    <col min="25" max="25" width="11.7109375" style="181" bestFit="1" customWidth="1"/>
    <col min="26" max="28" width="16.140625" style="181" bestFit="1" customWidth="1"/>
    <col min="29" max="30" width="17.7109375" style="181" bestFit="1" customWidth="1"/>
    <col min="31" max="31" width="5.85546875" style="181" bestFit="1" customWidth="1"/>
    <col min="32" max="16384" width="8.7109375" style="181"/>
  </cols>
  <sheetData>
    <row r="1" spans="1:31" x14ac:dyDescent="0.25">
      <c r="A1" s="181" t="s">
        <v>33</v>
      </c>
      <c r="B1" s="203"/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31" x14ac:dyDescent="0.25">
      <c r="L2" s="200" t="s">
        <v>37</v>
      </c>
      <c r="V2" s="200" t="s">
        <v>38</v>
      </c>
    </row>
    <row r="3" spans="1:31" x14ac:dyDescent="0.25">
      <c r="AE3" s="207" t="s">
        <v>228</v>
      </c>
    </row>
    <row r="4" spans="1:31" x14ac:dyDescent="0.25">
      <c r="A4" s="201" t="s">
        <v>0</v>
      </c>
      <c r="B4" s="201" t="s">
        <v>549</v>
      </c>
      <c r="C4" s="201" t="s">
        <v>227</v>
      </c>
      <c r="D4" s="200" t="s">
        <v>548</v>
      </c>
      <c r="E4" s="200" t="s">
        <v>226</v>
      </c>
      <c r="F4" s="200" t="s">
        <v>225</v>
      </c>
      <c r="G4" s="200" t="s">
        <v>224</v>
      </c>
      <c r="H4" s="200" t="s">
        <v>223</v>
      </c>
      <c r="I4" s="200" t="s">
        <v>222</v>
      </c>
      <c r="J4" s="200" t="s">
        <v>315</v>
      </c>
      <c r="L4" s="201" t="s">
        <v>0</v>
      </c>
      <c r="M4" s="201" t="s">
        <v>549</v>
      </c>
      <c r="N4" s="201" t="str">
        <f t="shared" ref="N4:N67" si="0">C4</f>
        <v>Used and Useful Category</v>
      </c>
      <c r="O4" s="200" t="s">
        <v>548</v>
      </c>
      <c r="P4" s="200" t="s">
        <v>226</v>
      </c>
      <c r="Q4" s="200" t="s">
        <v>225</v>
      </c>
      <c r="R4" s="200" t="s">
        <v>224</v>
      </c>
      <c r="S4" s="200" t="s">
        <v>223</v>
      </c>
      <c r="T4" s="200" t="s">
        <v>222</v>
      </c>
      <c r="V4" s="201" t="s">
        <v>0</v>
      </c>
      <c r="W4" s="201" t="s">
        <v>549</v>
      </c>
      <c r="X4" s="201" t="str">
        <f t="shared" ref="X4:X67" si="1">C4</f>
        <v>Used and Useful Category</v>
      </c>
      <c r="Y4" s="200" t="s">
        <v>548</v>
      </c>
      <c r="Z4" s="200" t="s">
        <v>226</v>
      </c>
      <c r="AA4" s="200" t="s">
        <v>225</v>
      </c>
      <c r="AB4" s="200" t="s">
        <v>224</v>
      </c>
      <c r="AC4" s="200" t="s">
        <v>223</v>
      </c>
      <c r="AD4" s="200" t="s">
        <v>222</v>
      </c>
      <c r="AE4" s="207" t="s">
        <v>108</v>
      </c>
    </row>
    <row r="5" spans="1:31" x14ac:dyDescent="0.25">
      <c r="A5" s="185" t="s">
        <v>220</v>
      </c>
      <c r="B5" s="188" t="s">
        <v>319</v>
      </c>
      <c r="C5" s="188" t="s">
        <v>160</v>
      </c>
      <c r="D5" s="188" t="str">
        <f t="shared" ref="D5:D68" si="2">"101-"&amp; LEFT(B5,4)</f>
        <v>101-C397</v>
      </c>
      <c r="E5" s="188">
        <v>0</v>
      </c>
      <c r="F5" s="188">
        <v>11567027.199999999</v>
      </c>
      <c r="G5" s="188">
        <v>11567027.199999999</v>
      </c>
      <c r="H5" s="188">
        <v>11567027.199999999</v>
      </c>
      <c r="I5" s="188">
        <v>0</v>
      </c>
      <c r="J5" s="183">
        <v>0</v>
      </c>
      <c r="L5" s="188" t="str">
        <f t="shared" ref="L5:L68" si="3">A5</f>
        <v>AMI Meters and Modules Deployment - Common</v>
      </c>
      <c r="M5" s="188" t="str">
        <f t="shared" ref="M5:M68" si="4">B5</f>
        <v>C3970 CMN Comm Equip, new</v>
      </c>
      <c r="N5" s="188" t="str">
        <f t="shared" si="0"/>
        <v>Programmatic</v>
      </c>
      <c r="O5" s="188" t="str">
        <f t="shared" ref="O5:O68" si="5">D5</f>
        <v>101-C397</v>
      </c>
      <c r="P5" s="188">
        <f t="shared" ref="P5:P68" si="6">IF(MID($O5,5,1)="C",E5*$F$1,IF(MID($O5,5,1)="G",0,E5))</f>
        <v>0</v>
      </c>
      <c r="Q5" s="188">
        <f t="shared" ref="Q5:Q68" si="7">IF(MID($O5,5,1)="C",F5*$F$1,IF(MID($O5,5,1)="G",0,F5))</f>
        <v>7627297.735679999</v>
      </c>
      <c r="R5" s="188">
        <f t="shared" ref="R5:R68" si="8">IF(MID($O5,5,1)="C",G5*$F$1,IF(MID($O5,5,1)="G",0,G5))</f>
        <v>7627297.735679999</v>
      </c>
      <c r="S5" s="188">
        <f t="shared" ref="S5:S68" si="9">IF(MID($O5,5,1)="C",H5*$F$1,IF(MID($O5,5,1)="G",0,H5))</f>
        <v>7627297.735679999</v>
      </c>
      <c r="T5" s="188">
        <f t="shared" ref="T5:T68" si="10">IF(MID($O5,5,1)="C",I5*$F$1,IF(MID($O5,5,1)="G",0,I5))</f>
        <v>0</v>
      </c>
      <c r="V5" s="188" t="str">
        <f t="shared" ref="V5:V68" si="11">A5</f>
        <v>AMI Meters and Modules Deployment - Common</v>
      </c>
      <c r="W5" s="188" t="str">
        <f t="shared" ref="W5:W68" si="12">B5</f>
        <v>C3970 CMN Comm Equip, new</v>
      </c>
      <c r="X5" s="188" t="str">
        <f t="shared" si="1"/>
        <v>Programmatic</v>
      </c>
      <c r="Y5" s="188" t="str">
        <f t="shared" ref="Y5:Y68" si="13">D5</f>
        <v>101-C397</v>
      </c>
      <c r="Z5" s="188">
        <f t="shared" ref="Z5:Z68" si="14">IF(MID($O5,5,1)="C",E5*$D$1,IF(MID($O5,5,1)="E",0,E5))</f>
        <v>0</v>
      </c>
      <c r="AA5" s="188">
        <f t="shared" ref="AA5:AA68" si="15">IF(MID($O5,5,1)="C",F5*$D$1,IF(MID($O5,5,1)="E",0,F5))</f>
        <v>3939729.4643199998</v>
      </c>
      <c r="AB5" s="188">
        <f t="shared" ref="AB5:AB68" si="16">IF(MID($O5,5,1)="C",G5*$D$1,IF(MID($O5,5,1)="E",0,G5))</f>
        <v>3939729.4643199998</v>
      </c>
      <c r="AC5" s="188">
        <f t="shared" ref="AC5:AC68" si="17">IF(MID($O5,5,1)="C",H5*$D$1,IF(MID($O5,5,1)="E",0,H5))</f>
        <v>3939729.4643199998</v>
      </c>
      <c r="AD5" s="188">
        <f t="shared" ref="AD5:AD68" si="18">IF(MID($O5,5,1)="C",I5*$D$1,IF(MID($O5,5,1)="E",0,I5))</f>
        <v>0</v>
      </c>
      <c r="AE5" s="183">
        <f t="shared" ref="AE5:AE68" si="19">SUM(E5:I5)-SUM(P5:T5)-SUM(Z5:AD5)</f>
        <v>0</v>
      </c>
    </row>
    <row r="6" spans="1:31" x14ac:dyDescent="0.25">
      <c r="A6" s="185" t="s">
        <v>220</v>
      </c>
      <c r="B6" s="188" t="s">
        <v>547</v>
      </c>
      <c r="C6" s="188" t="s">
        <v>160</v>
      </c>
      <c r="D6" s="188" t="str">
        <f t="shared" si="2"/>
        <v>101-C397</v>
      </c>
      <c r="E6" s="188">
        <v>0</v>
      </c>
      <c r="F6" s="188">
        <v>30958839.420000002</v>
      </c>
      <c r="G6" s="188">
        <v>30958839.420000002</v>
      </c>
      <c r="H6" s="188">
        <v>30958839.420000002</v>
      </c>
      <c r="I6" s="188">
        <v>0</v>
      </c>
      <c r="J6" s="183">
        <v>0</v>
      </c>
      <c r="L6" s="188" t="str">
        <f t="shared" si="3"/>
        <v>AMI Meters and Modules Deployment - Common</v>
      </c>
      <c r="M6" s="188" t="str">
        <f t="shared" si="4"/>
        <v>C3974 CMN Comm Equip, AMI Network</v>
      </c>
      <c r="N6" s="188" t="str">
        <f t="shared" si="0"/>
        <v>Programmatic</v>
      </c>
      <c r="O6" s="188" t="str">
        <f t="shared" si="5"/>
        <v>101-C397</v>
      </c>
      <c r="P6" s="188">
        <f t="shared" si="6"/>
        <v>0</v>
      </c>
      <c r="Q6" s="188">
        <f t="shared" si="7"/>
        <v>20414258.713548001</v>
      </c>
      <c r="R6" s="188">
        <f t="shared" si="8"/>
        <v>20414258.713548001</v>
      </c>
      <c r="S6" s="188">
        <f t="shared" si="9"/>
        <v>20414258.713548001</v>
      </c>
      <c r="T6" s="188">
        <f t="shared" si="10"/>
        <v>0</v>
      </c>
      <c r="V6" s="188" t="str">
        <f t="shared" si="11"/>
        <v>AMI Meters and Modules Deployment - Common</v>
      </c>
      <c r="W6" s="188" t="str">
        <f t="shared" si="12"/>
        <v>C3974 CMN Comm Equip, AMI Network</v>
      </c>
      <c r="X6" s="188" t="str">
        <f t="shared" si="1"/>
        <v>Programmatic</v>
      </c>
      <c r="Y6" s="188" t="str">
        <f t="shared" si="13"/>
        <v>101-C397</v>
      </c>
      <c r="Z6" s="188">
        <f t="shared" si="14"/>
        <v>0</v>
      </c>
      <c r="AA6" s="188">
        <f t="shared" si="15"/>
        <v>10544580.706452001</v>
      </c>
      <c r="AB6" s="188">
        <f t="shared" si="16"/>
        <v>10544580.706452001</v>
      </c>
      <c r="AC6" s="188">
        <f t="shared" si="17"/>
        <v>10544580.706452001</v>
      </c>
      <c r="AD6" s="188">
        <f t="shared" si="18"/>
        <v>0</v>
      </c>
      <c r="AE6" s="183">
        <f t="shared" si="19"/>
        <v>0</v>
      </c>
    </row>
    <row r="7" spans="1:31" x14ac:dyDescent="0.25">
      <c r="A7" s="185" t="s">
        <v>219</v>
      </c>
      <c r="B7" s="188" t="s">
        <v>318</v>
      </c>
      <c r="C7" s="188" t="s">
        <v>160</v>
      </c>
      <c r="D7" s="188" t="str">
        <f t="shared" si="2"/>
        <v>101-E364</v>
      </c>
      <c r="E7" s="188">
        <v>0</v>
      </c>
      <c r="F7" s="188">
        <v>162665.06</v>
      </c>
      <c r="G7" s="188">
        <v>1200840.1200000001</v>
      </c>
      <c r="H7" s="188">
        <v>25078866.559999999</v>
      </c>
      <c r="I7" s="188">
        <v>0</v>
      </c>
      <c r="J7" s="183">
        <v>0</v>
      </c>
      <c r="L7" s="188" t="str">
        <f t="shared" si="3"/>
        <v>AMI Meters and Modules Deployment - Electric</v>
      </c>
      <c r="M7" s="188" t="str">
        <f t="shared" si="4"/>
        <v>E3640 DST Poles/Towers/Fixtures</v>
      </c>
      <c r="N7" s="188" t="str">
        <f t="shared" si="0"/>
        <v>Programmatic</v>
      </c>
      <c r="O7" s="188" t="str">
        <f t="shared" si="5"/>
        <v>101-E364</v>
      </c>
      <c r="P7" s="188">
        <f t="shared" si="6"/>
        <v>0</v>
      </c>
      <c r="Q7" s="188">
        <f t="shared" si="7"/>
        <v>162665.06</v>
      </c>
      <c r="R7" s="188">
        <f t="shared" si="8"/>
        <v>1200840.1200000001</v>
      </c>
      <c r="S7" s="188">
        <f t="shared" si="9"/>
        <v>25078866.559999999</v>
      </c>
      <c r="T7" s="188">
        <f t="shared" si="10"/>
        <v>0</v>
      </c>
      <c r="V7" s="188" t="str">
        <f t="shared" si="11"/>
        <v>AMI Meters and Modules Deployment - Electric</v>
      </c>
      <c r="W7" s="188" t="str">
        <f t="shared" si="12"/>
        <v>E3640 DST Poles/Towers/Fixtures</v>
      </c>
      <c r="X7" s="188" t="str">
        <f t="shared" si="1"/>
        <v>Programmatic</v>
      </c>
      <c r="Y7" s="188" t="str">
        <f t="shared" si="13"/>
        <v>101-E364</v>
      </c>
      <c r="Z7" s="188">
        <f t="shared" si="14"/>
        <v>0</v>
      </c>
      <c r="AA7" s="188">
        <f t="shared" si="15"/>
        <v>0</v>
      </c>
      <c r="AB7" s="188">
        <f t="shared" si="16"/>
        <v>0</v>
      </c>
      <c r="AC7" s="188">
        <f t="shared" si="17"/>
        <v>0</v>
      </c>
      <c r="AD7" s="188">
        <f t="shared" si="18"/>
        <v>0</v>
      </c>
      <c r="AE7" s="183">
        <f t="shared" si="19"/>
        <v>0</v>
      </c>
    </row>
    <row r="8" spans="1:31" x14ac:dyDescent="0.25">
      <c r="A8" s="185" t="s">
        <v>219</v>
      </c>
      <c r="B8" s="188" t="s">
        <v>327</v>
      </c>
      <c r="C8" s="188" t="s">
        <v>160</v>
      </c>
      <c r="D8" s="188" t="str">
        <f t="shared" si="2"/>
        <v>101-E365</v>
      </c>
      <c r="E8" s="188">
        <v>0</v>
      </c>
      <c r="F8" s="188">
        <v>46679.43</v>
      </c>
      <c r="G8" s="188">
        <v>314596.56</v>
      </c>
      <c r="H8" s="188">
        <v>6476690.5200000005</v>
      </c>
      <c r="I8" s="188">
        <v>0</v>
      </c>
      <c r="J8" s="183">
        <v>0</v>
      </c>
      <c r="L8" s="188" t="str">
        <f t="shared" si="3"/>
        <v>AMI Meters and Modules Deployment - Electric</v>
      </c>
      <c r="M8" s="188" t="str">
        <f t="shared" si="4"/>
        <v>E3650 DST O/H Conductor/Devices</v>
      </c>
      <c r="N8" s="188" t="str">
        <f t="shared" si="0"/>
        <v>Programmatic</v>
      </c>
      <c r="O8" s="188" t="str">
        <f t="shared" si="5"/>
        <v>101-E365</v>
      </c>
      <c r="P8" s="188">
        <f t="shared" si="6"/>
        <v>0</v>
      </c>
      <c r="Q8" s="188">
        <f t="shared" si="7"/>
        <v>46679.43</v>
      </c>
      <c r="R8" s="188">
        <f t="shared" si="8"/>
        <v>314596.56</v>
      </c>
      <c r="S8" s="188">
        <f t="shared" si="9"/>
        <v>6476690.5200000005</v>
      </c>
      <c r="T8" s="188">
        <f t="shared" si="10"/>
        <v>0</v>
      </c>
      <c r="V8" s="188" t="str">
        <f t="shared" si="11"/>
        <v>AMI Meters and Modules Deployment - Electric</v>
      </c>
      <c r="W8" s="188" t="str">
        <f t="shared" si="12"/>
        <v>E3650 DST O/H Conductor/Devices</v>
      </c>
      <c r="X8" s="188" t="str">
        <f t="shared" si="1"/>
        <v>Programmatic</v>
      </c>
      <c r="Y8" s="188" t="str">
        <f t="shared" si="13"/>
        <v>101-E365</v>
      </c>
      <c r="Z8" s="188">
        <f t="shared" si="14"/>
        <v>0</v>
      </c>
      <c r="AA8" s="188">
        <f t="shared" si="15"/>
        <v>0</v>
      </c>
      <c r="AB8" s="188">
        <f t="shared" si="16"/>
        <v>0</v>
      </c>
      <c r="AC8" s="188">
        <f t="shared" si="17"/>
        <v>0</v>
      </c>
      <c r="AD8" s="188">
        <f t="shared" si="18"/>
        <v>0</v>
      </c>
      <c r="AE8" s="183">
        <f t="shared" si="19"/>
        <v>0</v>
      </c>
    </row>
    <row r="9" spans="1:31" x14ac:dyDescent="0.25">
      <c r="A9" s="185" t="s">
        <v>219</v>
      </c>
      <c r="B9" s="188" t="s">
        <v>387</v>
      </c>
      <c r="C9" s="188" t="s">
        <v>160</v>
      </c>
      <c r="D9" s="188" t="str">
        <f t="shared" si="2"/>
        <v>101-E368</v>
      </c>
      <c r="E9" s="188">
        <v>0</v>
      </c>
      <c r="F9" s="188">
        <v>1077563.47</v>
      </c>
      <c r="G9" s="188">
        <v>1429203.34</v>
      </c>
      <c r="H9" s="188">
        <v>9516920.3600000013</v>
      </c>
      <c r="I9" s="188">
        <v>0</v>
      </c>
      <c r="J9" s="183">
        <v>0</v>
      </c>
      <c r="L9" s="188" t="str">
        <f t="shared" si="3"/>
        <v>AMI Meters and Modules Deployment - Electric</v>
      </c>
      <c r="M9" s="188" t="str">
        <f t="shared" si="4"/>
        <v>E368 DST Line Transformers</v>
      </c>
      <c r="N9" s="188" t="str">
        <f t="shared" si="0"/>
        <v>Programmatic</v>
      </c>
      <c r="O9" s="188" t="str">
        <f t="shared" si="5"/>
        <v>101-E368</v>
      </c>
      <c r="P9" s="188">
        <f t="shared" si="6"/>
        <v>0</v>
      </c>
      <c r="Q9" s="188">
        <f t="shared" si="7"/>
        <v>1077563.47</v>
      </c>
      <c r="R9" s="188">
        <f t="shared" si="8"/>
        <v>1429203.34</v>
      </c>
      <c r="S9" s="188">
        <f t="shared" si="9"/>
        <v>9516920.3600000013</v>
      </c>
      <c r="T9" s="188">
        <f t="shared" si="10"/>
        <v>0</v>
      </c>
      <c r="V9" s="188" t="str">
        <f t="shared" si="11"/>
        <v>AMI Meters and Modules Deployment - Electric</v>
      </c>
      <c r="W9" s="188" t="str">
        <f t="shared" si="12"/>
        <v>E368 DST Line Transformers</v>
      </c>
      <c r="X9" s="188" t="str">
        <f t="shared" si="1"/>
        <v>Programmatic</v>
      </c>
      <c r="Y9" s="188" t="str">
        <f t="shared" si="13"/>
        <v>101-E368</v>
      </c>
      <c r="Z9" s="188">
        <f t="shared" si="14"/>
        <v>0</v>
      </c>
      <c r="AA9" s="188">
        <f t="shared" si="15"/>
        <v>0</v>
      </c>
      <c r="AB9" s="188">
        <f t="shared" si="16"/>
        <v>0</v>
      </c>
      <c r="AC9" s="188">
        <f t="shared" si="17"/>
        <v>0</v>
      </c>
      <c r="AD9" s="188">
        <f t="shared" si="18"/>
        <v>0</v>
      </c>
      <c r="AE9" s="183">
        <f t="shared" si="19"/>
        <v>0</v>
      </c>
    </row>
    <row r="10" spans="1:31" x14ac:dyDescent="0.25">
      <c r="A10" s="185" t="s">
        <v>219</v>
      </c>
      <c r="B10" s="188" t="s">
        <v>385</v>
      </c>
      <c r="C10" s="188" t="s">
        <v>160</v>
      </c>
      <c r="D10" s="188" t="str">
        <f t="shared" si="2"/>
        <v>101-E370</v>
      </c>
      <c r="E10" s="188">
        <v>0</v>
      </c>
      <c r="F10" s="188">
        <v>0</v>
      </c>
      <c r="G10" s="188">
        <v>2670563.79</v>
      </c>
      <c r="H10" s="188">
        <v>64093530.920000002</v>
      </c>
      <c r="I10" s="188">
        <v>0</v>
      </c>
      <c r="J10" s="183">
        <v>0</v>
      </c>
      <c r="L10" s="188" t="str">
        <f t="shared" si="3"/>
        <v>AMI Meters and Modules Deployment - Electric</v>
      </c>
      <c r="M10" s="188" t="str">
        <f t="shared" si="4"/>
        <v>E3701 DST Meters AMI</v>
      </c>
      <c r="N10" s="188" t="str">
        <f t="shared" si="0"/>
        <v>Programmatic</v>
      </c>
      <c r="O10" s="188" t="str">
        <f t="shared" si="5"/>
        <v>101-E370</v>
      </c>
      <c r="P10" s="188">
        <f t="shared" si="6"/>
        <v>0</v>
      </c>
      <c r="Q10" s="188">
        <f t="shared" si="7"/>
        <v>0</v>
      </c>
      <c r="R10" s="188">
        <f t="shared" si="8"/>
        <v>2670563.79</v>
      </c>
      <c r="S10" s="188">
        <f t="shared" si="9"/>
        <v>64093530.920000002</v>
      </c>
      <c r="T10" s="188">
        <f t="shared" si="10"/>
        <v>0</v>
      </c>
      <c r="V10" s="188" t="str">
        <f t="shared" si="11"/>
        <v>AMI Meters and Modules Deployment - Electric</v>
      </c>
      <c r="W10" s="188" t="str">
        <f t="shared" si="12"/>
        <v>E3701 DST Meters AMI</v>
      </c>
      <c r="X10" s="188" t="str">
        <f t="shared" si="1"/>
        <v>Programmatic</v>
      </c>
      <c r="Y10" s="188" t="str">
        <f t="shared" si="13"/>
        <v>101-E370</v>
      </c>
      <c r="Z10" s="188">
        <f t="shared" si="14"/>
        <v>0</v>
      </c>
      <c r="AA10" s="188">
        <f t="shared" si="15"/>
        <v>0</v>
      </c>
      <c r="AB10" s="188">
        <f t="shared" si="16"/>
        <v>0</v>
      </c>
      <c r="AC10" s="188">
        <f t="shared" si="17"/>
        <v>0</v>
      </c>
      <c r="AD10" s="188">
        <f t="shared" si="18"/>
        <v>0</v>
      </c>
      <c r="AE10" s="183">
        <f t="shared" si="19"/>
        <v>0</v>
      </c>
    </row>
    <row r="11" spans="1:31" x14ac:dyDescent="0.25">
      <c r="A11" s="185" t="s">
        <v>219</v>
      </c>
      <c r="B11" s="188" t="s">
        <v>383</v>
      </c>
      <c r="C11" s="188" t="s">
        <v>160</v>
      </c>
      <c r="D11" s="188" t="str">
        <f t="shared" si="2"/>
        <v>101-E373</v>
      </c>
      <c r="E11" s="188">
        <v>0</v>
      </c>
      <c r="F11" s="188">
        <v>2606.0500000000002</v>
      </c>
      <c r="G11" s="188">
        <v>19350.599999999999</v>
      </c>
      <c r="H11" s="188">
        <v>404475.21</v>
      </c>
      <c r="I11" s="188">
        <v>0</v>
      </c>
      <c r="J11" s="183">
        <v>0</v>
      </c>
      <c r="L11" s="188" t="str">
        <f t="shared" si="3"/>
        <v>AMI Meters and Modules Deployment - Electric</v>
      </c>
      <c r="M11" s="188" t="str">
        <f t="shared" si="4"/>
        <v>E373 DST Street Lighting &amp; Signal</v>
      </c>
      <c r="N11" s="188" t="str">
        <f t="shared" si="0"/>
        <v>Programmatic</v>
      </c>
      <c r="O11" s="188" t="str">
        <f t="shared" si="5"/>
        <v>101-E373</v>
      </c>
      <c r="P11" s="188">
        <f t="shared" si="6"/>
        <v>0</v>
      </c>
      <c r="Q11" s="188">
        <f t="shared" si="7"/>
        <v>2606.0500000000002</v>
      </c>
      <c r="R11" s="188">
        <f t="shared" si="8"/>
        <v>19350.599999999999</v>
      </c>
      <c r="S11" s="188">
        <f t="shared" si="9"/>
        <v>404475.21</v>
      </c>
      <c r="T11" s="188">
        <f t="shared" si="10"/>
        <v>0</v>
      </c>
      <c r="V11" s="188" t="str">
        <f t="shared" si="11"/>
        <v>AMI Meters and Modules Deployment - Electric</v>
      </c>
      <c r="W11" s="188" t="str">
        <f t="shared" si="12"/>
        <v>E373 DST Street Lighting &amp; Signal</v>
      </c>
      <c r="X11" s="188" t="str">
        <f t="shared" si="1"/>
        <v>Programmatic</v>
      </c>
      <c r="Y11" s="188" t="str">
        <f t="shared" si="13"/>
        <v>101-E373</v>
      </c>
      <c r="Z11" s="188">
        <f t="shared" si="14"/>
        <v>0</v>
      </c>
      <c r="AA11" s="188">
        <f t="shared" si="15"/>
        <v>0</v>
      </c>
      <c r="AB11" s="188">
        <f t="shared" si="16"/>
        <v>0</v>
      </c>
      <c r="AC11" s="188">
        <f t="shared" si="17"/>
        <v>0</v>
      </c>
      <c r="AD11" s="188">
        <f t="shared" si="18"/>
        <v>0</v>
      </c>
      <c r="AE11" s="183">
        <f t="shared" si="19"/>
        <v>0</v>
      </c>
    </row>
    <row r="12" spans="1:31" x14ac:dyDescent="0.25">
      <c r="A12" s="185" t="s">
        <v>218</v>
      </c>
      <c r="B12" s="188" t="s">
        <v>352</v>
      </c>
      <c r="C12" s="188" t="s">
        <v>160</v>
      </c>
      <c r="D12" s="188" t="str">
        <f t="shared" si="2"/>
        <v>101-G375</v>
      </c>
      <c r="E12" s="188">
        <v>0</v>
      </c>
      <c r="F12" s="188">
        <v>0</v>
      </c>
      <c r="G12" s="188">
        <v>5998.24</v>
      </c>
      <c r="H12" s="188">
        <v>143957.81</v>
      </c>
      <c r="I12" s="188">
        <v>0</v>
      </c>
      <c r="J12" s="183">
        <v>0</v>
      </c>
      <c r="L12" s="188" t="str">
        <f t="shared" si="3"/>
        <v>AMI Meters and Modules Deployment - Gas</v>
      </c>
      <c r="M12" s="188" t="str">
        <f t="shared" si="4"/>
        <v>G3750 DST Structures &amp; Improvements</v>
      </c>
      <c r="N12" s="188" t="str">
        <f t="shared" si="0"/>
        <v>Programmatic</v>
      </c>
      <c r="O12" s="188" t="str">
        <f t="shared" si="5"/>
        <v>101-G375</v>
      </c>
      <c r="P12" s="188">
        <f t="shared" si="6"/>
        <v>0</v>
      </c>
      <c r="Q12" s="188">
        <f t="shared" si="7"/>
        <v>0</v>
      </c>
      <c r="R12" s="188">
        <f t="shared" si="8"/>
        <v>0</v>
      </c>
      <c r="S12" s="188">
        <f t="shared" si="9"/>
        <v>0</v>
      </c>
      <c r="T12" s="188">
        <f t="shared" si="10"/>
        <v>0</v>
      </c>
      <c r="V12" s="188" t="str">
        <f t="shared" si="11"/>
        <v>AMI Meters and Modules Deployment - Gas</v>
      </c>
      <c r="W12" s="188" t="str">
        <f t="shared" si="12"/>
        <v>G3750 DST Structures &amp; Improvements</v>
      </c>
      <c r="X12" s="188" t="str">
        <f t="shared" si="1"/>
        <v>Programmatic</v>
      </c>
      <c r="Y12" s="188" t="str">
        <f t="shared" si="13"/>
        <v>101-G375</v>
      </c>
      <c r="Z12" s="188">
        <f t="shared" si="14"/>
        <v>0</v>
      </c>
      <c r="AA12" s="188">
        <f t="shared" si="15"/>
        <v>0</v>
      </c>
      <c r="AB12" s="188">
        <f t="shared" si="16"/>
        <v>5998.24</v>
      </c>
      <c r="AC12" s="188">
        <f t="shared" si="17"/>
        <v>143957.81</v>
      </c>
      <c r="AD12" s="188">
        <f t="shared" si="18"/>
        <v>0</v>
      </c>
      <c r="AE12" s="183">
        <f t="shared" si="19"/>
        <v>0</v>
      </c>
    </row>
    <row r="13" spans="1:31" x14ac:dyDescent="0.25">
      <c r="A13" s="185" t="s">
        <v>218</v>
      </c>
      <c r="B13" s="188" t="s">
        <v>343</v>
      </c>
      <c r="C13" s="188" t="s">
        <v>160</v>
      </c>
      <c r="D13" s="188" t="str">
        <f t="shared" si="2"/>
        <v>101-G381</v>
      </c>
      <c r="E13" s="188">
        <v>0</v>
      </c>
      <c r="F13" s="188">
        <v>0</v>
      </c>
      <c r="G13" s="188">
        <v>320.51</v>
      </c>
      <c r="H13" s="188">
        <v>7692.15</v>
      </c>
      <c r="I13" s="188">
        <v>0</v>
      </c>
      <c r="J13" s="183">
        <v>0</v>
      </c>
      <c r="L13" s="188" t="str">
        <f t="shared" si="3"/>
        <v>AMI Meters and Modules Deployment - Gas</v>
      </c>
      <c r="M13" s="188" t="str">
        <f t="shared" si="4"/>
        <v>G3812 DST Modules, AMI</v>
      </c>
      <c r="N13" s="188" t="str">
        <f t="shared" si="0"/>
        <v>Programmatic</v>
      </c>
      <c r="O13" s="188" t="str">
        <f t="shared" si="5"/>
        <v>101-G381</v>
      </c>
      <c r="P13" s="188">
        <f t="shared" si="6"/>
        <v>0</v>
      </c>
      <c r="Q13" s="188">
        <f t="shared" si="7"/>
        <v>0</v>
      </c>
      <c r="R13" s="188">
        <f t="shared" si="8"/>
        <v>0</v>
      </c>
      <c r="S13" s="188">
        <f t="shared" si="9"/>
        <v>0</v>
      </c>
      <c r="T13" s="188">
        <f t="shared" si="10"/>
        <v>0</v>
      </c>
      <c r="V13" s="188" t="str">
        <f t="shared" si="11"/>
        <v>AMI Meters and Modules Deployment - Gas</v>
      </c>
      <c r="W13" s="188" t="str">
        <f t="shared" si="12"/>
        <v>G3812 DST Modules, AMI</v>
      </c>
      <c r="X13" s="188" t="str">
        <f t="shared" si="1"/>
        <v>Programmatic</v>
      </c>
      <c r="Y13" s="188" t="str">
        <f t="shared" si="13"/>
        <v>101-G381</v>
      </c>
      <c r="Z13" s="188">
        <f t="shared" si="14"/>
        <v>0</v>
      </c>
      <c r="AA13" s="188">
        <f t="shared" si="15"/>
        <v>0</v>
      </c>
      <c r="AB13" s="188">
        <f t="shared" si="16"/>
        <v>320.51</v>
      </c>
      <c r="AC13" s="188">
        <f t="shared" si="17"/>
        <v>7692.15</v>
      </c>
      <c r="AD13" s="188">
        <f t="shared" si="18"/>
        <v>0</v>
      </c>
      <c r="AE13" s="183">
        <f t="shared" si="19"/>
        <v>0</v>
      </c>
    </row>
    <row r="14" spans="1:31" x14ac:dyDescent="0.25">
      <c r="A14" s="185" t="s">
        <v>218</v>
      </c>
      <c r="B14" s="188" t="s">
        <v>342</v>
      </c>
      <c r="C14" s="188" t="s">
        <v>160</v>
      </c>
      <c r="D14" s="188" t="str">
        <f t="shared" si="2"/>
        <v>101-G382</v>
      </c>
      <c r="E14" s="188">
        <v>0</v>
      </c>
      <c r="F14" s="188">
        <v>0</v>
      </c>
      <c r="G14" s="188">
        <v>72392.72</v>
      </c>
      <c r="H14" s="188">
        <v>1737425.29</v>
      </c>
      <c r="I14" s="188">
        <v>0</v>
      </c>
      <c r="J14" s="183">
        <v>0</v>
      </c>
      <c r="L14" s="188" t="str">
        <f t="shared" si="3"/>
        <v>AMI Meters and Modules Deployment - Gas</v>
      </c>
      <c r="M14" s="188" t="str">
        <f t="shared" si="4"/>
        <v>G3820 DST Meter Installations (AMR)</v>
      </c>
      <c r="N14" s="188" t="str">
        <f t="shared" si="0"/>
        <v>Programmatic</v>
      </c>
      <c r="O14" s="188" t="str">
        <f t="shared" si="5"/>
        <v>101-G382</v>
      </c>
      <c r="P14" s="188">
        <f t="shared" si="6"/>
        <v>0</v>
      </c>
      <c r="Q14" s="188">
        <f t="shared" si="7"/>
        <v>0</v>
      </c>
      <c r="R14" s="188">
        <f t="shared" si="8"/>
        <v>0</v>
      </c>
      <c r="S14" s="188">
        <f t="shared" si="9"/>
        <v>0</v>
      </c>
      <c r="T14" s="188">
        <f t="shared" si="10"/>
        <v>0</v>
      </c>
      <c r="V14" s="188" t="str">
        <f t="shared" si="11"/>
        <v>AMI Meters and Modules Deployment - Gas</v>
      </c>
      <c r="W14" s="188" t="str">
        <f t="shared" si="12"/>
        <v>G3820 DST Meter Installations (AMR)</v>
      </c>
      <c r="X14" s="188" t="str">
        <f t="shared" si="1"/>
        <v>Programmatic</v>
      </c>
      <c r="Y14" s="188" t="str">
        <f t="shared" si="13"/>
        <v>101-G382</v>
      </c>
      <c r="Z14" s="188">
        <f t="shared" si="14"/>
        <v>0</v>
      </c>
      <c r="AA14" s="188">
        <f t="shared" si="15"/>
        <v>0</v>
      </c>
      <c r="AB14" s="188">
        <f t="shared" si="16"/>
        <v>72392.72</v>
      </c>
      <c r="AC14" s="188">
        <f t="shared" si="17"/>
        <v>1737425.29</v>
      </c>
      <c r="AD14" s="188">
        <f t="shared" si="18"/>
        <v>0</v>
      </c>
      <c r="AE14" s="183">
        <f t="shared" si="19"/>
        <v>0</v>
      </c>
    </row>
    <row r="15" spans="1:31" x14ac:dyDescent="0.25">
      <c r="A15" s="185" t="s">
        <v>218</v>
      </c>
      <c r="B15" s="188" t="s">
        <v>341</v>
      </c>
      <c r="C15" s="188" t="s">
        <v>160</v>
      </c>
      <c r="D15" s="188" t="str">
        <f t="shared" si="2"/>
        <v>101-G382</v>
      </c>
      <c r="E15" s="188">
        <v>0</v>
      </c>
      <c r="F15" s="188">
        <v>0</v>
      </c>
      <c r="G15" s="188">
        <v>2533028.64</v>
      </c>
      <c r="H15" s="188">
        <v>60792687.280000001</v>
      </c>
      <c r="I15" s="188">
        <v>0</v>
      </c>
      <c r="J15" s="183">
        <v>0</v>
      </c>
      <c r="L15" s="188" t="str">
        <f t="shared" si="3"/>
        <v>AMI Meters and Modules Deployment - Gas</v>
      </c>
      <c r="M15" s="188" t="str">
        <f t="shared" si="4"/>
        <v>G3822 DST Module Installations, AMI</v>
      </c>
      <c r="N15" s="188" t="str">
        <f t="shared" si="0"/>
        <v>Programmatic</v>
      </c>
      <c r="O15" s="188" t="str">
        <f t="shared" si="5"/>
        <v>101-G382</v>
      </c>
      <c r="P15" s="188">
        <f t="shared" si="6"/>
        <v>0</v>
      </c>
      <c r="Q15" s="188">
        <f t="shared" si="7"/>
        <v>0</v>
      </c>
      <c r="R15" s="188">
        <f t="shared" si="8"/>
        <v>0</v>
      </c>
      <c r="S15" s="188">
        <f t="shared" si="9"/>
        <v>0</v>
      </c>
      <c r="T15" s="188">
        <f t="shared" si="10"/>
        <v>0</v>
      </c>
      <c r="V15" s="188" t="str">
        <f t="shared" si="11"/>
        <v>AMI Meters and Modules Deployment - Gas</v>
      </c>
      <c r="W15" s="188" t="str">
        <f t="shared" si="12"/>
        <v>G3822 DST Module Installations, AMI</v>
      </c>
      <c r="X15" s="188" t="str">
        <f t="shared" si="1"/>
        <v>Programmatic</v>
      </c>
      <c r="Y15" s="188" t="str">
        <f t="shared" si="13"/>
        <v>101-G382</v>
      </c>
      <c r="Z15" s="188">
        <f t="shared" si="14"/>
        <v>0</v>
      </c>
      <c r="AA15" s="188">
        <f t="shared" si="15"/>
        <v>0</v>
      </c>
      <c r="AB15" s="188">
        <f t="shared" si="16"/>
        <v>2533028.64</v>
      </c>
      <c r="AC15" s="188">
        <f t="shared" si="17"/>
        <v>60792687.280000001</v>
      </c>
      <c r="AD15" s="188">
        <f t="shared" si="18"/>
        <v>0</v>
      </c>
      <c r="AE15" s="183">
        <f t="shared" si="19"/>
        <v>0</v>
      </c>
    </row>
    <row r="16" spans="1:31" x14ac:dyDescent="0.25">
      <c r="A16" s="185" t="s">
        <v>218</v>
      </c>
      <c r="B16" s="188" t="s">
        <v>546</v>
      </c>
      <c r="C16" s="188" t="s">
        <v>160</v>
      </c>
      <c r="D16" s="188" t="str">
        <f t="shared" si="2"/>
        <v>101-G391</v>
      </c>
      <c r="E16" s="188">
        <v>0</v>
      </c>
      <c r="F16" s="188">
        <v>0</v>
      </c>
      <c r="G16" s="188">
        <v>1176.1300000000001</v>
      </c>
      <c r="H16" s="188">
        <v>28227.02</v>
      </c>
      <c r="I16" s="188">
        <v>0</v>
      </c>
      <c r="J16" s="183">
        <v>0</v>
      </c>
      <c r="L16" s="188" t="str">
        <f t="shared" si="3"/>
        <v>AMI Meters and Modules Deployment - Gas</v>
      </c>
      <c r="M16" s="188" t="str">
        <f t="shared" si="4"/>
        <v>G3911 GEN Office Furn &amp; Eq, new</v>
      </c>
      <c r="N16" s="188" t="str">
        <f t="shared" si="0"/>
        <v>Programmatic</v>
      </c>
      <c r="O16" s="188" t="str">
        <f t="shared" si="5"/>
        <v>101-G391</v>
      </c>
      <c r="P16" s="188">
        <f t="shared" si="6"/>
        <v>0</v>
      </c>
      <c r="Q16" s="188">
        <f t="shared" si="7"/>
        <v>0</v>
      </c>
      <c r="R16" s="188">
        <f t="shared" si="8"/>
        <v>0</v>
      </c>
      <c r="S16" s="188">
        <f t="shared" si="9"/>
        <v>0</v>
      </c>
      <c r="T16" s="188">
        <f t="shared" si="10"/>
        <v>0</v>
      </c>
      <c r="V16" s="188" t="str">
        <f t="shared" si="11"/>
        <v>AMI Meters and Modules Deployment - Gas</v>
      </c>
      <c r="W16" s="188" t="str">
        <f t="shared" si="12"/>
        <v>G3911 GEN Office Furn &amp; Eq, new</v>
      </c>
      <c r="X16" s="188" t="str">
        <f t="shared" si="1"/>
        <v>Programmatic</v>
      </c>
      <c r="Y16" s="188" t="str">
        <f t="shared" si="13"/>
        <v>101-G391</v>
      </c>
      <c r="Z16" s="188">
        <f t="shared" si="14"/>
        <v>0</v>
      </c>
      <c r="AA16" s="188">
        <f t="shared" si="15"/>
        <v>0</v>
      </c>
      <c r="AB16" s="188">
        <f t="shared" si="16"/>
        <v>1176.1300000000001</v>
      </c>
      <c r="AC16" s="188">
        <f t="shared" si="17"/>
        <v>28227.02</v>
      </c>
      <c r="AD16" s="188">
        <f t="shared" si="18"/>
        <v>0</v>
      </c>
      <c r="AE16" s="183">
        <f t="shared" si="19"/>
        <v>0</v>
      </c>
    </row>
    <row r="17" spans="1:31" x14ac:dyDescent="0.25">
      <c r="A17" s="185" t="s">
        <v>218</v>
      </c>
      <c r="B17" s="188" t="s">
        <v>335</v>
      </c>
      <c r="C17" s="188" t="s">
        <v>160</v>
      </c>
      <c r="D17" s="188" t="str">
        <f t="shared" si="2"/>
        <v>101-G391</v>
      </c>
      <c r="E17" s="188">
        <v>0</v>
      </c>
      <c r="F17" s="188">
        <v>0</v>
      </c>
      <c r="G17" s="188">
        <v>3807.16</v>
      </c>
      <c r="H17" s="188">
        <v>91371.92</v>
      </c>
      <c r="I17" s="188">
        <v>0</v>
      </c>
      <c r="J17" s="183">
        <v>0</v>
      </c>
      <c r="L17" s="188" t="str">
        <f t="shared" si="3"/>
        <v>AMI Meters and Modules Deployment - Gas</v>
      </c>
      <c r="M17" s="188" t="str">
        <f t="shared" si="4"/>
        <v>G3912 GEN Computer Eq, new</v>
      </c>
      <c r="N17" s="188" t="str">
        <f t="shared" si="0"/>
        <v>Programmatic</v>
      </c>
      <c r="O17" s="188" t="str">
        <f t="shared" si="5"/>
        <v>101-G391</v>
      </c>
      <c r="P17" s="188">
        <f t="shared" si="6"/>
        <v>0</v>
      </c>
      <c r="Q17" s="188">
        <f t="shared" si="7"/>
        <v>0</v>
      </c>
      <c r="R17" s="188">
        <f t="shared" si="8"/>
        <v>0</v>
      </c>
      <c r="S17" s="188">
        <f t="shared" si="9"/>
        <v>0</v>
      </c>
      <c r="T17" s="188">
        <f t="shared" si="10"/>
        <v>0</v>
      </c>
      <c r="V17" s="188" t="str">
        <f t="shared" si="11"/>
        <v>AMI Meters and Modules Deployment - Gas</v>
      </c>
      <c r="W17" s="188" t="str">
        <f t="shared" si="12"/>
        <v>G3912 GEN Computer Eq, new</v>
      </c>
      <c r="X17" s="188" t="str">
        <f t="shared" si="1"/>
        <v>Programmatic</v>
      </c>
      <c r="Y17" s="188" t="str">
        <f t="shared" si="13"/>
        <v>101-G391</v>
      </c>
      <c r="Z17" s="188">
        <f t="shared" si="14"/>
        <v>0</v>
      </c>
      <c r="AA17" s="188">
        <f t="shared" si="15"/>
        <v>0</v>
      </c>
      <c r="AB17" s="188">
        <f t="shared" si="16"/>
        <v>3807.16</v>
      </c>
      <c r="AC17" s="188">
        <f t="shared" si="17"/>
        <v>91371.92</v>
      </c>
      <c r="AD17" s="188">
        <f t="shared" si="18"/>
        <v>0</v>
      </c>
      <c r="AE17" s="183">
        <f t="shared" si="19"/>
        <v>0</v>
      </c>
    </row>
    <row r="18" spans="1:31" x14ac:dyDescent="0.25">
      <c r="A18" s="188" t="s">
        <v>1</v>
      </c>
      <c r="B18" s="188" t="s">
        <v>322</v>
      </c>
      <c r="C18" s="188" t="s">
        <v>173</v>
      </c>
      <c r="D18" s="188" t="str">
        <f t="shared" si="2"/>
        <v>101-E353</v>
      </c>
      <c r="E18" s="188">
        <v>0</v>
      </c>
      <c r="F18" s="188">
        <v>2708991.58</v>
      </c>
      <c r="G18" s="188">
        <v>2901291.46</v>
      </c>
      <c r="H18" s="188">
        <v>5755342.4800000004</v>
      </c>
      <c r="I18" s="188">
        <v>0</v>
      </c>
      <c r="J18" s="183">
        <v>0</v>
      </c>
      <c r="L18" s="188" t="str">
        <f t="shared" si="3"/>
        <v>Bainbridge Tlines Trans</v>
      </c>
      <c r="M18" s="188" t="str">
        <f t="shared" si="4"/>
        <v>E3536 TSM Substation Equipment</v>
      </c>
      <c r="N18" s="188" t="str">
        <f t="shared" si="0"/>
        <v>Specific</v>
      </c>
      <c r="O18" s="188" t="str">
        <f t="shared" si="5"/>
        <v>101-E353</v>
      </c>
      <c r="P18" s="188">
        <f t="shared" si="6"/>
        <v>0</v>
      </c>
      <c r="Q18" s="188">
        <f t="shared" si="7"/>
        <v>2708991.58</v>
      </c>
      <c r="R18" s="188">
        <f t="shared" si="8"/>
        <v>2901291.46</v>
      </c>
      <c r="S18" s="188">
        <f t="shared" si="9"/>
        <v>5755342.4800000004</v>
      </c>
      <c r="T18" s="188">
        <f t="shared" si="10"/>
        <v>0</v>
      </c>
      <c r="V18" s="188" t="str">
        <f t="shared" si="11"/>
        <v>Bainbridge Tlines Trans</v>
      </c>
      <c r="W18" s="188" t="str">
        <f t="shared" si="12"/>
        <v>E3536 TSM Substation Equipment</v>
      </c>
      <c r="X18" s="188" t="str">
        <f t="shared" si="1"/>
        <v>Specific</v>
      </c>
      <c r="Y18" s="188" t="str">
        <f t="shared" si="13"/>
        <v>101-E353</v>
      </c>
      <c r="Z18" s="188">
        <f t="shared" si="14"/>
        <v>0</v>
      </c>
      <c r="AA18" s="188">
        <f t="shared" si="15"/>
        <v>0</v>
      </c>
      <c r="AB18" s="188">
        <f t="shared" si="16"/>
        <v>0</v>
      </c>
      <c r="AC18" s="188">
        <f t="shared" si="17"/>
        <v>0</v>
      </c>
      <c r="AD18" s="188">
        <f t="shared" si="18"/>
        <v>0</v>
      </c>
      <c r="AE18" s="183">
        <f t="shared" si="19"/>
        <v>0</v>
      </c>
    </row>
    <row r="19" spans="1:31" x14ac:dyDescent="0.25">
      <c r="A19" s="188" t="s">
        <v>1</v>
      </c>
      <c r="B19" s="188" t="s">
        <v>324</v>
      </c>
      <c r="C19" s="188" t="s">
        <v>173</v>
      </c>
      <c r="D19" s="188" t="str">
        <f t="shared" si="2"/>
        <v>101-E355</v>
      </c>
      <c r="E19" s="188">
        <v>0</v>
      </c>
      <c r="F19" s="188">
        <v>2629315.36</v>
      </c>
      <c r="G19" s="188">
        <v>2815959.4</v>
      </c>
      <c r="H19" s="188">
        <v>5586067.79</v>
      </c>
      <c r="I19" s="188">
        <v>0</v>
      </c>
      <c r="J19" s="183">
        <v>0</v>
      </c>
      <c r="L19" s="188" t="str">
        <f t="shared" si="3"/>
        <v>Bainbridge Tlines Trans</v>
      </c>
      <c r="M19" s="188" t="str">
        <f t="shared" si="4"/>
        <v>E3556 TSM Poles</v>
      </c>
      <c r="N19" s="188" t="str">
        <f t="shared" si="0"/>
        <v>Specific</v>
      </c>
      <c r="O19" s="188" t="str">
        <f t="shared" si="5"/>
        <v>101-E355</v>
      </c>
      <c r="P19" s="188">
        <f t="shared" si="6"/>
        <v>0</v>
      </c>
      <c r="Q19" s="188">
        <f t="shared" si="7"/>
        <v>2629315.36</v>
      </c>
      <c r="R19" s="188">
        <f t="shared" si="8"/>
        <v>2815959.4</v>
      </c>
      <c r="S19" s="188">
        <f t="shared" si="9"/>
        <v>5586067.79</v>
      </c>
      <c r="T19" s="188">
        <f t="shared" si="10"/>
        <v>0</v>
      </c>
      <c r="V19" s="188" t="str">
        <f t="shared" si="11"/>
        <v>Bainbridge Tlines Trans</v>
      </c>
      <c r="W19" s="188" t="str">
        <f t="shared" si="12"/>
        <v>E3556 TSM Poles</v>
      </c>
      <c r="X19" s="188" t="str">
        <f t="shared" si="1"/>
        <v>Specific</v>
      </c>
      <c r="Y19" s="188" t="str">
        <f t="shared" si="13"/>
        <v>101-E355</v>
      </c>
      <c r="Z19" s="188">
        <f t="shared" si="14"/>
        <v>0</v>
      </c>
      <c r="AA19" s="188">
        <f t="shared" si="15"/>
        <v>0</v>
      </c>
      <c r="AB19" s="188">
        <f t="shared" si="16"/>
        <v>0</v>
      </c>
      <c r="AC19" s="188">
        <f t="shared" si="17"/>
        <v>0</v>
      </c>
      <c r="AD19" s="188">
        <f t="shared" si="18"/>
        <v>0</v>
      </c>
      <c r="AE19" s="183">
        <f t="shared" si="19"/>
        <v>0</v>
      </c>
    </row>
    <row r="20" spans="1:31" x14ac:dyDescent="0.25">
      <c r="A20" s="188" t="s">
        <v>1</v>
      </c>
      <c r="B20" s="188" t="s">
        <v>395</v>
      </c>
      <c r="C20" s="188" t="s">
        <v>173</v>
      </c>
      <c r="D20" s="188" t="str">
        <f t="shared" si="2"/>
        <v>101-E356</v>
      </c>
      <c r="E20" s="188">
        <v>0</v>
      </c>
      <c r="F20" s="188">
        <v>2629315.36</v>
      </c>
      <c r="G20" s="188">
        <v>2815959.4</v>
      </c>
      <c r="H20" s="188">
        <v>5586067.79</v>
      </c>
      <c r="I20" s="188">
        <v>0</v>
      </c>
      <c r="J20" s="183">
        <v>0</v>
      </c>
      <c r="L20" s="188" t="str">
        <f t="shared" si="3"/>
        <v>Bainbridge Tlines Trans</v>
      </c>
      <c r="M20" s="188" t="str">
        <f t="shared" si="4"/>
        <v>E3566 TSM O/H Conductor/Devices</v>
      </c>
      <c r="N20" s="188" t="str">
        <f t="shared" si="0"/>
        <v>Specific</v>
      </c>
      <c r="O20" s="188" t="str">
        <f t="shared" si="5"/>
        <v>101-E356</v>
      </c>
      <c r="P20" s="188">
        <f t="shared" si="6"/>
        <v>0</v>
      </c>
      <c r="Q20" s="188">
        <f t="shared" si="7"/>
        <v>2629315.36</v>
      </c>
      <c r="R20" s="188">
        <f t="shared" si="8"/>
        <v>2815959.4</v>
      </c>
      <c r="S20" s="188">
        <f t="shared" si="9"/>
        <v>5586067.79</v>
      </c>
      <c r="T20" s="188">
        <f t="shared" si="10"/>
        <v>0</v>
      </c>
      <c r="V20" s="188" t="str">
        <f t="shared" si="11"/>
        <v>Bainbridge Tlines Trans</v>
      </c>
      <c r="W20" s="188" t="str">
        <f t="shared" si="12"/>
        <v>E3566 TSM O/H Conductor/Devices</v>
      </c>
      <c r="X20" s="188" t="str">
        <f t="shared" si="1"/>
        <v>Specific</v>
      </c>
      <c r="Y20" s="188" t="str">
        <f t="shared" si="13"/>
        <v>101-E356</v>
      </c>
      <c r="Z20" s="188">
        <f t="shared" si="14"/>
        <v>0</v>
      </c>
      <c r="AA20" s="188">
        <f t="shared" si="15"/>
        <v>0</v>
      </c>
      <c r="AB20" s="188">
        <f t="shared" si="16"/>
        <v>0</v>
      </c>
      <c r="AC20" s="188">
        <f t="shared" si="17"/>
        <v>0</v>
      </c>
      <c r="AD20" s="188">
        <f t="shared" si="18"/>
        <v>0</v>
      </c>
      <c r="AE20" s="183">
        <f t="shared" si="19"/>
        <v>0</v>
      </c>
    </row>
    <row r="21" spans="1:31" x14ac:dyDescent="0.25">
      <c r="A21" s="188" t="s">
        <v>1</v>
      </c>
      <c r="B21" s="188" t="s">
        <v>328</v>
      </c>
      <c r="C21" s="188" t="s">
        <v>173</v>
      </c>
      <c r="D21" s="188" t="str">
        <f t="shared" si="2"/>
        <v>101-E363</v>
      </c>
      <c r="E21" s="188">
        <v>0</v>
      </c>
      <c r="F21" s="188">
        <v>0</v>
      </c>
      <c r="G21" s="188">
        <v>6859435.5</v>
      </c>
      <c r="H21" s="188">
        <v>11427707.98</v>
      </c>
      <c r="I21" s="188">
        <v>0</v>
      </c>
      <c r="J21" s="183">
        <v>0</v>
      </c>
      <c r="L21" s="188" t="str">
        <f t="shared" si="3"/>
        <v>Bainbridge Tlines Trans</v>
      </c>
      <c r="M21" s="188" t="str">
        <f t="shared" si="4"/>
        <v>E3630 DST Battery Storage Equipment</v>
      </c>
      <c r="N21" s="188" t="str">
        <f t="shared" si="0"/>
        <v>Specific</v>
      </c>
      <c r="O21" s="188" t="str">
        <f t="shared" si="5"/>
        <v>101-E363</v>
      </c>
      <c r="P21" s="188">
        <f t="shared" si="6"/>
        <v>0</v>
      </c>
      <c r="Q21" s="188">
        <f t="shared" si="7"/>
        <v>0</v>
      </c>
      <c r="R21" s="188">
        <f t="shared" si="8"/>
        <v>6859435.5</v>
      </c>
      <c r="S21" s="188">
        <f t="shared" si="9"/>
        <v>11427707.98</v>
      </c>
      <c r="T21" s="188">
        <f t="shared" si="10"/>
        <v>0</v>
      </c>
      <c r="V21" s="188" t="str">
        <f t="shared" si="11"/>
        <v>Bainbridge Tlines Trans</v>
      </c>
      <c r="W21" s="188" t="str">
        <f t="shared" si="12"/>
        <v>E3630 DST Battery Storage Equipment</v>
      </c>
      <c r="X21" s="188" t="str">
        <f t="shared" si="1"/>
        <v>Specific</v>
      </c>
      <c r="Y21" s="188" t="str">
        <f t="shared" si="13"/>
        <v>101-E363</v>
      </c>
      <c r="Z21" s="188">
        <f t="shared" si="14"/>
        <v>0</v>
      </c>
      <c r="AA21" s="188">
        <f t="shared" si="15"/>
        <v>0</v>
      </c>
      <c r="AB21" s="188">
        <f t="shared" si="16"/>
        <v>0</v>
      </c>
      <c r="AC21" s="188">
        <f t="shared" si="17"/>
        <v>0</v>
      </c>
      <c r="AD21" s="188">
        <f t="shared" si="18"/>
        <v>0</v>
      </c>
      <c r="AE21" s="183">
        <f t="shared" si="19"/>
        <v>0</v>
      </c>
    </row>
    <row r="22" spans="1:31" x14ac:dyDescent="0.25">
      <c r="A22" s="188" t="s">
        <v>2</v>
      </c>
      <c r="B22" s="188" t="s">
        <v>400</v>
      </c>
      <c r="C22" s="188" t="s">
        <v>160</v>
      </c>
      <c r="D22" s="188" t="str">
        <f t="shared" si="2"/>
        <v>101-E355</v>
      </c>
      <c r="E22" s="188">
        <v>0</v>
      </c>
      <c r="F22" s="188">
        <v>0.72</v>
      </c>
      <c r="G22" s="188">
        <v>44674.2</v>
      </c>
      <c r="H22" s="188">
        <v>164568.66</v>
      </c>
      <c r="I22" s="188">
        <v>0</v>
      </c>
      <c r="J22" s="183">
        <v>0</v>
      </c>
      <c r="L22" s="188" t="str">
        <f t="shared" si="3"/>
        <v>Capacity Electric</v>
      </c>
      <c r="M22" s="188" t="str">
        <f t="shared" si="4"/>
        <v>E355 TSM Poles &amp; Fixtures</v>
      </c>
      <c r="N22" s="188" t="str">
        <f t="shared" si="0"/>
        <v>Programmatic</v>
      </c>
      <c r="O22" s="188" t="str">
        <f t="shared" si="5"/>
        <v>101-E355</v>
      </c>
      <c r="P22" s="188">
        <f t="shared" si="6"/>
        <v>0</v>
      </c>
      <c r="Q22" s="188">
        <f t="shared" si="7"/>
        <v>0.72</v>
      </c>
      <c r="R22" s="188">
        <f t="shared" si="8"/>
        <v>44674.2</v>
      </c>
      <c r="S22" s="188">
        <f t="shared" si="9"/>
        <v>164568.66</v>
      </c>
      <c r="T22" s="188">
        <f t="shared" si="10"/>
        <v>0</v>
      </c>
      <c r="V22" s="188" t="str">
        <f t="shared" si="11"/>
        <v>Capacity Electric</v>
      </c>
      <c r="W22" s="188" t="str">
        <f t="shared" si="12"/>
        <v>E355 TSM Poles &amp; Fixtures</v>
      </c>
      <c r="X22" s="188" t="str">
        <f t="shared" si="1"/>
        <v>Programmatic</v>
      </c>
      <c r="Y22" s="188" t="str">
        <f t="shared" si="13"/>
        <v>101-E355</v>
      </c>
      <c r="Z22" s="188">
        <f t="shared" si="14"/>
        <v>0</v>
      </c>
      <c r="AA22" s="188">
        <f t="shared" si="15"/>
        <v>0</v>
      </c>
      <c r="AB22" s="188">
        <f t="shared" si="16"/>
        <v>0</v>
      </c>
      <c r="AC22" s="188">
        <f t="shared" si="17"/>
        <v>0</v>
      </c>
      <c r="AD22" s="188">
        <f t="shared" si="18"/>
        <v>0</v>
      </c>
      <c r="AE22" s="183">
        <f t="shared" si="19"/>
        <v>0</v>
      </c>
    </row>
    <row r="23" spans="1:31" x14ac:dyDescent="0.25">
      <c r="A23" s="188" t="s">
        <v>2</v>
      </c>
      <c r="B23" s="188" t="s">
        <v>324</v>
      </c>
      <c r="C23" s="188" t="s">
        <v>160</v>
      </c>
      <c r="D23" s="188" t="str">
        <f t="shared" si="2"/>
        <v>101-E355</v>
      </c>
      <c r="E23" s="188">
        <v>0</v>
      </c>
      <c r="F23" s="188">
        <v>502955.51</v>
      </c>
      <c r="G23" s="188">
        <v>6049594.6699999999</v>
      </c>
      <c r="H23" s="188">
        <v>22569758.530000001</v>
      </c>
      <c r="I23" s="188">
        <v>0</v>
      </c>
      <c r="J23" s="183">
        <v>0</v>
      </c>
      <c r="L23" s="188" t="str">
        <f t="shared" si="3"/>
        <v>Capacity Electric</v>
      </c>
      <c r="M23" s="188" t="str">
        <f t="shared" si="4"/>
        <v>E3556 TSM Poles</v>
      </c>
      <c r="N23" s="188" t="str">
        <f t="shared" si="0"/>
        <v>Programmatic</v>
      </c>
      <c r="O23" s="188" t="str">
        <f t="shared" si="5"/>
        <v>101-E355</v>
      </c>
      <c r="P23" s="188">
        <f t="shared" si="6"/>
        <v>0</v>
      </c>
      <c r="Q23" s="188">
        <f t="shared" si="7"/>
        <v>502955.51</v>
      </c>
      <c r="R23" s="188">
        <f t="shared" si="8"/>
        <v>6049594.6699999999</v>
      </c>
      <c r="S23" s="188">
        <f t="shared" si="9"/>
        <v>22569758.530000001</v>
      </c>
      <c r="T23" s="188">
        <f t="shared" si="10"/>
        <v>0</v>
      </c>
      <c r="V23" s="188" t="str">
        <f t="shared" si="11"/>
        <v>Capacity Electric</v>
      </c>
      <c r="W23" s="188" t="str">
        <f t="shared" si="12"/>
        <v>E3556 TSM Poles</v>
      </c>
      <c r="X23" s="188" t="str">
        <f t="shared" si="1"/>
        <v>Programmatic</v>
      </c>
      <c r="Y23" s="188" t="str">
        <f t="shared" si="13"/>
        <v>101-E355</v>
      </c>
      <c r="Z23" s="188">
        <f t="shared" si="14"/>
        <v>0</v>
      </c>
      <c r="AA23" s="188">
        <f t="shared" si="15"/>
        <v>0</v>
      </c>
      <c r="AB23" s="188">
        <f t="shared" si="16"/>
        <v>0</v>
      </c>
      <c r="AC23" s="188">
        <f t="shared" si="17"/>
        <v>0</v>
      </c>
      <c r="AD23" s="188">
        <f t="shared" si="18"/>
        <v>0</v>
      </c>
      <c r="AE23" s="183">
        <f t="shared" si="19"/>
        <v>0</v>
      </c>
    </row>
    <row r="24" spans="1:31" x14ac:dyDescent="0.25">
      <c r="A24" s="188" t="s">
        <v>2</v>
      </c>
      <c r="B24" s="188" t="s">
        <v>399</v>
      </c>
      <c r="C24" s="188" t="s">
        <v>160</v>
      </c>
      <c r="D24" s="188" t="str">
        <f t="shared" si="2"/>
        <v>101-E355</v>
      </c>
      <c r="E24" s="188">
        <v>0</v>
      </c>
      <c r="F24" s="188">
        <v>25.92</v>
      </c>
      <c r="G24" s="188">
        <v>1488911.82</v>
      </c>
      <c r="H24" s="188">
        <v>5484777.4199999999</v>
      </c>
      <c r="I24" s="188">
        <v>0</v>
      </c>
      <c r="J24" s="183">
        <v>0</v>
      </c>
      <c r="L24" s="188" t="str">
        <f t="shared" si="3"/>
        <v>Capacity Electric</v>
      </c>
      <c r="M24" s="188" t="str">
        <f t="shared" si="4"/>
        <v>E3557 TSM Poles</v>
      </c>
      <c r="N24" s="188" t="str">
        <f t="shared" si="0"/>
        <v>Programmatic</v>
      </c>
      <c r="O24" s="188" t="str">
        <f t="shared" si="5"/>
        <v>101-E355</v>
      </c>
      <c r="P24" s="188">
        <f t="shared" si="6"/>
        <v>0</v>
      </c>
      <c r="Q24" s="188">
        <f t="shared" si="7"/>
        <v>25.92</v>
      </c>
      <c r="R24" s="188">
        <f t="shared" si="8"/>
        <v>1488911.82</v>
      </c>
      <c r="S24" s="188">
        <f t="shared" si="9"/>
        <v>5484777.4199999999</v>
      </c>
      <c r="T24" s="188">
        <f t="shared" si="10"/>
        <v>0</v>
      </c>
      <c r="V24" s="188" t="str">
        <f t="shared" si="11"/>
        <v>Capacity Electric</v>
      </c>
      <c r="W24" s="188" t="str">
        <f t="shared" si="12"/>
        <v>E3557 TSM Poles</v>
      </c>
      <c r="X24" s="188" t="str">
        <f t="shared" si="1"/>
        <v>Programmatic</v>
      </c>
      <c r="Y24" s="188" t="str">
        <f t="shared" si="13"/>
        <v>101-E355</v>
      </c>
      <c r="Z24" s="188">
        <f t="shared" si="14"/>
        <v>0</v>
      </c>
      <c r="AA24" s="188">
        <f t="shared" si="15"/>
        <v>0</v>
      </c>
      <c r="AB24" s="188">
        <f t="shared" si="16"/>
        <v>0</v>
      </c>
      <c r="AC24" s="188">
        <f t="shared" si="17"/>
        <v>0</v>
      </c>
      <c r="AD24" s="188">
        <f t="shared" si="18"/>
        <v>0</v>
      </c>
      <c r="AE24" s="183">
        <f t="shared" si="19"/>
        <v>0</v>
      </c>
    </row>
    <row r="25" spans="1:31" x14ac:dyDescent="0.25">
      <c r="A25" s="188" t="s">
        <v>2</v>
      </c>
      <c r="B25" s="188" t="s">
        <v>395</v>
      </c>
      <c r="C25" s="188" t="s">
        <v>160</v>
      </c>
      <c r="D25" s="188" t="str">
        <f t="shared" si="2"/>
        <v>101-E356</v>
      </c>
      <c r="E25" s="188">
        <v>0</v>
      </c>
      <c r="F25" s="188">
        <v>9.24</v>
      </c>
      <c r="G25" s="188">
        <v>533436.48</v>
      </c>
      <c r="H25" s="188">
        <v>1965046.26</v>
      </c>
      <c r="I25" s="188">
        <v>0</v>
      </c>
      <c r="J25" s="183">
        <v>0</v>
      </c>
      <c r="L25" s="188" t="str">
        <f t="shared" si="3"/>
        <v>Capacity Electric</v>
      </c>
      <c r="M25" s="188" t="str">
        <f t="shared" si="4"/>
        <v>E3566 TSM O/H Conductor/Devices</v>
      </c>
      <c r="N25" s="188" t="str">
        <f t="shared" si="0"/>
        <v>Programmatic</v>
      </c>
      <c r="O25" s="188" t="str">
        <f t="shared" si="5"/>
        <v>101-E356</v>
      </c>
      <c r="P25" s="188">
        <f t="shared" si="6"/>
        <v>0</v>
      </c>
      <c r="Q25" s="188">
        <f t="shared" si="7"/>
        <v>9.24</v>
      </c>
      <c r="R25" s="188">
        <f t="shared" si="8"/>
        <v>533436.48</v>
      </c>
      <c r="S25" s="188">
        <f t="shared" si="9"/>
        <v>1965046.26</v>
      </c>
      <c r="T25" s="188">
        <f t="shared" si="10"/>
        <v>0</v>
      </c>
      <c r="V25" s="188" t="str">
        <f t="shared" si="11"/>
        <v>Capacity Electric</v>
      </c>
      <c r="W25" s="188" t="str">
        <f t="shared" si="12"/>
        <v>E3566 TSM O/H Conductor/Devices</v>
      </c>
      <c r="X25" s="188" t="str">
        <f t="shared" si="1"/>
        <v>Programmatic</v>
      </c>
      <c r="Y25" s="188" t="str">
        <f t="shared" si="13"/>
        <v>101-E356</v>
      </c>
      <c r="Z25" s="188">
        <f t="shared" si="14"/>
        <v>0</v>
      </c>
      <c r="AA25" s="188">
        <f t="shared" si="15"/>
        <v>0</v>
      </c>
      <c r="AB25" s="188">
        <f t="shared" si="16"/>
        <v>0</v>
      </c>
      <c r="AC25" s="188">
        <f t="shared" si="17"/>
        <v>0</v>
      </c>
      <c r="AD25" s="188">
        <f t="shared" si="18"/>
        <v>0</v>
      </c>
      <c r="AE25" s="183">
        <f t="shared" si="19"/>
        <v>0</v>
      </c>
    </row>
    <row r="26" spans="1:31" x14ac:dyDescent="0.25">
      <c r="A26" s="188" t="s">
        <v>2</v>
      </c>
      <c r="B26" s="188" t="s">
        <v>394</v>
      </c>
      <c r="C26" s="188" t="s">
        <v>160</v>
      </c>
      <c r="D26" s="188" t="str">
        <f t="shared" si="2"/>
        <v>101-E356</v>
      </c>
      <c r="E26" s="188">
        <v>0</v>
      </c>
      <c r="F26" s="188">
        <v>6.6</v>
      </c>
      <c r="G26" s="188">
        <v>380994.06</v>
      </c>
      <c r="H26" s="188">
        <v>1403486.64</v>
      </c>
      <c r="I26" s="188">
        <v>0</v>
      </c>
      <c r="J26" s="183">
        <v>0</v>
      </c>
      <c r="L26" s="188" t="str">
        <f t="shared" si="3"/>
        <v>Capacity Electric</v>
      </c>
      <c r="M26" s="188" t="str">
        <f t="shared" si="4"/>
        <v>E3567 TSM O/H Conductor/Devices</v>
      </c>
      <c r="N26" s="188" t="str">
        <f t="shared" si="0"/>
        <v>Programmatic</v>
      </c>
      <c r="O26" s="188" t="str">
        <f t="shared" si="5"/>
        <v>101-E356</v>
      </c>
      <c r="P26" s="188">
        <f t="shared" si="6"/>
        <v>0</v>
      </c>
      <c r="Q26" s="188">
        <f t="shared" si="7"/>
        <v>6.6</v>
      </c>
      <c r="R26" s="188">
        <f t="shared" si="8"/>
        <v>380994.06</v>
      </c>
      <c r="S26" s="188">
        <f t="shared" si="9"/>
        <v>1403486.64</v>
      </c>
      <c r="T26" s="188">
        <f t="shared" si="10"/>
        <v>0</v>
      </c>
      <c r="V26" s="188" t="str">
        <f t="shared" si="11"/>
        <v>Capacity Electric</v>
      </c>
      <c r="W26" s="188" t="str">
        <f t="shared" si="12"/>
        <v>E3567 TSM O/H Conductor/Devices</v>
      </c>
      <c r="X26" s="188" t="str">
        <f t="shared" si="1"/>
        <v>Programmatic</v>
      </c>
      <c r="Y26" s="188" t="str">
        <f t="shared" si="13"/>
        <v>101-E356</v>
      </c>
      <c r="Z26" s="188">
        <f t="shared" si="14"/>
        <v>0</v>
      </c>
      <c r="AA26" s="188">
        <f t="shared" si="15"/>
        <v>0</v>
      </c>
      <c r="AB26" s="188">
        <f t="shared" si="16"/>
        <v>0</v>
      </c>
      <c r="AC26" s="188">
        <f t="shared" si="17"/>
        <v>0</v>
      </c>
      <c r="AD26" s="188">
        <f t="shared" si="18"/>
        <v>0</v>
      </c>
      <c r="AE26" s="183">
        <f t="shared" si="19"/>
        <v>0</v>
      </c>
    </row>
    <row r="27" spans="1:31" x14ac:dyDescent="0.25">
      <c r="A27" s="188" t="s">
        <v>2</v>
      </c>
      <c r="B27" s="188" t="s">
        <v>388</v>
      </c>
      <c r="C27" s="188" t="s">
        <v>160</v>
      </c>
      <c r="D27" s="188" t="str">
        <f t="shared" si="2"/>
        <v>101-E362</v>
      </c>
      <c r="E27" s="188">
        <v>0</v>
      </c>
      <c r="F27" s="188">
        <v>75346.41</v>
      </c>
      <c r="G27" s="188">
        <v>98124.63</v>
      </c>
      <c r="H27" s="188">
        <v>129370.35</v>
      </c>
      <c r="I27" s="188">
        <v>0</v>
      </c>
      <c r="J27" s="183">
        <v>0</v>
      </c>
      <c r="L27" s="188" t="str">
        <f t="shared" si="3"/>
        <v>Capacity Electric</v>
      </c>
      <c r="M27" s="188" t="str">
        <f t="shared" si="4"/>
        <v>E3620 DST Substation Equipment</v>
      </c>
      <c r="N27" s="188" t="str">
        <f t="shared" si="0"/>
        <v>Programmatic</v>
      </c>
      <c r="O27" s="188" t="str">
        <f t="shared" si="5"/>
        <v>101-E362</v>
      </c>
      <c r="P27" s="188">
        <f t="shared" si="6"/>
        <v>0</v>
      </c>
      <c r="Q27" s="188">
        <f t="shared" si="7"/>
        <v>75346.41</v>
      </c>
      <c r="R27" s="188">
        <f t="shared" si="8"/>
        <v>98124.63</v>
      </c>
      <c r="S27" s="188">
        <f t="shared" si="9"/>
        <v>129370.35</v>
      </c>
      <c r="T27" s="188">
        <f t="shared" si="10"/>
        <v>0</v>
      </c>
      <c r="V27" s="188" t="str">
        <f t="shared" si="11"/>
        <v>Capacity Electric</v>
      </c>
      <c r="W27" s="188" t="str">
        <f t="shared" si="12"/>
        <v>E3620 DST Substation Equipment</v>
      </c>
      <c r="X27" s="188" t="str">
        <f t="shared" si="1"/>
        <v>Programmatic</v>
      </c>
      <c r="Y27" s="188" t="str">
        <f t="shared" si="13"/>
        <v>101-E362</v>
      </c>
      <c r="Z27" s="188">
        <f t="shared" si="14"/>
        <v>0</v>
      </c>
      <c r="AA27" s="188">
        <f t="shared" si="15"/>
        <v>0</v>
      </c>
      <c r="AB27" s="188">
        <f t="shared" si="16"/>
        <v>0</v>
      </c>
      <c r="AC27" s="188">
        <f t="shared" si="17"/>
        <v>0</v>
      </c>
      <c r="AD27" s="188">
        <f t="shared" si="18"/>
        <v>0</v>
      </c>
      <c r="AE27" s="183">
        <f t="shared" si="19"/>
        <v>0</v>
      </c>
    </row>
    <row r="28" spans="1:31" x14ac:dyDescent="0.25">
      <c r="A28" s="188" t="s">
        <v>2</v>
      </c>
      <c r="B28" s="188" t="s">
        <v>318</v>
      </c>
      <c r="C28" s="188" t="s">
        <v>160</v>
      </c>
      <c r="D28" s="188" t="str">
        <f t="shared" si="2"/>
        <v>101-E364</v>
      </c>
      <c r="E28" s="188">
        <v>0</v>
      </c>
      <c r="F28" s="188">
        <v>260811.89</v>
      </c>
      <c r="G28" s="188">
        <v>2261796.5</v>
      </c>
      <c r="H28" s="188">
        <v>8471740.6699999999</v>
      </c>
      <c r="I28" s="188">
        <v>0</v>
      </c>
      <c r="J28" s="183">
        <v>0</v>
      </c>
      <c r="L28" s="188" t="str">
        <f t="shared" si="3"/>
        <v>Capacity Electric</v>
      </c>
      <c r="M28" s="188" t="str">
        <f t="shared" si="4"/>
        <v>E3640 DST Poles/Towers/Fixtures</v>
      </c>
      <c r="N28" s="188" t="str">
        <f t="shared" si="0"/>
        <v>Programmatic</v>
      </c>
      <c r="O28" s="188" t="str">
        <f t="shared" si="5"/>
        <v>101-E364</v>
      </c>
      <c r="P28" s="188">
        <f t="shared" si="6"/>
        <v>0</v>
      </c>
      <c r="Q28" s="188">
        <f t="shared" si="7"/>
        <v>260811.89</v>
      </c>
      <c r="R28" s="188">
        <f t="shared" si="8"/>
        <v>2261796.5</v>
      </c>
      <c r="S28" s="188">
        <f t="shared" si="9"/>
        <v>8471740.6699999999</v>
      </c>
      <c r="T28" s="188">
        <f t="shared" si="10"/>
        <v>0</v>
      </c>
      <c r="V28" s="188" t="str">
        <f t="shared" si="11"/>
        <v>Capacity Electric</v>
      </c>
      <c r="W28" s="188" t="str">
        <f t="shared" si="12"/>
        <v>E3640 DST Poles/Towers/Fixtures</v>
      </c>
      <c r="X28" s="188" t="str">
        <f t="shared" si="1"/>
        <v>Programmatic</v>
      </c>
      <c r="Y28" s="188" t="str">
        <f t="shared" si="13"/>
        <v>101-E364</v>
      </c>
      <c r="Z28" s="188">
        <f t="shared" si="14"/>
        <v>0</v>
      </c>
      <c r="AA28" s="188">
        <f t="shared" si="15"/>
        <v>0</v>
      </c>
      <c r="AB28" s="188">
        <f t="shared" si="16"/>
        <v>0</v>
      </c>
      <c r="AC28" s="188">
        <f t="shared" si="17"/>
        <v>0</v>
      </c>
      <c r="AD28" s="188">
        <f t="shared" si="18"/>
        <v>0</v>
      </c>
      <c r="AE28" s="183">
        <f t="shared" si="19"/>
        <v>0</v>
      </c>
    </row>
    <row r="29" spans="1:31" x14ac:dyDescent="0.25">
      <c r="A29" s="188" t="s">
        <v>2</v>
      </c>
      <c r="B29" s="188" t="s">
        <v>327</v>
      </c>
      <c r="C29" s="188" t="s">
        <v>160</v>
      </c>
      <c r="D29" s="188" t="str">
        <f t="shared" si="2"/>
        <v>101-E365</v>
      </c>
      <c r="E29" s="188">
        <v>0</v>
      </c>
      <c r="F29" s="188">
        <v>1179107.5</v>
      </c>
      <c r="G29" s="188">
        <v>1272465.9199999999</v>
      </c>
      <c r="H29" s="188">
        <v>5223203.62</v>
      </c>
      <c r="I29" s="188">
        <v>0</v>
      </c>
      <c r="J29" s="183">
        <v>0</v>
      </c>
      <c r="L29" s="188" t="str">
        <f t="shared" si="3"/>
        <v>Capacity Electric</v>
      </c>
      <c r="M29" s="188" t="str">
        <f t="shared" si="4"/>
        <v>E3650 DST O/H Conductor/Devices</v>
      </c>
      <c r="N29" s="188" t="str">
        <f t="shared" si="0"/>
        <v>Programmatic</v>
      </c>
      <c r="O29" s="188" t="str">
        <f t="shared" si="5"/>
        <v>101-E365</v>
      </c>
      <c r="P29" s="188">
        <f t="shared" si="6"/>
        <v>0</v>
      </c>
      <c r="Q29" s="188">
        <f t="shared" si="7"/>
        <v>1179107.5</v>
      </c>
      <c r="R29" s="188">
        <f t="shared" si="8"/>
        <v>1272465.9199999999</v>
      </c>
      <c r="S29" s="188">
        <f t="shared" si="9"/>
        <v>5223203.62</v>
      </c>
      <c r="T29" s="188">
        <f t="shared" si="10"/>
        <v>0</v>
      </c>
      <c r="V29" s="188" t="str">
        <f t="shared" si="11"/>
        <v>Capacity Electric</v>
      </c>
      <c r="W29" s="188" t="str">
        <f t="shared" si="12"/>
        <v>E3650 DST O/H Conductor/Devices</v>
      </c>
      <c r="X29" s="188" t="str">
        <f t="shared" si="1"/>
        <v>Programmatic</v>
      </c>
      <c r="Y29" s="188" t="str">
        <f t="shared" si="13"/>
        <v>101-E365</v>
      </c>
      <c r="Z29" s="188">
        <f t="shared" si="14"/>
        <v>0</v>
      </c>
      <c r="AA29" s="188">
        <f t="shared" si="15"/>
        <v>0</v>
      </c>
      <c r="AB29" s="188">
        <f t="shared" si="16"/>
        <v>0</v>
      </c>
      <c r="AC29" s="188">
        <f t="shared" si="17"/>
        <v>0</v>
      </c>
      <c r="AD29" s="188">
        <f t="shared" si="18"/>
        <v>0</v>
      </c>
      <c r="AE29" s="183">
        <f t="shared" si="19"/>
        <v>0</v>
      </c>
    </row>
    <row r="30" spans="1:31" x14ac:dyDescent="0.25">
      <c r="A30" s="188" t="s">
        <v>2</v>
      </c>
      <c r="B30" s="188" t="s">
        <v>317</v>
      </c>
      <c r="C30" s="188" t="s">
        <v>160</v>
      </c>
      <c r="D30" s="188" t="str">
        <f t="shared" si="2"/>
        <v>101-E366</v>
      </c>
      <c r="E30" s="188">
        <v>0</v>
      </c>
      <c r="F30" s="188">
        <v>591306.80000000005</v>
      </c>
      <c r="G30" s="188">
        <v>3214432.18</v>
      </c>
      <c r="H30" s="188">
        <v>10644645.09</v>
      </c>
      <c r="I30" s="188">
        <v>0</v>
      </c>
      <c r="J30" s="183">
        <v>0</v>
      </c>
      <c r="L30" s="188" t="str">
        <f t="shared" si="3"/>
        <v>Capacity Electric</v>
      </c>
      <c r="M30" s="188" t="str">
        <f t="shared" si="4"/>
        <v>E3660 DST U/G Conduit</v>
      </c>
      <c r="N30" s="188" t="str">
        <f t="shared" si="0"/>
        <v>Programmatic</v>
      </c>
      <c r="O30" s="188" t="str">
        <f t="shared" si="5"/>
        <v>101-E366</v>
      </c>
      <c r="P30" s="188">
        <f t="shared" si="6"/>
        <v>0</v>
      </c>
      <c r="Q30" s="188">
        <f t="shared" si="7"/>
        <v>591306.80000000005</v>
      </c>
      <c r="R30" s="188">
        <f t="shared" si="8"/>
        <v>3214432.18</v>
      </c>
      <c r="S30" s="188">
        <f t="shared" si="9"/>
        <v>10644645.09</v>
      </c>
      <c r="T30" s="188">
        <f t="shared" si="10"/>
        <v>0</v>
      </c>
      <c r="V30" s="188" t="str">
        <f t="shared" si="11"/>
        <v>Capacity Electric</v>
      </c>
      <c r="W30" s="188" t="str">
        <f t="shared" si="12"/>
        <v>E3660 DST U/G Conduit</v>
      </c>
      <c r="X30" s="188" t="str">
        <f t="shared" si="1"/>
        <v>Programmatic</v>
      </c>
      <c r="Y30" s="188" t="str">
        <f t="shared" si="13"/>
        <v>101-E366</v>
      </c>
      <c r="Z30" s="188">
        <f t="shared" si="14"/>
        <v>0</v>
      </c>
      <c r="AA30" s="188">
        <f t="shared" si="15"/>
        <v>0</v>
      </c>
      <c r="AB30" s="188">
        <f t="shared" si="16"/>
        <v>0</v>
      </c>
      <c r="AC30" s="188">
        <f t="shared" si="17"/>
        <v>0</v>
      </c>
      <c r="AD30" s="188">
        <f t="shared" si="18"/>
        <v>0</v>
      </c>
      <c r="AE30" s="183">
        <f t="shared" si="19"/>
        <v>0</v>
      </c>
    </row>
    <row r="31" spans="1:31" x14ac:dyDescent="0.25">
      <c r="A31" s="188" t="s">
        <v>2</v>
      </c>
      <c r="B31" s="188" t="s">
        <v>316</v>
      </c>
      <c r="C31" s="188" t="s">
        <v>160</v>
      </c>
      <c r="D31" s="188" t="str">
        <f t="shared" si="2"/>
        <v>101-E367</v>
      </c>
      <c r="E31" s="188">
        <v>0</v>
      </c>
      <c r="F31" s="188">
        <v>437077.84</v>
      </c>
      <c r="G31" s="188">
        <v>3247094.89</v>
      </c>
      <c r="H31" s="188">
        <v>10615257.529999999</v>
      </c>
      <c r="I31" s="188">
        <v>0</v>
      </c>
      <c r="J31" s="183">
        <v>0</v>
      </c>
      <c r="L31" s="188" t="str">
        <f t="shared" si="3"/>
        <v>Capacity Electric</v>
      </c>
      <c r="M31" s="188" t="str">
        <f t="shared" si="4"/>
        <v>E3670 DST U/G Conductor/Devices</v>
      </c>
      <c r="N31" s="188" t="str">
        <f t="shared" si="0"/>
        <v>Programmatic</v>
      </c>
      <c r="O31" s="188" t="str">
        <f t="shared" si="5"/>
        <v>101-E367</v>
      </c>
      <c r="P31" s="188">
        <f t="shared" si="6"/>
        <v>0</v>
      </c>
      <c r="Q31" s="188">
        <f t="shared" si="7"/>
        <v>437077.84</v>
      </c>
      <c r="R31" s="188">
        <f t="shared" si="8"/>
        <v>3247094.89</v>
      </c>
      <c r="S31" s="188">
        <f t="shared" si="9"/>
        <v>10615257.529999999</v>
      </c>
      <c r="T31" s="188">
        <f t="shared" si="10"/>
        <v>0</v>
      </c>
      <c r="V31" s="188" t="str">
        <f t="shared" si="11"/>
        <v>Capacity Electric</v>
      </c>
      <c r="W31" s="188" t="str">
        <f t="shared" si="12"/>
        <v>E3670 DST U/G Conductor/Devices</v>
      </c>
      <c r="X31" s="188" t="str">
        <f t="shared" si="1"/>
        <v>Programmatic</v>
      </c>
      <c r="Y31" s="188" t="str">
        <f t="shared" si="13"/>
        <v>101-E367</v>
      </c>
      <c r="Z31" s="188">
        <f t="shared" si="14"/>
        <v>0</v>
      </c>
      <c r="AA31" s="188">
        <f t="shared" si="15"/>
        <v>0</v>
      </c>
      <c r="AB31" s="188">
        <f t="shared" si="16"/>
        <v>0</v>
      </c>
      <c r="AC31" s="188">
        <f t="shared" si="17"/>
        <v>0</v>
      </c>
      <c r="AD31" s="188">
        <f t="shared" si="18"/>
        <v>0</v>
      </c>
      <c r="AE31" s="183">
        <f t="shared" si="19"/>
        <v>0</v>
      </c>
    </row>
    <row r="32" spans="1:31" x14ac:dyDescent="0.25">
      <c r="A32" s="188" t="s">
        <v>2</v>
      </c>
      <c r="B32" s="188" t="s">
        <v>387</v>
      </c>
      <c r="C32" s="188" t="s">
        <v>160</v>
      </c>
      <c r="D32" s="188" t="str">
        <f t="shared" si="2"/>
        <v>101-E368</v>
      </c>
      <c r="E32" s="188">
        <v>0</v>
      </c>
      <c r="F32" s="188">
        <v>19958.66</v>
      </c>
      <c r="G32" s="188">
        <v>755919.38</v>
      </c>
      <c r="H32" s="188">
        <v>2795904.57</v>
      </c>
      <c r="I32" s="188">
        <v>0</v>
      </c>
      <c r="J32" s="183">
        <v>0</v>
      </c>
      <c r="L32" s="188" t="str">
        <f t="shared" si="3"/>
        <v>Capacity Electric</v>
      </c>
      <c r="M32" s="188" t="str">
        <f t="shared" si="4"/>
        <v>E368 DST Line Transformers</v>
      </c>
      <c r="N32" s="188" t="str">
        <f t="shared" si="0"/>
        <v>Programmatic</v>
      </c>
      <c r="O32" s="188" t="str">
        <f t="shared" si="5"/>
        <v>101-E368</v>
      </c>
      <c r="P32" s="188">
        <f t="shared" si="6"/>
        <v>0</v>
      </c>
      <c r="Q32" s="188">
        <f t="shared" si="7"/>
        <v>19958.66</v>
      </c>
      <c r="R32" s="188">
        <f t="shared" si="8"/>
        <v>755919.38</v>
      </c>
      <c r="S32" s="188">
        <f t="shared" si="9"/>
        <v>2795904.57</v>
      </c>
      <c r="T32" s="188">
        <f t="shared" si="10"/>
        <v>0</v>
      </c>
      <c r="V32" s="188" t="str">
        <f t="shared" si="11"/>
        <v>Capacity Electric</v>
      </c>
      <c r="W32" s="188" t="str">
        <f t="shared" si="12"/>
        <v>E368 DST Line Transformers</v>
      </c>
      <c r="X32" s="188" t="str">
        <f t="shared" si="1"/>
        <v>Programmatic</v>
      </c>
      <c r="Y32" s="188" t="str">
        <f t="shared" si="13"/>
        <v>101-E368</v>
      </c>
      <c r="Z32" s="188">
        <f t="shared" si="14"/>
        <v>0</v>
      </c>
      <c r="AA32" s="188">
        <f t="shared" si="15"/>
        <v>0</v>
      </c>
      <c r="AB32" s="188">
        <f t="shared" si="16"/>
        <v>0</v>
      </c>
      <c r="AC32" s="188">
        <f t="shared" si="17"/>
        <v>0</v>
      </c>
      <c r="AD32" s="188">
        <f t="shared" si="18"/>
        <v>0</v>
      </c>
      <c r="AE32" s="183">
        <f t="shared" si="19"/>
        <v>0</v>
      </c>
    </row>
    <row r="33" spans="1:31" x14ac:dyDescent="0.25">
      <c r="A33" s="188" t="s">
        <v>2</v>
      </c>
      <c r="B33" s="188" t="s">
        <v>386</v>
      </c>
      <c r="C33" s="188" t="s">
        <v>160</v>
      </c>
      <c r="D33" s="188" t="str">
        <f t="shared" si="2"/>
        <v>101-E369</v>
      </c>
      <c r="E33" s="188">
        <v>0</v>
      </c>
      <c r="F33" s="188">
        <v>0</v>
      </c>
      <c r="G33" s="188">
        <v>1614.9</v>
      </c>
      <c r="H33" s="188">
        <v>5948.94</v>
      </c>
      <c r="I33" s="188">
        <v>0</v>
      </c>
      <c r="J33" s="183">
        <v>0</v>
      </c>
      <c r="L33" s="188" t="str">
        <f t="shared" si="3"/>
        <v>Capacity Electric</v>
      </c>
      <c r="M33" s="188" t="str">
        <f t="shared" si="4"/>
        <v>E369 DST Services</v>
      </c>
      <c r="N33" s="188" t="str">
        <f t="shared" si="0"/>
        <v>Programmatic</v>
      </c>
      <c r="O33" s="188" t="str">
        <f t="shared" si="5"/>
        <v>101-E369</v>
      </c>
      <c r="P33" s="188">
        <f t="shared" si="6"/>
        <v>0</v>
      </c>
      <c r="Q33" s="188">
        <f t="shared" si="7"/>
        <v>0</v>
      </c>
      <c r="R33" s="188">
        <f t="shared" si="8"/>
        <v>1614.9</v>
      </c>
      <c r="S33" s="188">
        <f t="shared" si="9"/>
        <v>5948.94</v>
      </c>
      <c r="T33" s="188">
        <f t="shared" si="10"/>
        <v>0</v>
      </c>
      <c r="V33" s="188" t="str">
        <f t="shared" si="11"/>
        <v>Capacity Electric</v>
      </c>
      <c r="W33" s="188" t="str">
        <f t="shared" si="12"/>
        <v>E369 DST Services</v>
      </c>
      <c r="X33" s="188" t="str">
        <f t="shared" si="1"/>
        <v>Programmatic</v>
      </c>
      <c r="Y33" s="188" t="str">
        <f t="shared" si="13"/>
        <v>101-E369</v>
      </c>
      <c r="Z33" s="188">
        <f t="shared" si="14"/>
        <v>0</v>
      </c>
      <c r="AA33" s="188">
        <f t="shared" si="15"/>
        <v>0</v>
      </c>
      <c r="AB33" s="188">
        <f t="shared" si="16"/>
        <v>0</v>
      </c>
      <c r="AC33" s="188">
        <f t="shared" si="17"/>
        <v>0</v>
      </c>
      <c r="AD33" s="188">
        <f t="shared" si="18"/>
        <v>0</v>
      </c>
      <c r="AE33" s="183">
        <f t="shared" si="19"/>
        <v>0</v>
      </c>
    </row>
    <row r="34" spans="1:31" x14ac:dyDescent="0.25">
      <c r="A34" s="188" t="s">
        <v>2</v>
      </c>
      <c r="B34" s="188" t="s">
        <v>372</v>
      </c>
      <c r="C34" s="188" t="s">
        <v>160</v>
      </c>
      <c r="D34" s="188" t="str">
        <f t="shared" si="2"/>
        <v>101-E397</v>
      </c>
      <c r="E34" s="188">
        <v>0</v>
      </c>
      <c r="F34" s="188">
        <v>5912.28</v>
      </c>
      <c r="G34" s="188">
        <v>5912.28</v>
      </c>
      <c r="H34" s="188">
        <v>25125.15</v>
      </c>
      <c r="I34" s="188">
        <v>0</v>
      </c>
      <c r="J34" s="183">
        <v>0</v>
      </c>
      <c r="L34" s="188" t="str">
        <f t="shared" si="3"/>
        <v>Capacity Electric</v>
      </c>
      <c r="M34" s="188" t="str">
        <f t="shared" si="4"/>
        <v>E3970 GEN Comm Equip, new</v>
      </c>
      <c r="N34" s="188" t="str">
        <f t="shared" si="0"/>
        <v>Programmatic</v>
      </c>
      <c r="O34" s="188" t="str">
        <f t="shared" si="5"/>
        <v>101-E397</v>
      </c>
      <c r="P34" s="188">
        <f t="shared" si="6"/>
        <v>0</v>
      </c>
      <c r="Q34" s="188">
        <f t="shared" si="7"/>
        <v>5912.28</v>
      </c>
      <c r="R34" s="188">
        <f t="shared" si="8"/>
        <v>5912.28</v>
      </c>
      <c r="S34" s="188">
        <f t="shared" si="9"/>
        <v>25125.15</v>
      </c>
      <c r="T34" s="188">
        <f t="shared" si="10"/>
        <v>0</v>
      </c>
      <c r="V34" s="188" t="str">
        <f t="shared" si="11"/>
        <v>Capacity Electric</v>
      </c>
      <c r="W34" s="188" t="str">
        <f t="shared" si="12"/>
        <v>E3970 GEN Comm Equip, new</v>
      </c>
      <c r="X34" s="188" t="str">
        <f t="shared" si="1"/>
        <v>Programmatic</v>
      </c>
      <c r="Y34" s="188" t="str">
        <f t="shared" si="13"/>
        <v>101-E397</v>
      </c>
      <c r="Z34" s="188">
        <f t="shared" si="14"/>
        <v>0</v>
      </c>
      <c r="AA34" s="188">
        <f t="shared" si="15"/>
        <v>0</v>
      </c>
      <c r="AB34" s="188">
        <f t="shared" si="16"/>
        <v>0</v>
      </c>
      <c r="AC34" s="188">
        <f t="shared" si="17"/>
        <v>0</v>
      </c>
      <c r="AD34" s="188">
        <f t="shared" si="18"/>
        <v>0</v>
      </c>
      <c r="AE34" s="183">
        <f t="shared" si="19"/>
        <v>0</v>
      </c>
    </row>
    <row r="35" spans="1:31" x14ac:dyDescent="0.25">
      <c r="A35" s="188" t="s">
        <v>3</v>
      </c>
      <c r="B35" s="188" t="s">
        <v>351</v>
      </c>
      <c r="C35" s="188" t="s">
        <v>160</v>
      </c>
      <c r="D35" s="188" t="str">
        <f t="shared" si="2"/>
        <v>101-G376</v>
      </c>
      <c r="E35" s="188">
        <v>0</v>
      </c>
      <c r="F35" s="188">
        <v>4183192.05</v>
      </c>
      <c r="G35" s="188">
        <v>6475806.5599999996</v>
      </c>
      <c r="H35" s="188">
        <v>22286106.800000001</v>
      </c>
      <c r="I35" s="188">
        <v>0</v>
      </c>
      <c r="J35" s="183">
        <v>0</v>
      </c>
      <c r="L35" s="188" t="str">
        <f t="shared" si="3"/>
        <v>Capacity Gas</v>
      </c>
      <c r="M35" s="188" t="str">
        <f t="shared" si="4"/>
        <v>G3762 DST Mains, Plastic</v>
      </c>
      <c r="N35" s="188" t="str">
        <f t="shared" si="0"/>
        <v>Programmatic</v>
      </c>
      <c r="O35" s="188" t="str">
        <f t="shared" si="5"/>
        <v>101-G376</v>
      </c>
      <c r="P35" s="188">
        <f t="shared" si="6"/>
        <v>0</v>
      </c>
      <c r="Q35" s="188">
        <f t="shared" si="7"/>
        <v>0</v>
      </c>
      <c r="R35" s="188">
        <f t="shared" si="8"/>
        <v>0</v>
      </c>
      <c r="S35" s="188">
        <f t="shared" si="9"/>
        <v>0</v>
      </c>
      <c r="T35" s="188">
        <f t="shared" si="10"/>
        <v>0</v>
      </c>
      <c r="V35" s="188" t="str">
        <f t="shared" si="11"/>
        <v>Capacity Gas</v>
      </c>
      <c r="W35" s="188" t="str">
        <f t="shared" si="12"/>
        <v>G3762 DST Mains, Plastic</v>
      </c>
      <c r="X35" s="188" t="str">
        <f t="shared" si="1"/>
        <v>Programmatic</v>
      </c>
      <c r="Y35" s="188" t="str">
        <f t="shared" si="13"/>
        <v>101-G376</v>
      </c>
      <c r="Z35" s="188">
        <f t="shared" si="14"/>
        <v>0</v>
      </c>
      <c r="AA35" s="188">
        <f t="shared" si="15"/>
        <v>4183192.05</v>
      </c>
      <c r="AB35" s="188">
        <f t="shared" si="16"/>
        <v>6475806.5599999996</v>
      </c>
      <c r="AC35" s="188">
        <f t="shared" si="17"/>
        <v>22286106.800000001</v>
      </c>
      <c r="AD35" s="188">
        <f t="shared" si="18"/>
        <v>0</v>
      </c>
      <c r="AE35" s="183">
        <f t="shared" si="19"/>
        <v>0</v>
      </c>
    </row>
    <row r="36" spans="1:31" x14ac:dyDescent="0.25">
      <c r="A36" s="188" t="s">
        <v>3</v>
      </c>
      <c r="B36" s="188" t="s">
        <v>350</v>
      </c>
      <c r="C36" s="188" t="s">
        <v>160</v>
      </c>
      <c r="D36" s="188" t="str">
        <f t="shared" si="2"/>
        <v>101-G376</v>
      </c>
      <c r="E36" s="188">
        <v>0</v>
      </c>
      <c r="F36" s="188">
        <v>2334.6</v>
      </c>
      <c r="G36" s="188">
        <v>3614.1</v>
      </c>
      <c r="H36" s="188">
        <v>12437.88</v>
      </c>
      <c r="I36" s="188">
        <v>0</v>
      </c>
      <c r="J36" s="183">
        <v>0</v>
      </c>
      <c r="L36" s="188" t="str">
        <f t="shared" si="3"/>
        <v>Capacity Gas</v>
      </c>
      <c r="M36" s="188" t="str">
        <f t="shared" si="4"/>
        <v>G3764 DST Mains, Wrapped Steel</v>
      </c>
      <c r="N36" s="188" t="str">
        <f t="shared" si="0"/>
        <v>Programmatic</v>
      </c>
      <c r="O36" s="188" t="str">
        <f t="shared" si="5"/>
        <v>101-G376</v>
      </c>
      <c r="P36" s="188">
        <f t="shared" si="6"/>
        <v>0</v>
      </c>
      <c r="Q36" s="188">
        <f t="shared" si="7"/>
        <v>0</v>
      </c>
      <c r="R36" s="188">
        <f t="shared" si="8"/>
        <v>0</v>
      </c>
      <c r="S36" s="188">
        <f t="shared" si="9"/>
        <v>0</v>
      </c>
      <c r="T36" s="188">
        <f t="shared" si="10"/>
        <v>0</v>
      </c>
      <c r="V36" s="188" t="str">
        <f t="shared" si="11"/>
        <v>Capacity Gas</v>
      </c>
      <c r="W36" s="188" t="str">
        <f t="shared" si="12"/>
        <v>G3764 DST Mains, Wrapped Steel</v>
      </c>
      <c r="X36" s="188" t="str">
        <f t="shared" si="1"/>
        <v>Programmatic</v>
      </c>
      <c r="Y36" s="188" t="str">
        <f t="shared" si="13"/>
        <v>101-G376</v>
      </c>
      <c r="Z36" s="188">
        <f t="shared" si="14"/>
        <v>0</v>
      </c>
      <c r="AA36" s="188">
        <f t="shared" si="15"/>
        <v>2334.6</v>
      </c>
      <c r="AB36" s="188">
        <f t="shared" si="16"/>
        <v>3614.1</v>
      </c>
      <c r="AC36" s="188">
        <f t="shared" si="17"/>
        <v>12437.88</v>
      </c>
      <c r="AD36" s="188">
        <f t="shared" si="18"/>
        <v>0</v>
      </c>
      <c r="AE36" s="183">
        <f t="shared" si="19"/>
        <v>0</v>
      </c>
    </row>
    <row r="37" spans="1:31" x14ac:dyDescent="0.25">
      <c r="A37" s="188" t="s">
        <v>3</v>
      </c>
      <c r="B37" s="188" t="s">
        <v>349</v>
      </c>
      <c r="C37" s="188" t="s">
        <v>160</v>
      </c>
      <c r="D37" s="188" t="str">
        <f t="shared" si="2"/>
        <v>101-G376</v>
      </c>
      <c r="E37" s="188">
        <v>0</v>
      </c>
      <c r="F37" s="188">
        <v>28888.68</v>
      </c>
      <c r="G37" s="188">
        <v>43333.01</v>
      </c>
      <c r="H37" s="188">
        <v>72221.69</v>
      </c>
      <c r="I37" s="188">
        <v>0</v>
      </c>
      <c r="J37" s="183">
        <v>0</v>
      </c>
      <c r="L37" s="188" t="str">
        <f t="shared" si="3"/>
        <v>Capacity Gas</v>
      </c>
      <c r="M37" s="188" t="str">
        <f t="shared" si="4"/>
        <v>G3765 DST Mains, Cathodic Protectio</v>
      </c>
      <c r="N37" s="188" t="str">
        <f t="shared" si="0"/>
        <v>Programmatic</v>
      </c>
      <c r="O37" s="188" t="str">
        <f t="shared" si="5"/>
        <v>101-G376</v>
      </c>
      <c r="P37" s="188">
        <f t="shared" si="6"/>
        <v>0</v>
      </c>
      <c r="Q37" s="188">
        <f t="shared" si="7"/>
        <v>0</v>
      </c>
      <c r="R37" s="188">
        <f t="shared" si="8"/>
        <v>0</v>
      </c>
      <c r="S37" s="188">
        <f t="shared" si="9"/>
        <v>0</v>
      </c>
      <c r="T37" s="188">
        <f t="shared" si="10"/>
        <v>0</v>
      </c>
      <c r="V37" s="188" t="str">
        <f t="shared" si="11"/>
        <v>Capacity Gas</v>
      </c>
      <c r="W37" s="188" t="str">
        <f t="shared" si="12"/>
        <v>G3765 DST Mains, Cathodic Protectio</v>
      </c>
      <c r="X37" s="188" t="str">
        <f t="shared" si="1"/>
        <v>Programmatic</v>
      </c>
      <c r="Y37" s="188" t="str">
        <f t="shared" si="13"/>
        <v>101-G376</v>
      </c>
      <c r="Z37" s="188">
        <f t="shared" si="14"/>
        <v>0</v>
      </c>
      <c r="AA37" s="188">
        <f t="shared" si="15"/>
        <v>28888.68</v>
      </c>
      <c r="AB37" s="188">
        <f t="shared" si="16"/>
        <v>43333.01</v>
      </c>
      <c r="AC37" s="188">
        <f t="shared" si="17"/>
        <v>72221.69</v>
      </c>
      <c r="AD37" s="188">
        <f t="shared" si="18"/>
        <v>0</v>
      </c>
      <c r="AE37" s="183">
        <f t="shared" si="19"/>
        <v>0</v>
      </c>
    </row>
    <row r="38" spans="1:31" x14ac:dyDescent="0.25">
      <c r="A38" s="188" t="s">
        <v>3</v>
      </c>
      <c r="B38" s="188" t="s">
        <v>348</v>
      </c>
      <c r="C38" s="188" t="s">
        <v>160</v>
      </c>
      <c r="D38" s="188" t="str">
        <f t="shared" si="2"/>
        <v>101-G378</v>
      </c>
      <c r="E38" s="188">
        <v>0</v>
      </c>
      <c r="F38" s="188">
        <v>698766.02</v>
      </c>
      <c r="G38" s="188">
        <v>1209670.8600000001</v>
      </c>
      <c r="H38" s="188">
        <v>12097280.060000001</v>
      </c>
      <c r="I38" s="188">
        <v>0</v>
      </c>
      <c r="J38" s="183">
        <v>0</v>
      </c>
      <c r="L38" s="188" t="str">
        <f t="shared" si="3"/>
        <v>Capacity Gas</v>
      </c>
      <c r="M38" s="188" t="str">
        <f t="shared" si="4"/>
        <v>G3780 DST Measuring &amp; Reg Station</v>
      </c>
      <c r="N38" s="188" t="str">
        <f t="shared" si="0"/>
        <v>Programmatic</v>
      </c>
      <c r="O38" s="188" t="str">
        <f t="shared" si="5"/>
        <v>101-G378</v>
      </c>
      <c r="P38" s="188">
        <f t="shared" si="6"/>
        <v>0</v>
      </c>
      <c r="Q38" s="188">
        <f t="shared" si="7"/>
        <v>0</v>
      </c>
      <c r="R38" s="188">
        <f t="shared" si="8"/>
        <v>0</v>
      </c>
      <c r="S38" s="188">
        <f t="shared" si="9"/>
        <v>0</v>
      </c>
      <c r="T38" s="188">
        <f t="shared" si="10"/>
        <v>0</v>
      </c>
      <c r="V38" s="188" t="str">
        <f t="shared" si="11"/>
        <v>Capacity Gas</v>
      </c>
      <c r="W38" s="188" t="str">
        <f t="shared" si="12"/>
        <v>G3780 DST Measuring &amp; Reg Station</v>
      </c>
      <c r="X38" s="188" t="str">
        <f t="shared" si="1"/>
        <v>Programmatic</v>
      </c>
      <c r="Y38" s="188" t="str">
        <f t="shared" si="13"/>
        <v>101-G378</v>
      </c>
      <c r="Z38" s="188">
        <f t="shared" si="14"/>
        <v>0</v>
      </c>
      <c r="AA38" s="188">
        <f t="shared" si="15"/>
        <v>698766.02</v>
      </c>
      <c r="AB38" s="188">
        <f t="shared" si="16"/>
        <v>1209670.8600000001</v>
      </c>
      <c r="AC38" s="188">
        <f t="shared" si="17"/>
        <v>12097280.060000001</v>
      </c>
      <c r="AD38" s="188">
        <f t="shared" si="18"/>
        <v>0</v>
      </c>
      <c r="AE38" s="183">
        <f t="shared" si="19"/>
        <v>0</v>
      </c>
    </row>
    <row r="39" spans="1:31" x14ac:dyDescent="0.25">
      <c r="A39" s="188" t="s">
        <v>3</v>
      </c>
      <c r="B39" s="188" t="s">
        <v>346</v>
      </c>
      <c r="C39" s="188" t="s">
        <v>160</v>
      </c>
      <c r="D39" s="188" t="str">
        <f t="shared" si="2"/>
        <v>101-G380</v>
      </c>
      <c r="E39" s="188">
        <v>0</v>
      </c>
      <c r="F39" s="188">
        <v>-201.27</v>
      </c>
      <c r="G39" s="188">
        <v>-306.26</v>
      </c>
      <c r="H39" s="188">
        <v>-615.72</v>
      </c>
      <c r="I39" s="188">
        <v>0</v>
      </c>
      <c r="J39" s="183">
        <v>0</v>
      </c>
      <c r="L39" s="188" t="str">
        <f t="shared" si="3"/>
        <v>Capacity Gas</v>
      </c>
      <c r="M39" s="188" t="str">
        <f t="shared" si="4"/>
        <v>G3802 DST Services, Plastic</v>
      </c>
      <c r="N39" s="188" t="str">
        <f t="shared" si="0"/>
        <v>Programmatic</v>
      </c>
      <c r="O39" s="188" t="str">
        <f t="shared" si="5"/>
        <v>101-G380</v>
      </c>
      <c r="P39" s="188">
        <f t="shared" si="6"/>
        <v>0</v>
      </c>
      <c r="Q39" s="188">
        <f t="shared" si="7"/>
        <v>0</v>
      </c>
      <c r="R39" s="188">
        <f t="shared" si="8"/>
        <v>0</v>
      </c>
      <c r="S39" s="188">
        <f t="shared" si="9"/>
        <v>0</v>
      </c>
      <c r="T39" s="188">
        <f t="shared" si="10"/>
        <v>0</v>
      </c>
      <c r="V39" s="188" t="str">
        <f t="shared" si="11"/>
        <v>Capacity Gas</v>
      </c>
      <c r="W39" s="188" t="str">
        <f t="shared" si="12"/>
        <v>G3802 DST Services, Plastic</v>
      </c>
      <c r="X39" s="188" t="str">
        <f t="shared" si="1"/>
        <v>Programmatic</v>
      </c>
      <c r="Y39" s="188" t="str">
        <f t="shared" si="13"/>
        <v>101-G380</v>
      </c>
      <c r="Z39" s="188">
        <f t="shared" si="14"/>
        <v>0</v>
      </c>
      <c r="AA39" s="188">
        <f t="shared" si="15"/>
        <v>-201.27</v>
      </c>
      <c r="AB39" s="188">
        <f t="shared" si="16"/>
        <v>-306.26</v>
      </c>
      <c r="AC39" s="188">
        <f t="shared" si="17"/>
        <v>-615.72</v>
      </c>
      <c r="AD39" s="188">
        <f t="shared" si="18"/>
        <v>0</v>
      </c>
      <c r="AE39" s="183">
        <f t="shared" si="19"/>
        <v>0</v>
      </c>
    </row>
    <row r="40" spans="1:31" x14ac:dyDescent="0.25">
      <c r="A40" s="188" t="s">
        <v>3</v>
      </c>
      <c r="B40" s="188" t="s">
        <v>345</v>
      </c>
      <c r="C40" s="188" t="s">
        <v>160</v>
      </c>
      <c r="D40" s="188" t="str">
        <f t="shared" si="2"/>
        <v>101-G380</v>
      </c>
      <c r="E40" s="188">
        <v>0</v>
      </c>
      <c r="F40" s="188">
        <v>19244.75</v>
      </c>
      <c r="G40" s="188">
        <v>29791.95</v>
      </c>
      <c r="H40" s="188">
        <v>102529.22</v>
      </c>
      <c r="I40" s="188">
        <v>0</v>
      </c>
      <c r="J40" s="183">
        <v>0</v>
      </c>
      <c r="L40" s="188" t="str">
        <f t="shared" si="3"/>
        <v>Capacity Gas</v>
      </c>
      <c r="M40" s="188" t="str">
        <f t="shared" si="4"/>
        <v>G3803 DST Services, Steel Wrapped</v>
      </c>
      <c r="N40" s="188" t="str">
        <f t="shared" si="0"/>
        <v>Programmatic</v>
      </c>
      <c r="O40" s="188" t="str">
        <f t="shared" si="5"/>
        <v>101-G380</v>
      </c>
      <c r="P40" s="188">
        <f t="shared" si="6"/>
        <v>0</v>
      </c>
      <c r="Q40" s="188">
        <f t="shared" si="7"/>
        <v>0</v>
      </c>
      <c r="R40" s="188">
        <f t="shared" si="8"/>
        <v>0</v>
      </c>
      <c r="S40" s="188">
        <f t="shared" si="9"/>
        <v>0</v>
      </c>
      <c r="T40" s="188">
        <f t="shared" si="10"/>
        <v>0</v>
      </c>
      <c r="V40" s="188" t="str">
        <f t="shared" si="11"/>
        <v>Capacity Gas</v>
      </c>
      <c r="W40" s="188" t="str">
        <f t="shared" si="12"/>
        <v>G3803 DST Services, Steel Wrapped</v>
      </c>
      <c r="X40" s="188" t="str">
        <f t="shared" si="1"/>
        <v>Programmatic</v>
      </c>
      <c r="Y40" s="188" t="str">
        <f t="shared" si="13"/>
        <v>101-G380</v>
      </c>
      <c r="Z40" s="188">
        <f t="shared" si="14"/>
        <v>0</v>
      </c>
      <c r="AA40" s="188">
        <f t="shared" si="15"/>
        <v>19244.75</v>
      </c>
      <c r="AB40" s="188">
        <f t="shared" si="16"/>
        <v>29791.95</v>
      </c>
      <c r="AC40" s="188">
        <f t="shared" si="17"/>
        <v>102529.22</v>
      </c>
      <c r="AD40" s="188">
        <f t="shared" si="18"/>
        <v>0</v>
      </c>
      <c r="AE40" s="183">
        <f t="shared" si="19"/>
        <v>0</v>
      </c>
    </row>
    <row r="41" spans="1:31" x14ac:dyDescent="0.25">
      <c r="A41" s="188" t="s">
        <v>3</v>
      </c>
      <c r="B41" s="188" t="s">
        <v>335</v>
      </c>
      <c r="C41" s="188" t="s">
        <v>160</v>
      </c>
      <c r="D41" s="188" t="str">
        <f t="shared" si="2"/>
        <v>101-G391</v>
      </c>
      <c r="E41" s="188">
        <v>0</v>
      </c>
      <c r="F41" s="188">
        <v>6529.7</v>
      </c>
      <c r="G41" s="188">
        <v>10108.33</v>
      </c>
      <c r="H41" s="188">
        <v>34787.980000000003</v>
      </c>
      <c r="I41" s="188">
        <v>0</v>
      </c>
      <c r="J41" s="183">
        <v>0</v>
      </c>
      <c r="L41" s="188" t="str">
        <f t="shared" si="3"/>
        <v>Capacity Gas</v>
      </c>
      <c r="M41" s="188" t="str">
        <f t="shared" si="4"/>
        <v>G3912 GEN Computer Eq, new</v>
      </c>
      <c r="N41" s="188" t="str">
        <f t="shared" si="0"/>
        <v>Programmatic</v>
      </c>
      <c r="O41" s="188" t="str">
        <f t="shared" si="5"/>
        <v>101-G391</v>
      </c>
      <c r="P41" s="188">
        <f t="shared" si="6"/>
        <v>0</v>
      </c>
      <c r="Q41" s="188">
        <f t="shared" si="7"/>
        <v>0</v>
      </c>
      <c r="R41" s="188">
        <f t="shared" si="8"/>
        <v>0</v>
      </c>
      <c r="S41" s="188">
        <f t="shared" si="9"/>
        <v>0</v>
      </c>
      <c r="T41" s="188">
        <f t="shared" si="10"/>
        <v>0</v>
      </c>
      <c r="V41" s="188" t="str">
        <f t="shared" si="11"/>
        <v>Capacity Gas</v>
      </c>
      <c r="W41" s="188" t="str">
        <f t="shared" si="12"/>
        <v>G3912 GEN Computer Eq, new</v>
      </c>
      <c r="X41" s="188" t="str">
        <f t="shared" si="1"/>
        <v>Programmatic</v>
      </c>
      <c r="Y41" s="188" t="str">
        <f t="shared" si="13"/>
        <v>101-G391</v>
      </c>
      <c r="Z41" s="188">
        <f t="shared" si="14"/>
        <v>0</v>
      </c>
      <c r="AA41" s="188">
        <f t="shared" si="15"/>
        <v>6529.7</v>
      </c>
      <c r="AB41" s="188">
        <f t="shared" si="16"/>
        <v>10108.33</v>
      </c>
      <c r="AC41" s="188">
        <f t="shared" si="17"/>
        <v>34787.980000000003</v>
      </c>
      <c r="AD41" s="188">
        <f t="shared" si="18"/>
        <v>0</v>
      </c>
      <c r="AE41" s="183">
        <f t="shared" si="19"/>
        <v>0</v>
      </c>
    </row>
    <row r="42" spans="1:31" x14ac:dyDescent="0.25">
      <c r="A42" s="188" t="s">
        <v>4</v>
      </c>
      <c r="B42" s="188" t="s">
        <v>324</v>
      </c>
      <c r="C42" s="188" t="s">
        <v>172</v>
      </c>
      <c r="D42" s="188" t="str">
        <f t="shared" si="2"/>
        <v>101-E355</v>
      </c>
      <c r="E42" s="188">
        <v>0</v>
      </c>
      <c r="F42" s="188">
        <v>-1651.92</v>
      </c>
      <c r="G42" s="188">
        <v>-1955.1</v>
      </c>
      <c r="H42" s="188">
        <v>-2561.46</v>
      </c>
      <c r="I42" s="188">
        <v>0</v>
      </c>
      <c r="J42" s="183">
        <v>0</v>
      </c>
      <c r="L42" s="188" t="str">
        <f t="shared" si="3"/>
        <v>CIAC - Electric</v>
      </c>
      <c r="M42" s="188" t="str">
        <f t="shared" si="4"/>
        <v>E3556 TSM Poles</v>
      </c>
      <c r="N42" s="188" t="str">
        <f t="shared" si="0"/>
        <v>Programmatic Customer Drive</v>
      </c>
      <c r="O42" s="188" t="str">
        <f t="shared" si="5"/>
        <v>101-E355</v>
      </c>
      <c r="P42" s="188">
        <f t="shared" si="6"/>
        <v>0</v>
      </c>
      <c r="Q42" s="188">
        <f t="shared" si="7"/>
        <v>-1651.92</v>
      </c>
      <c r="R42" s="188">
        <f t="shared" si="8"/>
        <v>-1955.1</v>
      </c>
      <c r="S42" s="188">
        <f t="shared" si="9"/>
        <v>-2561.46</v>
      </c>
      <c r="T42" s="188">
        <f t="shared" si="10"/>
        <v>0</v>
      </c>
      <c r="V42" s="188" t="str">
        <f t="shared" si="11"/>
        <v>CIAC - Electric</v>
      </c>
      <c r="W42" s="188" t="str">
        <f t="shared" si="12"/>
        <v>E3556 TSM Poles</v>
      </c>
      <c r="X42" s="188" t="str">
        <f t="shared" si="1"/>
        <v>Programmatic Customer Drive</v>
      </c>
      <c r="Y42" s="188" t="str">
        <f t="shared" si="13"/>
        <v>101-E355</v>
      </c>
      <c r="Z42" s="188">
        <f t="shared" si="14"/>
        <v>0</v>
      </c>
      <c r="AA42" s="188">
        <f t="shared" si="15"/>
        <v>0</v>
      </c>
      <c r="AB42" s="188">
        <f t="shared" si="16"/>
        <v>0</v>
      </c>
      <c r="AC42" s="188">
        <f t="shared" si="17"/>
        <v>0</v>
      </c>
      <c r="AD42" s="188">
        <f t="shared" si="18"/>
        <v>0</v>
      </c>
      <c r="AE42" s="183">
        <f t="shared" si="19"/>
        <v>0</v>
      </c>
    </row>
    <row r="43" spans="1:31" x14ac:dyDescent="0.25">
      <c r="A43" s="188" t="s">
        <v>4</v>
      </c>
      <c r="B43" s="188" t="s">
        <v>318</v>
      </c>
      <c r="C43" s="188" t="s">
        <v>172</v>
      </c>
      <c r="D43" s="188" t="str">
        <f t="shared" si="2"/>
        <v>101-E364</v>
      </c>
      <c r="E43" s="188">
        <v>0</v>
      </c>
      <c r="F43" s="188">
        <v>-360554.64</v>
      </c>
      <c r="G43" s="188">
        <v>-426724.2</v>
      </c>
      <c r="H43" s="188">
        <v>-559063.31999999995</v>
      </c>
      <c r="I43" s="188">
        <v>0</v>
      </c>
      <c r="J43" s="183">
        <v>0</v>
      </c>
      <c r="L43" s="188" t="str">
        <f t="shared" si="3"/>
        <v>CIAC - Electric</v>
      </c>
      <c r="M43" s="188" t="str">
        <f t="shared" si="4"/>
        <v>E3640 DST Poles/Towers/Fixtures</v>
      </c>
      <c r="N43" s="188" t="str">
        <f t="shared" si="0"/>
        <v>Programmatic Customer Drive</v>
      </c>
      <c r="O43" s="188" t="str">
        <f t="shared" si="5"/>
        <v>101-E364</v>
      </c>
      <c r="P43" s="188">
        <f t="shared" si="6"/>
        <v>0</v>
      </c>
      <c r="Q43" s="188">
        <f t="shared" si="7"/>
        <v>-360554.64</v>
      </c>
      <c r="R43" s="188">
        <f t="shared" si="8"/>
        <v>-426724.2</v>
      </c>
      <c r="S43" s="188">
        <f t="shared" si="9"/>
        <v>-559063.31999999995</v>
      </c>
      <c r="T43" s="188">
        <f t="shared" si="10"/>
        <v>0</v>
      </c>
      <c r="V43" s="188" t="str">
        <f t="shared" si="11"/>
        <v>CIAC - Electric</v>
      </c>
      <c r="W43" s="188" t="str">
        <f t="shared" si="12"/>
        <v>E3640 DST Poles/Towers/Fixtures</v>
      </c>
      <c r="X43" s="188" t="str">
        <f t="shared" si="1"/>
        <v>Programmatic Customer Drive</v>
      </c>
      <c r="Y43" s="188" t="str">
        <f t="shared" si="13"/>
        <v>101-E364</v>
      </c>
      <c r="Z43" s="188">
        <f t="shared" si="14"/>
        <v>0</v>
      </c>
      <c r="AA43" s="188">
        <f t="shared" si="15"/>
        <v>0</v>
      </c>
      <c r="AB43" s="188">
        <f t="shared" si="16"/>
        <v>0</v>
      </c>
      <c r="AC43" s="188">
        <f t="shared" si="17"/>
        <v>0</v>
      </c>
      <c r="AD43" s="188">
        <f t="shared" si="18"/>
        <v>0</v>
      </c>
      <c r="AE43" s="183">
        <f t="shared" si="19"/>
        <v>0</v>
      </c>
    </row>
    <row r="44" spans="1:31" x14ac:dyDescent="0.25">
      <c r="A44" s="188" t="s">
        <v>4</v>
      </c>
      <c r="B44" s="188" t="s">
        <v>327</v>
      </c>
      <c r="C44" s="188" t="s">
        <v>172</v>
      </c>
      <c r="D44" s="188" t="str">
        <f t="shared" si="2"/>
        <v>101-E365</v>
      </c>
      <c r="E44" s="188">
        <v>0</v>
      </c>
      <c r="F44" s="188">
        <v>-2052510</v>
      </c>
      <c r="G44" s="188">
        <v>-2429189.7000000002</v>
      </c>
      <c r="H44" s="188">
        <v>-3182549.1</v>
      </c>
      <c r="I44" s="188">
        <v>0</v>
      </c>
      <c r="J44" s="183">
        <v>0</v>
      </c>
      <c r="L44" s="188" t="str">
        <f t="shared" si="3"/>
        <v>CIAC - Electric</v>
      </c>
      <c r="M44" s="188" t="str">
        <f t="shared" si="4"/>
        <v>E3650 DST O/H Conductor/Devices</v>
      </c>
      <c r="N44" s="188" t="str">
        <f t="shared" si="0"/>
        <v>Programmatic Customer Drive</v>
      </c>
      <c r="O44" s="188" t="str">
        <f t="shared" si="5"/>
        <v>101-E365</v>
      </c>
      <c r="P44" s="188">
        <f t="shared" si="6"/>
        <v>0</v>
      </c>
      <c r="Q44" s="188">
        <f t="shared" si="7"/>
        <v>-2052510</v>
      </c>
      <c r="R44" s="188">
        <f t="shared" si="8"/>
        <v>-2429189.7000000002</v>
      </c>
      <c r="S44" s="188">
        <f t="shared" si="9"/>
        <v>-3182549.1</v>
      </c>
      <c r="T44" s="188">
        <f t="shared" si="10"/>
        <v>0</v>
      </c>
      <c r="V44" s="188" t="str">
        <f t="shared" si="11"/>
        <v>CIAC - Electric</v>
      </c>
      <c r="W44" s="188" t="str">
        <f t="shared" si="12"/>
        <v>E3650 DST O/H Conductor/Devices</v>
      </c>
      <c r="X44" s="188" t="str">
        <f t="shared" si="1"/>
        <v>Programmatic Customer Drive</v>
      </c>
      <c r="Y44" s="188" t="str">
        <f t="shared" si="13"/>
        <v>101-E365</v>
      </c>
      <c r="Z44" s="188">
        <f t="shared" si="14"/>
        <v>0</v>
      </c>
      <c r="AA44" s="188">
        <f t="shared" si="15"/>
        <v>0</v>
      </c>
      <c r="AB44" s="188">
        <f t="shared" si="16"/>
        <v>0</v>
      </c>
      <c r="AC44" s="188">
        <f t="shared" si="17"/>
        <v>0</v>
      </c>
      <c r="AD44" s="188">
        <f t="shared" si="18"/>
        <v>0</v>
      </c>
      <c r="AE44" s="183">
        <f t="shared" si="19"/>
        <v>0</v>
      </c>
    </row>
    <row r="45" spans="1:31" x14ac:dyDescent="0.25">
      <c r="A45" s="188" t="s">
        <v>4</v>
      </c>
      <c r="B45" s="188" t="s">
        <v>317</v>
      </c>
      <c r="C45" s="188" t="s">
        <v>172</v>
      </c>
      <c r="D45" s="188" t="str">
        <f t="shared" si="2"/>
        <v>101-E366</v>
      </c>
      <c r="E45" s="188">
        <v>0</v>
      </c>
      <c r="F45" s="188">
        <v>-5716187.2800000003</v>
      </c>
      <c r="G45" s="188">
        <v>-6765230.46</v>
      </c>
      <c r="H45" s="188">
        <v>-8863316.8200000003</v>
      </c>
      <c r="I45" s="188">
        <v>0</v>
      </c>
      <c r="J45" s="183">
        <v>0</v>
      </c>
      <c r="L45" s="188" t="str">
        <f t="shared" si="3"/>
        <v>CIAC - Electric</v>
      </c>
      <c r="M45" s="188" t="str">
        <f t="shared" si="4"/>
        <v>E3660 DST U/G Conduit</v>
      </c>
      <c r="N45" s="188" t="str">
        <f t="shared" si="0"/>
        <v>Programmatic Customer Drive</v>
      </c>
      <c r="O45" s="188" t="str">
        <f t="shared" si="5"/>
        <v>101-E366</v>
      </c>
      <c r="P45" s="188">
        <f t="shared" si="6"/>
        <v>0</v>
      </c>
      <c r="Q45" s="188">
        <f t="shared" si="7"/>
        <v>-5716187.2800000003</v>
      </c>
      <c r="R45" s="188">
        <f t="shared" si="8"/>
        <v>-6765230.46</v>
      </c>
      <c r="S45" s="188">
        <f t="shared" si="9"/>
        <v>-8863316.8200000003</v>
      </c>
      <c r="T45" s="188">
        <f t="shared" si="10"/>
        <v>0</v>
      </c>
      <c r="V45" s="188" t="str">
        <f t="shared" si="11"/>
        <v>CIAC - Electric</v>
      </c>
      <c r="W45" s="188" t="str">
        <f t="shared" si="12"/>
        <v>E3660 DST U/G Conduit</v>
      </c>
      <c r="X45" s="188" t="str">
        <f t="shared" si="1"/>
        <v>Programmatic Customer Drive</v>
      </c>
      <c r="Y45" s="188" t="str">
        <f t="shared" si="13"/>
        <v>101-E366</v>
      </c>
      <c r="Z45" s="188">
        <f t="shared" si="14"/>
        <v>0</v>
      </c>
      <c r="AA45" s="188">
        <f t="shared" si="15"/>
        <v>0</v>
      </c>
      <c r="AB45" s="188">
        <f t="shared" si="16"/>
        <v>0</v>
      </c>
      <c r="AC45" s="188">
        <f t="shared" si="17"/>
        <v>0</v>
      </c>
      <c r="AD45" s="188">
        <f t="shared" si="18"/>
        <v>0</v>
      </c>
      <c r="AE45" s="183">
        <f t="shared" si="19"/>
        <v>0</v>
      </c>
    </row>
    <row r="46" spans="1:31" x14ac:dyDescent="0.25">
      <c r="A46" s="188" t="s">
        <v>4</v>
      </c>
      <c r="B46" s="188" t="s">
        <v>316</v>
      </c>
      <c r="C46" s="188" t="s">
        <v>172</v>
      </c>
      <c r="D46" s="188" t="str">
        <f t="shared" si="2"/>
        <v>101-E367</v>
      </c>
      <c r="E46" s="188">
        <v>0</v>
      </c>
      <c r="F46" s="188">
        <v>-7518526.0800000001</v>
      </c>
      <c r="G46" s="188">
        <v>-8898337.1400000006</v>
      </c>
      <c r="H46" s="188">
        <v>-11657959.26</v>
      </c>
      <c r="I46" s="188">
        <v>0</v>
      </c>
      <c r="J46" s="183">
        <v>0</v>
      </c>
      <c r="L46" s="188" t="str">
        <f t="shared" si="3"/>
        <v>CIAC - Electric</v>
      </c>
      <c r="M46" s="188" t="str">
        <f t="shared" si="4"/>
        <v>E3670 DST U/G Conductor/Devices</v>
      </c>
      <c r="N46" s="188" t="str">
        <f t="shared" si="0"/>
        <v>Programmatic Customer Drive</v>
      </c>
      <c r="O46" s="188" t="str">
        <f t="shared" si="5"/>
        <v>101-E367</v>
      </c>
      <c r="P46" s="188">
        <f t="shared" si="6"/>
        <v>0</v>
      </c>
      <c r="Q46" s="188">
        <f t="shared" si="7"/>
        <v>-7518526.0800000001</v>
      </c>
      <c r="R46" s="188">
        <f t="shared" si="8"/>
        <v>-8898337.1400000006</v>
      </c>
      <c r="S46" s="188">
        <f t="shared" si="9"/>
        <v>-11657959.26</v>
      </c>
      <c r="T46" s="188">
        <f t="shared" si="10"/>
        <v>0</v>
      </c>
      <c r="V46" s="188" t="str">
        <f t="shared" si="11"/>
        <v>CIAC - Electric</v>
      </c>
      <c r="W46" s="188" t="str">
        <f t="shared" si="12"/>
        <v>E3670 DST U/G Conductor/Devices</v>
      </c>
      <c r="X46" s="188" t="str">
        <f t="shared" si="1"/>
        <v>Programmatic Customer Drive</v>
      </c>
      <c r="Y46" s="188" t="str">
        <f t="shared" si="13"/>
        <v>101-E367</v>
      </c>
      <c r="Z46" s="188">
        <f t="shared" si="14"/>
        <v>0</v>
      </c>
      <c r="AA46" s="188">
        <f t="shared" si="15"/>
        <v>0</v>
      </c>
      <c r="AB46" s="188">
        <f t="shared" si="16"/>
        <v>0</v>
      </c>
      <c r="AC46" s="188">
        <f t="shared" si="17"/>
        <v>0</v>
      </c>
      <c r="AD46" s="188">
        <f t="shared" si="18"/>
        <v>0</v>
      </c>
      <c r="AE46" s="183">
        <f t="shared" si="19"/>
        <v>0</v>
      </c>
    </row>
    <row r="47" spans="1:31" x14ac:dyDescent="0.25">
      <c r="A47" s="188" t="s">
        <v>4</v>
      </c>
      <c r="B47" s="188" t="s">
        <v>387</v>
      </c>
      <c r="C47" s="188" t="s">
        <v>172</v>
      </c>
      <c r="D47" s="188" t="str">
        <f t="shared" si="2"/>
        <v>101-E368</v>
      </c>
      <c r="E47" s="188">
        <v>0</v>
      </c>
      <c r="F47" s="188">
        <v>-1691172.84</v>
      </c>
      <c r="G47" s="188">
        <v>-2001539.4</v>
      </c>
      <c r="H47" s="188">
        <v>-2622272.52</v>
      </c>
      <c r="I47" s="188">
        <v>0</v>
      </c>
      <c r="J47" s="183">
        <v>0</v>
      </c>
      <c r="L47" s="188" t="str">
        <f t="shared" si="3"/>
        <v>CIAC - Electric</v>
      </c>
      <c r="M47" s="188" t="str">
        <f t="shared" si="4"/>
        <v>E368 DST Line Transformers</v>
      </c>
      <c r="N47" s="188" t="str">
        <f t="shared" si="0"/>
        <v>Programmatic Customer Drive</v>
      </c>
      <c r="O47" s="188" t="str">
        <f t="shared" si="5"/>
        <v>101-E368</v>
      </c>
      <c r="P47" s="188">
        <f t="shared" si="6"/>
        <v>0</v>
      </c>
      <c r="Q47" s="188">
        <f t="shared" si="7"/>
        <v>-1691172.84</v>
      </c>
      <c r="R47" s="188">
        <f t="shared" si="8"/>
        <v>-2001539.4</v>
      </c>
      <c r="S47" s="188">
        <f t="shared" si="9"/>
        <v>-2622272.52</v>
      </c>
      <c r="T47" s="188">
        <f t="shared" si="10"/>
        <v>0</v>
      </c>
      <c r="V47" s="188" t="str">
        <f t="shared" si="11"/>
        <v>CIAC - Electric</v>
      </c>
      <c r="W47" s="188" t="str">
        <f t="shared" si="12"/>
        <v>E368 DST Line Transformers</v>
      </c>
      <c r="X47" s="188" t="str">
        <f t="shared" si="1"/>
        <v>Programmatic Customer Drive</v>
      </c>
      <c r="Y47" s="188" t="str">
        <f t="shared" si="13"/>
        <v>101-E368</v>
      </c>
      <c r="Z47" s="188">
        <f t="shared" si="14"/>
        <v>0</v>
      </c>
      <c r="AA47" s="188">
        <f t="shared" si="15"/>
        <v>0</v>
      </c>
      <c r="AB47" s="188">
        <f t="shared" si="16"/>
        <v>0</v>
      </c>
      <c r="AC47" s="188">
        <f t="shared" si="17"/>
        <v>0</v>
      </c>
      <c r="AD47" s="188">
        <f t="shared" si="18"/>
        <v>0</v>
      </c>
      <c r="AE47" s="183">
        <f t="shared" si="19"/>
        <v>0</v>
      </c>
    </row>
    <row r="48" spans="1:31" x14ac:dyDescent="0.25">
      <c r="A48" s="188" t="s">
        <v>4</v>
      </c>
      <c r="B48" s="188" t="s">
        <v>385</v>
      </c>
      <c r="C48" s="188" t="s">
        <v>172</v>
      </c>
      <c r="D48" s="188" t="str">
        <f t="shared" si="2"/>
        <v>101-E370</v>
      </c>
      <c r="E48" s="188">
        <v>0</v>
      </c>
      <c r="F48" s="188">
        <v>-47036.4</v>
      </c>
      <c r="G48" s="188">
        <v>-55668.6</v>
      </c>
      <c r="H48" s="188">
        <v>-72933</v>
      </c>
      <c r="I48" s="188">
        <v>0</v>
      </c>
      <c r="J48" s="183">
        <v>0</v>
      </c>
      <c r="L48" s="188" t="str">
        <f t="shared" si="3"/>
        <v>CIAC - Electric</v>
      </c>
      <c r="M48" s="188" t="str">
        <f t="shared" si="4"/>
        <v>E3701 DST Meters AMI</v>
      </c>
      <c r="N48" s="188" t="str">
        <f t="shared" si="0"/>
        <v>Programmatic Customer Drive</v>
      </c>
      <c r="O48" s="188" t="str">
        <f t="shared" si="5"/>
        <v>101-E370</v>
      </c>
      <c r="P48" s="188">
        <f t="shared" si="6"/>
        <v>0</v>
      </c>
      <c r="Q48" s="188">
        <f t="shared" si="7"/>
        <v>-47036.4</v>
      </c>
      <c r="R48" s="188">
        <f t="shared" si="8"/>
        <v>-55668.6</v>
      </c>
      <c r="S48" s="188">
        <f t="shared" si="9"/>
        <v>-72933</v>
      </c>
      <c r="T48" s="188">
        <f t="shared" si="10"/>
        <v>0</v>
      </c>
      <c r="V48" s="188" t="str">
        <f t="shared" si="11"/>
        <v>CIAC - Electric</v>
      </c>
      <c r="W48" s="188" t="str">
        <f t="shared" si="12"/>
        <v>E3701 DST Meters AMI</v>
      </c>
      <c r="X48" s="188" t="str">
        <f t="shared" si="1"/>
        <v>Programmatic Customer Drive</v>
      </c>
      <c r="Y48" s="188" t="str">
        <f t="shared" si="13"/>
        <v>101-E370</v>
      </c>
      <c r="Z48" s="188">
        <f t="shared" si="14"/>
        <v>0</v>
      </c>
      <c r="AA48" s="188">
        <f t="shared" si="15"/>
        <v>0</v>
      </c>
      <c r="AB48" s="188">
        <f t="shared" si="16"/>
        <v>0</v>
      </c>
      <c r="AC48" s="188">
        <f t="shared" si="17"/>
        <v>0</v>
      </c>
      <c r="AD48" s="188">
        <f t="shared" si="18"/>
        <v>0</v>
      </c>
      <c r="AE48" s="183">
        <f t="shared" si="19"/>
        <v>0</v>
      </c>
    </row>
    <row r="49" spans="1:31" x14ac:dyDescent="0.25">
      <c r="A49" s="188" t="s">
        <v>4</v>
      </c>
      <c r="B49" s="188" t="s">
        <v>383</v>
      </c>
      <c r="C49" s="188" t="s">
        <v>172</v>
      </c>
      <c r="D49" s="188" t="str">
        <f t="shared" si="2"/>
        <v>101-E373</v>
      </c>
      <c r="E49" s="188">
        <v>0</v>
      </c>
      <c r="F49" s="188">
        <v>-1060.68</v>
      </c>
      <c r="G49" s="188">
        <v>-1255.31</v>
      </c>
      <c r="H49" s="188">
        <v>-1644.59</v>
      </c>
      <c r="I49" s="188">
        <v>0</v>
      </c>
      <c r="J49" s="183">
        <v>0</v>
      </c>
      <c r="L49" s="188" t="str">
        <f t="shared" si="3"/>
        <v>CIAC - Electric</v>
      </c>
      <c r="M49" s="188" t="str">
        <f t="shared" si="4"/>
        <v>E373 DST Street Lighting &amp; Signal</v>
      </c>
      <c r="N49" s="188" t="str">
        <f t="shared" si="0"/>
        <v>Programmatic Customer Drive</v>
      </c>
      <c r="O49" s="188" t="str">
        <f t="shared" si="5"/>
        <v>101-E373</v>
      </c>
      <c r="P49" s="188">
        <f t="shared" si="6"/>
        <v>0</v>
      </c>
      <c r="Q49" s="188">
        <f t="shared" si="7"/>
        <v>-1060.68</v>
      </c>
      <c r="R49" s="188">
        <f t="shared" si="8"/>
        <v>-1255.31</v>
      </c>
      <c r="S49" s="188">
        <f t="shared" si="9"/>
        <v>-1644.59</v>
      </c>
      <c r="T49" s="188">
        <f t="shared" si="10"/>
        <v>0</v>
      </c>
      <c r="V49" s="188" t="str">
        <f t="shared" si="11"/>
        <v>CIAC - Electric</v>
      </c>
      <c r="W49" s="188" t="str">
        <f t="shared" si="12"/>
        <v>E373 DST Street Lighting &amp; Signal</v>
      </c>
      <c r="X49" s="188" t="str">
        <f t="shared" si="1"/>
        <v>Programmatic Customer Drive</v>
      </c>
      <c r="Y49" s="188" t="str">
        <f t="shared" si="13"/>
        <v>101-E373</v>
      </c>
      <c r="Z49" s="188">
        <f t="shared" si="14"/>
        <v>0</v>
      </c>
      <c r="AA49" s="188">
        <f t="shared" si="15"/>
        <v>0</v>
      </c>
      <c r="AB49" s="188">
        <f t="shared" si="16"/>
        <v>0</v>
      </c>
      <c r="AC49" s="188">
        <f t="shared" si="17"/>
        <v>0</v>
      </c>
      <c r="AD49" s="188">
        <f t="shared" si="18"/>
        <v>0</v>
      </c>
      <c r="AE49" s="183">
        <f t="shared" si="19"/>
        <v>0</v>
      </c>
    </row>
    <row r="50" spans="1:31" x14ac:dyDescent="0.25">
      <c r="A50" s="188" t="s">
        <v>5</v>
      </c>
      <c r="B50" s="188" t="s">
        <v>351</v>
      </c>
      <c r="C50" s="188" t="s">
        <v>172</v>
      </c>
      <c r="D50" s="188" t="str">
        <f t="shared" si="2"/>
        <v>101-G376</v>
      </c>
      <c r="E50" s="188">
        <v>0</v>
      </c>
      <c r="F50" s="188">
        <v>-1392404.88</v>
      </c>
      <c r="G50" s="188">
        <v>-2743578.96</v>
      </c>
      <c r="H50" s="188">
        <v>-5445927.1200000001</v>
      </c>
      <c r="I50" s="188">
        <v>0</v>
      </c>
      <c r="J50" s="183">
        <v>0</v>
      </c>
      <c r="L50" s="188" t="str">
        <f t="shared" si="3"/>
        <v>CIAC - Gas</v>
      </c>
      <c r="M50" s="188" t="str">
        <f t="shared" si="4"/>
        <v>G3762 DST Mains, Plastic</v>
      </c>
      <c r="N50" s="188" t="str">
        <f t="shared" si="0"/>
        <v>Programmatic Customer Drive</v>
      </c>
      <c r="O50" s="188" t="str">
        <f t="shared" si="5"/>
        <v>101-G376</v>
      </c>
      <c r="P50" s="188">
        <f t="shared" si="6"/>
        <v>0</v>
      </c>
      <c r="Q50" s="188">
        <f t="shared" si="7"/>
        <v>0</v>
      </c>
      <c r="R50" s="188">
        <f t="shared" si="8"/>
        <v>0</v>
      </c>
      <c r="S50" s="188">
        <f t="shared" si="9"/>
        <v>0</v>
      </c>
      <c r="T50" s="188">
        <f t="shared" si="10"/>
        <v>0</v>
      </c>
      <c r="V50" s="188" t="str">
        <f t="shared" si="11"/>
        <v>CIAC - Gas</v>
      </c>
      <c r="W50" s="188" t="str">
        <f t="shared" si="12"/>
        <v>G3762 DST Mains, Plastic</v>
      </c>
      <c r="X50" s="188" t="str">
        <f t="shared" si="1"/>
        <v>Programmatic Customer Drive</v>
      </c>
      <c r="Y50" s="188" t="str">
        <f t="shared" si="13"/>
        <v>101-G376</v>
      </c>
      <c r="Z50" s="188">
        <f t="shared" si="14"/>
        <v>0</v>
      </c>
      <c r="AA50" s="188">
        <f t="shared" si="15"/>
        <v>-1392404.88</v>
      </c>
      <c r="AB50" s="188">
        <f t="shared" si="16"/>
        <v>-2743578.96</v>
      </c>
      <c r="AC50" s="188">
        <f t="shared" si="17"/>
        <v>-5445927.1200000001</v>
      </c>
      <c r="AD50" s="188">
        <f t="shared" si="18"/>
        <v>0</v>
      </c>
      <c r="AE50" s="183">
        <f t="shared" si="19"/>
        <v>0</v>
      </c>
    </row>
    <row r="51" spans="1:31" x14ac:dyDescent="0.25">
      <c r="A51" s="188" t="s">
        <v>5</v>
      </c>
      <c r="B51" s="188" t="s">
        <v>350</v>
      </c>
      <c r="C51" s="188" t="s">
        <v>172</v>
      </c>
      <c r="D51" s="188" t="str">
        <f t="shared" si="2"/>
        <v>101-G376</v>
      </c>
      <c r="E51" s="188">
        <v>0</v>
      </c>
      <c r="F51" s="188">
        <v>-118796.4</v>
      </c>
      <c r="G51" s="188">
        <v>-234075.06</v>
      </c>
      <c r="H51" s="188">
        <v>-464632.38</v>
      </c>
      <c r="I51" s="188">
        <v>0</v>
      </c>
      <c r="J51" s="183">
        <v>0</v>
      </c>
      <c r="L51" s="188" t="str">
        <f t="shared" si="3"/>
        <v>CIAC - Gas</v>
      </c>
      <c r="M51" s="188" t="str">
        <f t="shared" si="4"/>
        <v>G3764 DST Mains, Wrapped Steel</v>
      </c>
      <c r="N51" s="188" t="str">
        <f t="shared" si="0"/>
        <v>Programmatic Customer Drive</v>
      </c>
      <c r="O51" s="188" t="str">
        <f t="shared" si="5"/>
        <v>101-G376</v>
      </c>
      <c r="P51" s="188">
        <f t="shared" si="6"/>
        <v>0</v>
      </c>
      <c r="Q51" s="188">
        <f t="shared" si="7"/>
        <v>0</v>
      </c>
      <c r="R51" s="188">
        <f t="shared" si="8"/>
        <v>0</v>
      </c>
      <c r="S51" s="188">
        <f t="shared" si="9"/>
        <v>0</v>
      </c>
      <c r="T51" s="188">
        <f t="shared" si="10"/>
        <v>0</v>
      </c>
      <c r="V51" s="188" t="str">
        <f t="shared" si="11"/>
        <v>CIAC - Gas</v>
      </c>
      <c r="W51" s="188" t="str">
        <f t="shared" si="12"/>
        <v>G3764 DST Mains, Wrapped Steel</v>
      </c>
      <c r="X51" s="188" t="str">
        <f t="shared" si="1"/>
        <v>Programmatic Customer Drive</v>
      </c>
      <c r="Y51" s="188" t="str">
        <f t="shared" si="13"/>
        <v>101-G376</v>
      </c>
      <c r="Z51" s="188">
        <f t="shared" si="14"/>
        <v>0</v>
      </c>
      <c r="AA51" s="188">
        <f t="shared" si="15"/>
        <v>-118796.4</v>
      </c>
      <c r="AB51" s="188">
        <f t="shared" si="16"/>
        <v>-234075.06</v>
      </c>
      <c r="AC51" s="188">
        <f t="shared" si="17"/>
        <v>-464632.38</v>
      </c>
      <c r="AD51" s="188">
        <f t="shared" si="18"/>
        <v>0</v>
      </c>
      <c r="AE51" s="183">
        <f t="shared" si="19"/>
        <v>0</v>
      </c>
    </row>
    <row r="52" spans="1:31" x14ac:dyDescent="0.25">
      <c r="A52" s="188" t="s">
        <v>5</v>
      </c>
      <c r="B52" s="188" t="s">
        <v>348</v>
      </c>
      <c r="C52" s="188" t="s">
        <v>172</v>
      </c>
      <c r="D52" s="188" t="str">
        <f t="shared" si="2"/>
        <v>101-G378</v>
      </c>
      <c r="E52" s="188">
        <v>0</v>
      </c>
      <c r="F52" s="188">
        <v>-22727.4</v>
      </c>
      <c r="G52" s="188">
        <v>-44781.84</v>
      </c>
      <c r="H52" s="188">
        <v>-88890.72</v>
      </c>
      <c r="I52" s="188">
        <v>0</v>
      </c>
      <c r="J52" s="183">
        <v>0</v>
      </c>
      <c r="L52" s="188" t="str">
        <f t="shared" si="3"/>
        <v>CIAC - Gas</v>
      </c>
      <c r="M52" s="188" t="str">
        <f t="shared" si="4"/>
        <v>G3780 DST Measuring &amp; Reg Station</v>
      </c>
      <c r="N52" s="188" t="str">
        <f t="shared" si="0"/>
        <v>Programmatic Customer Drive</v>
      </c>
      <c r="O52" s="188" t="str">
        <f t="shared" si="5"/>
        <v>101-G378</v>
      </c>
      <c r="P52" s="188">
        <f t="shared" si="6"/>
        <v>0</v>
      </c>
      <c r="Q52" s="188">
        <f t="shared" si="7"/>
        <v>0</v>
      </c>
      <c r="R52" s="188">
        <f t="shared" si="8"/>
        <v>0</v>
      </c>
      <c r="S52" s="188">
        <f t="shared" si="9"/>
        <v>0</v>
      </c>
      <c r="T52" s="188">
        <f t="shared" si="10"/>
        <v>0</v>
      </c>
      <c r="V52" s="188" t="str">
        <f t="shared" si="11"/>
        <v>CIAC - Gas</v>
      </c>
      <c r="W52" s="188" t="str">
        <f t="shared" si="12"/>
        <v>G3780 DST Measuring &amp; Reg Station</v>
      </c>
      <c r="X52" s="188" t="str">
        <f t="shared" si="1"/>
        <v>Programmatic Customer Drive</v>
      </c>
      <c r="Y52" s="188" t="str">
        <f t="shared" si="13"/>
        <v>101-G378</v>
      </c>
      <c r="Z52" s="188">
        <f t="shared" si="14"/>
        <v>0</v>
      </c>
      <c r="AA52" s="188">
        <f t="shared" si="15"/>
        <v>-22727.4</v>
      </c>
      <c r="AB52" s="188">
        <f t="shared" si="16"/>
        <v>-44781.84</v>
      </c>
      <c r="AC52" s="188">
        <f t="shared" si="17"/>
        <v>-88890.72</v>
      </c>
      <c r="AD52" s="188">
        <f t="shared" si="18"/>
        <v>0</v>
      </c>
      <c r="AE52" s="183">
        <f t="shared" si="19"/>
        <v>0</v>
      </c>
    </row>
    <row r="53" spans="1:31" x14ac:dyDescent="0.25">
      <c r="A53" s="188" t="s">
        <v>5</v>
      </c>
      <c r="B53" s="188" t="s">
        <v>346</v>
      </c>
      <c r="C53" s="188" t="s">
        <v>172</v>
      </c>
      <c r="D53" s="188" t="str">
        <f t="shared" si="2"/>
        <v>101-G380</v>
      </c>
      <c r="E53" s="188">
        <v>0</v>
      </c>
      <c r="F53" s="188">
        <v>-9357</v>
      </c>
      <c r="G53" s="188">
        <v>-18436.91</v>
      </c>
      <c r="H53" s="188">
        <v>-36596.75</v>
      </c>
      <c r="I53" s="188">
        <v>0</v>
      </c>
      <c r="J53" s="183">
        <v>0</v>
      </c>
      <c r="L53" s="188" t="str">
        <f t="shared" si="3"/>
        <v>CIAC - Gas</v>
      </c>
      <c r="M53" s="188" t="str">
        <f t="shared" si="4"/>
        <v>G3802 DST Services, Plastic</v>
      </c>
      <c r="N53" s="188" t="str">
        <f t="shared" si="0"/>
        <v>Programmatic Customer Drive</v>
      </c>
      <c r="O53" s="188" t="str">
        <f t="shared" si="5"/>
        <v>101-G380</v>
      </c>
      <c r="P53" s="188">
        <f t="shared" si="6"/>
        <v>0</v>
      </c>
      <c r="Q53" s="188">
        <f t="shared" si="7"/>
        <v>0</v>
      </c>
      <c r="R53" s="188">
        <f t="shared" si="8"/>
        <v>0</v>
      </c>
      <c r="S53" s="188">
        <f t="shared" si="9"/>
        <v>0</v>
      </c>
      <c r="T53" s="188">
        <f t="shared" si="10"/>
        <v>0</v>
      </c>
      <c r="V53" s="188" t="str">
        <f t="shared" si="11"/>
        <v>CIAC - Gas</v>
      </c>
      <c r="W53" s="188" t="str">
        <f t="shared" si="12"/>
        <v>G3802 DST Services, Plastic</v>
      </c>
      <c r="X53" s="188" t="str">
        <f t="shared" si="1"/>
        <v>Programmatic Customer Drive</v>
      </c>
      <c r="Y53" s="188" t="str">
        <f t="shared" si="13"/>
        <v>101-G380</v>
      </c>
      <c r="Z53" s="188">
        <f t="shared" si="14"/>
        <v>0</v>
      </c>
      <c r="AA53" s="188">
        <f t="shared" si="15"/>
        <v>-9357</v>
      </c>
      <c r="AB53" s="188">
        <f t="shared" si="16"/>
        <v>-18436.91</v>
      </c>
      <c r="AC53" s="188">
        <f t="shared" si="17"/>
        <v>-36596.75</v>
      </c>
      <c r="AD53" s="188">
        <f t="shared" si="18"/>
        <v>0</v>
      </c>
      <c r="AE53" s="183">
        <f t="shared" si="19"/>
        <v>0</v>
      </c>
    </row>
    <row r="54" spans="1:31" x14ac:dyDescent="0.25">
      <c r="A54" s="188" t="s">
        <v>5</v>
      </c>
      <c r="B54" s="188" t="s">
        <v>338</v>
      </c>
      <c r="C54" s="188" t="s">
        <v>172</v>
      </c>
      <c r="D54" s="188" t="str">
        <f t="shared" si="2"/>
        <v>101-G385</v>
      </c>
      <c r="E54" s="188">
        <v>0</v>
      </c>
      <c r="F54" s="188">
        <v>-5114.3999999999996</v>
      </c>
      <c r="G54" s="188">
        <v>-10077.290000000001</v>
      </c>
      <c r="H54" s="188">
        <v>-20003.09</v>
      </c>
      <c r="I54" s="188">
        <v>0</v>
      </c>
      <c r="J54" s="183">
        <v>0</v>
      </c>
      <c r="L54" s="188" t="str">
        <f t="shared" si="3"/>
        <v>CIAC - Gas</v>
      </c>
      <c r="M54" s="188" t="str">
        <f t="shared" si="4"/>
        <v>G385 DST Industrial M&amp;R Sta Eq</v>
      </c>
      <c r="N54" s="188" t="str">
        <f t="shared" si="0"/>
        <v>Programmatic Customer Drive</v>
      </c>
      <c r="O54" s="188" t="str">
        <f t="shared" si="5"/>
        <v>101-G385</v>
      </c>
      <c r="P54" s="188">
        <f t="shared" si="6"/>
        <v>0</v>
      </c>
      <c r="Q54" s="188">
        <f t="shared" si="7"/>
        <v>0</v>
      </c>
      <c r="R54" s="188">
        <f t="shared" si="8"/>
        <v>0</v>
      </c>
      <c r="S54" s="188">
        <f t="shared" si="9"/>
        <v>0</v>
      </c>
      <c r="T54" s="188">
        <f t="shared" si="10"/>
        <v>0</v>
      </c>
      <c r="V54" s="188" t="str">
        <f t="shared" si="11"/>
        <v>CIAC - Gas</v>
      </c>
      <c r="W54" s="188" t="str">
        <f t="shared" si="12"/>
        <v>G385 DST Industrial M&amp;R Sta Eq</v>
      </c>
      <c r="X54" s="188" t="str">
        <f t="shared" si="1"/>
        <v>Programmatic Customer Drive</v>
      </c>
      <c r="Y54" s="188" t="str">
        <f t="shared" si="13"/>
        <v>101-G385</v>
      </c>
      <c r="Z54" s="188">
        <f t="shared" si="14"/>
        <v>0</v>
      </c>
      <c r="AA54" s="188">
        <f t="shared" si="15"/>
        <v>-5114.3999999999996</v>
      </c>
      <c r="AB54" s="188">
        <f t="shared" si="16"/>
        <v>-10077.290000000001</v>
      </c>
      <c r="AC54" s="188">
        <f t="shared" si="17"/>
        <v>-20003.09</v>
      </c>
      <c r="AD54" s="188">
        <f t="shared" si="18"/>
        <v>0</v>
      </c>
      <c r="AE54" s="183">
        <f t="shared" si="19"/>
        <v>0</v>
      </c>
    </row>
    <row r="55" spans="1:31" x14ac:dyDescent="0.25">
      <c r="A55" s="188" t="s">
        <v>217</v>
      </c>
      <c r="B55" s="188" t="s">
        <v>545</v>
      </c>
      <c r="C55" s="188" t="s">
        <v>160</v>
      </c>
      <c r="D55" s="188" t="str">
        <f t="shared" si="2"/>
        <v>101-E311</v>
      </c>
      <c r="E55" s="188">
        <v>0</v>
      </c>
      <c r="F55" s="188">
        <v>30045.119999999999</v>
      </c>
      <c r="G55" s="188">
        <v>99285.06</v>
      </c>
      <c r="H55" s="188">
        <v>487300.99</v>
      </c>
      <c r="I55" s="188">
        <v>0</v>
      </c>
      <c r="J55" s="183">
        <v>0</v>
      </c>
      <c r="L55" s="188" t="str">
        <f t="shared" si="3"/>
        <v>Colstrip 3&amp;4</v>
      </c>
      <c r="M55" s="188" t="str">
        <f t="shared" si="4"/>
        <v>E311 STM Str/Impv, Colstrip 3</v>
      </c>
      <c r="N55" s="188" t="str">
        <f t="shared" si="0"/>
        <v>Programmatic</v>
      </c>
      <c r="O55" s="188" t="str">
        <f t="shared" si="5"/>
        <v>101-E311</v>
      </c>
      <c r="P55" s="188">
        <f t="shared" si="6"/>
        <v>0</v>
      </c>
      <c r="Q55" s="188">
        <f t="shared" si="7"/>
        <v>30045.119999999999</v>
      </c>
      <c r="R55" s="188">
        <f t="shared" si="8"/>
        <v>99285.06</v>
      </c>
      <c r="S55" s="188">
        <f t="shared" si="9"/>
        <v>487300.99</v>
      </c>
      <c r="T55" s="188">
        <f t="shared" si="10"/>
        <v>0</v>
      </c>
      <c r="V55" s="188" t="str">
        <f t="shared" si="11"/>
        <v>Colstrip 3&amp;4</v>
      </c>
      <c r="W55" s="188" t="str">
        <f t="shared" si="12"/>
        <v>E311 STM Str/Impv, Colstrip 3</v>
      </c>
      <c r="X55" s="188" t="str">
        <f t="shared" si="1"/>
        <v>Programmatic</v>
      </c>
      <c r="Y55" s="188" t="str">
        <f t="shared" si="13"/>
        <v>101-E311</v>
      </c>
      <c r="Z55" s="188">
        <f t="shared" si="14"/>
        <v>0</v>
      </c>
      <c r="AA55" s="188">
        <f t="shared" si="15"/>
        <v>0</v>
      </c>
      <c r="AB55" s="188">
        <f t="shared" si="16"/>
        <v>0</v>
      </c>
      <c r="AC55" s="188">
        <f t="shared" si="17"/>
        <v>0</v>
      </c>
      <c r="AD55" s="188">
        <f t="shared" si="18"/>
        <v>0</v>
      </c>
      <c r="AE55" s="183">
        <f t="shared" si="19"/>
        <v>0</v>
      </c>
    </row>
    <row r="56" spans="1:31" x14ac:dyDescent="0.25">
      <c r="A56" s="188" t="s">
        <v>217</v>
      </c>
      <c r="B56" s="188" t="s">
        <v>544</v>
      </c>
      <c r="C56" s="188" t="s">
        <v>160</v>
      </c>
      <c r="D56" s="188" t="str">
        <f t="shared" si="2"/>
        <v>101-E311</v>
      </c>
      <c r="E56" s="188">
        <v>0</v>
      </c>
      <c r="F56" s="188">
        <v>11201.88</v>
      </c>
      <c r="G56" s="188">
        <v>37016.879999999997</v>
      </c>
      <c r="H56" s="188">
        <v>181682.21</v>
      </c>
      <c r="I56" s="188">
        <v>0</v>
      </c>
      <c r="J56" s="183">
        <v>0</v>
      </c>
      <c r="L56" s="188" t="str">
        <f t="shared" si="3"/>
        <v>Colstrip 3&amp;4</v>
      </c>
      <c r="M56" s="188" t="str">
        <f t="shared" si="4"/>
        <v>E311 STM Str/Impv, Colstrip 3-4 Com</v>
      </c>
      <c r="N56" s="188" t="str">
        <f t="shared" si="0"/>
        <v>Programmatic</v>
      </c>
      <c r="O56" s="188" t="str">
        <f t="shared" si="5"/>
        <v>101-E311</v>
      </c>
      <c r="P56" s="188">
        <f t="shared" si="6"/>
        <v>0</v>
      </c>
      <c r="Q56" s="188">
        <f t="shared" si="7"/>
        <v>11201.88</v>
      </c>
      <c r="R56" s="188">
        <f t="shared" si="8"/>
        <v>37016.879999999997</v>
      </c>
      <c r="S56" s="188">
        <f t="shared" si="9"/>
        <v>181682.21</v>
      </c>
      <c r="T56" s="188">
        <f t="shared" si="10"/>
        <v>0</v>
      </c>
      <c r="V56" s="188" t="str">
        <f t="shared" si="11"/>
        <v>Colstrip 3&amp;4</v>
      </c>
      <c r="W56" s="188" t="str">
        <f t="shared" si="12"/>
        <v>E311 STM Str/Impv, Colstrip 3-4 Com</v>
      </c>
      <c r="X56" s="188" t="str">
        <f t="shared" si="1"/>
        <v>Programmatic</v>
      </c>
      <c r="Y56" s="188" t="str">
        <f t="shared" si="13"/>
        <v>101-E311</v>
      </c>
      <c r="Z56" s="188">
        <f t="shared" si="14"/>
        <v>0</v>
      </c>
      <c r="AA56" s="188">
        <f t="shared" si="15"/>
        <v>0</v>
      </c>
      <c r="AB56" s="188">
        <f t="shared" si="16"/>
        <v>0</v>
      </c>
      <c r="AC56" s="188">
        <f t="shared" si="17"/>
        <v>0</v>
      </c>
      <c r="AD56" s="188">
        <f t="shared" si="18"/>
        <v>0</v>
      </c>
      <c r="AE56" s="183">
        <f t="shared" si="19"/>
        <v>0</v>
      </c>
    </row>
    <row r="57" spans="1:31" x14ac:dyDescent="0.25">
      <c r="A57" s="188" t="s">
        <v>217</v>
      </c>
      <c r="B57" s="188" t="s">
        <v>543</v>
      </c>
      <c r="C57" s="188" t="s">
        <v>160</v>
      </c>
      <c r="D57" s="188" t="str">
        <f t="shared" si="2"/>
        <v>101-E311</v>
      </c>
      <c r="E57" s="188">
        <v>0</v>
      </c>
      <c r="F57" s="188">
        <v>26976.6</v>
      </c>
      <c r="G57" s="188">
        <v>89145.12</v>
      </c>
      <c r="H57" s="188">
        <v>437533.13</v>
      </c>
      <c r="I57" s="188">
        <v>0</v>
      </c>
      <c r="J57" s="183">
        <v>0</v>
      </c>
      <c r="L57" s="188" t="str">
        <f t="shared" si="3"/>
        <v>Colstrip 3&amp;4</v>
      </c>
      <c r="M57" s="188" t="str">
        <f t="shared" si="4"/>
        <v>E311 STM Str/Impv, Colstrip 4</v>
      </c>
      <c r="N57" s="188" t="str">
        <f t="shared" si="0"/>
        <v>Programmatic</v>
      </c>
      <c r="O57" s="188" t="str">
        <f t="shared" si="5"/>
        <v>101-E311</v>
      </c>
      <c r="P57" s="188">
        <f t="shared" si="6"/>
        <v>0</v>
      </c>
      <c r="Q57" s="188">
        <f t="shared" si="7"/>
        <v>26976.6</v>
      </c>
      <c r="R57" s="188">
        <f t="shared" si="8"/>
        <v>89145.12</v>
      </c>
      <c r="S57" s="188">
        <f t="shared" si="9"/>
        <v>437533.13</v>
      </c>
      <c r="T57" s="188">
        <f t="shared" si="10"/>
        <v>0</v>
      </c>
      <c r="V57" s="188" t="str">
        <f t="shared" si="11"/>
        <v>Colstrip 3&amp;4</v>
      </c>
      <c r="W57" s="188" t="str">
        <f t="shared" si="12"/>
        <v>E311 STM Str/Impv, Colstrip 4</v>
      </c>
      <c r="X57" s="188" t="str">
        <f t="shared" si="1"/>
        <v>Programmatic</v>
      </c>
      <c r="Y57" s="188" t="str">
        <f t="shared" si="13"/>
        <v>101-E311</v>
      </c>
      <c r="Z57" s="188">
        <f t="shared" si="14"/>
        <v>0</v>
      </c>
      <c r="AA57" s="188">
        <f t="shared" si="15"/>
        <v>0</v>
      </c>
      <c r="AB57" s="188">
        <f t="shared" si="16"/>
        <v>0</v>
      </c>
      <c r="AC57" s="188">
        <f t="shared" si="17"/>
        <v>0</v>
      </c>
      <c r="AD57" s="188">
        <f t="shared" si="18"/>
        <v>0</v>
      </c>
      <c r="AE57" s="183">
        <f t="shared" si="19"/>
        <v>0</v>
      </c>
    </row>
    <row r="58" spans="1:31" x14ac:dyDescent="0.25">
      <c r="A58" s="188" t="s">
        <v>217</v>
      </c>
      <c r="B58" s="188" t="s">
        <v>542</v>
      </c>
      <c r="C58" s="188" t="s">
        <v>160</v>
      </c>
      <c r="D58" s="188" t="str">
        <f t="shared" si="2"/>
        <v>101-E312</v>
      </c>
      <c r="E58" s="188">
        <v>0</v>
      </c>
      <c r="F58" s="188">
        <v>271479.24</v>
      </c>
      <c r="G58" s="188">
        <v>897111.77</v>
      </c>
      <c r="H58" s="188">
        <v>4403113.26</v>
      </c>
      <c r="I58" s="188">
        <v>0</v>
      </c>
      <c r="J58" s="183">
        <v>0</v>
      </c>
      <c r="L58" s="188" t="str">
        <f t="shared" si="3"/>
        <v>Colstrip 3&amp;4</v>
      </c>
      <c r="M58" s="188" t="str">
        <f t="shared" si="4"/>
        <v>E312 STM Boiler, Colstrip 3</v>
      </c>
      <c r="N58" s="188" t="str">
        <f t="shared" si="0"/>
        <v>Programmatic</v>
      </c>
      <c r="O58" s="188" t="str">
        <f t="shared" si="5"/>
        <v>101-E312</v>
      </c>
      <c r="P58" s="188">
        <f t="shared" si="6"/>
        <v>0</v>
      </c>
      <c r="Q58" s="188">
        <f t="shared" si="7"/>
        <v>271479.24</v>
      </c>
      <c r="R58" s="188">
        <f t="shared" si="8"/>
        <v>897111.77</v>
      </c>
      <c r="S58" s="188">
        <f t="shared" si="9"/>
        <v>4403113.26</v>
      </c>
      <c r="T58" s="188">
        <f t="shared" si="10"/>
        <v>0</v>
      </c>
      <c r="V58" s="188" t="str">
        <f t="shared" si="11"/>
        <v>Colstrip 3&amp;4</v>
      </c>
      <c r="W58" s="188" t="str">
        <f t="shared" si="12"/>
        <v>E312 STM Boiler, Colstrip 3</v>
      </c>
      <c r="X58" s="188" t="str">
        <f t="shared" si="1"/>
        <v>Programmatic</v>
      </c>
      <c r="Y58" s="188" t="str">
        <f t="shared" si="13"/>
        <v>101-E312</v>
      </c>
      <c r="Z58" s="188">
        <f t="shared" si="14"/>
        <v>0</v>
      </c>
      <c r="AA58" s="188">
        <f t="shared" si="15"/>
        <v>0</v>
      </c>
      <c r="AB58" s="188">
        <f t="shared" si="16"/>
        <v>0</v>
      </c>
      <c r="AC58" s="188">
        <f t="shared" si="17"/>
        <v>0</v>
      </c>
      <c r="AD58" s="188">
        <f t="shared" si="18"/>
        <v>0</v>
      </c>
      <c r="AE58" s="183">
        <f t="shared" si="19"/>
        <v>0</v>
      </c>
    </row>
    <row r="59" spans="1:31" x14ac:dyDescent="0.25">
      <c r="A59" s="188" t="s">
        <v>217</v>
      </c>
      <c r="B59" s="188" t="s">
        <v>541</v>
      </c>
      <c r="C59" s="188" t="s">
        <v>160</v>
      </c>
      <c r="D59" s="188" t="str">
        <f t="shared" si="2"/>
        <v>101-E312</v>
      </c>
      <c r="E59" s="188">
        <v>0</v>
      </c>
      <c r="F59" s="188">
        <v>46347.839999999997</v>
      </c>
      <c r="G59" s="188">
        <v>153158.04</v>
      </c>
      <c r="H59" s="188">
        <v>751714.97</v>
      </c>
      <c r="I59" s="188">
        <v>0</v>
      </c>
      <c r="J59" s="183">
        <v>0</v>
      </c>
      <c r="L59" s="188" t="str">
        <f t="shared" si="3"/>
        <v>Colstrip 3&amp;4</v>
      </c>
      <c r="M59" s="188" t="str">
        <f t="shared" si="4"/>
        <v>E312 STM Boiler, Colstrip 3-4 Com</v>
      </c>
      <c r="N59" s="188" t="str">
        <f t="shared" si="0"/>
        <v>Programmatic</v>
      </c>
      <c r="O59" s="188" t="str">
        <f t="shared" si="5"/>
        <v>101-E312</v>
      </c>
      <c r="P59" s="188">
        <f t="shared" si="6"/>
        <v>0</v>
      </c>
      <c r="Q59" s="188">
        <f t="shared" si="7"/>
        <v>46347.839999999997</v>
      </c>
      <c r="R59" s="188">
        <f t="shared" si="8"/>
        <v>153158.04</v>
      </c>
      <c r="S59" s="188">
        <f t="shared" si="9"/>
        <v>751714.97</v>
      </c>
      <c r="T59" s="188">
        <f t="shared" si="10"/>
        <v>0</v>
      </c>
      <c r="V59" s="188" t="str">
        <f t="shared" si="11"/>
        <v>Colstrip 3&amp;4</v>
      </c>
      <c r="W59" s="188" t="str">
        <f t="shared" si="12"/>
        <v>E312 STM Boiler, Colstrip 3-4 Com</v>
      </c>
      <c r="X59" s="188" t="str">
        <f t="shared" si="1"/>
        <v>Programmatic</v>
      </c>
      <c r="Y59" s="188" t="str">
        <f t="shared" si="13"/>
        <v>101-E312</v>
      </c>
      <c r="Z59" s="188">
        <f t="shared" si="14"/>
        <v>0</v>
      </c>
      <c r="AA59" s="188">
        <f t="shared" si="15"/>
        <v>0</v>
      </c>
      <c r="AB59" s="188">
        <f t="shared" si="16"/>
        <v>0</v>
      </c>
      <c r="AC59" s="188">
        <f t="shared" si="17"/>
        <v>0</v>
      </c>
      <c r="AD59" s="188">
        <f t="shared" si="18"/>
        <v>0</v>
      </c>
      <c r="AE59" s="183">
        <f t="shared" si="19"/>
        <v>0</v>
      </c>
    </row>
    <row r="60" spans="1:31" x14ac:dyDescent="0.25">
      <c r="A60" s="188" t="s">
        <v>217</v>
      </c>
      <c r="B60" s="188" t="s">
        <v>540</v>
      </c>
      <c r="C60" s="188" t="s">
        <v>160</v>
      </c>
      <c r="D60" s="188" t="str">
        <f t="shared" si="2"/>
        <v>101-E312</v>
      </c>
      <c r="E60" s="188">
        <v>0</v>
      </c>
      <c r="F60" s="188">
        <v>246489</v>
      </c>
      <c r="G60" s="188">
        <v>814530.72</v>
      </c>
      <c r="H60" s="188">
        <v>3997797.47</v>
      </c>
      <c r="I60" s="188">
        <v>0</v>
      </c>
      <c r="J60" s="183">
        <v>0</v>
      </c>
      <c r="L60" s="188" t="str">
        <f t="shared" si="3"/>
        <v>Colstrip 3&amp;4</v>
      </c>
      <c r="M60" s="188" t="str">
        <f t="shared" si="4"/>
        <v>E312 STM Boiler, Colstrip 4</v>
      </c>
      <c r="N60" s="188" t="str">
        <f t="shared" si="0"/>
        <v>Programmatic</v>
      </c>
      <c r="O60" s="188" t="str">
        <f t="shared" si="5"/>
        <v>101-E312</v>
      </c>
      <c r="P60" s="188">
        <f t="shared" si="6"/>
        <v>0</v>
      </c>
      <c r="Q60" s="188">
        <f t="shared" si="7"/>
        <v>246489</v>
      </c>
      <c r="R60" s="188">
        <f t="shared" si="8"/>
        <v>814530.72</v>
      </c>
      <c r="S60" s="188">
        <f t="shared" si="9"/>
        <v>3997797.47</v>
      </c>
      <c r="T60" s="188">
        <f t="shared" si="10"/>
        <v>0</v>
      </c>
      <c r="V60" s="188" t="str">
        <f t="shared" si="11"/>
        <v>Colstrip 3&amp;4</v>
      </c>
      <c r="W60" s="188" t="str">
        <f t="shared" si="12"/>
        <v>E312 STM Boiler, Colstrip 4</v>
      </c>
      <c r="X60" s="188" t="str">
        <f t="shared" si="1"/>
        <v>Programmatic</v>
      </c>
      <c r="Y60" s="188" t="str">
        <f t="shared" si="13"/>
        <v>101-E312</v>
      </c>
      <c r="Z60" s="188">
        <f t="shared" si="14"/>
        <v>0</v>
      </c>
      <c r="AA60" s="188">
        <f t="shared" si="15"/>
        <v>0</v>
      </c>
      <c r="AB60" s="188">
        <f t="shared" si="16"/>
        <v>0</v>
      </c>
      <c r="AC60" s="188">
        <f t="shared" si="17"/>
        <v>0</v>
      </c>
      <c r="AD60" s="188">
        <f t="shared" si="18"/>
        <v>0</v>
      </c>
      <c r="AE60" s="183">
        <f t="shared" si="19"/>
        <v>0</v>
      </c>
    </row>
    <row r="61" spans="1:31" x14ac:dyDescent="0.25">
      <c r="A61" s="188" t="s">
        <v>217</v>
      </c>
      <c r="B61" s="188" t="s">
        <v>539</v>
      </c>
      <c r="C61" s="188" t="s">
        <v>160</v>
      </c>
      <c r="D61" s="188" t="str">
        <f t="shared" si="2"/>
        <v>101-E314</v>
      </c>
      <c r="E61" s="188">
        <v>0</v>
      </c>
      <c r="F61" s="188">
        <v>48955.199999999997</v>
      </c>
      <c r="G61" s="188">
        <v>161774.04</v>
      </c>
      <c r="H61" s="188">
        <v>794003.01</v>
      </c>
      <c r="I61" s="188">
        <v>0</v>
      </c>
      <c r="J61" s="183">
        <v>0</v>
      </c>
      <c r="L61" s="188" t="str">
        <f t="shared" si="3"/>
        <v>Colstrip 3&amp;4</v>
      </c>
      <c r="M61" s="188" t="str">
        <f t="shared" si="4"/>
        <v>E314 STM Turbogen, Colstrip 3</v>
      </c>
      <c r="N61" s="188" t="str">
        <f t="shared" si="0"/>
        <v>Programmatic</v>
      </c>
      <c r="O61" s="188" t="str">
        <f t="shared" si="5"/>
        <v>101-E314</v>
      </c>
      <c r="P61" s="188">
        <f t="shared" si="6"/>
        <v>0</v>
      </c>
      <c r="Q61" s="188">
        <f t="shared" si="7"/>
        <v>48955.199999999997</v>
      </c>
      <c r="R61" s="188">
        <f t="shared" si="8"/>
        <v>161774.04</v>
      </c>
      <c r="S61" s="188">
        <f t="shared" si="9"/>
        <v>794003.01</v>
      </c>
      <c r="T61" s="188">
        <f t="shared" si="10"/>
        <v>0</v>
      </c>
      <c r="V61" s="188" t="str">
        <f t="shared" si="11"/>
        <v>Colstrip 3&amp;4</v>
      </c>
      <c r="W61" s="188" t="str">
        <f t="shared" si="12"/>
        <v>E314 STM Turbogen, Colstrip 3</v>
      </c>
      <c r="X61" s="188" t="str">
        <f t="shared" si="1"/>
        <v>Programmatic</v>
      </c>
      <c r="Y61" s="188" t="str">
        <f t="shared" si="13"/>
        <v>101-E314</v>
      </c>
      <c r="Z61" s="188">
        <f t="shared" si="14"/>
        <v>0</v>
      </c>
      <c r="AA61" s="188">
        <f t="shared" si="15"/>
        <v>0</v>
      </c>
      <c r="AB61" s="188">
        <f t="shared" si="16"/>
        <v>0</v>
      </c>
      <c r="AC61" s="188">
        <f t="shared" si="17"/>
        <v>0</v>
      </c>
      <c r="AD61" s="188">
        <f t="shared" si="18"/>
        <v>0</v>
      </c>
      <c r="AE61" s="183">
        <f t="shared" si="19"/>
        <v>0</v>
      </c>
    </row>
    <row r="62" spans="1:31" x14ac:dyDescent="0.25">
      <c r="A62" s="188" t="s">
        <v>217</v>
      </c>
      <c r="B62" s="188" t="s">
        <v>538</v>
      </c>
      <c r="C62" s="188" t="s">
        <v>160</v>
      </c>
      <c r="D62" s="188" t="str">
        <f t="shared" si="2"/>
        <v>101-E314</v>
      </c>
      <c r="E62" s="188">
        <v>0</v>
      </c>
      <c r="F62" s="188">
        <v>128604.48</v>
      </c>
      <c r="G62" s="188">
        <v>424977.54</v>
      </c>
      <c r="H62" s="188">
        <v>2085831.67</v>
      </c>
      <c r="I62" s="188">
        <v>0</v>
      </c>
      <c r="J62" s="183">
        <v>0</v>
      </c>
      <c r="L62" s="188" t="str">
        <f t="shared" si="3"/>
        <v>Colstrip 3&amp;4</v>
      </c>
      <c r="M62" s="188" t="str">
        <f t="shared" si="4"/>
        <v>E314 STM Turbogen, Colstrip 4</v>
      </c>
      <c r="N62" s="188" t="str">
        <f t="shared" si="0"/>
        <v>Programmatic</v>
      </c>
      <c r="O62" s="188" t="str">
        <f t="shared" si="5"/>
        <v>101-E314</v>
      </c>
      <c r="P62" s="188">
        <f t="shared" si="6"/>
        <v>0</v>
      </c>
      <c r="Q62" s="188">
        <f t="shared" si="7"/>
        <v>128604.48</v>
      </c>
      <c r="R62" s="188">
        <f t="shared" si="8"/>
        <v>424977.54</v>
      </c>
      <c r="S62" s="188">
        <f t="shared" si="9"/>
        <v>2085831.67</v>
      </c>
      <c r="T62" s="188">
        <f t="shared" si="10"/>
        <v>0</v>
      </c>
      <c r="V62" s="188" t="str">
        <f t="shared" si="11"/>
        <v>Colstrip 3&amp;4</v>
      </c>
      <c r="W62" s="188" t="str">
        <f t="shared" si="12"/>
        <v>E314 STM Turbogen, Colstrip 4</v>
      </c>
      <c r="X62" s="188" t="str">
        <f t="shared" si="1"/>
        <v>Programmatic</v>
      </c>
      <c r="Y62" s="188" t="str">
        <f t="shared" si="13"/>
        <v>101-E314</v>
      </c>
      <c r="Z62" s="188">
        <f t="shared" si="14"/>
        <v>0</v>
      </c>
      <c r="AA62" s="188">
        <f t="shared" si="15"/>
        <v>0</v>
      </c>
      <c r="AB62" s="188">
        <f t="shared" si="16"/>
        <v>0</v>
      </c>
      <c r="AC62" s="188">
        <f t="shared" si="17"/>
        <v>0</v>
      </c>
      <c r="AD62" s="188">
        <f t="shared" si="18"/>
        <v>0</v>
      </c>
      <c r="AE62" s="183">
        <f t="shared" si="19"/>
        <v>0</v>
      </c>
    </row>
    <row r="63" spans="1:31" x14ac:dyDescent="0.25">
      <c r="A63" s="188" t="s">
        <v>217</v>
      </c>
      <c r="B63" s="188" t="s">
        <v>537</v>
      </c>
      <c r="C63" s="188" t="s">
        <v>160</v>
      </c>
      <c r="D63" s="188" t="str">
        <f t="shared" si="2"/>
        <v>101-E315</v>
      </c>
      <c r="E63" s="188">
        <v>0</v>
      </c>
      <c r="F63" s="188">
        <v>28378.2</v>
      </c>
      <c r="G63" s="188">
        <v>93776.7</v>
      </c>
      <c r="H63" s="188">
        <v>460265.34</v>
      </c>
      <c r="I63" s="188">
        <v>0</v>
      </c>
      <c r="J63" s="183">
        <v>0</v>
      </c>
      <c r="L63" s="188" t="str">
        <f t="shared" si="3"/>
        <v>Colstrip 3&amp;4</v>
      </c>
      <c r="M63" s="188" t="str">
        <f t="shared" si="4"/>
        <v>E315 STM Accessory, Colstrip 3</v>
      </c>
      <c r="N63" s="188" t="str">
        <f t="shared" si="0"/>
        <v>Programmatic</v>
      </c>
      <c r="O63" s="188" t="str">
        <f t="shared" si="5"/>
        <v>101-E315</v>
      </c>
      <c r="P63" s="188">
        <f t="shared" si="6"/>
        <v>0</v>
      </c>
      <c r="Q63" s="188">
        <f t="shared" si="7"/>
        <v>28378.2</v>
      </c>
      <c r="R63" s="188">
        <f t="shared" si="8"/>
        <v>93776.7</v>
      </c>
      <c r="S63" s="188">
        <f t="shared" si="9"/>
        <v>460265.34</v>
      </c>
      <c r="T63" s="188">
        <f t="shared" si="10"/>
        <v>0</v>
      </c>
      <c r="V63" s="188" t="str">
        <f t="shared" si="11"/>
        <v>Colstrip 3&amp;4</v>
      </c>
      <c r="W63" s="188" t="str">
        <f t="shared" si="12"/>
        <v>E315 STM Accessory, Colstrip 3</v>
      </c>
      <c r="X63" s="188" t="str">
        <f t="shared" si="1"/>
        <v>Programmatic</v>
      </c>
      <c r="Y63" s="188" t="str">
        <f t="shared" si="13"/>
        <v>101-E315</v>
      </c>
      <c r="Z63" s="188">
        <f t="shared" si="14"/>
        <v>0</v>
      </c>
      <c r="AA63" s="188">
        <f t="shared" si="15"/>
        <v>0</v>
      </c>
      <c r="AB63" s="188">
        <f t="shared" si="16"/>
        <v>0</v>
      </c>
      <c r="AC63" s="188">
        <f t="shared" si="17"/>
        <v>0</v>
      </c>
      <c r="AD63" s="188">
        <f t="shared" si="18"/>
        <v>0</v>
      </c>
      <c r="AE63" s="183">
        <f t="shared" si="19"/>
        <v>0</v>
      </c>
    </row>
    <row r="64" spans="1:31" x14ac:dyDescent="0.25">
      <c r="A64" s="188" t="s">
        <v>217</v>
      </c>
      <c r="B64" s="188" t="s">
        <v>536</v>
      </c>
      <c r="C64" s="188" t="s">
        <v>160</v>
      </c>
      <c r="D64" s="188" t="str">
        <f t="shared" si="2"/>
        <v>101-E315</v>
      </c>
      <c r="E64" s="188">
        <v>0</v>
      </c>
      <c r="F64" s="188">
        <v>3717.36</v>
      </c>
      <c r="G64" s="188">
        <v>12284.21</v>
      </c>
      <c r="H64" s="188">
        <v>60292.32</v>
      </c>
      <c r="I64" s="188">
        <v>0</v>
      </c>
      <c r="J64" s="183">
        <v>0</v>
      </c>
      <c r="L64" s="188" t="str">
        <f t="shared" si="3"/>
        <v>Colstrip 3&amp;4</v>
      </c>
      <c r="M64" s="188" t="str">
        <f t="shared" si="4"/>
        <v>E315 STM Accessory, Colstrip 3-4 Cm</v>
      </c>
      <c r="N64" s="188" t="str">
        <f t="shared" si="0"/>
        <v>Programmatic</v>
      </c>
      <c r="O64" s="188" t="str">
        <f t="shared" si="5"/>
        <v>101-E315</v>
      </c>
      <c r="P64" s="188">
        <f t="shared" si="6"/>
        <v>0</v>
      </c>
      <c r="Q64" s="188">
        <f t="shared" si="7"/>
        <v>3717.36</v>
      </c>
      <c r="R64" s="188">
        <f t="shared" si="8"/>
        <v>12284.21</v>
      </c>
      <c r="S64" s="188">
        <f t="shared" si="9"/>
        <v>60292.32</v>
      </c>
      <c r="T64" s="188">
        <f t="shared" si="10"/>
        <v>0</v>
      </c>
      <c r="V64" s="188" t="str">
        <f t="shared" si="11"/>
        <v>Colstrip 3&amp;4</v>
      </c>
      <c r="W64" s="188" t="str">
        <f t="shared" si="12"/>
        <v>E315 STM Accessory, Colstrip 3-4 Cm</v>
      </c>
      <c r="X64" s="188" t="str">
        <f t="shared" si="1"/>
        <v>Programmatic</v>
      </c>
      <c r="Y64" s="188" t="str">
        <f t="shared" si="13"/>
        <v>101-E315</v>
      </c>
      <c r="Z64" s="188">
        <f t="shared" si="14"/>
        <v>0</v>
      </c>
      <c r="AA64" s="188">
        <f t="shared" si="15"/>
        <v>0</v>
      </c>
      <c r="AB64" s="188">
        <f t="shared" si="16"/>
        <v>0</v>
      </c>
      <c r="AC64" s="188">
        <f t="shared" si="17"/>
        <v>0</v>
      </c>
      <c r="AD64" s="188">
        <f t="shared" si="18"/>
        <v>0</v>
      </c>
      <c r="AE64" s="183">
        <f t="shared" si="19"/>
        <v>0</v>
      </c>
    </row>
    <row r="65" spans="1:31" x14ac:dyDescent="0.25">
      <c r="A65" s="188" t="s">
        <v>217</v>
      </c>
      <c r="B65" s="188" t="s">
        <v>535</v>
      </c>
      <c r="C65" s="188" t="s">
        <v>160</v>
      </c>
      <c r="D65" s="188" t="str">
        <f t="shared" si="2"/>
        <v>101-E315</v>
      </c>
      <c r="E65" s="188">
        <v>0</v>
      </c>
      <c r="F65" s="188">
        <v>35316.6</v>
      </c>
      <c r="G65" s="188">
        <v>116704.92</v>
      </c>
      <c r="H65" s="188">
        <v>572799.36</v>
      </c>
      <c r="I65" s="188">
        <v>0</v>
      </c>
      <c r="J65" s="183">
        <v>0</v>
      </c>
      <c r="L65" s="188" t="str">
        <f t="shared" si="3"/>
        <v>Colstrip 3&amp;4</v>
      </c>
      <c r="M65" s="188" t="str">
        <f t="shared" si="4"/>
        <v>E315 STM Accessory, Colstrip 4</v>
      </c>
      <c r="N65" s="188" t="str">
        <f t="shared" si="0"/>
        <v>Programmatic</v>
      </c>
      <c r="O65" s="188" t="str">
        <f t="shared" si="5"/>
        <v>101-E315</v>
      </c>
      <c r="P65" s="188">
        <f t="shared" si="6"/>
        <v>0</v>
      </c>
      <c r="Q65" s="188">
        <f t="shared" si="7"/>
        <v>35316.6</v>
      </c>
      <c r="R65" s="188">
        <f t="shared" si="8"/>
        <v>116704.92</v>
      </c>
      <c r="S65" s="188">
        <f t="shared" si="9"/>
        <v>572799.36</v>
      </c>
      <c r="T65" s="188">
        <f t="shared" si="10"/>
        <v>0</v>
      </c>
      <c r="V65" s="188" t="str">
        <f t="shared" si="11"/>
        <v>Colstrip 3&amp;4</v>
      </c>
      <c r="W65" s="188" t="str">
        <f t="shared" si="12"/>
        <v>E315 STM Accessory, Colstrip 4</v>
      </c>
      <c r="X65" s="188" t="str">
        <f t="shared" si="1"/>
        <v>Programmatic</v>
      </c>
      <c r="Y65" s="188" t="str">
        <f t="shared" si="13"/>
        <v>101-E315</v>
      </c>
      <c r="Z65" s="188">
        <f t="shared" si="14"/>
        <v>0</v>
      </c>
      <c r="AA65" s="188">
        <f t="shared" si="15"/>
        <v>0</v>
      </c>
      <c r="AB65" s="188">
        <f t="shared" si="16"/>
        <v>0</v>
      </c>
      <c r="AC65" s="188">
        <f t="shared" si="17"/>
        <v>0</v>
      </c>
      <c r="AD65" s="188">
        <f t="shared" si="18"/>
        <v>0</v>
      </c>
      <c r="AE65" s="183">
        <f t="shared" si="19"/>
        <v>0</v>
      </c>
    </row>
    <row r="66" spans="1:31" x14ac:dyDescent="0.25">
      <c r="A66" s="188" t="s">
        <v>217</v>
      </c>
      <c r="B66" s="188" t="s">
        <v>534</v>
      </c>
      <c r="C66" s="188" t="s">
        <v>160</v>
      </c>
      <c r="D66" s="188" t="str">
        <f t="shared" si="2"/>
        <v>101-E316</v>
      </c>
      <c r="E66" s="188">
        <v>0</v>
      </c>
      <c r="F66" s="188">
        <v>3520.68</v>
      </c>
      <c r="G66" s="188">
        <v>11634.12</v>
      </c>
      <c r="H66" s="188">
        <v>57101.34</v>
      </c>
      <c r="I66" s="188">
        <v>0</v>
      </c>
      <c r="J66" s="183">
        <v>0</v>
      </c>
      <c r="L66" s="188" t="str">
        <f t="shared" si="3"/>
        <v>Colstrip 3&amp;4</v>
      </c>
      <c r="M66" s="188" t="str">
        <f t="shared" si="4"/>
        <v>E316 STM Misc, Colstrip 3</v>
      </c>
      <c r="N66" s="188" t="str">
        <f t="shared" si="0"/>
        <v>Programmatic</v>
      </c>
      <c r="O66" s="188" t="str">
        <f t="shared" si="5"/>
        <v>101-E316</v>
      </c>
      <c r="P66" s="188">
        <f t="shared" si="6"/>
        <v>0</v>
      </c>
      <c r="Q66" s="188">
        <f t="shared" si="7"/>
        <v>3520.68</v>
      </c>
      <c r="R66" s="188">
        <f t="shared" si="8"/>
        <v>11634.12</v>
      </c>
      <c r="S66" s="188">
        <f t="shared" si="9"/>
        <v>57101.34</v>
      </c>
      <c r="T66" s="188">
        <f t="shared" si="10"/>
        <v>0</v>
      </c>
      <c r="V66" s="188" t="str">
        <f t="shared" si="11"/>
        <v>Colstrip 3&amp;4</v>
      </c>
      <c r="W66" s="188" t="str">
        <f t="shared" si="12"/>
        <v>E316 STM Misc, Colstrip 3</v>
      </c>
      <c r="X66" s="188" t="str">
        <f t="shared" si="1"/>
        <v>Programmatic</v>
      </c>
      <c r="Y66" s="188" t="str">
        <f t="shared" si="13"/>
        <v>101-E316</v>
      </c>
      <c r="Z66" s="188">
        <f t="shared" si="14"/>
        <v>0</v>
      </c>
      <c r="AA66" s="188">
        <f t="shared" si="15"/>
        <v>0</v>
      </c>
      <c r="AB66" s="188">
        <f t="shared" si="16"/>
        <v>0</v>
      </c>
      <c r="AC66" s="188">
        <f t="shared" si="17"/>
        <v>0</v>
      </c>
      <c r="AD66" s="188">
        <f t="shared" si="18"/>
        <v>0</v>
      </c>
      <c r="AE66" s="183">
        <f t="shared" si="19"/>
        <v>0</v>
      </c>
    </row>
    <row r="67" spans="1:31" x14ac:dyDescent="0.25">
      <c r="A67" s="188" t="s">
        <v>217</v>
      </c>
      <c r="B67" s="188" t="s">
        <v>533</v>
      </c>
      <c r="C67" s="188" t="s">
        <v>160</v>
      </c>
      <c r="D67" s="188" t="str">
        <f t="shared" si="2"/>
        <v>101-E316</v>
      </c>
      <c r="E67" s="188">
        <v>0</v>
      </c>
      <c r="F67" s="188">
        <v>3500.76</v>
      </c>
      <c r="G67" s="188">
        <v>11568.48</v>
      </c>
      <c r="H67" s="188">
        <v>56779.34</v>
      </c>
      <c r="I67" s="188">
        <v>0</v>
      </c>
      <c r="J67" s="183">
        <v>0</v>
      </c>
      <c r="L67" s="188" t="str">
        <f t="shared" si="3"/>
        <v>Colstrip 3&amp;4</v>
      </c>
      <c r="M67" s="188" t="str">
        <f t="shared" si="4"/>
        <v>E316 STM Misc, Colstrip 4</v>
      </c>
      <c r="N67" s="188" t="str">
        <f t="shared" si="0"/>
        <v>Programmatic</v>
      </c>
      <c r="O67" s="188" t="str">
        <f t="shared" si="5"/>
        <v>101-E316</v>
      </c>
      <c r="P67" s="188">
        <f t="shared" si="6"/>
        <v>0</v>
      </c>
      <c r="Q67" s="188">
        <f t="shared" si="7"/>
        <v>3500.76</v>
      </c>
      <c r="R67" s="188">
        <f t="shared" si="8"/>
        <v>11568.48</v>
      </c>
      <c r="S67" s="188">
        <f t="shared" si="9"/>
        <v>56779.34</v>
      </c>
      <c r="T67" s="188">
        <f t="shared" si="10"/>
        <v>0</v>
      </c>
      <c r="V67" s="188" t="str">
        <f t="shared" si="11"/>
        <v>Colstrip 3&amp;4</v>
      </c>
      <c r="W67" s="188" t="str">
        <f t="shared" si="12"/>
        <v>E316 STM Misc, Colstrip 4</v>
      </c>
      <c r="X67" s="188" t="str">
        <f t="shared" si="1"/>
        <v>Programmatic</v>
      </c>
      <c r="Y67" s="188" t="str">
        <f t="shared" si="13"/>
        <v>101-E316</v>
      </c>
      <c r="Z67" s="188">
        <f t="shared" si="14"/>
        <v>0</v>
      </c>
      <c r="AA67" s="188">
        <f t="shared" si="15"/>
        <v>0</v>
      </c>
      <c r="AB67" s="188">
        <f t="shared" si="16"/>
        <v>0</v>
      </c>
      <c r="AC67" s="188">
        <f t="shared" si="17"/>
        <v>0</v>
      </c>
      <c r="AD67" s="188">
        <f t="shared" si="18"/>
        <v>0</v>
      </c>
      <c r="AE67" s="183">
        <f t="shared" si="19"/>
        <v>0</v>
      </c>
    </row>
    <row r="68" spans="1:31" x14ac:dyDescent="0.25">
      <c r="A68" s="188" t="s">
        <v>217</v>
      </c>
      <c r="B68" s="188" t="s">
        <v>532</v>
      </c>
      <c r="C68" s="188" t="s">
        <v>160</v>
      </c>
      <c r="D68" s="188" t="str">
        <f t="shared" si="2"/>
        <v>101-E392</v>
      </c>
      <c r="E68" s="188">
        <v>0</v>
      </c>
      <c r="F68" s="188">
        <v>1992.72</v>
      </c>
      <c r="G68" s="188">
        <v>6585</v>
      </c>
      <c r="H68" s="188">
        <v>32319.84</v>
      </c>
      <c r="I68" s="188">
        <v>0</v>
      </c>
      <c r="J68" s="183">
        <v>0</v>
      </c>
      <c r="L68" s="188" t="str">
        <f t="shared" si="3"/>
        <v>Colstrip 3&amp;4</v>
      </c>
      <c r="M68" s="188" t="str">
        <f t="shared" si="4"/>
        <v>E392 GEN Trans Equip, Colstrip 3</v>
      </c>
      <c r="N68" s="188" t="str">
        <f t="shared" ref="N68:N131" si="20">C68</f>
        <v>Programmatic</v>
      </c>
      <c r="O68" s="188" t="str">
        <f t="shared" si="5"/>
        <v>101-E392</v>
      </c>
      <c r="P68" s="188">
        <f t="shared" si="6"/>
        <v>0</v>
      </c>
      <c r="Q68" s="188">
        <f t="shared" si="7"/>
        <v>1992.72</v>
      </c>
      <c r="R68" s="188">
        <f t="shared" si="8"/>
        <v>6585</v>
      </c>
      <c r="S68" s="188">
        <f t="shared" si="9"/>
        <v>32319.84</v>
      </c>
      <c r="T68" s="188">
        <f t="shared" si="10"/>
        <v>0</v>
      </c>
      <c r="V68" s="188" t="str">
        <f t="shared" si="11"/>
        <v>Colstrip 3&amp;4</v>
      </c>
      <c r="W68" s="188" t="str">
        <f t="shared" si="12"/>
        <v>E392 GEN Trans Equip, Colstrip 3</v>
      </c>
      <c r="X68" s="188" t="str">
        <f t="shared" ref="X68:X131" si="21">C68</f>
        <v>Programmatic</v>
      </c>
      <c r="Y68" s="188" t="str">
        <f t="shared" si="13"/>
        <v>101-E392</v>
      </c>
      <c r="Z68" s="188">
        <f t="shared" si="14"/>
        <v>0</v>
      </c>
      <c r="AA68" s="188">
        <f t="shared" si="15"/>
        <v>0</v>
      </c>
      <c r="AB68" s="188">
        <f t="shared" si="16"/>
        <v>0</v>
      </c>
      <c r="AC68" s="188">
        <f t="shared" si="17"/>
        <v>0</v>
      </c>
      <c r="AD68" s="188">
        <f t="shared" si="18"/>
        <v>0</v>
      </c>
      <c r="AE68" s="183">
        <f t="shared" si="19"/>
        <v>0</v>
      </c>
    </row>
    <row r="69" spans="1:31" x14ac:dyDescent="0.25">
      <c r="A69" s="188" t="s">
        <v>217</v>
      </c>
      <c r="B69" s="188" t="s">
        <v>531</v>
      </c>
      <c r="C69" s="188" t="s">
        <v>160</v>
      </c>
      <c r="D69" s="188" t="str">
        <f t="shared" ref="D69:D132" si="22">"101-"&amp; LEFT(B69,4)</f>
        <v>101-E392</v>
      </c>
      <c r="E69" s="188">
        <v>0</v>
      </c>
      <c r="F69" s="188">
        <v>1992.72</v>
      </c>
      <c r="G69" s="188">
        <v>6585</v>
      </c>
      <c r="H69" s="188">
        <v>32319.84</v>
      </c>
      <c r="I69" s="188">
        <v>0</v>
      </c>
      <c r="J69" s="183">
        <v>0</v>
      </c>
      <c r="L69" s="188" t="str">
        <f t="shared" ref="L69:L132" si="23">A69</f>
        <v>Colstrip 3&amp;4</v>
      </c>
      <c r="M69" s="188" t="str">
        <f t="shared" ref="M69:M132" si="24">B69</f>
        <v>E392 GEN Trans Equip, Colstrip 4</v>
      </c>
      <c r="N69" s="188" t="str">
        <f t="shared" si="20"/>
        <v>Programmatic</v>
      </c>
      <c r="O69" s="188" t="str">
        <f t="shared" ref="O69:O132" si="25">D69</f>
        <v>101-E392</v>
      </c>
      <c r="P69" s="188">
        <f t="shared" ref="P69:P132" si="26">IF(MID($O69,5,1)="C",E69*$F$1,IF(MID($O69,5,1)="G",0,E69))</f>
        <v>0</v>
      </c>
      <c r="Q69" s="188">
        <f t="shared" ref="Q69:Q132" si="27">IF(MID($O69,5,1)="C",F69*$F$1,IF(MID($O69,5,1)="G",0,F69))</f>
        <v>1992.72</v>
      </c>
      <c r="R69" s="188">
        <f t="shared" ref="R69:R132" si="28">IF(MID($O69,5,1)="C",G69*$F$1,IF(MID($O69,5,1)="G",0,G69))</f>
        <v>6585</v>
      </c>
      <c r="S69" s="188">
        <f t="shared" ref="S69:S132" si="29">IF(MID($O69,5,1)="C",H69*$F$1,IF(MID($O69,5,1)="G",0,H69))</f>
        <v>32319.84</v>
      </c>
      <c r="T69" s="188">
        <f t="shared" ref="T69:T132" si="30">IF(MID($O69,5,1)="C",I69*$F$1,IF(MID($O69,5,1)="G",0,I69))</f>
        <v>0</v>
      </c>
      <c r="V69" s="188" t="str">
        <f t="shared" ref="V69:V132" si="31">A69</f>
        <v>Colstrip 3&amp;4</v>
      </c>
      <c r="W69" s="188" t="str">
        <f t="shared" ref="W69:W132" si="32">B69</f>
        <v>E392 GEN Trans Equip, Colstrip 4</v>
      </c>
      <c r="X69" s="188" t="str">
        <f t="shared" si="21"/>
        <v>Programmatic</v>
      </c>
      <c r="Y69" s="188" t="str">
        <f t="shared" ref="Y69:Y132" si="33">D69</f>
        <v>101-E392</v>
      </c>
      <c r="Z69" s="188">
        <f t="shared" ref="Z69:Z132" si="34">IF(MID($O69,5,1)="C",E69*$D$1,IF(MID($O69,5,1)="E",0,E69))</f>
        <v>0</v>
      </c>
      <c r="AA69" s="188">
        <f t="shared" ref="AA69:AA132" si="35">IF(MID($O69,5,1)="C",F69*$D$1,IF(MID($O69,5,1)="E",0,F69))</f>
        <v>0</v>
      </c>
      <c r="AB69" s="188">
        <f t="shared" ref="AB69:AB132" si="36">IF(MID($O69,5,1)="C",G69*$D$1,IF(MID($O69,5,1)="E",0,G69))</f>
        <v>0</v>
      </c>
      <c r="AC69" s="188">
        <f t="shared" ref="AC69:AC132" si="37">IF(MID($O69,5,1)="C",H69*$D$1,IF(MID($O69,5,1)="E",0,H69))</f>
        <v>0</v>
      </c>
      <c r="AD69" s="188">
        <f t="shared" ref="AD69:AD132" si="38">IF(MID($O69,5,1)="C",I69*$D$1,IF(MID($O69,5,1)="E",0,I69))</f>
        <v>0</v>
      </c>
      <c r="AE69" s="183">
        <f t="shared" ref="AE69:AE132" si="39">SUM(E69:I69)-SUM(P69:T69)-SUM(Z69:AD69)</f>
        <v>0</v>
      </c>
    </row>
    <row r="70" spans="1:31" x14ac:dyDescent="0.25">
      <c r="A70" s="188" t="s">
        <v>217</v>
      </c>
      <c r="B70" s="188" t="s">
        <v>378</v>
      </c>
      <c r="C70" s="188" t="s">
        <v>160</v>
      </c>
      <c r="D70" s="188" t="str">
        <f t="shared" si="22"/>
        <v>101-E392</v>
      </c>
      <c r="E70" s="188">
        <v>0</v>
      </c>
      <c r="F70" s="188">
        <v>1770.72</v>
      </c>
      <c r="G70" s="188">
        <v>5851.38</v>
      </c>
      <c r="H70" s="188">
        <v>28719.06</v>
      </c>
      <c r="I70" s="188">
        <v>0</v>
      </c>
      <c r="J70" s="183">
        <v>0</v>
      </c>
      <c r="L70" s="188" t="str">
        <f t="shared" si="23"/>
        <v>Colstrip 3&amp;4</v>
      </c>
      <c r="M70" s="188" t="str">
        <f t="shared" si="24"/>
        <v>E392 GEN Trans Equip, new</v>
      </c>
      <c r="N70" s="188" t="str">
        <f t="shared" si="20"/>
        <v>Programmatic</v>
      </c>
      <c r="O70" s="188" t="str">
        <f t="shared" si="25"/>
        <v>101-E392</v>
      </c>
      <c r="P70" s="188">
        <f t="shared" si="26"/>
        <v>0</v>
      </c>
      <c r="Q70" s="188">
        <f t="shared" si="27"/>
        <v>1770.72</v>
      </c>
      <c r="R70" s="188">
        <f t="shared" si="28"/>
        <v>5851.38</v>
      </c>
      <c r="S70" s="188">
        <f t="shared" si="29"/>
        <v>28719.06</v>
      </c>
      <c r="T70" s="188">
        <f t="shared" si="30"/>
        <v>0</v>
      </c>
      <c r="V70" s="188" t="str">
        <f t="shared" si="31"/>
        <v>Colstrip 3&amp;4</v>
      </c>
      <c r="W70" s="188" t="str">
        <f t="shared" si="32"/>
        <v>E392 GEN Trans Equip, new</v>
      </c>
      <c r="X70" s="188" t="str">
        <f t="shared" si="21"/>
        <v>Programmatic</v>
      </c>
      <c r="Y70" s="188" t="str">
        <f t="shared" si="33"/>
        <v>101-E392</v>
      </c>
      <c r="Z70" s="188">
        <f t="shared" si="34"/>
        <v>0</v>
      </c>
      <c r="AA70" s="188">
        <f t="shared" si="35"/>
        <v>0</v>
      </c>
      <c r="AB70" s="188">
        <f t="shared" si="36"/>
        <v>0</v>
      </c>
      <c r="AC70" s="188">
        <f t="shared" si="37"/>
        <v>0</v>
      </c>
      <c r="AD70" s="188">
        <f t="shared" si="38"/>
        <v>0</v>
      </c>
      <c r="AE70" s="183">
        <f t="shared" si="39"/>
        <v>0</v>
      </c>
    </row>
    <row r="71" spans="1:31" x14ac:dyDescent="0.25">
      <c r="A71" s="188" t="s">
        <v>217</v>
      </c>
      <c r="B71" s="188" t="s">
        <v>530</v>
      </c>
      <c r="C71" s="188" t="s">
        <v>160</v>
      </c>
      <c r="D71" s="188" t="str">
        <f t="shared" si="22"/>
        <v>101-E394</v>
      </c>
      <c r="E71" s="188">
        <v>0</v>
      </c>
      <c r="F71" s="188">
        <v>2890.68</v>
      </c>
      <c r="G71" s="188">
        <v>9552.41</v>
      </c>
      <c r="H71" s="188">
        <v>46884.29</v>
      </c>
      <c r="I71" s="188">
        <v>0</v>
      </c>
      <c r="J71" s="183">
        <v>0</v>
      </c>
      <c r="L71" s="188" t="str">
        <f t="shared" si="23"/>
        <v>Colstrip 3&amp;4</v>
      </c>
      <c r="M71" s="188" t="str">
        <f t="shared" si="24"/>
        <v>E3940 GEN Tools, Colstrip 3</v>
      </c>
      <c r="N71" s="188" t="str">
        <f t="shared" si="20"/>
        <v>Programmatic</v>
      </c>
      <c r="O71" s="188" t="str">
        <f t="shared" si="25"/>
        <v>101-E394</v>
      </c>
      <c r="P71" s="188">
        <f t="shared" si="26"/>
        <v>0</v>
      </c>
      <c r="Q71" s="188">
        <f t="shared" si="27"/>
        <v>2890.68</v>
      </c>
      <c r="R71" s="188">
        <f t="shared" si="28"/>
        <v>9552.41</v>
      </c>
      <c r="S71" s="188">
        <f t="shared" si="29"/>
        <v>46884.29</v>
      </c>
      <c r="T71" s="188">
        <f t="shared" si="30"/>
        <v>0</v>
      </c>
      <c r="V71" s="188" t="str">
        <f t="shared" si="31"/>
        <v>Colstrip 3&amp;4</v>
      </c>
      <c r="W71" s="188" t="str">
        <f t="shared" si="32"/>
        <v>E3940 GEN Tools, Colstrip 3</v>
      </c>
      <c r="X71" s="188" t="str">
        <f t="shared" si="21"/>
        <v>Programmatic</v>
      </c>
      <c r="Y71" s="188" t="str">
        <f t="shared" si="33"/>
        <v>101-E394</v>
      </c>
      <c r="Z71" s="188">
        <f t="shared" si="34"/>
        <v>0</v>
      </c>
      <c r="AA71" s="188">
        <f t="shared" si="35"/>
        <v>0</v>
      </c>
      <c r="AB71" s="188">
        <f t="shared" si="36"/>
        <v>0</v>
      </c>
      <c r="AC71" s="188">
        <f t="shared" si="37"/>
        <v>0</v>
      </c>
      <c r="AD71" s="188">
        <f t="shared" si="38"/>
        <v>0</v>
      </c>
      <c r="AE71" s="183">
        <f t="shared" si="39"/>
        <v>0</v>
      </c>
    </row>
    <row r="72" spans="1:31" x14ac:dyDescent="0.25">
      <c r="A72" s="188" t="s">
        <v>217</v>
      </c>
      <c r="B72" s="188" t="s">
        <v>529</v>
      </c>
      <c r="C72" s="188" t="s">
        <v>160</v>
      </c>
      <c r="D72" s="188" t="str">
        <f t="shared" si="22"/>
        <v>101-E394</v>
      </c>
      <c r="E72" s="188">
        <v>0</v>
      </c>
      <c r="F72" s="188">
        <v>2916</v>
      </c>
      <c r="G72" s="188">
        <v>9635.94</v>
      </c>
      <c r="H72" s="188">
        <v>47294.1</v>
      </c>
      <c r="I72" s="188">
        <v>0</v>
      </c>
      <c r="J72" s="183">
        <v>0</v>
      </c>
      <c r="L72" s="188" t="str">
        <f t="shared" si="23"/>
        <v>Colstrip 3&amp;4</v>
      </c>
      <c r="M72" s="188" t="str">
        <f t="shared" si="24"/>
        <v>E3940 GEN Tools, Colstrip 4</v>
      </c>
      <c r="N72" s="188" t="str">
        <f t="shared" si="20"/>
        <v>Programmatic</v>
      </c>
      <c r="O72" s="188" t="str">
        <f t="shared" si="25"/>
        <v>101-E394</v>
      </c>
      <c r="P72" s="188">
        <f t="shared" si="26"/>
        <v>0</v>
      </c>
      <c r="Q72" s="188">
        <f t="shared" si="27"/>
        <v>2916</v>
      </c>
      <c r="R72" s="188">
        <f t="shared" si="28"/>
        <v>9635.94</v>
      </c>
      <c r="S72" s="188">
        <f t="shared" si="29"/>
        <v>47294.1</v>
      </c>
      <c r="T72" s="188">
        <f t="shared" si="30"/>
        <v>0</v>
      </c>
      <c r="V72" s="188" t="str">
        <f t="shared" si="31"/>
        <v>Colstrip 3&amp;4</v>
      </c>
      <c r="W72" s="188" t="str">
        <f t="shared" si="32"/>
        <v>E3940 GEN Tools, Colstrip 4</v>
      </c>
      <c r="X72" s="188" t="str">
        <f t="shared" si="21"/>
        <v>Programmatic</v>
      </c>
      <c r="Y72" s="188" t="str">
        <f t="shared" si="33"/>
        <v>101-E394</v>
      </c>
      <c r="Z72" s="188">
        <f t="shared" si="34"/>
        <v>0</v>
      </c>
      <c r="AA72" s="188">
        <f t="shared" si="35"/>
        <v>0</v>
      </c>
      <c r="AB72" s="188">
        <f t="shared" si="36"/>
        <v>0</v>
      </c>
      <c r="AC72" s="188">
        <f t="shared" si="37"/>
        <v>0</v>
      </c>
      <c r="AD72" s="188">
        <f t="shared" si="38"/>
        <v>0</v>
      </c>
      <c r="AE72" s="183">
        <f t="shared" si="39"/>
        <v>0</v>
      </c>
    </row>
    <row r="73" spans="1:31" x14ac:dyDescent="0.25">
      <c r="A73" s="188" t="s">
        <v>217</v>
      </c>
      <c r="B73" s="188" t="s">
        <v>375</v>
      </c>
      <c r="C73" s="188" t="s">
        <v>160</v>
      </c>
      <c r="D73" s="188" t="str">
        <f t="shared" si="22"/>
        <v>101-E394</v>
      </c>
      <c r="E73" s="188">
        <v>0</v>
      </c>
      <c r="F73" s="188">
        <v>1278.8399999999999</v>
      </c>
      <c r="G73" s="188">
        <v>4225.9799999999996</v>
      </c>
      <c r="H73" s="188">
        <v>20741.53</v>
      </c>
      <c r="I73" s="188">
        <v>0</v>
      </c>
      <c r="J73" s="183">
        <v>0</v>
      </c>
      <c r="L73" s="188" t="str">
        <f t="shared" si="23"/>
        <v>Colstrip 3&amp;4</v>
      </c>
      <c r="M73" s="188" t="str">
        <f t="shared" si="24"/>
        <v>E3940 GEN Tools/Garage/Shop, new</v>
      </c>
      <c r="N73" s="188" t="str">
        <f t="shared" si="20"/>
        <v>Programmatic</v>
      </c>
      <c r="O73" s="188" t="str">
        <f t="shared" si="25"/>
        <v>101-E394</v>
      </c>
      <c r="P73" s="188">
        <f t="shared" si="26"/>
        <v>0</v>
      </c>
      <c r="Q73" s="188">
        <f t="shared" si="27"/>
        <v>1278.8399999999999</v>
      </c>
      <c r="R73" s="188">
        <f t="shared" si="28"/>
        <v>4225.9799999999996</v>
      </c>
      <c r="S73" s="188">
        <f t="shared" si="29"/>
        <v>20741.53</v>
      </c>
      <c r="T73" s="188">
        <f t="shared" si="30"/>
        <v>0</v>
      </c>
      <c r="V73" s="188" t="str">
        <f t="shared" si="31"/>
        <v>Colstrip 3&amp;4</v>
      </c>
      <c r="W73" s="188" t="str">
        <f t="shared" si="32"/>
        <v>E3940 GEN Tools/Garage/Shop, new</v>
      </c>
      <c r="X73" s="188" t="str">
        <f t="shared" si="21"/>
        <v>Programmatic</v>
      </c>
      <c r="Y73" s="188" t="str">
        <f t="shared" si="33"/>
        <v>101-E394</v>
      </c>
      <c r="Z73" s="188">
        <f t="shared" si="34"/>
        <v>0</v>
      </c>
      <c r="AA73" s="188">
        <f t="shared" si="35"/>
        <v>0</v>
      </c>
      <c r="AB73" s="188">
        <f t="shared" si="36"/>
        <v>0</v>
      </c>
      <c r="AC73" s="188">
        <f t="shared" si="37"/>
        <v>0</v>
      </c>
      <c r="AD73" s="188">
        <f t="shared" si="38"/>
        <v>0</v>
      </c>
      <c r="AE73" s="183">
        <f t="shared" si="39"/>
        <v>0</v>
      </c>
    </row>
    <row r="74" spans="1:31" x14ac:dyDescent="0.25">
      <c r="A74" s="188" t="s">
        <v>217</v>
      </c>
      <c r="B74" s="188" t="s">
        <v>528</v>
      </c>
      <c r="C74" s="188" t="s">
        <v>160</v>
      </c>
      <c r="D74" s="188" t="str">
        <f t="shared" si="22"/>
        <v>101-E396</v>
      </c>
      <c r="E74" s="188">
        <v>0</v>
      </c>
      <c r="F74" s="188">
        <v>2194.92</v>
      </c>
      <c r="G74" s="188">
        <v>7253.1</v>
      </c>
      <c r="H74" s="188">
        <v>35598.78</v>
      </c>
      <c r="I74" s="188">
        <v>0</v>
      </c>
      <c r="J74" s="183">
        <v>0</v>
      </c>
      <c r="L74" s="188" t="str">
        <f t="shared" si="23"/>
        <v>Colstrip 3&amp;4</v>
      </c>
      <c r="M74" s="188" t="str">
        <f t="shared" si="24"/>
        <v>E396 GEN Power-Op Equip, Colstrip 3</v>
      </c>
      <c r="N74" s="188" t="str">
        <f t="shared" si="20"/>
        <v>Programmatic</v>
      </c>
      <c r="O74" s="188" t="str">
        <f t="shared" si="25"/>
        <v>101-E396</v>
      </c>
      <c r="P74" s="188">
        <f t="shared" si="26"/>
        <v>0</v>
      </c>
      <c r="Q74" s="188">
        <f t="shared" si="27"/>
        <v>2194.92</v>
      </c>
      <c r="R74" s="188">
        <f t="shared" si="28"/>
        <v>7253.1</v>
      </c>
      <c r="S74" s="188">
        <f t="shared" si="29"/>
        <v>35598.78</v>
      </c>
      <c r="T74" s="188">
        <f t="shared" si="30"/>
        <v>0</v>
      </c>
      <c r="V74" s="188" t="str">
        <f t="shared" si="31"/>
        <v>Colstrip 3&amp;4</v>
      </c>
      <c r="W74" s="188" t="str">
        <f t="shared" si="32"/>
        <v>E396 GEN Power-Op Equip, Colstrip 3</v>
      </c>
      <c r="X74" s="188" t="str">
        <f t="shared" si="21"/>
        <v>Programmatic</v>
      </c>
      <c r="Y74" s="188" t="str">
        <f t="shared" si="33"/>
        <v>101-E396</v>
      </c>
      <c r="Z74" s="188">
        <f t="shared" si="34"/>
        <v>0</v>
      </c>
      <c r="AA74" s="188">
        <f t="shared" si="35"/>
        <v>0</v>
      </c>
      <c r="AB74" s="188">
        <f t="shared" si="36"/>
        <v>0</v>
      </c>
      <c r="AC74" s="188">
        <f t="shared" si="37"/>
        <v>0</v>
      </c>
      <c r="AD74" s="188">
        <f t="shared" si="38"/>
        <v>0</v>
      </c>
      <c r="AE74" s="183">
        <f t="shared" si="39"/>
        <v>0</v>
      </c>
    </row>
    <row r="75" spans="1:31" x14ac:dyDescent="0.25">
      <c r="A75" s="188" t="s">
        <v>217</v>
      </c>
      <c r="B75" s="188" t="s">
        <v>527</v>
      </c>
      <c r="C75" s="188" t="s">
        <v>160</v>
      </c>
      <c r="D75" s="188" t="str">
        <f t="shared" si="22"/>
        <v>101-E396</v>
      </c>
      <c r="E75" s="188">
        <v>0</v>
      </c>
      <c r="F75" s="188">
        <v>2488.1999999999998</v>
      </c>
      <c r="G75" s="188">
        <v>8222.35</v>
      </c>
      <c r="H75" s="188">
        <v>40355.93</v>
      </c>
      <c r="I75" s="188">
        <v>0</v>
      </c>
      <c r="J75" s="183">
        <v>0</v>
      </c>
      <c r="L75" s="188" t="str">
        <f t="shared" si="23"/>
        <v>Colstrip 3&amp;4</v>
      </c>
      <c r="M75" s="188" t="str">
        <f t="shared" si="24"/>
        <v>E396 GEN Power-Op Equip, Colstrip 4</v>
      </c>
      <c r="N75" s="188" t="str">
        <f t="shared" si="20"/>
        <v>Programmatic</v>
      </c>
      <c r="O75" s="188" t="str">
        <f t="shared" si="25"/>
        <v>101-E396</v>
      </c>
      <c r="P75" s="188">
        <f t="shared" si="26"/>
        <v>0</v>
      </c>
      <c r="Q75" s="188">
        <f t="shared" si="27"/>
        <v>2488.1999999999998</v>
      </c>
      <c r="R75" s="188">
        <f t="shared" si="28"/>
        <v>8222.35</v>
      </c>
      <c r="S75" s="188">
        <f t="shared" si="29"/>
        <v>40355.93</v>
      </c>
      <c r="T75" s="188">
        <f t="shared" si="30"/>
        <v>0</v>
      </c>
      <c r="V75" s="188" t="str">
        <f t="shared" si="31"/>
        <v>Colstrip 3&amp;4</v>
      </c>
      <c r="W75" s="188" t="str">
        <f t="shared" si="32"/>
        <v>E396 GEN Power-Op Equip, Colstrip 4</v>
      </c>
      <c r="X75" s="188" t="str">
        <f t="shared" si="21"/>
        <v>Programmatic</v>
      </c>
      <c r="Y75" s="188" t="str">
        <f t="shared" si="33"/>
        <v>101-E396</v>
      </c>
      <c r="Z75" s="188">
        <f t="shared" si="34"/>
        <v>0</v>
      </c>
      <c r="AA75" s="188">
        <f t="shared" si="35"/>
        <v>0</v>
      </c>
      <c r="AB75" s="188">
        <f t="shared" si="36"/>
        <v>0</v>
      </c>
      <c r="AC75" s="188">
        <f t="shared" si="37"/>
        <v>0</v>
      </c>
      <c r="AD75" s="188">
        <f t="shared" si="38"/>
        <v>0</v>
      </c>
      <c r="AE75" s="183">
        <f t="shared" si="39"/>
        <v>0</v>
      </c>
    </row>
    <row r="76" spans="1:31" x14ac:dyDescent="0.25">
      <c r="A76" s="188" t="s">
        <v>217</v>
      </c>
      <c r="B76" s="188" t="s">
        <v>373</v>
      </c>
      <c r="C76" s="188" t="s">
        <v>160</v>
      </c>
      <c r="D76" s="188" t="str">
        <f t="shared" si="22"/>
        <v>101-E396</v>
      </c>
      <c r="E76" s="188">
        <v>0</v>
      </c>
      <c r="F76" s="188">
        <v>442.2</v>
      </c>
      <c r="G76" s="188">
        <v>1461.29</v>
      </c>
      <c r="H76" s="188">
        <v>7172.34</v>
      </c>
      <c r="I76" s="188">
        <v>0</v>
      </c>
      <c r="J76" s="183">
        <v>0</v>
      </c>
      <c r="L76" s="188" t="str">
        <f t="shared" si="23"/>
        <v>Colstrip 3&amp;4</v>
      </c>
      <c r="M76" s="188" t="str">
        <f t="shared" si="24"/>
        <v>E396 GEN Power-Op Equip, new</v>
      </c>
      <c r="N76" s="188" t="str">
        <f t="shared" si="20"/>
        <v>Programmatic</v>
      </c>
      <c r="O76" s="188" t="str">
        <f t="shared" si="25"/>
        <v>101-E396</v>
      </c>
      <c r="P76" s="188">
        <f t="shared" si="26"/>
        <v>0</v>
      </c>
      <c r="Q76" s="188">
        <f t="shared" si="27"/>
        <v>442.2</v>
      </c>
      <c r="R76" s="188">
        <f t="shared" si="28"/>
        <v>1461.29</v>
      </c>
      <c r="S76" s="188">
        <f t="shared" si="29"/>
        <v>7172.34</v>
      </c>
      <c r="T76" s="188">
        <f t="shared" si="30"/>
        <v>0</v>
      </c>
      <c r="V76" s="188" t="str">
        <f t="shared" si="31"/>
        <v>Colstrip 3&amp;4</v>
      </c>
      <c r="W76" s="188" t="str">
        <f t="shared" si="32"/>
        <v>E396 GEN Power-Op Equip, new</v>
      </c>
      <c r="X76" s="188" t="str">
        <f t="shared" si="21"/>
        <v>Programmatic</v>
      </c>
      <c r="Y76" s="188" t="str">
        <f t="shared" si="33"/>
        <v>101-E396</v>
      </c>
      <c r="Z76" s="188">
        <f t="shared" si="34"/>
        <v>0</v>
      </c>
      <c r="AA76" s="188">
        <f t="shared" si="35"/>
        <v>0</v>
      </c>
      <c r="AB76" s="188">
        <f t="shared" si="36"/>
        <v>0</v>
      </c>
      <c r="AC76" s="188">
        <f t="shared" si="37"/>
        <v>0</v>
      </c>
      <c r="AD76" s="188">
        <f t="shared" si="38"/>
        <v>0</v>
      </c>
      <c r="AE76" s="183">
        <f t="shared" si="39"/>
        <v>0</v>
      </c>
    </row>
    <row r="77" spans="1:31" x14ac:dyDescent="0.25">
      <c r="A77" s="188" t="s">
        <v>216</v>
      </c>
      <c r="B77" s="188" t="s">
        <v>512</v>
      </c>
      <c r="C77" s="188" t="s">
        <v>173</v>
      </c>
      <c r="D77" s="188" t="str">
        <f t="shared" si="22"/>
        <v>101-C389</v>
      </c>
      <c r="E77" s="188">
        <v>0</v>
      </c>
      <c r="F77" s="188">
        <v>0</v>
      </c>
      <c r="G77" s="188">
        <v>0</v>
      </c>
      <c r="H77" s="188">
        <v>648599.62</v>
      </c>
      <c r="I77" s="188">
        <v>0</v>
      </c>
      <c r="J77" s="183">
        <v>0</v>
      </c>
      <c r="L77" s="188" t="str">
        <f t="shared" si="23"/>
        <v>Control Center</v>
      </c>
      <c r="M77" s="188" t="str">
        <f t="shared" si="24"/>
        <v>C389 CMN Land &amp; Land Rights</v>
      </c>
      <c r="N77" s="188" t="str">
        <f t="shared" si="20"/>
        <v>Specific</v>
      </c>
      <c r="O77" s="188" t="str">
        <f t="shared" si="25"/>
        <v>101-C389</v>
      </c>
      <c r="P77" s="188">
        <f t="shared" si="26"/>
        <v>0</v>
      </c>
      <c r="Q77" s="188">
        <f t="shared" si="27"/>
        <v>0</v>
      </c>
      <c r="R77" s="188">
        <f t="shared" si="28"/>
        <v>0</v>
      </c>
      <c r="S77" s="188">
        <f t="shared" si="29"/>
        <v>427686.58942799998</v>
      </c>
      <c r="T77" s="188">
        <f t="shared" si="30"/>
        <v>0</v>
      </c>
      <c r="V77" s="188" t="str">
        <f t="shared" si="31"/>
        <v>Control Center</v>
      </c>
      <c r="W77" s="188" t="str">
        <f t="shared" si="32"/>
        <v>C389 CMN Land &amp; Land Rights</v>
      </c>
      <c r="X77" s="188" t="str">
        <f t="shared" si="21"/>
        <v>Specific</v>
      </c>
      <c r="Y77" s="188" t="str">
        <f t="shared" si="33"/>
        <v>101-C389</v>
      </c>
      <c r="Z77" s="188">
        <f t="shared" si="34"/>
        <v>0</v>
      </c>
      <c r="AA77" s="188">
        <f t="shared" si="35"/>
        <v>0</v>
      </c>
      <c r="AB77" s="188">
        <f t="shared" si="36"/>
        <v>0</v>
      </c>
      <c r="AC77" s="188">
        <f t="shared" si="37"/>
        <v>220913.03057200002</v>
      </c>
      <c r="AD77" s="188">
        <f t="shared" si="38"/>
        <v>0</v>
      </c>
      <c r="AE77" s="183">
        <f t="shared" si="39"/>
        <v>0</v>
      </c>
    </row>
    <row r="78" spans="1:31" x14ac:dyDescent="0.25">
      <c r="A78" s="188" t="s">
        <v>6</v>
      </c>
      <c r="B78" s="188" t="s">
        <v>324</v>
      </c>
      <c r="C78" s="188" t="s">
        <v>172</v>
      </c>
      <c r="D78" s="188" t="str">
        <f t="shared" si="22"/>
        <v>101-E355</v>
      </c>
      <c r="E78" s="188">
        <v>0</v>
      </c>
      <c r="F78" s="188">
        <v>10436.65</v>
      </c>
      <c r="G78" s="188">
        <v>23524.61</v>
      </c>
      <c r="H78" s="188">
        <v>62907.34</v>
      </c>
      <c r="I78" s="188">
        <v>0</v>
      </c>
      <c r="J78" s="183">
        <v>0</v>
      </c>
      <c r="L78" s="188" t="str">
        <f t="shared" si="23"/>
        <v>Customer Construction Electric</v>
      </c>
      <c r="M78" s="188" t="str">
        <f t="shared" si="24"/>
        <v>E3556 TSM Poles</v>
      </c>
      <c r="N78" s="188" t="str">
        <f t="shared" si="20"/>
        <v>Programmatic Customer Drive</v>
      </c>
      <c r="O78" s="188" t="str">
        <f t="shared" si="25"/>
        <v>101-E355</v>
      </c>
      <c r="P78" s="188">
        <f t="shared" si="26"/>
        <v>0</v>
      </c>
      <c r="Q78" s="188">
        <f t="shared" si="27"/>
        <v>10436.65</v>
      </c>
      <c r="R78" s="188">
        <f t="shared" si="28"/>
        <v>23524.61</v>
      </c>
      <c r="S78" s="188">
        <f t="shared" si="29"/>
        <v>62907.34</v>
      </c>
      <c r="T78" s="188">
        <f t="shared" si="30"/>
        <v>0</v>
      </c>
      <c r="V78" s="188" t="str">
        <f t="shared" si="31"/>
        <v>Customer Construction Electric</v>
      </c>
      <c r="W78" s="188" t="str">
        <f t="shared" si="32"/>
        <v>E3556 TSM Poles</v>
      </c>
      <c r="X78" s="188" t="str">
        <f t="shared" si="21"/>
        <v>Programmatic Customer Drive</v>
      </c>
      <c r="Y78" s="188" t="str">
        <f t="shared" si="33"/>
        <v>101-E355</v>
      </c>
      <c r="Z78" s="188">
        <f t="shared" si="34"/>
        <v>0</v>
      </c>
      <c r="AA78" s="188">
        <f t="shared" si="35"/>
        <v>0</v>
      </c>
      <c r="AB78" s="188">
        <f t="shared" si="36"/>
        <v>0</v>
      </c>
      <c r="AC78" s="188">
        <f t="shared" si="37"/>
        <v>0</v>
      </c>
      <c r="AD78" s="188">
        <f t="shared" si="38"/>
        <v>0</v>
      </c>
      <c r="AE78" s="183">
        <f t="shared" si="39"/>
        <v>0</v>
      </c>
    </row>
    <row r="79" spans="1:31" x14ac:dyDescent="0.25">
      <c r="A79" s="188" t="s">
        <v>6</v>
      </c>
      <c r="B79" s="188" t="s">
        <v>388</v>
      </c>
      <c r="C79" s="188" t="s">
        <v>172</v>
      </c>
      <c r="D79" s="188" t="str">
        <f t="shared" si="22"/>
        <v>101-E362</v>
      </c>
      <c r="E79" s="188">
        <v>0</v>
      </c>
      <c r="F79" s="188">
        <v>813776.53</v>
      </c>
      <c r="G79" s="188">
        <v>1845301.21</v>
      </c>
      <c r="H79" s="188">
        <v>4956871.25</v>
      </c>
      <c r="I79" s="188">
        <v>0</v>
      </c>
      <c r="J79" s="183">
        <v>0</v>
      </c>
      <c r="L79" s="188" t="str">
        <f t="shared" si="23"/>
        <v>Customer Construction Electric</v>
      </c>
      <c r="M79" s="188" t="str">
        <f t="shared" si="24"/>
        <v>E3620 DST Substation Equipment</v>
      </c>
      <c r="N79" s="188" t="str">
        <f t="shared" si="20"/>
        <v>Programmatic Customer Drive</v>
      </c>
      <c r="O79" s="188" t="str">
        <f t="shared" si="25"/>
        <v>101-E362</v>
      </c>
      <c r="P79" s="188">
        <f t="shared" si="26"/>
        <v>0</v>
      </c>
      <c r="Q79" s="188">
        <f t="shared" si="27"/>
        <v>813776.53</v>
      </c>
      <c r="R79" s="188">
        <f t="shared" si="28"/>
        <v>1845301.21</v>
      </c>
      <c r="S79" s="188">
        <f t="shared" si="29"/>
        <v>4956871.25</v>
      </c>
      <c r="T79" s="188">
        <f t="shared" si="30"/>
        <v>0</v>
      </c>
      <c r="V79" s="188" t="str">
        <f t="shared" si="31"/>
        <v>Customer Construction Electric</v>
      </c>
      <c r="W79" s="188" t="str">
        <f t="shared" si="32"/>
        <v>E3620 DST Substation Equipment</v>
      </c>
      <c r="X79" s="188" t="str">
        <f t="shared" si="21"/>
        <v>Programmatic Customer Drive</v>
      </c>
      <c r="Y79" s="188" t="str">
        <f t="shared" si="33"/>
        <v>101-E362</v>
      </c>
      <c r="Z79" s="188">
        <f t="shared" si="34"/>
        <v>0</v>
      </c>
      <c r="AA79" s="188">
        <f t="shared" si="35"/>
        <v>0</v>
      </c>
      <c r="AB79" s="188">
        <f t="shared" si="36"/>
        <v>0</v>
      </c>
      <c r="AC79" s="188">
        <f t="shared" si="37"/>
        <v>0</v>
      </c>
      <c r="AD79" s="188">
        <f t="shared" si="38"/>
        <v>0</v>
      </c>
      <c r="AE79" s="183">
        <f t="shared" si="39"/>
        <v>0</v>
      </c>
    </row>
    <row r="80" spans="1:31" x14ac:dyDescent="0.25">
      <c r="A80" s="188" t="s">
        <v>6</v>
      </c>
      <c r="B80" s="188" t="s">
        <v>318</v>
      </c>
      <c r="C80" s="188" t="s">
        <v>172</v>
      </c>
      <c r="D80" s="188" t="str">
        <f t="shared" si="22"/>
        <v>101-E364</v>
      </c>
      <c r="E80" s="188">
        <v>0</v>
      </c>
      <c r="F80" s="188">
        <v>62099.82</v>
      </c>
      <c r="G80" s="188">
        <v>96736.42</v>
      </c>
      <c r="H80" s="188">
        <v>181611.91</v>
      </c>
      <c r="I80" s="188">
        <v>0</v>
      </c>
      <c r="J80" s="183">
        <v>0</v>
      </c>
      <c r="L80" s="188" t="str">
        <f t="shared" si="23"/>
        <v>Customer Construction Electric</v>
      </c>
      <c r="M80" s="188" t="str">
        <f t="shared" si="24"/>
        <v>E3640 DST Poles/Towers/Fixtures</v>
      </c>
      <c r="N80" s="188" t="str">
        <f t="shared" si="20"/>
        <v>Programmatic Customer Drive</v>
      </c>
      <c r="O80" s="188" t="str">
        <f t="shared" si="25"/>
        <v>101-E364</v>
      </c>
      <c r="P80" s="188">
        <f t="shared" si="26"/>
        <v>0</v>
      </c>
      <c r="Q80" s="188">
        <f t="shared" si="27"/>
        <v>62099.82</v>
      </c>
      <c r="R80" s="188">
        <f t="shared" si="28"/>
        <v>96736.42</v>
      </c>
      <c r="S80" s="188">
        <f t="shared" si="29"/>
        <v>181611.91</v>
      </c>
      <c r="T80" s="188">
        <f t="shared" si="30"/>
        <v>0</v>
      </c>
      <c r="V80" s="188" t="str">
        <f t="shared" si="31"/>
        <v>Customer Construction Electric</v>
      </c>
      <c r="W80" s="188" t="str">
        <f t="shared" si="32"/>
        <v>E3640 DST Poles/Towers/Fixtures</v>
      </c>
      <c r="X80" s="188" t="str">
        <f t="shared" si="21"/>
        <v>Programmatic Customer Drive</v>
      </c>
      <c r="Y80" s="188" t="str">
        <f t="shared" si="33"/>
        <v>101-E364</v>
      </c>
      <c r="Z80" s="188">
        <f t="shared" si="34"/>
        <v>0</v>
      </c>
      <c r="AA80" s="188">
        <f t="shared" si="35"/>
        <v>0</v>
      </c>
      <c r="AB80" s="188">
        <f t="shared" si="36"/>
        <v>0</v>
      </c>
      <c r="AC80" s="188">
        <f t="shared" si="37"/>
        <v>0</v>
      </c>
      <c r="AD80" s="188">
        <f t="shared" si="38"/>
        <v>0</v>
      </c>
      <c r="AE80" s="183">
        <f t="shared" si="39"/>
        <v>0</v>
      </c>
    </row>
    <row r="81" spans="1:31" x14ac:dyDescent="0.25">
      <c r="A81" s="188" t="s">
        <v>6</v>
      </c>
      <c r="B81" s="188" t="s">
        <v>327</v>
      </c>
      <c r="C81" s="188" t="s">
        <v>172</v>
      </c>
      <c r="D81" s="188" t="str">
        <f t="shared" si="22"/>
        <v>101-E365</v>
      </c>
      <c r="E81" s="188">
        <v>0</v>
      </c>
      <c r="F81" s="188">
        <v>982230.87</v>
      </c>
      <c r="G81" s="188">
        <v>1064101.77</v>
      </c>
      <c r="H81" s="188">
        <v>1148492.1499999999</v>
      </c>
      <c r="I81" s="188">
        <v>0</v>
      </c>
      <c r="J81" s="183">
        <v>0</v>
      </c>
      <c r="L81" s="188" t="str">
        <f t="shared" si="23"/>
        <v>Customer Construction Electric</v>
      </c>
      <c r="M81" s="188" t="str">
        <f t="shared" si="24"/>
        <v>E3650 DST O/H Conductor/Devices</v>
      </c>
      <c r="N81" s="188" t="str">
        <f t="shared" si="20"/>
        <v>Programmatic Customer Drive</v>
      </c>
      <c r="O81" s="188" t="str">
        <f t="shared" si="25"/>
        <v>101-E365</v>
      </c>
      <c r="P81" s="188">
        <f t="shared" si="26"/>
        <v>0</v>
      </c>
      <c r="Q81" s="188">
        <f t="shared" si="27"/>
        <v>982230.87</v>
      </c>
      <c r="R81" s="188">
        <f t="shared" si="28"/>
        <v>1064101.77</v>
      </c>
      <c r="S81" s="188">
        <f t="shared" si="29"/>
        <v>1148492.1499999999</v>
      </c>
      <c r="T81" s="188">
        <f t="shared" si="30"/>
        <v>0</v>
      </c>
      <c r="V81" s="188" t="str">
        <f t="shared" si="31"/>
        <v>Customer Construction Electric</v>
      </c>
      <c r="W81" s="188" t="str">
        <f t="shared" si="32"/>
        <v>E3650 DST O/H Conductor/Devices</v>
      </c>
      <c r="X81" s="188" t="str">
        <f t="shared" si="21"/>
        <v>Programmatic Customer Drive</v>
      </c>
      <c r="Y81" s="188" t="str">
        <f t="shared" si="33"/>
        <v>101-E365</v>
      </c>
      <c r="Z81" s="188">
        <f t="shared" si="34"/>
        <v>0</v>
      </c>
      <c r="AA81" s="188">
        <f t="shared" si="35"/>
        <v>0</v>
      </c>
      <c r="AB81" s="188">
        <f t="shared" si="36"/>
        <v>0</v>
      </c>
      <c r="AC81" s="188">
        <f t="shared" si="37"/>
        <v>0</v>
      </c>
      <c r="AD81" s="188">
        <f t="shared" si="38"/>
        <v>0</v>
      </c>
      <c r="AE81" s="183">
        <f t="shared" si="39"/>
        <v>0</v>
      </c>
    </row>
    <row r="82" spans="1:31" x14ac:dyDescent="0.25">
      <c r="A82" s="188" t="s">
        <v>6</v>
      </c>
      <c r="B82" s="188" t="s">
        <v>317</v>
      </c>
      <c r="C82" s="188" t="s">
        <v>172</v>
      </c>
      <c r="D82" s="188" t="str">
        <f t="shared" si="22"/>
        <v>101-E366</v>
      </c>
      <c r="E82" s="188">
        <v>0</v>
      </c>
      <c r="F82" s="188">
        <v>2413287.71</v>
      </c>
      <c r="G82" s="188">
        <v>2668552.98</v>
      </c>
      <c r="H82" s="188">
        <v>3010103.72</v>
      </c>
      <c r="I82" s="188">
        <v>0</v>
      </c>
      <c r="J82" s="183">
        <v>0</v>
      </c>
      <c r="L82" s="188" t="str">
        <f t="shared" si="23"/>
        <v>Customer Construction Electric</v>
      </c>
      <c r="M82" s="188" t="str">
        <f t="shared" si="24"/>
        <v>E3660 DST U/G Conduit</v>
      </c>
      <c r="N82" s="188" t="str">
        <f t="shared" si="20"/>
        <v>Programmatic Customer Drive</v>
      </c>
      <c r="O82" s="188" t="str">
        <f t="shared" si="25"/>
        <v>101-E366</v>
      </c>
      <c r="P82" s="188">
        <f t="shared" si="26"/>
        <v>0</v>
      </c>
      <c r="Q82" s="188">
        <f t="shared" si="27"/>
        <v>2413287.71</v>
      </c>
      <c r="R82" s="188">
        <f t="shared" si="28"/>
        <v>2668552.98</v>
      </c>
      <c r="S82" s="188">
        <f t="shared" si="29"/>
        <v>3010103.72</v>
      </c>
      <c r="T82" s="188">
        <f t="shared" si="30"/>
        <v>0</v>
      </c>
      <c r="V82" s="188" t="str">
        <f t="shared" si="31"/>
        <v>Customer Construction Electric</v>
      </c>
      <c r="W82" s="188" t="str">
        <f t="shared" si="32"/>
        <v>E3660 DST U/G Conduit</v>
      </c>
      <c r="X82" s="188" t="str">
        <f t="shared" si="21"/>
        <v>Programmatic Customer Drive</v>
      </c>
      <c r="Y82" s="188" t="str">
        <f t="shared" si="33"/>
        <v>101-E366</v>
      </c>
      <c r="Z82" s="188">
        <f t="shared" si="34"/>
        <v>0</v>
      </c>
      <c r="AA82" s="188">
        <f t="shared" si="35"/>
        <v>0</v>
      </c>
      <c r="AB82" s="188">
        <f t="shared" si="36"/>
        <v>0</v>
      </c>
      <c r="AC82" s="188">
        <f t="shared" si="37"/>
        <v>0</v>
      </c>
      <c r="AD82" s="188">
        <f t="shared" si="38"/>
        <v>0</v>
      </c>
      <c r="AE82" s="183">
        <f t="shared" si="39"/>
        <v>0</v>
      </c>
    </row>
    <row r="83" spans="1:31" x14ac:dyDescent="0.25">
      <c r="A83" s="188" t="s">
        <v>6</v>
      </c>
      <c r="B83" s="188" t="s">
        <v>316</v>
      </c>
      <c r="C83" s="188" t="s">
        <v>172</v>
      </c>
      <c r="D83" s="188" t="str">
        <f t="shared" si="22"/>
        <v>101-E367</v>
      </c>
      <c r="E83" s="188">
        <v>0</v>
      </c>
      <c r="F83" s="188">
        <v>2993898.79</v>
      </c>
      <c r="G83" s="188">
        <v>3278746.93</v>
      </c>
      <c r="H83" s="188">
        <v>3568270.01</v>
      </c>
      <c r="I83" s="188">
        <v>0</v>
      </c>
      <c r="J83" s="183">
        <v>0</v>
      </c>
      <c r="L83" s="188" t="str">
        <f t="shared" si="23"/>
        <v>Customer Construction Electric</v>
      </c>
      <c r="M83" s="188" t="str">
        <f t="shared" si="24"/>
        <v>E3670 DST U/G Conductor/Devices</v>
      </c>
      <c r="N83" s="188" t="str">
        <f t="shared" si="20"/>
        <v>Programmatic Customer Drive</v>
      </c>
      <c r="O83" s="188" t="str">
        <f t="shared" si="25"/>
        <v>101-E367</v>
      </c>
      <c r="P83" s="188">
        <f t="shared" si="26"/>
        <v>0</v>
      </c>
      <c r="Q83" s="188">
        <f t="shared" si="27"/>
        <v>2993898.79</v>
      </c>
      <c r="R83" s="188">
        <f t="shared" si="28"/>
        <v>3278746.93</v>
      </c>
      <c r="S83" s="188">
        <f t="shared" si="29"/>
        <v>3568270.01</v>
      </c>
      <c r="T83" s="188">
        <f t="shared" si="30"/>
        <v>0</v>
      </c>
      <c r="V83" s="188" t="str">
        <f t="shared" si="31"/>
        <v>Customer Construction Electric</v>
      </c>
      <c r="W83" s="188" t="str">
        <f t="shared" si="32"/>
        <v>E3670 DST U/G Conductor/Devices</v>
      </c>
      <c r="X83" s="188" t="str">
        <f t="shared" si="21"/>
        <v>Programmatic Customer Drive</v>
      </c>
      <c r="Y83" s="188" t="str">
        <f t="shared" si="33"/>
        <v>101-E367</v>
      </c>
      <c r="Z83" s="188">
        <f t="shared" si="34"/>
        <v>0</v>
      </c>
      <c r="AA83" s="188">
        <f t="shared" si="35"/>
        <v>0</v>
      </c>
      <c r="AB83" s="188">
        <f t="shared" si="36"/>
        <v>0</v>
      </c>
      <c r="AC83" s="188">
        <f t="shared" si="37"/>
        <v>0</v>
      </c>
      <c r="AD83" s="188">
        <f t="shared" si="38"/>
        <v>0</v>
      </c>
      <c r="AE83" s="183">
        <f t="shared" si="39"/>
        <v>0</v>
      </c>
    </row>
    <row r="84" spans="1:31" x14ac:dyDescent="0.25">
      <c r="A84" s="188" t="s">
        <v>6</v>
      </c>
      <c r="B84" s="188" t="s">
        <v>387</v>
      </c>
      <c r="C84" s="188" t="s">
        <v>172</v>
      </c>
      <c r="D84" s="188" t="str">
        <f t="shared" si="22"/>
        <v>101-E368</v>
      </c>
      <c r="E84" s="188">
        <v>0</v>
      </c>
      <c r="F84" s="188">
        <v>384386.41</v>
      </c>
      <c r="G84" s="188">
        <v>467130.32</v>
      </c>
      <c r="H84" s="188">
        <v>610359.73</v>
      </c>
      <c r="I84" s="188">
        <v>0</v>
      </c>
      <c r="J84" s="183">
        <v>0</v>
      </c>
      <c r="L84" s="188" t="str">
        <f t="shared" si="23"/>
        <v>Customer Construction Electric</v>
      </c>
      <c r="M84" s="188" t="str">
        <f t="shared" si="24"/>
        <v>E368 DST Line Transformers</v>
      </c>
      <c r="N84" s="188" t="str">
        <f t="shared" si="20"/>
        <v>Programmatic Customer Drive</v>
      </c>
      <c r="O84" s="188" t="str">
        <f t="shared" si="25"/>
        <v>101-E368</v>
      </c>
      <c r="P84" s="188">
        <f t="shared" si="26"/>
        <v>0</v>
      </c>
      <c r="Q84" s="188">
        <f t="shared" si="27"/>
        <v>384386.41</v>
      </c>
      <c r="R84" s="188">
        <f t="shared" si="28"/>
        <v>467130.32</v>
      </c>
      <c r="S84" s="188">
        <f t="shared" si="29"/>
        <v>610359.73</v>
      </c>
      <c r="T84" s="188">
        <f t="shared" si="30"/>
        <v>0</v>
      </c>
      <c r="V84" s="188" t="str">
        <f t="shared" si="31"/>
        <v>Customer Construction Electric</v>
      </c>
      <c r="W84" s="188" t="str">
        <f t="shared" si="32"/>
        <v>E368 DST Line Transformers</v>
      </c>
      <c r="X84" s="188" t="str">
        <f t="shared" si="21"/>
        <v>Programmatic Customer Drive</v>
      </c>
      <c r="Y84" s="188" t="str">
        <f t="shared" si="33"/>
        <v>101-E368</v>
      </c>
      <c r="Z84" s="188">
        <f t="shared" si="34"/>
        <v>0</v>
      </c>
      <c r="AA84" s="188">
        <f t="shared" si="35"/>
        <v>0</v>
      </c>
      <c r="AB84" s="188">
        <f t="shared" si="36"/>
        <v>0</v>
      </c>
      <c r="AC84" s="188">
        <f t="shared" si="37"/>
        <v>0</v>
      </c>
      <c r="AD84" s="188">
        <f t="shared" si="38"/>
        <v>0</v>
      </c>
      <c r="AE84" s="183">
        <f t="shared" si="39"/>
        <v>0</v>
      </c>
    </row>
    <row r="85" spans="1:31" x14ac:dyDescent="0.25">
      <c r="A85" s="188" t="s">
        <v>6</v>
      </c>
      <c r="B85" s="188" t="s">
        <v>386</v>
      </c>
      <c r="C85" s="188" t="s">
        <v>172</v>
      </c>
      <c r="D85" s="188" t="str">
        <f t="shared" si="22"/>
        <v>101-E369</v>
      </c>
      <c r="E85" s="188">
        <v>0</v>
      </c>
      <c r="F85" s="188">
        <v>6412.49</v>
      </c>
      <c r="G85" s="188">
        <v>9593.06</v>
      </c>
      <c r="H85" s="188">
        <v>15950.29</v>
      </c>
      <c r="I85" s="188">
        <v>0</v>
      </c>
      <c r="J85" s="183">
        <v>0</v>
      </c>
      <c r="L85" s="188" t="str">
        <f t="shared" si="23"/>
        <v>Customer Construction Electric</v>
      </c>
      <c r="M85" s="188" t="str">
        <f t="shared" si="24"/>
        <v>E369 DST Services</v>
      </c>
      <c r="N85" s="188" t="str">
        <f t="shared" si="20"/>
        <v>Programmatic Customer Drive</v>
      </c>
      <c r="O85" s="188" t="str">
        <f t="shared" si="25"/>
        <v>101-E369</v>
      </c>
      <c r="P85" s="188">
        <f t="shared" si="26"/>
        <v>0</v>
      </c>
      <c r="Q85" s="188">
        <f t="shared" si="27"/>
        <v>6412.49</v>
      </c>
      <c r="R85" s="188">
        <f t="shared" si="28"/>
        <v>9593.06</v>
      </c>
      <c r="S85" s="188">
        <f t="shared" si="29"/>
        <v>15950.29</v>
      </c>
      <c r="T85" s="188">
        <f t="shared" si="30"/>
        <v>0</v>
      </c>
      <c r="V85" s="188" t="str">
        <f t="shared" si="31"/>
        <v>Customer Construction Electric</v>
      </c>
      <c r="W85" s="188" t="str">
        <f t="shared" si="32"/>
        <v>E369 DST Services</v>
      </c>
      <c r="X85" s="188" t="str">
        <f t="shared" si="21"/>
        <v>Programmatic Customer Drive</v>
      </c>
      <c r="Y85" s="188" t="str">
        <f t="shared" si="33"/>
        <v>101-E369</v>
      </c>
      <c r="Z85" s="188">
        <f t="shared" si="34"/>
        <v>0</v>
      </c>
      <c r="AA85" s="188">
        <f t="shared" si="35"/>
        <v>0</v>
      </c>
      <c r="AB85" s="188">
        <f t="shared" si="36"/>
        <v>0</v>
      </c>
      <c r="AC85" s="188">
        <f t="shared" si="37"/>
        <v>0</v>
      </c>
      <c r="AD85" s="188">
        <f t="shared" si="38"/>
        <v>0</v>
      </c>
      <c r="AE85" s="183">
        <f t="shared" si="39"/>
        <v>0</v>
      </c>
    </row>
    <row r="86" spans="1:31" x14ac:dyDescent="0.25">
      <c r="A86" s="188" t="s">
        <v>6</v>
      </c>
      <c r="B86" s="188" t="s">
        <v>385</v>
      </c>
      <c r="C86" s="188" t="s">
        <v>172</v>
      </c>
      <c r="D86" s="188" t="str">
        <f t="shared" si="22"/>
        <v>101-E370</v>
      </c>
      <c r="E86" s="188">
        <v>0</v>
      </c>
      <c r="F86" s="188">
        <v>61009.02</v>
      </c>
      <c r="G86" s="188">
        <v>66655.7</v>
      </c>
      <c r="H86" s="188">
        <v>74794.490000000005</v>
      </c>
      <c r="I86" s="188">
        <v>0</v>
      </c>
      <c r="J86" s="183">
        <v>0</v>
      </c>
      <c r="L86" s="188" t="str">
        <f t="shared" si="23"/>
        <v>Customer Construction Electric</v>
      </c>
      <c r="M86" s="188" t="str">
        <f t="shared" si="24"/>
        <v>E3701 DST Meters AMI</v>
      </c>
      <c r="N86" s="188" t="str">
        <f t="shared" si="20"/>
        <v>Programmatic Customer Drive</v>
      </c>
      <c r="O86" s="188" t="str">
        <f t="shared" si="25"/>
        <v>101-E370</v>
      </c>
      <c r="P86" s="188">
        <f t="shared" si="26"/>
        <v>0</v>
      </c>
      <c r="Q86" s="188">
        <f t="shared" si="27"/>
        <v>61009.02</v>
      </c>
      <c r="R86" s="188">
        <f t="shared" si="28"/>
        <v>66655.7</v>
      </c>
      <c r="S86" s="188">
        <f t="shared" si="29"/>
        <v>74794.490000000005</v>
      </c>
      <c r="T86" s="188">
        <f t="shared" si="30"/>
        <v>0</v>
      </c>
      <c r="V86" s="188" t="str">
        <f t="shared" si="31"/>
        <v>Customer Construction Electric</v>
      </c>
      <c r="W86" s="188" t="str">
        <f t="shared" si="32"/>
        <v>E3701 DST Meters AMI</v>
      </c>
      <c r="X86" s="188" t="str">
        <f t="shared" si="21"/>
        <v>Programmatic Customer Drive</v>
      </c>
      <c r="Y86" s="188" t="str">
        <f t="shared" si="33"/>
        <v>101-E370</v>
      </c>
      <c r="Z86" s="188">
        <f t="shared" si="34"/>
        <v>0</v>
      </c>
      <c r="AA86" s="188">
        <f t="shared" si="35"/>
        <v>0</v>
      </c>
      <c r="AB86" s="188">
        <f t="shared" si="36"/>
        <v>0</v>
      </c>
      <c r="AC86" s="188">
        <f t="shared" si="37"/>
        <v>0</v>
      </c>
      <c r="AD86" s="188">
        <f t="shared" si="38"/>
        <v>0</v>
      </c>
      <c r="AE86" s="183">
        <f t="shared" si="39"/>
        <v>0</v>
      </c>
    </row>
    <row r="87" spans="1:31" x14ac:dyDescent="0.25">
      <c r="A87" s="188" t="s">
        <v>6</v>
      </c>
      <c r="B87" s="188" t="s">
        <v>383</v>
      </c>
      <c r="C87" s="188" t="s">
        <v>172</v>
      </c>
      <c r="D87" s="188" t="str">
        <f t="shared" si="22"/>
        <v>101-E373</v>
      </c>
      <c r="E87" s="188">
        <v>0</v>
      </c>
      <c r="F87" s="188">
        <v>288.31</v>
      </c>
      <c r="G87" s="188">
        <v>582.66999999999996</v>
      </c>
      <c r="H87" s="188">
        <v>1436.07</v>
      </c>
      <c r="I87" s="188">
        <v>0</v>
      </c>
      <c r="J87" s="183">
        <v>0</v>
      </c>
      <c r="L87" s="188" t="str">
        <f t="shared" si="23"/>
        <v>Customer Construction Electric</v>
      </c>
      <c r="M87" s="188" t="str">
        <f t="shared" si="24"/>
        <v>E373 DST Street Lighting &amp; Signal</v>
      </c>
      <c r="N87" s="188" t="str">
        <f t="shared" si="20"/>
        <v>Programmatic Customer Drive</v>
      </c>
      <c r="O87" s="188" t="str">
        <f t="shared" si="25"/>
        <v>101-E373</v>
      </c>
      <c r="P87" s="188">
        <f t="shared" si="26"/>
        <v>0</v>
      </c>
      <c r="Q87" s="188">
        <f t="shared" si="27"/>
        <v>288.31</v>
      </c>
      <c r="R87" s="188">
        <f t="shared" si="28"/>
        <v>582.66999999999996</v>
      </c>
      <c r="S87" s="188">
        <f t="shared" si="29"/>
        <v>1436.07</v>
      </c>
      <c r="T87" s="188">
        <f t="shared" si="30"/>
        <v>0</v>
      </c>
      <c r="V87" s="188" t="str">
        <f t="shared" si="31"/>
        <v>Customer Construction Electric</v>
      </c>
      <c r="W87" s="188" t="str">
        <f t="shared" si="32"/>
        <v>E373 DST Street Lighting &amp; Signal</v>
      </c>
      <c r="X87" s="188" t="str">
        <f t="shared" si="21"/>
        <v>Programmatic Customer Drive</v>
      </c>
      <c r="Y87" s="188" t="str">
        <f t="shared" si="33"/>
        <v>101-E373</v>
      </c>
      <c r="Z87" s="188">
        <f t="shared" si="34"/>
        <v>0</v>
      </c>
      <c r="AA87" s="188">
        <f t="shared" si="35"/>
        <v>0</v>
      </c>
      <c r="AB87" s="188">
        <f t="shared" si="36"/>
        <v>0</v>
      </c>
      <c r="AC87" s="188">
        <f t="shared" si="37"/>
        <v>0</v>
      </c>
      <c r="AD87" s="188">
        <f t="shared" si="38"/>
        <v>0</v>
      </c>
      <c r="AE87" s="183">
        <f t="shared" si="39"/>
        <v>0</v>
      </c>
    </row>
    <row r="88" spans="1:31" x14ac:dyDescent="0.25">
      <c r="A88" s="188" t="s">
        <v>6</v>
      </c>
      <c r="B88" s="188" t="s">
        <v>372</v>
      </c>
      <c r="C88" s="188" t="s">
        <v>172</v>
      </c>
      <c r="D88" s="188" t="str">
        <f t="shared" si="22"/>
        <v>101-E397</v>
      </c>
      <c r="E88" s="188">
        <v>0</v>
      </c>
      <c r="F88" s="188">
        <v>298462.17</v>
      </c>
      <c r="G88" s="188">
        <v>676946.38</v>
      </c>
      <c r="H88" s="188">
        <v>1818647.74</v>
      </c>
      <c r="I88" s="188">
        <v>0</v>
      </c>
      <c r="J88" s="183">
        <v>0</v>
      </c>
      <c r="L88" s="188" t="str">
        <f t="shared" si="23"/>
        <v>Customer Construction Electric</v>
      </c>
      <c r="M88" s="188" t="str">
        <f t="shared" si="24"/>
        <v>E3970 GEN Comm Equip, new</v>
      </c>
      <c r="N88" s="188" t="str">
        <f t="shared" si="20"/>
        <v>Programmatic Customer Drive</v>
      </c>
      <c r="O88" s="188" t="str">
        <f t="shared" si="25"/>
        <v>101-E397</v>
      </c>
      <c r="P88" s="188">
        <f t="shared" si="26"/>
        <v>0</v>
      </c>
      <c r="Q88" s="188">
        <f t="shared" si="27"/>
        <v>298462.17</v>
      </c>
      <c r="R88" s="188">
        <f t="shared" si="28"/>
        <v>676946.38</v>
      </c>
      <c r="S88" s="188">
        <f t="shared" si="29"/>
        <v>1818647.74</v>
      </c>
      <c r="T88" s="188">
        <f t="shared" si="30"/>
        <v>0</v>
      </c>
      <c r="V88" s="188" t="str">
        <f t="shared" si="31"/>
        <v>Customer Construction Electric</v>
      </c>
      <c r="W88" s="188" t="str">
        <f t="shared" si="32"/>
        <v>E3970 GEN Comm Equip, new</v>
      </c>
      <c r="X88" s="188" t="str">
        <f t="shared" si="21"/>
        <v>Programmatic Customer Drive</v>
      </c>
      <c r="Y88" s="188" t="str">
        <f t="shared" si="33"/>
        <v>101-E397</v>
      </c>
      <c r="Z88" s="188">
        <f t="shared" si="34"/>
        <v>0</v>
      </c>
      <c r="AA88" s="188">
        <f t="shared" si="35"/>
        <v>0</v>
      </c>
      <c r="AB88" s="188">
        <f t="shared" si="36"/>
        <v>0</v>
      </c>
      <c r="AC88" s="188">
        <f t="shared" si="37"/>
        <v>0</v>
      </c>
      <c r="AD88" s="188">
        <f t="shared" si="38"/>
        <v>0</v>
      </c>
      <c r="AE88" s="183">
        <f t="shared" si="39"/>
        <v>0</v>
      </c>
    </row>
    <row r="89" spans="1:31" x14ac:dyDescent="0.25">
      <c r="A89" s="188" t="s">
        <v>7</v>
      </c>
      <c r="B89" s="188" t="s">
        <v>526</v>
      </c>
      <c r="C89" s="188" t="s">
        <v>172</v>
      </c>
      <c r="D89" s="188" t="str">
        <f t="shared" si="22"/>
        <v>101-G374</v>
      </c>
      <c r="E89" s="188">
        <v>0</v>
      </c>
      <c r="F89" s="188">
        <v>2.4</v>
      </c>
      <c r="G89" s="188">
        <v>3.59</v>
      </c>
      <c r="H89" s="188">
        <v>5.99</v>
      </c>
      <c r="I89" s="188">
        <v>0</v>
      </c>
      <c r="J89" s="183">
        <v>0</v>
      </c>
      <c r="L89" s="188" t="str">
        <f t="shared" si="23"/>
        <v>Customer Construction Gas</v>
      </c>
      <c r="M89" s="188" t="str">
        <f t="shared" si="24"/>
        <v>G3742 DST Easements</v>
      </c>
      <c r="N89" s="188" t="str">
        <f t="shared" si="20"/>
        <v>Programmatic Customer Drive</v>
      </c>
      <c r="O89" s="188" t="str">
        <f t="shared" si="25"/>
        <v>101-G374</v>
      </c>
      <c r="P89" s="188">
        <f t="shared" si="26"/>
        <v>0</v>
      </c>
      <c r="Q89" s="188">
        <f t="shared" si="27"/>
        <v>0</v>
      </c>
      <c r="R89" s="188">
        <f t="shared" si="28"/>
        <v>0</v>
      </c>
      <c r="S89" s="188">
        <f t="shared" si="29"/>
        <v>0</v>
      </c>
      <c r="T89" s="188">
        <f t="shared" si="30"/>
        <v>0</v>
      </c>
      <c r="V89" s="188" t="str">
        <f t="shared" si="31"/>
        <v>Customer Construction Gas</v>
      </c>
      <c r="W89" s="188" t="str">
        <f t="shared" si="32"/>
        <v>G3742 DST Easements</v>
      </c>
      <c r="X89" s="188" t="str">
        <f t="shared" si="21"/>
        <v>Programmatic Customer Drive</v>
      </c>
      <c r="Y89" s="188" t="str">
        <f t="shared" si="33"/>
        <v>101-G374</v>
      </c>
      <c r="Z89" s="188">
        <f t="shared" si="34"/>
        <v>0</v>
      </c>
      <c r="AA89" s="188">
        <f t="shared" si="35"/>
        <v>2.4</v>
      </c>
      <c r="AB89" s="188">
        <f t="shared" si="36"/>
        <v>3.59</v>
      </c>
      <c r="AC89" s="188">
        <f t="shared" si="37"/>
        <v>5.99</v>
      </c>
      <c r="AD89" s="188">
        <f t="shared" si="38"/>
        <v>0</v>
      </c>
      <c r="AE89" s="183">
        <f t="shared" si="39"/>
        <v>0</v>
      </c>
    </row>
    <row r="90" spans="1:31" x14ac:dyDescent="0.25">
      <c r="A90" s="188" t="s">
        <v>7</v>
      </c>
      <c r="B90" s="188" t="s">
        <v>351</v>
      </c>
      <c r="C90" s="188" t="s">
        <v>172</v>
      </c>
      <c r="D90" s="188" t="str">
        <f t="shared" si="22"/>
        <v>101-G376</v>
      </c>
      <c r="E90" s="188">
        <v>0</v>
      </c>
      <c r="F90" s="188">
        <v>97931244.560000002</v>
      </c>
      <c r="G90" s="188">
        <v>104952152.01000001</v>
      </c>
      <c r="H90" s="188">
        <v>182540526.40000001</v>
      </c>
      <c r="I90" s="188">
        <v>0</v>
      </c>
      <c r="J90" s="183">
        <v>0</v>
      </c>
      <c r="L90" s="188" t="str">
        <f t="shared" si="23"/>
        <v>Customer Construction Gas</v>
      </c>
      <c r="M90" s="188" t="str">
        <f t="shared" si="24"/>
        <v>G3762 DST Mains, Plastic</v>
      </c>
      <c r="N90" s="188" t="str">
        <f t="shared" si="20"/>
        <v>Programmatic Customer Drive</v>
      </c>
      <c r="O90" s="188" t="str">
        <f t="shared" si="25"/>
        <v>101-G376</v>
      </c>
      <c r="P90" s="188">
        <f t="shared" si="26"/>
        <v>0</v>
      </c>
      <c r="Q90" s="188">
        <f t="shared" si="27"/>
        <v>0</v>
      </c>
      <c r="R90" s="188">
        <f t="shared" si="28"/>
        <v>0</v>
      </c>
      <c r="S90" s="188">
        <f t="shared" si="29"/>
        <v>0</v>
      </c>
      <c r="T90" s="188">
        <f t="shared" si="30"/>
        <v>0</v>
      </c>
      <c r="V90" s="188" t="str">
        <f t="shared" si="31"/>
        <v>Customer Construction Gas</v>
      </c>
      <c r="W90" s="188" t="str">
        <f t="shared" si="32"/>
        <v>G3762 DST Mains, Plastic</v>
      </c>
      <c r="X90" s="188" t="str">
        <f t="shared" si="21"/>
        <v>Programmatic Customer Drive</v>
      </c>
      <c r="Y90" s="188" t="str">
        <f t="shared" si="33"/>
        <v>101-G376</v>
      </c>
      <c r="Z90" s="188">
        <f t="shared" si="34"/>
        <v>0</v>
      </c>
      <c r="AA90" s="188">
        <f t="shared" si="35"/>
        <v>97931244.560000002</v>
      </c>
      <c r="AB90" s="188">
        <f t="shared" si="36"/>
        <v>104952152.01000001</v>
      </c>
      <c r="AC90" s="188">
        <f t="shared" si="37"/>
        <v>182540526.40000001</v>
      </c>
      <c r="AD90" s="188">
        <f t="shared" si="38"/>
        <v>0</v>
      </c>
      <c r="AE90" s="183">
        <f t="shared" si="39"/>
        <v>0</v>
      </c>
    </row>
    <row r="91" spans="1:31" x14ac:dyDescent="0.25">
      <c r="A91" s="188" t="s">
        <v>7</v>
      </c>
      <c r="B91" s="188" t="s">
        <v>350</v>
      </c>
      <c r="C91" s="188" t="s">
        <v>172</v>
      </c>
      <c r="D91" s="188" t="str">
        <f t="shared" si="22"/>
        <v>101-G376</v>
      </c>
      <c r="E91" s="188">
        <v>0</v>
      </c>
      <c r="F91" s="188">
        <v>13082360.710000001</v>
      </c>
      <c r="G91" s="188">
        <v>14202180.970000001</v>
      </c>
      <c r="H91" s="188">
        <v>24536550.59</v>
      </c>
      <c r="I91" s="188">
        <v>0</v>
      </c>
      <c r="J91" s="183">
        <v>0</v>
      </c>
      <c r="L91" s="188" t="str">
        <f t="shared" si="23"/>
        <v>Customer Construction Gas</v>
      </c>
      <c r="M91" s="188" t="str">
        <f t="shared" si="24"/>
        <v>G3764 DST Mains, Wrapped Steel</v>
      </c>
      <c r="N91" s="188" t="str">
        <f t="shared" si="20"/>
        <v>Programmatic Customer Drive</v>
      </c>
      <c r="O91" s="188" t="str">
        <f t="shared" si="25"/>
        <v>101-G376</v>
      </c>
      <c r="P91" s="188">
        <f t="shared" si="26"/>
        <v>0</v>
      </c>
      <c r="Q91" s="188">
        <f t="shared" si="27"/>
        <v>0</v>
      </c>
      <c r="R91" s="188">
        <f t="shared" si="28"/>
        <v>0</v>
      </c>
      <c r="S91" s="188">
        <f t="shared" si="29"/>
        <v>0</v>
      </c>
      <c r="T91" s="188">
        <f t="shared" si="30"/>
        <v>0</v>
      </c>
      <c r="V91" s="188" t="str">
        <f t="shared" si="31"/>
        <v>Customer Construction Gas</v>
      </c>
      <c r="W91" s="188" t="str">
        <f t="shared" si="32"/>
        <v>G3764 DST Mains, Wrapped Steel</v>
      </c>
      <c r="X91" s="188" t="str">
        <f t="shared" si="21"/>
        <v>Programmatic Customer Drive</v>
      </c>
      <c r="Y91" s="188" t="str">
        <f t="shared" si="33"/>
        <v>101-G376</v>
      </c>
      <c r="Z91" s="188">
        <f t="shared" si="34"/>
        <v>0</v>
      </c>
      <c r="AA91" s="188">
        <f t="shared" si="35"/>
        <v>13082360.710000001</v>
      </c>
      <c r="AB91" s="188">
        <f t="shared" si="36"/>
        <v>14202180.970000001</v>
      </c>
      <c r="AC91" s="188">
        <f t="shared" si="37"/>
        <v>24536550.59</v>
      </c>
      <c r="AD91" s="188">
        <f t="shared" si="38"/>
        <v>0</v>
      </c>
      <c r="AE91" s="183">
        <f t="shared" si="39"/>
        <v>0</v>
      </c>
    </row>
    <row r="92" spans="1:31" x14ac:dyDescent="0.25">
      <c r="A92" s="188" t="s">
        <v>7</v>
      </c>
      <c r="B92" s="188" t="s">
        <v>348</v>
      </c>
      <c r="C92" s="188" t="s">
        <v>172</v>
      </c>
      <c r="D92" s="188" t="str">
        <f t="shared" si="22"/>
        <v>101-G378</v>
      </c>
      <c r="E92" s="188">
        <v>0</v>
      </c>
      <c r="F92" s="188">
        <v>174425.67</v>
      </c>
      <c r="G92" s="188">
        <v>179578.91</v>
      </c>
      <c r="H92" s="188">
        <v>228117.36</v>
      </c>
      <c r="I92" s="188">
        <v>0</v>
      </c>
      <c r="J92" s="183">
        <v>0</v>
      </c>
      <c r="L92" s="188" t="str">
        <f t="shared" si="23"/>
        <v>Customer Construction Gas</v>
      </c>
      <c r="M92" s="188" t="str">
        <f t="shared" si="24"/>
        <v>G3780 DST Measuring &amp; Reg Station</v>
      </c>
      <c r="N92" s="188" t="str">
        <f t="shared" si="20"/>
        <v>Programmatic Customer Drive</v>
      </c>
      <c r="O92" s="188" t="str">
        <f t="shared" si="25"/>
        <v>101-G378</v>
      </c>
      <c r="P92" s="188">
        <f t="shared" si="26"/>
        <v>0</v>
      </c>
      <c r="Q92" s="188">
        <f t="shared" si="27"/>
        <v>0</v>
      </c>
      <c r="R92" s="188">
        <f t="shared" si="28"/>
        <v>0</v>
      </c>
      <c r="S92" s="188">
        <f t="shared" si="29"/>
        <v>0</v>
      </c>
      <c r="T92" s="188">
        <f t="shared" si="30"/>
        <v>0</v>
      </c>
      <c r="V92" s="188" t="str">
        <f t="shared" si="31"/>
        <v>Customer Construction Gas</v>
      </c>
      <c r="W92" s="188" t="str">
        <f t="shared" si="32"/>
        <v>G3780 DST Measuring &amp; Reg Station</v>
      </c>
      <c r="X92" s="188" t="str">
        <f t="shared" si="21"/>
        <v>Programmatic Customer Drive</v>
      </c>
      <c r="Y92" s="188" t="str">
        <f t="shared" si="33"/>
        <v>101-G378</v>
      </c>
      <c r="Z92" s="188">
        <f t="shared" si="34"/>
        <v>0</v>
      </c>
      <c r="AA92" s="188">
        <f t="shared" si="35"/>
        <v>174425.67</v>
      </c>
      <c r="AB92" s="188">
        <f t="shared" si="36"/>
        <v>179578.91</v>
      </c>
      <c r="AC92" s="188">
        <f t="shared" si="37"/>
        <v>228117.36</v>
      </c>
      <c r="AD92" s="188">
        <f t="shared" si="38"/>
        <v>0</v>
      </c>
      <c r="AE92" s="183">
        <f t="shared" si="39"/>
        <v>0</v>
      </c>
    </row>
    <row r="93" spans="1:31" x14ac:dyDescent="0.25">
      <c r="A93" s="188" t="s">
        <v>7</v>
      </c>
      <c r="B93" s="188" t="s">
        <v>347</v>
      </c>
      <c r="C93" s="188" t="s">
        <v>172</v>
      </c>
      <c r="D93" s="188" t="str">
        <f t="shared" si="22"/>
        <v>101-G380</v>
      </c>
      <c r="E93" s="188">
        <v>0</v>
      </c>
      <c r="F93" s="188">
        <v>277.69</v>
      </c>
      <c r="G93" s="188">
        <v>325.82</v>
      </c>
      <c r="H93" s="188">
        <v>562.17999999999995</v>
      </c>
      <c r="I93" s="188">
        <v>0</v>
      </c>
      <c r="J93" s="183">
        <v>0</v>
      </c>
      <c r="L93" s="188" t="str">
        <f t="shared" si="23"/>
        <v>Customer Construction Gas</v>
      </c>
      <c r="M93" s="188" t="str">
        <f t="shared" si="24"/>
        <v>G3801 DST Services, Cathodic Protec</v>
      </c>
      <c r="N93" s="188" t="str">
        <f t="shared" si="20"/>
        <v>Programmatic Customer Drive</v>
      </c>
      <c r="O93" s="188" t="str">
        <f t="shared" si="25"/>
        <v>101-G380</v>
      </c>
      <c r="P93" s="188">
        <f t="shared" si="26"/>
        <v>0</v>
      </c>
      <c r="Q93" s="188">
        <f t="shared" si="27"/>
        <v>0</v>
      </c>
      <c r="R93" s="188">
        <f t="shared" si="28"/>
        <v>0</v>
      </c>
      <c r="S93" s="188">
        <f t="shared" si="29"/>
        <v>0</v>
      </c>
      <c r="T93" s="188">
        <f t="shared" si="30"/>
        <v>0</v>
      </c>
      <c r="V93" s="188" t="str">
        <f t="shared" si="31"/>
        <v>Customer Construction Gas</v>
      </c>
      <c r="W93" s="188" t="str">
        <f t="shared" si="32"/>
        <v>G3801 DST Services, Cathodic Protec</v>
      </c>
      <c r="X93" s="188" t="str">
        <f t="shared" si="21"/>
        <v>Programmatic Customer Drive</v>
      </c>
      <c r="Y93" s="188" t="str">
        <f t="shared" si="33"/>
        <v>101-G380</v>
      </c>
      <c r="Z93" s="188">
        <f t="shared" si="34"/>
        <v>0</v>
      </c>
      <c r="AA93" s="188">
        <f t="shared" si="35"/>
        <v>277.69</v>
      </c>
      <c r="AB93" s="188">
        <f t="shared" si="36"/>
        <v>325.82</v>
      </c>
      <c r="AC93" s="188">
        <f t="shared" si="37"/>
        <v>562.17999999999995</v>
      </c>
      <c r="AD93" s="188">
        <f t="shared" si="38"/>
        <v>0</v>
      </c>
      <c r="AE93" s="183">
        <f t="shared" si="39"/>
        <v>0</v>
      </c>
    </row>
    <row r="94" spans="1:31" x14ac:dyDescent="0.25">
      <c r="A94" s="188" t="s">
        <v>7</v>
      </c>
      <c r="B94" s="188" t="s">
        <v>346</v>
      </c>
      <c r="C94" s="188" t="s">
        <v>172</v>
      </c>
      <c r="D94" s="188" t="str">
        <f t="shared" si="22"/>
        <v>101-G380</v>
      </c>
      <c r="E94" s="188">
        <v>0</v>
      </c>
      <c r="F94" s="188">
        <v>79466.899999999994</v>
      </c>
      <c r="G94" s="188">
        <v>96268.95</v>
      </c>
      <c r="H94" s="188">
        <v>130109.21</v>
      </c>
      <c r="I94" s="188">
        <v>0</v>
      </c>
      <c r="J94" s="183">
        <v>0</v>
      </c>
      <c r="L94" s="188" t="str">
        <f t="shared" si="23"/>
        <v>Customer Construction Gas</v>
      </c>
      <c r="M94" s="188" t="str">
        <f t="shared" si="24"/>
        <v>G3802 DST Services, Plastic</v>
      </c>
      <c r="N94" s="188" t="str">
        <f t="shared" si="20"/>
        <v>Programmatic Customer Drive</v>
      </c>
      <c r="O94" s="188" t="str">
        <f t="shared" si="25"/>
        <v>101-G380</v>
      </c>
      <c r="P94" s="188">
        <f t="shared" si="26"/>
        <v>0</v>
      </c>
      <c r="Q94" s="188">
        <f t="shared" si="27"/>
        <v>0</v>
      </c>
      <c r="R94" s="188">
        <f t="shared" si="28"/>
        <v>0</v>
      </c>
      <c r="S94" s="188">
        <f t="shared" si="29"/>
        <v>0</v>
      </c>
      <c r="T94" s="188">
        <f t="shared" si="30"/>
        <v>0</v>
      </c>
      <c r="V94" s="188" t="str">
        <f t="shared" si="31"/>
        <v>Customer Construction Gas</v>
      </c>
      <c r="W94" s="188" t="str">
        <f t="shared" si="32"/>
        <v>G3802 DST Services, Plastic</v>
      </c>
      <c r="X94" s="188" t="str">
        <f t="shared" si="21"/>
        <v>Programmatic Customer Drive</v>
      </c>
      <c r="Y94" s="188" t="str">
        <f t="shared" si="33"/>
        <v>101-G380</v>
      </c>
      <c r="Z94" s="188">
        <f t="shared" si="34"/>
        <v>0</v>
      </c>
      <c r="AA94" s="188">
        <f t="shared" si="35"/>
        <v>79466.899999999994</v>
      </c>
      <c r="AB94" s="188">
        <f t="shared" si="36"/>
        <v>96268.95</v>
      </c>
      <c r="AC94" s="188">
        <f t="shared" si="37"/>
        <v>130109.21</v>
      </c>
      <c r="AD94" s="188">
        <f t="shared" si="38"/>
        <v>0</v>
      </c>
      <c r="AE94" s="183">
        <f t="shared" si="39"/>
        <v>0</v>
      </c>
    </row>
    <row r="95" spans="1:31" x14ac:dyDescent="0.25">
      <c r="A95" s="188" t="s">
        <v>7</v>
      </c>
      <c r="B95" s="188" t="s">
        <v>345</v>
      </c>
      <c r="C95" s="188" t="s">
        <v>172</v>
      </c>
      <c r="D95" s="188" t="str">
        <f t="shared" si="22"/>
        <v>101-G380</v>
      </c>
      <c r="E95" s="188">
        <v>0</v>
      </c>
      <c r="F95" s="188">
        <v>18807.599999999999</v>
      </c>
      <c r="G95" s="188">
        <v>20273.23</v>
      </c>
      <c r="H95" s="188">
        <v>35463.64</v>
      </c>
      <c r="I95" s="188">
        <v>0</v>
      </c>
      <c r="J95" s="183">
        <v>0</v>
      </c>
      <c r="L95" s="188" t="str">
        <f t="shared" si="23"/>
        <v>Customer Construction Gas</v>
      </c>
      <c r="M95" s="188" t="str">
        <f t="shared" si="24"/>
        <v>G3803 DST Services, Steel Wrapped</v>
      </c>
      <c r="N95" s="188" t="str">
        <f t="shared" si="20"/>
        <v>Programmatic Customer Drive</v>
      </c>
      <c r="O95" s="188" t="str">
        <f t="shared" si="25"/>
        <v>101-G380</v>
      </c>
      <c r="P95" s="188">
        <f t="shared" si="26"/>
        <v>0</v>
      </c>
      <c r="Q95" s="188">
        <f t="shared" si="27"/>
        <v>0</v>
      </c>
      <c r="R95" s="188">
        <f t="shared" si="28"/>
        <v>0</v>
      </c>
      <c r="S95" s="188">
        <f t="shared" si="29"/>
        <v>0</v>
      </c>
      <c r="T95" s="188">
        <f t="shared" si="30"/>
        <v>0</v>
      </c>
      <c r="V95" s="188" t="str">
        <f t="shared" si="31"/>
        <v>Customer Construction Gas</v>
      </c>
      <c r="W95" s="188" t="str">
        <f t="shared" si="32"/>
        <v>G3803 DST Services, Steel Wrapped</v>
      </c>
      <c r="X95" s="188" t="str">
        <f t="shared" si="21"/>
        <v>Programmatic Customer Drive</v>
      </c>
      <c r="Y95" s="188" t="str">
        <f t="shared" si="33"/>
        <v>101-G380</v>
      </c>
      <c r="Z95" s="188">
        <f t="shared" si="34"/>
        <v>0</v>
      </c>
      <c r="AA95" s="188">
        <f t="shared" si="35"/>
        <v>18807.599999999999</v>
      </c>
      <c r="AB95" s="188">
        <f t="shared" si="36"/>
        <v>20273.23</v>
      </c>
      <c r="AC95" s="188">
        <f t="shared" si="37"/>
        <v>35463.64</v>
      </c>
      <c r="AD95" s="188">
        <f t="shared" si="38"/>
        <v>0</v>
      </c>
      <c r="AE95" s="183">
        <f t="shared" si="39"/>
        <v>0</v>
      </c>
    </row>
    <row r="96" spans="1:31" x14ac:dyDescent="0.25">
      <c r="A96" s="188" t="s">
        <v>7</v>
      </c>
      <c r="B96" s="188" t="s">
        <v>344</v>
      </c>
      <c r="C96" s="188" t="s">
        <v>172</v>
      </c>
      <c r="D96" s="188" t="str">
        <f t="shared" si="22"/>
        <v>101-G381</v>
      </c>
      <c r="E96" s="188">
        <v>0</v>
      </c>
      <c r="F96" s="188">
        <v>111</v>
      </c>
      <c r="G96" s="188">
        <v>166.51</v>
      </c>
      <c r="H96" s="188">
        <v>277.51</v>
      </c>
      <c r="I96" s="188">
        <v>0</v>
      </c>
      <c r="J96" s="183">
        <v>0</v>
      </c>
      <c r="L96" s="188" t="str">
        <f t="shared" si="23"/>
        <v>Customer Construction Gas</v>
      </c>
      <c r="M96" s="188" t="str">
        <f t="shared" si="24"/>
        <v>G3810 DST Meters (AMR)</v>
      </c>
      <c r="N96" s="188" t="str">
        <f t="shared" si="20"/>
        <v>Programmatic Customer Drive</v>
      </c>
      <c r="O96" s="188" t="str">
        <f t="shared" si="25"/>
        <v>101-G381</v>
      </c>
      <c r="P96" s="188">
        <f t="shared" si="26"/>
        <v>0</v>
      </c>
      <c r="Q96" s="188">
        <f t="shared" si="27"/>
        <v>0</v>
      </c>
      <c r="R96" s="188">
        <f t="shared" si="28"/>
        <v>0</v>
      </c>
      <c r="S96" s="188">
        <f t="shared" si="29"/>
        <v>0</v>
      </c>
      <c r="T96" s="188">
        <f t="shared" si="30"/>
        <v>0</v>
      </c>
      <c r="V96" s="188" t="str">
        <f t="shared" si="31"/>
        <v>Customer Construction Gas</v>
      </c>
      <c r="W96" s="188" t="str">
        <f t="shared" si="32"/>
        <v>G3810 DST Meters (AMR)</v>
      </c>
      <c r="X96" s="188" t="str">
        <f t="shared" si="21"/>
        <v>Programmatic Customer Drive</v>
      </c>
      <c r="Y96" s="188" t="str">
        <f t="shared" si="33"/>
        <v>101-G381</v>
      </c>
      <c r="Z96" s="188">
        <f t="shared" si="34"/>
        <v>0</v>
      </c>
      <c r="AA96" s="188">
        <f t="shared" si="35"/>
        <v>111</v>
      </c>
      <c r="AB96" s="188">
        <f t="shared" si="36"/>
        <v>166.51</v>
      </c>
      <c r="AC96" s="188">
        <f t="shared" si="37"/>
        <v>277.51</v>
      </c>
      <c r="AD96" s="188">
        <f t="shared" si="38"/>
        <v>0</v>
      </c>
      <c r="AE96" s="183">
        <f t="shared" si="39"/>
        <v>0</v>
      </c>
    </row>
    <row r="97" spans="1:31" x14ac:dyDescent="0.25">
      <c r="A97" s="188" t="s">
        <v>7</v>
      </c>
      <c r="B97" s="188" t="s">
        <v>343</v>
      </c>
      <c r="C97" s="188" t="s">
        <v>172</v>
      </c>
      <c r="D97" s="188" t="str">
        <f t="shared" si="22"/>
        <v>101-G381</v>
      </c>
      <c r="E97" s="188">
        <v>0</v>
      </c>
      <c r="F97" s="188">
        <v>223.56</v>
      </c>
      <c r="G97" s="188">
        <v>335.34</v>
      </c>
      <c r="H97" s="188">
        <v>558.9</v>
      </c>
      <c r="I97" s="188">
        <v>0</v>
      </c>
      <c r="J97" s="183">
        <v>0</v>
      </c>
      <c r="L97" s="188" t="str">
        <f t="shared" si="23"/>
        <v>Customer Construction Gas</v>
      </c>
      <c r="M97" s="188" t="str">
        <f t="shared" si="24"/>
        <v>G3812 DST Modules, AMI</v>
      </c>
      <c r="N97" s="188" t="str">
        <f t="shared" si="20"/>
        <v>Programmatic Customer Drive</v>
      </c>
      <c r="O97" s="188" t="str">
        <f t="shared" si="25"/>
        <v>101-G381</v>
      </c>
      <c r="P97" s="188">
        <f t="shared" si="26"/>
        <v>0</v>
      </c>
      <c r="Q97" s="188">
        <f t="shared" si="27"/>
        <v>0</v>
      </c>
      <c r="R97" s="188">
        <f t="shared" si="28"/>
        <v>0</v>
      </c>
      <c r="S97" s="188">
        <f t="shared" si="29"/>
        <v>0</v>
      </c>
      <c r="T97" s="188">
        <f t="shared" si="30"/>
        <v>0</v>
      </c>
      <c r="V97" s="188" t="str">
        <f t="shared" si="31"/>
        <v>Customer Construction Gas</v>
      </c>
      <c r="W97" s="188" t="str">
        <f t="shared" si="32"/>
        <v>G3812 DST Modules, AMI</v>
      </c>
      <c r="X97" s="188" t="str">
        <f t="shared" si="21"/>
        <v>Programmatic Customer Drive</v>
      </c>
      <c r="Y97" s="188" t="str">
        <f t="shared" si="33"/>
        <v>101-G381</v>
      </c>
      <c r="Z97" s="188">
        <f t="shared" si="34"/>
        <v>0</v>
      </c>
      <c r="AA97" s="188">
        <f t="shared" si="35"/>
        <v>223.56</v>
      </c>
      <c r="AB97" s="188">
        <f t="shared" si="36"/>
        <v>335.34</v>
      </c>
      <c r="AC97" s="188">
        <f t="shared" si="37"/>
        <v>558.9</v>
      </c>
      <c r="AD97" s="188">
        <f t="shared" si="38"/>
        <v>0</v>
      </c>
      <c r="AE97" s="183">
        <f t="shared" si="39"/>
        <v>0</v>
      </c>
    </row>
    <row r="98" spans="1:31" x14ac:dyDescent="0.25">
      <c r="A98" s="188" t="s">
        <v>7</v>
      </c>
      <c r="B98" s="188" t="s">
        <v>342</v>
      </c>
      <c r="C98" s="188" t="s">
        <v>172</v>
      </c>
      <c r="D98" s="188" t="str">
        <f t="shared" si="22"/>
        <v>101-G382</v>
      </c>
      <c r="E98" s="188">
        <v>0</v>
      </c>
      <c r="F98" s="188">
        <v>24004.36</v>
      </c>
      <c r="G98" s="188">
        <v>25887.03</v>
      </c>
      <c r="H98" s="188">
        <v>45273.57</v>
      </c>
      <c r="I98" s="188">
        <v>0</v>
      </c>
      <c r="J98" s="183">
        <v>0</v>
      </c>
      <c r="L98" s="188" t="str">
        <f t="shared" si="23"/>
        <v>Customer Construction Gas</v>
      </c>
      <c r="M98" s="188" t="str">
        <f t="shared" si="24"/>
        <v>G3820 DST Meter Installations (AMR)</v>
      </c>
      <c r="N98" s="188" t="str">
        <f t="shared" si="20"/>
        <v>Programmatic Customer Drive</v>
      </c>
      <c r="O98" s="188" t="str">
        <f t="shared" si="25"/>
        <v>101-G382</v>
      </c>
      <c r="P98" s="188">
        <f t="shared" si="26"/>
        <v>0</v>
      </c>
      <c r="Q98" s="188">
        <f t="shared" si="27"/>
        <v>0</v>
      </c>
      <c r="R98" s="188">
        <f t="shared" si="28"/>
        <v>0</v>
      </c>
      <c r="S98" s="188">
        <f t="shared" si="29"/>
        <v>0</v>
      </c>
      <c r="T98" s="188">
        <f t="shared" si="30"/>
        <v>0</v>
      </c>
      <c r="V98" s="188" t="str">
        <f t="shared" si="31"/>
        <v>Customer Construction Gas</v>
      </c>
      <c r="W98" s="188" t="str">
        <f t="shared" si="32"/>
        <v>G3820 DST Meter Installations (AMR)</v>
      </c>
      <c r="X98" s="188" t="str">
        <f t="shared" si="21"/>
        <v>Programmatic Customer Drive</v>
      </c>
      <c r="Y98" s="188" t="str">
        <f t="shared" si="33"/>
        <v>101-G382</v>
      </c>
      <c r="Z98" s="188">
        <f t="shared" si="34"/>
        <v>0</v>
      </c>
      <c r="AA98" s="188">
        <f t="shared" si="35"/>
        <v>24004.36</v>
      </c>
      <c r="AB98" s="188">
        <f t="shared" si="36"/>
        <v>25887.03</v>
      </c>
      <c r="AC98" s="188">
        <f t="shared" si="37"/>
        <v>45273.57</v>
      </c>
      <c r="AD98" s="188">
        <f t="shared" si="38"/>
        <v>0</v>
      </c>
      <c r="AE98" s="183">
        <f t="shared" si="39"/>
        <v>0</v>
      </c>
    </row>
    <row r="99" spans="1:31" x14ac:dyDescent="0.25">
      <c r="A99" s="188" t="s">
        <v>7</v>
      </c>
      <c r="B99" s="188" t="s">
        <v>341</v>
      </c>
      <c r="C99" s="188" t="s">
        <v>172</v>
      </c>
      <c r="D99" s="188" t="str">
        <f t="shared" si="22"/>
        <v>101-G382</v>
      </c>
      <c r="E99" s="188">
        <v>0</v>
      </c>
      <c r="F99" s="188">
        <v>303</v>
      </c>
      <c r="G99" s="188">
        <v>454.5</v>
      </c>
      <c r="H99" s="188">
        <v>757.5</v>
      </c>
      <c r="I99" s="188">
        <v>0</v>
      </c>
      <c r="J99" s="183">
        <v>0</v>
      </c>
      <c r="L99" s="188" t="str">
        <f t="shared" si="23"/>
        <v>Customer Construction Gas</v>
      </c>
      <c r="M99" s="188" t="str">
        <f t="shared" si="24"/>
        <v>G3822 DST Module Installations, AMI</v>
      </c>
      <c r="N99" s="188" t="str">
        <f t="shared" si="20"/>
        <v>Programmatic Customer Drive</v>
      </c>
      <c r="O99" s="188" t="str">
        <f t="shared" si="25"/>
        <v>101-G382</v>
      </c>
      <c r="P99" s="188">
        <f t="shared" si="26"/>
        <v>0</v>
      </c>
      <c r="Q99" s="188">
        <f t="shared" si="27"/>
        <v>0</v>
      </c>
      <c r="R99" s="188">
        <f t="shared" si="28"/>
        <v>0</v>
      </c>
      <c r="S99" s="188">
        <f t="shared" si="29"/>
        <v>0</v>
      </c>
      <c r="T99" s="188">
        <f t="shared" si="30"/>
        <v>0</v>
      </c>
      <c r="V99" s="188" t="str">
        <f t="shared" si="31"/>
        <v>Customer Construction Gas</v>
      </c>
      <c r="W99" s="188" t="str">
        <f t="shared" si="32"/>
        <v>G3822 DST Module Installations, AMI</v>
      </c>
      <c r="X99" s="188" t="str">
        <f t="shared" si="21"/>
        <v>Programmatic Customer Drive</v>
      </c>
      <c r="Y99" s="188" t="str">
        <f t="shared" si="33"/>
        <v>101-G382</v>
      </c>
      <c r="Z99" s="188">
        <f t="shared" si="34"/>
        <v>0</v>
      </c>
      <c r="AA99" s="188">
        <f t="shared" si="35"/>
        <v>303</v>
      </c>
      <c r="AB99" s="188">
        <f t="shared" si="36"/>
        <v>454.5</v>
      </c>
      <c r="AC99" s="188">
        <f t="shared" si="37"/>
        <v>757.5</v>
      </c>
      <c r="AD99" s="188">
        <f t="shared" si="38"/>
        <v>0</v>
      </c>
      <c r="AE99" s="183">
        <f t="shared" si="39"/>
        <v>0</v>
      </c>
    </row>
    <row r="100" spans="1:31" x14ac:dyDescent="0.25">
      <c r="A100" s="188" t="s">
        <v>7</v>
      </c>
      <c r="B100" s="188" t="s">
        <v>340</v>
      </c>
      <c r="C100" s="188" t="s">
        <v>172</v>
      </c>
      <c r="D100" s="188" t="str">
        <f t="shared" si="22"/>
        <v>101-G383</v>
      </c>
      <c r="E100" s="188">
        <v>0</v>
      </c>
      <c r="F100" s="188">
        <v>111.72</v>
      </c>
      <c r="G100" s="188">
        <v>167.57</v>
      </c>
      <c r="H100" s="188">
        <v>279.29000000000002</v>
      </c>
      <c r="I100" s="188">
        <v>0</v>
      </c>
      <c r="J100" s="183">
        <v>0</v>
      </c>
      <c r="L100" s="188" t="str">
        <f t="shared" si="23"/>
        <v>Customer Construction Gas</v>
      </c>
      <c r="M100" s="188" t="str">
        <f t="shared" si="24"/>
        <v>G383 DST House Regulators</v>
      </c>
      <c r="N100" s="188" t="str">
        <f t="shared" si="20"/>
        <v>Programmatic Customer Drive</v>
      </c>
      <c r="O100" s="188" t="str">
        <f t="shared" si="25"/>
        <v>101-G383</v>
      </c>
      <c r="P100" s="188">
        <f t="shared" si="26"/>
        <v>0</v>
      </c>
      <c r="Q100" s="188">
        <f t="shared" si="27"/>
        <v>0</v>
      </c>
      <c r="R100" s="188">
        <f t="shared" si="28"/>
        <v>0</v>
      </c>
      <c r="S100" s="188">
        <f t="shared" si="29"/>
        <v>0</v>
      </c>
      <c r="T100" s="188">
        <f t="shared" si="30"/>
        <v>0</v>
      </c>
      <c r="V100" s="188" t="str">
        <f t="shared" si="31"/>
        <v>Customer Construction Gas</v>
      </c>
      <c r="W100" s="188" t="str">
        <f t="shared" si="32"/>
        <v>G383 DST House Regulators</v>
      </c>
      <c r="X100" s="188" t="str">
        <f t="shared" si="21"/>
        <v>Programmatic Customer Drive</v>
      </c>
      <c r="Y100" s="188" t="str">
        <f t="shared" si="33"/>
        <v>101-G383</v>
      </c>
      <c r="Z100" s="188">
        <f t="shared" si="34"/>
        <v>0</v>
      </c>
      <c r="AA100" s="188">
        <f t="shared" si="35"/>
        <v>111.72</v>
      </c>
      <c r="AB100" s="188">
        <f t="shared" si="36"/>
        <v>167.57</v>
      </c>
      <c r="AC100" s="188">
        <f t="shared" si="37"/>
        <v>279.29000000000002</v>
      </c>
      <c r="AD100" s="188">
        <f t="shared" si="38"/>
        <v>0</v>
      </c>
      <c r="AE100" s="183">
        <f t="shared" si="39"/>
        <v>0</v>
      </c>
    </row>
    <row r="101" spans="1:31" x14ac:dyDescent="0.25">
      <c r="A101" s="188" t="s">
        <v>7</v>
      </c>
      <c r="B101" s="188" t="s">
        <v>339</v>
      </c>
      <c r="C101" s="188" t="s">
        <v>172</v>
      </c>
      <c r="D101" s="188" t="str">
        <f t="shared" si="22"/>
        <v>101-G384</v>
      </c>
      <c r="E101" s="188">
        <v>0</v>
      </c>
      <c r="F101" s="188">
        <v>111.72</v>
      </c>
      <c r="G101" s="188">
        <v>167.57</v>
      </c>
      <c r="H101" s="188">
        <v>279.29000000000002</v>
      </c>
      <c r="I101" s="188">
        <v>0</v>
      </c>
      <c r="J101" s="183">
        <v>0</v>
      </c>
      <c r="L101" s="188" t="str">
        <f t="shared" si="23"/>
        <v>Customer Construction Gas</v>
      </c>
      <c r="M101" s="188" t="str">
        <f t="shared" si="24"/>
        <v>G384 DST House Regulator Installs</v>
      </c>
      <c r="N101" s="188" t="str">
        <f t="shared" si="20"/>
        <v>Programmatic Customer Drive</v>
      </c>
      <c r="O101" s="188" t="str">
        <f t="shared" si="25"/>
        <v>101-G384</v>
      </c>
      <c r="P101" s="188">
        <f t="shared" si="26"/>
        <v>0</v>
      </c>
      <c r="Q101" s="188">
        <f t="shared" si="27"/>
        <v>0</v>
      </c>
      <c r="R101" s="188">
        <f t="shared" si="28"/>
        <v>0</v>
      </c>
      <c r="S101" s="188">
        <f t="shared" si="29"/>
        <v>0</v>
      </c>
      <c r="T101" s="188">
        <f t="shared" si="30"/>
        <v>0</v>
      </c>
      <c r="V101" s="188" t="str">
        <f t="shared" si="31"/>
        <v>Customer Construction Gas</v>
      </c>
      <c r="W101" s="188" t="str">
        <f t="shared" si="32"/>
        <v>G384 DST House Regulator Installs</v>
      </c>
      <c r="X101" s="188" t="str">
        <f t="shared" si="21"/>
        <v>Programmatic Customer Drive</v>
      </c>
      <c r="Y101" s="188" t="str">
        <f t="shared" si="33"/>
        <v>101-G384</v>
      </c>
      <c r="Z101" s="188">
        <f t="shared" si="34"/>
        <v>0</v>
      </c>
      <c r="AA101" s="188">
        <f t="shared" si="35"/>
        <v>111.72</v>
      </c>
      <c r="AB101" s="188">
        <f t="shared" si="36"/>
        <v>167.57</v>
      </c>
      <c r="AC101" s="188">
        <f t="shared" si="37"/>
        <v>279.29000000000002</v>
      </c>
      <c r="AD101" s="188">
        <f t="shared" si="38"/>
        <v>0</v>
      </c>
      <c r="AE101" s="183">
        <f t="shared" si="39"/>
        <v>0</v>
      </c>
    </row>
    <row r="102" spans="1:31" x14ac:dyDescent="0.25">
      <c r="A102" s="188" t="s">
        <v>7</v>
      </c>
      <c r="B102" s="188" t="s">
        <v>338</v>
      </c>
      <c r="C102" s="188" t="s">
        <v>172</v>
      </c>
      <c r="D102" s="188" t="str">
        <f t="shared" si="22"/>
        <v>101-G385</v>
      </c>
      <c r="E102" s="188">
        <v>0</v>
      </c>
      <c r="F102" s="188">
        <v>764773.21</v>
      </c>
      <c r="G102" s="188">
        <v>769903.59</v>
      </c>
      <c r="H102" s="188">
        <v>1343425.41</v>
      </c>
      <c r="I102" s="188">
        <v>0</v>
      </c>
      <c r="J102" s="183">
        <v>0</v>
      </c>
      <c r="L102" s="188" t="str">
        <f t="shared" si="23"/>
        <v>Customer Construction Gas</v>
      </c>
      <c r="M102" s="188" t="str">
        <f t="shared" si="24"/>
        <v>G385 DST Industrial M&amp;R Sta Eq</v>
      </c>
      <c r="N102" s="188" t="str">
        <f t="shared" si="20"/>
        <v>Programmatic Customer Drive</v>
      </c>
      <c r="O102" s="188" t="str">
        <f t="shared" si="25"/>
        <v>101-G385</v>
      </c>
      <c r="P102" s="188">
        <f t="shared" si="26"/>
        <v>0</v>
      </c>
      <c r="Q102" s="188">
        <f t="shared" si="27"/>
        <v>0</v>
      </c>
      <c r="R102" s="188">
        <f t="shared" si="28"/>
        <v>0</v>
      </c>
      <c r="S102" s="188">
        <f t="shared" si="29"/>
        <v>0</v>
      </c>
      <c r="T102" s="188">
        <f t="shared" si="30"/>
        <v>0</v>
      </c>
      <c r="V102" s="188" t="str">
        <f t="shared" si="31"/>
        <v>Customer Construction Gas</v>
      </c>
      <c r="W102" s="188" t="str">
        <f t="shared" si="32"/>
        <v>G385 DST Industrial M&amp;R Sta Eq</v>
      </c>
      <c r="X102" s="188" t="str">
        <f t="shared" si="21"/>
        <v>Programmatic Customer Drive</v>
      </c>
      <c r="Y102" s="188" t="str">
        <f t="shared" si="33"/>
        <v>101-G385</v>
      </c>
      <c r="Z102" s="188">
        <f t="shared" si="34"/>
        <v>0</v>
      </c>
      <c r="AA102" s="188">
        <f t="shared" si="35"/>
        <v>764773.21</v>
      </c>
      <c r="AB102" s="188">
        <f t="shared" si="36"/>
        <v>769903.59</v>
      </c>
      <c r="AC102" s="188">
        <f t="shared" si="37"/>
        <v>1343425.41</v>
      </c>
      <c r="AD102" s="188">
        <f t="shared" si="38"/>
        <v>0</v>
      </c>
      <c r="AE102" s="183">
        <f t="shared" si="39"/>
        <v>0</v>
      </c>
    </row>
    <row r="103" spans="1:31" x14ac:dyDescent="0.25">
      <c r="A103" s="188" t="s">
        <v>8</v>
      </c>
      <c r="B103" s="188" t="s">
        <v>525</v>
      </c>
      <c r="C103" s="188" t="s">
        <v>160</v>
      </c>
      <c r="D103" s="188" t="str">
        <f t="shared" si="22"/>
        <v>101-E363</v>
      </c>
      <c r="E103" s="188">
        <v>0</v>
      </c>
      <c r="F103" s="188">
        <v>0</v>
      </c>
      <c r="G103" s="188">
        <v>0</v>
      </c>
      <c r="H103" s="188">
        <v>42003.07</v>
      </c>
      <c r="I103" s="188">
        <v>0</v>
      </c>
      <c r="J103" s="183">
        <v>0</v>
      </c>
      <c r="L103" s="188" t="str">
        <f t="shared" si="23"/>
        <v>Customer Sited Energy Storage</v>
      </c>
      <c r="M103" s="188" t="str">
        <f t="shared" si="24"/>
        <v>E3631 DST Battery, Customer Site</v>
      </c>
      <c r="N103" s="188" t="str">
        <f t="shared" si="20"/>
        <v>Programmatic</v>
      </c>
      <c r="O103" s="188" t="str">
        <f t="shared" si="25"/>
        <v>101-E363</v>
      </c>
      <c r="P103" s="188">
        <f t="shared" si="26"/>
        <v>0</v>
      </c>
      <c r="Q103" s="188">
        <f t="shared" si="27"/>
        <v>0</v>
      </c>
      <c r="R103" s="188">
        <f t="shared" si="28"/>
        <v>0</v>
      </c>
      <c r="S103" s="188">
        <f t="shared" si="29"/>
        <v>42003.07</v>
      </c>
      <c r="T103" s="188">
        <f t="shared" si="30"/>
        <v>0</v>
      </c>
      <c r="V103" s="188" t="str">
        <f t="shared" si="31"/>
        <v>Customer Sited Energy Storage</v>
      </c>
      <c r="W103" s="188" t="str">
        <f t="shared" si="32"/>
        <v>E3631 DST Battery, Customer Site</v>
      </c>
      <c r="X103" s="188" t="str">
        <f t="shared" si="21"/>
        <v>Programmatic</v>
      </c>
      <c r="Y103" s="188" t="str">
        <f t="shared" si="33"/>
        <v>101-E363</v>
      </c>
      <c r="Z103" s="188">
        <f t="shared" si="34"/>
        <v>0</v>
      </c>
      <c r="AA103" s="188">
        <f t="shared" si="35"/>
        <v>0</v>
      </c>
      <c r="AB103" s="188">
        <f t="shared" si="36"/>
        <v>0</v>
      </c>
      <c r="AC103" s="188">
        <f t="shared" si="37"/>
        <v>0</v>
      </c>
      <c r="AD103" s="188">
        <f t="shared" si="38"/>
        <v>0</v>
      </c>
      <c r="AE103" s="183">
        <f t="shared" si="39"/>
        <v>0</v>
      </c>
    </row>
    <row r="104" spans="1:31" x14ac:dyDescent="0.25">
      <c r="A104" s="188" t="s">
        <v>8</v>
      </c>
      <c r="B104" s="188" t="s">
        <v>375</v>
      </c>
      <c r="C104" s="188" t="s">
        <v>160</v>
      </c>
      <c r="D104" s="188" t="str">
        <f t="shared" si="22"/>
        <v>101-E394</v>
      </c>
      <c r="E104" s="188">
        <v>0</v>
      </c>
      <c r="F104" s="188">
        <v>1128673.25</v>
      </c>
      <c r="G104" s="188">
        <v>1648673.27</v>
      </c>
      <c r="H104" s="188">
        <v>4132816.49</v>
      </c>
      <c r="I104" s="188">
        <v>0</v>
      </c>
      <c r="J104" s="183">
        <v>0</v>
      </c>
      <c r="L104" s="188" t="str">
        <f t="shared" si="23"/>
        <v>Customer Sited Energy Storage</v>
      </c>
      <c r="M104" s="188" t="str">
        <f t="shared" si="24"/>
        <v>E3940 GEN Tools/Garage/Shop, new</v>
      </c>
      <c r="N104" s="188" t="str">
        <f t="shared" si="20"/>
        <v>Programmatic</v>
      </c>
      <c r="O104" s="188" t="str">
        <f t="shared" si="25"/>
        <v>101-E394</v>
      </c>
      <c r="P104" s="188">
        <f t="shared" si="26"/>
        <v>0</v>
      </c>
      <c r="Q104" s="188">
        <f t="shared" si="27"/>
        <v>1128673.25</v>
      </c>
      <c r="R104" s="188">
        <f t="shared" si="28"/>
        <v>1648673.27</v>
      </c>
      <c r="S104" s="188">
        <f t="shared" si="29"/>
        <v>4132816.49</v>
      </c>
      <c r="T104" s="188">
        <f t="shared" si="30"/>
        <v>0</v>
      </c>
      <c r="V104" s="188" t="str">
        <f t="shared" si="31"/>
        <v>Customer Sited Energy Storage</v>
      </c>
      <c r="W104" s="188" t="str">
        <f t="shared" si="32"/>
        <v>E3940 GEN Tools/Garage/Shop, new</v>
      </c>
      <c r="X104" s="188" t="str">
        <f t="shared" si="21"/>
        <v>Programmatic</v>
      </c>
      <c r="Y104" s="188" t="str">
        <f t="shared" si="33"/>
        <v>101-E394</v>
      </c>
      <c r="Z104" s="188">
        <f t="shared" si="34"/>
        <v>0</v>
      </c>
      <c r="AA104" s="188">
        <f t="shared" si="35"/>
        <v>0</v>
      </c>
      <c r="AB104" s="188">
        <f t="shared" si="36"/>
        <v>0</v>
      </c>
      <c r="AC104" s="188">
        <f t="shared" si="37"/>
        <v>0</v>
      </c>
      <c r="AD104" s="188">
        <f t="shared" si="38"/>
        <v>0</v>
      </c>
      <c r="AE104" s="183">
        <f t="shared" si="39"/>
        <v>0</v>
      </c>
    </row>
    <row r="105" spans="1:31" x14ac:dyDescent="0.25">
      <c r="A105" s="188" t="s">
        <v>8</v>
      </c>
      <c r="B105" s="188" t="s">
        <v>374</v>
      </c>
      <c r="C105" s="188" t="s">
        <v>160</v>
      </c>
      <c r="D105" s="188" t="str">
        <f t="shared" si="22"/>
        <v>101-E395</v>
      </c>
      <c r="E105" s="188">
        <v>0</v>
      </c>
      <c r="F105" s="188">
        <v>0</v>
      </c>
      <c r="G105" s="188">
        <v>0</v>
      </c>
      <c r="H105" s="188">
        <v>308221.74</v>
      </c>
      <c r="I105" s="188">
        <v>0</v>
      </c>
      <c r="J105" s="183">
        <v>0</v>
      </c>
      <c r="L105" s="188" t="str">
        <f t="shared" si="23"/>
        <v>Customer Sited Energy Storage</v>
      </c>
      <c r="M105" s="188" t="str">
        <f t="shared" si="24"/>
        <v>E3950 GEN Laboratory Equip, new</v>
      </c>
      <c r="N105" s="188" t="str">
        <f t="shared" si="20"/>
        <v>Programmatic</v>
      </c>
      <c r="O105" s="188" t="str">
        <f t="shared" si="25"/>
        <v>101-E395</v>
      </c>
      <c r="P105" s="188">
        <f t="shared" si="26"/>
        <v>0</v>
      </c>
      <c r="Q105" s="188">
        <f t="shared" si="27"/>
        <v>0</v>
      </c>
      <c r="R105" s="188">
        <f t="shared" si="28"/>
        <v>0</v>
      </c>
      <c r="S105" s="188">
        <f t="shared" si="29"/>
        <v>308221.74</v>
      </c>
      <c r="T105" s="188">
        <f t="shared" si="30"/>
        <v>0</v>
      </c>
      <c r="V105" s="188" t="str">
        <f t="shared" si="31"/>
        <v>Customer Sited Energy Storage</v>
      </c>
      <c r="W105" s="188" t="str">
        <f t="shared" si="32"/>
        <v>E3950 GEN Laboratory Equip, new</v>
      </c>
      <c r="X105" s="188" t="str">
        <f t="shared" si="21"/>
        <v>Programmatic</v>
      </c>
      <c r="Y105" s="188" t="str">
        <f t="shared" si="33"/>
        <v>101-E395</v>
      </c>
      <c r="Z105" s="188">
        <f t="shared" si="34"/>
        <v>0</v>
      </c>
      <c r="AA105" s="188">
        <f t="shared" si="35"/>
        <v>0</v>
      </c>
      <c r="AB105" s="188">
        <f t="shared" si="36"/>
        <v>0</v>
      </c>
      <c r="AC105" s="188">
        <f t="shared" si="37"/>
        <v>0</v>
      </c>
      <c r="AD105" s="188">
        <f t="shared" si="38"/>
        <v>0</v>
      </c>
      <c r="AE105" s="183">
        <f t="shared" si="39"/>
        <v>0</v>
      </c>
    </row>
    <row r="106" spans="1:31" x14ac:dyDescent="0.25">
      <c r="A106" s="188" t="s">
        <v>9</v>
      </c>
      <c r="B106" s="188" t="s">
        <v>515</v>
      </c>
      <c r="C106" s="188" t="s">
        <v>160</v>
      </c>
      <c r="D106" s="188" t="str">
        <f t="shared" si="22"/>
        <v>101-C303</v>
      </c>
      <c r="E106" s="188">
        <v>0</v>
      </c>
      <c r="F106" s="188">
        <v>0</v>
      </c>
      <c r="G106" s="188">
        <v>8291.15</v>
      </c>
      <c r="H106" s="188">
        <v>198987.47</v>
      </c>
      <c r="I106" s="188">
        <v>0</v>
      </c>
      <c r="J106" s="183">
        <v>0</v>
      </c>
      <c r="L106" s="188" t="str">
        <f t="shared" si="23"/>
        <v>Data Center Hardware Refresh</v>
      </c>
      <c r="M106" s="188" t="str">
        <f t="shared" si="24"/>
        <v>C303.5 INT Misc Intangible Plant</v>
      </c>
      <c r="N106" s="188" t="str">
        <f t="shared" si="20"/>
        <v>Programmatic</v>
      </c>
      <c r="O106" s="188" t="str">
        <f t="shared" si="25"/>
        <v>101-C303</v>
      </c>
      <c r="P106" s="188">
        <f t="shared" si="26"/>
        <v>0</v>
      </c>
      <c r="Q106" s="188">
        <f t="shared" si="27"/>
        <v>0</v>
      </c>
      <c r="R106" s="188">
        <f t="shared" si="28"/>
        <v>5467.1843099999996</v>
      </c>
      <c r="S106" s="188">
        <f t="shared" si="29"/>
        <v>131212.337718</v>
      </c>
      <c r="T106" s="188">
        <f t="shared" si="30"/>
        <v>0</v>
      </c>
      <c r="V106" s="188" t="str">
        <f t="shared" si="31"/>
        <v>Data Center Hardware Refresh</v>
      </c>
      <c r="W106" s="188" t="str">
        <f t="shared" si="32"/>
        <v>C303.5 INT Misc Intangible Plant</v>
      </c>
      <c r="X106" s="188" t="str">
        <f t="shared" si="21"/>
        <v>Programmatic</v>
      </c>
      <c r="Y106" s="188" t="str">
        <f t="shared" si="33"/>
        <v>101-C303</v>
      </c>
      <c r="Z106" s="188">
        <f t="shared" si="34"/>
        <v>0</v>
      </c>
      <c r="AA106" s="188">
        <f t="shared" si="35"/>
        <v>0</v>
      </c>
      <c r="AB106" s="188">
        <f t="shared" si="36"/>
        <v>2823.96569</v>
      </c>
      <c r="AC106" s="188">
        <f t="shared" si="37"/>
        <v>67775.132282000006</v>
      </c>
      <c r="AD106" s="188">
        <f t="shared" si="38"/>
        <v>0</v>
      </c>
      <c r="AE106" s="183">
        <f t="shared" si="39"/>
        <v>0</v>
      </c>
    </row>
    <row r="107" spans="1:31" x14ac:dyDescent="0.25">
      <c r="A107" s="188" t="s">
        <v>9</v>
      </c>
      <c r="B107" s="188" t="s">
        <v>320</v>
      </c>
      <c r="C107" s="188" t="s">
        <v>160</v>
      </c>
      <c r="D107" s="188" t="str">
        <f t="shared" si="22"/>
        <v>101-C391</v>
      </c>
      <c r="E107" s="188">
        <v>0</v>
      </c>
      <c r="F107" s="188">
        <v>0</v>
      </c>
      <c r="G107" s="188">
        <v>820823.33</v>
      </c>
      <c r="H107" s="188">
        <v>19699760</v>
      </c>
      <c r="I107" s="188">
        <v>0</v>
      </c>
      <c r="J107" s="183">
        <v>0</v>
      </c>
      <c r="L107" s="188" t="str">
        <f t="shared" si="23"/>
        <v>Data Center Hardware Refresh</v>
      </c>
      <c r="M107" s="188" t="str">
        <f t="shared" si="24"/>
        <v>C3912 CMN Computer Eq, new</v>
      </c>
      <c r="N107" s="188" t="str">
        <f t="shared" si="20"/>
        <v>Programmatic</v>
      </c>
      <c r="O107" s="188" t="str">
        <f t="shared" si="25"/>
        <v>101-C391</v>
      </c>
      <c r="P107" s="188">
        <f t="shared" si="26"/>
        <v>0</v>
      </c>
      <c r="Q107" s="188">
        <f t="shared" si="27"/>
        <v>0</v>
      </c>
      <c r="R107" s="188">
        <f t="shared" si="28"/>
        <v>541250.90380199999</v>
      </c>
      <c r="S107" s="188">
        <f t="shared" si="29"/>
        <v>12990021.743999999</v>
      </c>
      <c r="T107" s="188">
        <f t="shared" si="30"/>
        <v>0</v>
      </c>
      <c r="V107" s="188" t="str">
        <f t="shared" si="31"/>
        <v>Data Center Hardware Refresh</v>
      </c>
      <c r="W107" s="188" t="str">
        <f t="shared" si="32"/>
        <v>C3912 CMN Computer Eq, new</v>
      </c>
      <c r="X107" s="188" t="str">
        <f t="shared" si="21"/>
        <v>Programmatic</v>
      </c>
      <c r="Y107" s="188" t="str">
        <f t="shared" si="33"/>
        <v>101-C391</v>
      </c>
      <c r="Z107" s="188">
        <f t="shared" si="34"/>
        <v>0</v>
      </c>
      <c r="AA107" s="188">
        <f t="shared" si="35"/>
        <v>0</v>
      </c>
      <c r="AB107" s="188">
        <f t="shared" si="36"/>
        <v>279572.42619799997</v>
      </c>
      <c r="AC107" s="188">
        <f t="shared" si="37"/>
        <v>6709738.2560000001</v>
      </c>
      <c r="AD107" s="188">
        <f t="shared" si="38"/>
        <v>0</v>
      </c>
      <c r="AE107" s="183">
        <f t="shared" si="39"/>
        <v>0</v>
      </c>
    </row>
    <row r="108" spans="1:31" x14ac:dyDescent="0.25">
      <c r="A108" s="188" t="s">
        <v>10</v>
      </c>
      <c r="B108" s="188" t="s">
        <v>411</v>
      </c>
      <c r="C108" s="188" t="s">
        <v>160</v>
      </c>
      <c r="D108" s="188" t="str">
        <f t="shared" si="22"/>
        <v>101-E350</v>
      </c>
      <c r="E108" s="188">
        <v>0</v>
      </c>
      <c r="F108" s="188">
        <v>23969.52</v>
      </c>
      <c r="G108" s="188">
        <v>36305.46</v>
      </c>
      <c r="H108" s="188">
        <v>61339.1</v>
      </c>
      <c r="I108" s="188">
        <v>0</v>
      </c>
      <c r="J108" s="183">
        <v>0</v>
      </c>
      <c r="L108" s="188" t="str">
        <f t="shared" si="23"/>
        <v>Emergent Electric</v>
      </c>
      <c r="M108" s="188" t="str">
        <f t="shared" si="24"/>
        <v>E35010 TSM Easement</v>
      </c>
      <c r="N108" s="188" t="str">
        <f t="shared" si="20"/>
        <v>Programmatic</v>
      </c>
      <c r="O108" s="188" t="str">
        <f t="shared" si="25"/>
        <v>101-E350</v>
      </c>
      <c r="P108" s="188">
        <f t="shared" si="26"/>
        <v>0</v>
      </c>
      <c r="Q108" s="188">
        <f t="shared" si="27"/>
        <v>23969.52</v>
      </c>
      <c r="R108" s="188">
        <f t="shared" si="28"/>
        <v>36305.46</v>
      </c>
      <c r="S108" s="188">
        <f t="shared" si="29"/>
        <v>61339.1</v>
      </c>
      <c r="T108" s="188">
        <f t="shared" si="30"/>
        <v>0</v>
      </c>
      <c r="V108" s="188" t="str">
        <f t="shared" si="31"/>
        <v>Emergent Electric</v>
      </c>
      <c r="W108" s="188" t="str">
        <f t="shared" si="32"/>
        <v>E35010 TSM Easement</v>
      </c>
      <c r="X108" s="188" t="str">
        <f t="shared" si="21"/>
        <v>Programmatic</v>
      </c>
      <c r="Y108" s="188" t="str">
        <f t="shared" si="33"/>
        <v>101-E350</v>
      </c>
      <c r="Z108" s="188">
        <f t="shared" si="34"/>
        <v>0</v>
      </c>
      <c r="AA108" s="188">
        <f t="shared" si="35"/>
        <v>0</v>
      </c>
      <c r="AB108" s="188">
        <f t="shared" si="36"/>
        <v>0</v>
      </c>
      <c r="AC108" s="188">
        <f t="shared" si="37"/>
        <v>0</v>
      </c>
      <c r="AD108" s="188">
        <f t="shared" si="38"/>
        <v>0</v>
      </c>
      <c r="AE108" s="183">
        <f t="shared" si="39"/>
        <v>0</v>
      </c>
    </row>
    <row r="109" spans="1:31" x14ac:dyDescent="0.25">
      <c r="A109" s="188" t="s">
        <v>10</v>
      </c>
      <c r="B109" s="188" t="s">
        <v>522</v>
      </c>
      <c r="C109" s="188" t="s">
        <v>160</v>
      </c>
      <c r="D109" s="188" t="str">
        <f t="shared" si="22"/>
        <v>101-E353</v>
      </c>
      <c r="E109" s="188">
        <v>0</v>
      </c>
      <c r="F109" s="188">
        <v>320518.17</v>
      </c>
      <c r="G109" s="188">
        <v>454547.11</v>
      </c>
      <c r="H109" s="188">
        <v>713448.72</v>
      </c>
      <c r="I109" s="188">
        <v>0</v>
      </c>
      <c r="J109" s="183">
        <v>0</v>
      </c>
      <c r="L109" s="188" t="str">
        <f t="shared" si="23"/>
        <v>Emergent Electric</v>
      </c>
      <c r="M109" s="188" t="str">
        <f t="shared" si="24"/>
        <v>E353 TSM Sta Eq, Wind Ridge-NonProj</v>
      </c>
      <c r="N109" s="188" t="str">
        <f t="shared" si="20"/>
        <v>Programmatic</v>
      </c>
      <c r="O109" s="188" t="str">
        <f t="shared" si="25"/>
        <v>101-E353</v>
      </c>
      <c r="P109" s="188">
        <f t="shared" si="26"/>
        <v>0</v>
      </c>
      <c r="Q109" s="188">
        <f t="shared" si="27"/>
        <v>320518.17</v>
      </c>
      <c r="R109" s="188">
        <f t="shared" si="28"/>
        <v>454547.11</v>
      </c>
      <c r="S109" s="188">
        <f t="shared" si="29"/>
        <v>713448.72</v>
      </c>
      <c r="T109" s="188">
        <f t="shared" si="30"/>
        <v>0</v>
      </c>
      <c r="V109" s="188" t="str">
        <f t="shared" si="31"/>
        <v>Emergent Electric</v>
      </c>
      <c r="W109" s="188" t="str">
        <f t="shared" si="32"/>
        <v>E353 TSM Sta Eq, Wind Ridge-NonProj</v>
      </c>
      <c r="X109" s="188" t="str">
        <f t="shared" si="21"/>
        <v>Programmatic</v>
      </c>
      <c r="Y109" s="188" t="str">
        <f t="shared" si="33"/>
        <v>101-E353</v>
      </c>
      <c r="Z109" s="188">
        <f t="shared" si="34"/>
        <v>0</v>
      </c>
      <c r="AA109" s="188">
        <f t="shared" si="35"/>
        <v>0</v>
      </c>
      <c r="AB109" s="188">
        <f t="shared" si="36"/>
        <v>0</v>
      </c>
      <c r="AC109" s="188">
        <f t="shared" si="37"/>
        <v>0</v>
      </c>
      <c r="AD109" s="188">
        <f t="shared" si="38"/>
        <v>0</v>
      </c>
      <c r="AE109" s="183">
        <f t="shared" si="39"/>
        <v>0</v>
      </c>
    </row>
    <row r="110" spans="1:31" x14ac:dyDescent="0.25">
      <c r="A110" s="188" t="s">
        <v>10</v>
      </c>
      <c r="B110" s="188" t="s">
        <v>405</v>
      </c>
      <c r="C110" s="188" t="s">
        <v>160</v>
      </c>
      <c r="D110" s="188" t="str">
        <f t="shared" si="22"/>
        <v>101-E353</v>
      </c>
      <c r="E110" s="188">
        <v>0</v>
      </c>
      <c r="F110" s="188">
        <v>405936.86</v>
      </c>
      <c r="G110" s="188">
        <v>579080.39</v>
      </c>
      <c r="H110" s="188">
        <v>915194.89</v>
      </c>
      <c r="I110" s="188">
        <v>0</v>
      </c>
      <c r="J110" s="183">
        <v>0</v>
      </c>
      <c r="L110" s="188" t="str">
        <f t="shared" si="23"/>
        <v>Emergent Electric</v>
      </c>
      <c r="M110" s="188" t="str">
        <f t="shared" si="24"/>
        <v>E353 TSM Station Equipment</v>
      </c>
      <c r="N110" s="188" t="str">
        <f t="shared" si="20"/>
        <v>Programmatic</v>
      </c>
      <c r="O110" s="188" t="str">
        <f t="shared" si="25"/>
        <v>101-E353</v>
      </c>
      <c r="P110" s="188">
        <f t="shared" si="26"/>
        <v>0</v>
      </c>
      <c r="Q110" s="188">
        <f t="shared" si="27"/>
        <v>405936.86</v>
      </c>
      <c r="R110" s="188">
        <f t="shared" si="28"/>
        <v>579080.39</v>
      </c>
      <c r="S110" s="188">
        <f t="shared" si="29"/>
        <v>915194.89</v>
      </c>
      <c r="T110" s="188">
        <f t="shared" si="30"/>
        <v>0</v>
      </c>
      <c r="V110" s="188" t="str">
        <f t="shared" si="31"/>
        <v>Emergent Electric</v>
      </c>
      <c r="W110" s="188" t="str">
        <f t="shared" si="32"/>
        <v>E353 TSM Station Equipment</v>
      </c>
      <c r="X110" s="188" t="str">
        <f t="shared" si="21"/>
        <v>Programmatic</v>
      </c>
      <c r="Y110" s="188" t="str">
        <f t="shared" si="33"/>
        <v>101-E353</v>
      </c>
      <c r="Z110" s="188">
        <f t="shared" si="34"/>
        <v>0</v>
      </c>
      <c r="AA110" s="188">
        <f t="shared" si="35"/>
        <v>0</v>
      </c>
      <c r="AB110" s="188">
        <f t="shared" si="36"/>
        <v>0</v>
      </c>
      <c r="AC110" s="188">
        <f t="shared" si="37"/>
        <v>0</v>
      </c>
      <c r="AD110" s="188">
        <f t="shared" si="38"/>
        <v>0</v>
      </c>
      <c r="AE110" s="183">
        <f t="shared" si="39"/>
        <v>0</v>
      </c>
    </row>
    <row r="111" spans="1:31" x14ac:dyDescent="0.25">
      <c r="A111" s="188" t="s">
        <v>10</v>
      </c>
      <c r="B111" s="188" t="s">
        <v>322</v>
      </c>
      <c r="C111" s="188" t="s">
        <v>160</v>
      </c>
      <c r="D111" s="188" t="str">
        <f t="shared" si="22"/>
        <v>101-E353</v>
      </c>
      <c r="E111" s="188">
        <v>0</v>
      </c>
      <c r="F111" s="188">
        <v>1797321.1</v>
      </c>
      <c r="G111" s="188">
        <v>2571837.09</v>
      </c>
      <c r="H111" s="188">
        <v>4079167.42</v>
      </c>
      <c r="I111" s="188">
        <v>0</v>
      </c>
      <c r="J111" s="183">
        <v>0</v>
      </c>
      <c r="L111" s="188" t="str">
        <f t="shared" si="23"/>
        <v>Emergent Electric</v>
      </c>
      <c r="M111" s="188" t="str">
        <f t="shared" si="24"/>
        <v>E3536 TSM Substation Equipment</v>
      </c>
      <c r="N111" s="188" t="str">
        <f t="shared" si="20"/>
        <v>Programmatic</v>
      </c>
      <c r="O111" s="188" t="str">
        <f t="shared" si="25"/>
        <v>101-E353</v>
      </c>
      <c r="P111" s="188">
        <f t="shared" si="26"/>
        <v>0</v>
      </c>
      <c r="Q111" s="188">
        <f t="shared" si="27"/>
        <v>1797321.1</v>
      </c>
      <c r="R111" s="188">
        <f t="shared" si="28"/>
        <v>2571837.09</v>
      </c>
      <c r="S111" s="188">
        <f t="shared" si="29"/>
        <v>4079167.42</v>
      </c>
      <c r="T111" s="188">
        <f t="shared" si="30"/>
        <v>0</v>
      </c>
      <c r="V111" s="188" t="str">
        <f t="shared" si="31"/>
        <v>Emergent Electric</v>
      </c>
      <c r="W111" s="188" t="str">
        <f t="shared" si="32"/>
        <v>E3536 TSM Substation Equipment</v>
      </c>
      <c r="X111" s="188" t="str">
        <f t="shared" si="21"/>
        <v>Programmatic</v>
      </c>
      <c r="Y111" s="188" t="str">
        <f t="shared" si="33"/>
        <v>101-E353</v>
      </c>
      <c r="Z111" s="188">
        <f t="shared" si="34"/>
        <v>0</v>
      </c>
      <c r="AA111" s="188">
        <f t="shared" si="35"/>
        <v>0</v>
      </c>
      <c r="AB111" s="188">
        <f t="shared" si="36"/>
        <v>0</v>
      </c>
      <c r="AC111" s="188">
        <f t="shared" si="37"/>
        <v>0</v>
      </c>
      <c r="AD111" s="188">
        <f t="shared" si="38"/>
        <v>0</v>
      </c>
      <c r="AE111" s="183">
        <f t="shared" si="39"/>
        <v>0</v>
      </c>
    </row>
    <row r="112" spans="1:31" x14ac:dyDescent="0.25">
      <c r="A112" s="188" t="s">
        <v>10</v>
      </c>
      <c r="B112" s="188" t="s">
        <v>524</v>
      </c>
      <c r="C112" s="188" t="s">
        <v>160</v>
      </c>
      <c r="D112" s="188" t="str">
        <f t="shared" si="22"/>
        <v>101-E353</v>
      </c>
      <c r="E112" s="188">
        <v>0</v>
      </c>
      <c r="F112" s="188">
        <v>41030.89</v>
      </c>
      <c r="G112" s="188">
        <v>58188.5</v>
      </c>
      <c r="H112" s="188">
        <v>91331.58</v>
      </c>
      <c r="I112" s="188">
        <v>0</v>
      </c>
      <c r="J112" s="183">
        <v>0</v>
      </c>
      <c r="L112" s="188" t="str">
        <f t="shared" si="23"/>
        <v>Emergent Electric</v>
      </c>
      <c r="M112" s="188" t="str">
        <f t="shared" si="24"/>
        <v>E3539 (GIF) Sta Eq, Fredonia 1&amp;2</v>
      </c>
      <c r="N112" s="188" t="str">
        <f t="shared" si="20"/>
        <v>Programmatic</v>
      </c>
      <c r="O112" s="188" t="str">
        <f t="shared" si="25"/>
        <v>101-E353</v>
      </c>
      <c r="P112" s="188">
        <f t="shared" si="26"/>
        <v>0</v>
      </c>
      <c r="Q112" s="188">
        <f t="shared" si="27"/>
        <v>41030.89</v>
      </c>
      <c r="R112" s="188">
        <f t="shared" si="28"/>
        <v>58188.5</v>
      </c>
      <c r="S112" s="188">
        <f t="shared" si="29"/>
        <v>91331.58</v>
      </c>
      <c r="T112" s="188">
        <f t="shared" si="30"/>
        <v>0</v>
      </c>
      <c r="V112" s="188" t="str">
        <f t="shared" si="31"/>
        <v>Emergent Electric</v>
      </c>
      <c r="W112" s="188" t="str">
        <f t="shared" si="32"/>
        <v>E3539 (GIF) Sta Eq, Fredonia 1&amp;2</v>
      </c>
      <c r="X112" s="188" t="str">
        <f t="shared" si="21"/>
        <v>Programmatic</v>
      </c>
      <c r="Y112" s="188" t="str">
        <f t="shared" si="33"/>
        <v>101-E353</v>
      </c>
      <c r="Z112" s="188">
        <f t="shared" si="34"/>
        <v>0</v>
      </c>
      <c r="AA112" s="188">
        <f t="shared" si="35"/>
        <v>0</v>
      </c>
      <c r="AB112" s="188">
        <f t="shared" si="36"/>
        <v>0</v>
      </c>
      <c r="AC112" s="188">
        <f t="shared" si="37"/>
        <v>0</v>
      </c>
      <c r="AD112" s="188">
        <f t="shared" si="38"/>
        <v>0</v>
      </c>
      <c r="AE112" s="183">
        <f t="shared" si="39"/>
        <v>0</v>
      </c>
    </row>
    <row r="113" spans="1:31" x14ac:dyDescent="0.25">
      <c r="A113" s="188" t="s">
        <v>10</v>
      </c>
      <c r="B113" s="188" t="s">
        <v>400</v>
      </c>
      <c r="C113" s="188" t="s">
        <v>160</v>
      </c>
      <c r="D113" s="188" t="str">
        <f t="shared" si="22"/>
        <v>101-E355</v>
      </c>
      <c r="E113" s="188">
        <v>0</v>
      </c>
      <c r="F113" s="188">
        <v>441818.6</v>
      </c>
      <c r="G113" s="188">
        <v>664996.51</v>
      </c>
      <c r="H113" s="188">
        <v>1117955.52</v>
      </c>
      <c r="I113" s="188">
        <v>0</v>
      </c>
      <c r="J113" s="183">
        <v>0</v>
      </c>
      <c r="L113" s="188" t="str">
        <f t="shared" si="23"/>
        <v>Emergent Electric</v>
      </c>
      <c r="M113" s="188" t="str">
        <f t="shared" si="24"/>
        <v>E355 TSM Poles &amp; Fixtures</v>
      </c>
      <c r="N113" s="188" t="str">
        <f t="shared" si="20"/>
        <v>Programmatic</v>
      </c>
      <c r="O113" s="188" t="str">
        <f t="shared" si="25"/>
        <v>101-E355</v>
      </c>
      <c r="P113" s="188">
        <f t="shared" si="26"/>
        <v>0</v>
      </c>
      <c r="Q113" s="188">
        <f t="shared" si="27"/>
        <v>441818.6</v>
      </c>
      <c r="R113" s="188">
        <f t="shared" si="28"/>
        <v>664996.51</v>
      </c>
      <c r="S113" s="188">
        <f t="shared" si="29"/>
        <v>1117955.52</v>
      </c>
      <c r="T113" s="188">
        <f t="shared" si="30"/>
        <v>0</v>
      </c>
      <c r="V113" s="188" t="str">
        <f t="shared" si="31"/>
        <v>Emergent Electric</v>
      </c>
      <c r="W113" s="188" t="str">
        <f t="shared" si="32"/>
        <v>E355 TSM Poles &amp; Fixtures</v>
      </c>
      <c r="X113" s="188" t="str">
        <f t="shared" si="21"/>
        <v>Programmatic</v>
      </c>
      <c r="Y113" s="188" t="str">
        <f t="shared" si="33"/>
        <v>101-E355</v>
      </c>
      <c r="Z113" s="188">
        <f t="shared" si="34"/>
        <v>0</v>
      </c>
      <c r="AA113" s="188">
        <f t="shared" si="35"/>
        <v>0</v>
      </c>
      <c r="AB113" s="188">
        <f t="shared" si="36"/>
        <v>0</v>
      </c>
      <c r="AC113" s="188">
        <f t="shared" si="37"/>
        <v>0</v>
      </c>
      <c r="AD113" s="188">
        <f t="shared" si="38"/>
        <v>0</v>
      </c>
      <c r="AE113" s="183">
        <f t="shared" si="39"/>
        <v>0</v>
      </c>
    </row>
    <row r="114" spans="1:31" x14ac:dyDescent="0.25">
      <c r="A114" s="188" t="s">
        <v>10</v>
      </c>
      <c r="B114" s="188" t="s">
        <v>521</v>
      </c>
      <c r="C114" s="188" t="s">
        <v>160</v>
      </c>
      <c r="D114" s="188" t="str">
        <f t="shared" si="22"/>
        <v>101-E355</v>
      </c>
      <c r="E114" s="188">
        <v>0</v>
      </c>
      <c r="F114" s="188">
        <v>28758</v>
      </c>
      <c r="G114" s="188">
        <v>43558.32</v>
      </c>
      <c r="H114" s="188">
        <v>73592.94</v>
      </c>
      <c r="I114" s="188">
        <v>0</v>
      </c>
      <c r="J114" s="183">
        <v>0</v>
      </c>
      <c r="L114" s="188" t="str">
        <f t="shared" si="23"/>
        <v>Emergent Electric</v>
      </c>
      <c r="M114" s="188" t="str">
        <f t="shared" si="24"/>
        <v>E355 TSM Poles, Wild Horse-WindRidg</v>
      </c>
      <c r="N114" s="188" t="str">
        <f t="shared" si="20"/>
        <v>Programmatic</v>
      </c>
      <c r="O114" s="188" t="str">
        <f t="shared" si="25"/>
        <v>101-E355</v>
      </c>
      <c r="P114" s="188">
        <f t="shared" si="26"/>
        <v>0</v>
      </c>
      <c r="Q114" s="188">
        <f t="shared" si="27"/>
        <v>28758</v>
      </c>
      <c r="R114" s="188">
        <f t="shared" si="28"/>
        <v>43558.32</v>
      </c>
      <c r="S114" s="188">
        <f t="shared" si="29"/>
        <v>73592.94</v>
      </c>
      <c r="T114" s="188">
        <f t="shared" si="30"/>
        <v>0</v>
      </c>
      <c r="V114" s="188" t="str">
        <f t="shared" si="31"/>
        <v>Emergent Electric</v>
      </c>
      <c r="W114" s="188" t="str">
        <f t="shared" si="32"/>
        <v>E355 TSM Poles, Wild Horse-WindRidg</v>
      </c>
      <c r="X114" s="188" t="str">
        <f t="shared" si="21"/>
        <v>Programmatic</v>
      </c>
      <c r="Y114" s="188" t="str">
        <f t="shared" si="33"/>
        <v>101-E355</v>
      </c>
      <c r="Z114" s="188">
        <f t="shared" si="34"/>
        <v>0</v>
      </c>
      <c r="AA114" s="188">
        <f t="shared" si="35"/>
        <v>0</v>
      </c>
      <c r="AB114" s="188">
        <f t="shared" si="36"/>
        <v>0</v>
      </c>
      <c r="AC114" s="188">
        <f t="shared" si="37"/>
        <v>0</v>
      </c>
      <c r="AD114" s="188">
        <f t="shared" si="38"/>
        <v>0</v>
      </c>
      <c r="AE114" s="183">
        <f t="shared" si="39"/>
        <v>0</v>
      </c>
    </row>
    <row r="115" spans="1:31" x14ac:dyDescent="0.25">
      <c r="A115" s="188" t="s">
        <v>10</v>
      </c>
      <c r="B115" s="188" t="s">
        <v>324</v>
      </c>
      <c r="C115" s="188" t="s">
        <v>160</v>
      </c>
      <c r="D115" s="188" t="str">
        <f t="shared" si="22"/>
        <v>101-E355</v>
      </c>
      <c r="E115" s="188">
        <v>0</v>
      </c>
      <c r="F115" s="188">
        <v>2535462.7599999998</v>
      </c>
      <c r="G115" s="188">
        <v>3764341.6</v>
      </c>
      <c r="H115" s="188">
        <v>6246206.0800000001</v>
      </c>
      <c r="I115" s="188">
        <v>0</v>
      </c>
      <c r="J115" s="183">
        <v>0</v>
      </c>
      <c r="L115" s="188" t="str">
        <f t="shared" si="23"/>
        <v>Emergent Electric</v>
      </c>
      <c r="M115" s="188" t="str">
        <f t="shared" si="24"/>
        <v>E3556 TSM Poles</v>
      </c>
      <c r="N115" s="188" t="str">
        <f t="shared" si="20"/>
        <v>Programmatic</v>
      </c>
      <c r="O115" s="188" t="str">
        <f t="shared" si="25"/>
        <v>101-E355</v>
      </c>
      <c r="P115" s="188">
        <f t="shared" si="26"/>
        <v>0</v>
      </c>
      <c r="Q115" s="188">
        <f t="shared" si="27"/>
        <v>2535462.7599999998</v>
      </c>
      <c r="R115" s="188">
        <f t="shared" si="28"/>
        <v>3764341.6</v>
      </c>
      <c r="S115" s="188">
        <f t="shared" si="29"/>
        <v>6246206.0800000001</v>
      </c>
      <c r="T115" s="188">
        <f t="shared" si="30"/>
        <v>0</v>
      </c>
      <c r="V115" s="188" t="str">
        <f t="shared" si="31"/>
        <v>Emergent Electric</v>
      </c>
      <c r="W115" s="188" t="str">
        <f t="shared" si="32"/>
        <v>E3556 TSM Poles</v>
      </c>
      <c r="X115" s="188" t="str">
        <f t="shared" si="21"/>
        <v>Programmatic</v>
      </c>
      <c r="Y115" s="188" t="str">
        <f t="shared" si="33"/>
        <v>101-E355</v>
      </c>
      <c r="Z115" s="188">
        <f t="shared" si="34"/>
        <v>0</v>
      </c>
      <c r="AA115" s="188">
        <f t="shared" si="35"/>
        <v>0</v>
      </c>
      <c r="AB115" s="188">
        <f t="shared" si="36"/>
        <v>0</v>
      </c>
      <c r="AC115" s="188">
        <f t="shared" si="37"/>
        <v>0</v>
      </c>
      <c r="AD115" s="188">
        <f t="shared" si="38"/>
        <v>0</v>
      </c>
      <c r="AE115" s="183">
        <f t="shared" si="39"/>
        <v>0</v>
      </c>
    </row>
    <row r="116" spans="1:31" x14ac:dyDescent="0.25">
      <c r="A116" s="188" t="s">
        <v>10</v>
      </c>
      <c r="B116" s="188" t="s">
        <v>399</v>
      </c>
      <c r="C116" s="188" t="s">
        <v>160</v>
      </c>
      <c r="D116" s="188" t="str">
        <f t="shared" si="22"/>
        <v>101-E355</v>
      </c>
      <c r="E116" s="188">
        <v>0</v>
      </c>
      <c r="F116" s="188">
        <v>4782.24</v>
      </c>
      <c r="G116" s="188">
        <v>7244.34</v>
      </c>
      <c r="H116" s="188">
        <v>12241.62</v>
      </c>
      <c r="I116" s="188">
        <v>0</v>
      </c>
      <c r="J116" s="183">
        <v>0</v>
      </c>
      <c r="L116" s="188" t="str">
        <f t="shared" si="23"/>
        <v>Emergent Electric</v>
      </c>
      <c r="M116" s="188" t="str">
        <f t="shared" si="24"/>
        <v>E3557 TSM Poles</v>
      </c>
      <c r="N116" s="188" t="str">
        <f t="shared" si="20"/>
        <v>Programmatic</v>
      </c>
      <c r="O116" s="188" t="str">
        <f t="shared" si="25"/>
        <v>101-E355</v>
      </c>
      <c r="P116" s="188">
        <f t="shared" si="26"/>
        <v>0</v>
      </c>
      <c r="Q116" s="188">
        <f t="shared" si="27"/>
        <v>4782.24</v>
      </c>
      <c r="R116" s="188">
        <f t="shared" si="28"/>
        <v>7244.34</v>
      </c>
      <c r="S116" s="188">
        <f t="shared" si="29"/>
        <v>12241.62</v>
      </c>
      <c r="T116" s="188">
        <f t="shared" si="30"/>
        <v>0</v>
      </c>
      <c r="V116" s="188" t="str">
        <f t="shared" si="31"/>
        <v>Emergent Electric</v>
      </c>
      <c r="W116" s="188" t="str">
        <f t="shared" si="32"/>
        <v>E3557 TSM Poles</v>
      </c>
      <c r="X116" s="188" t="str">
        <f t="shared" si="21"/>
        <v>Programmatic</v>
      </c>
      <c r="Y116" s="188" t="str">
        <f t="shared" si="33"/>
        <v>101-E355</v>
      </c>
      <c r="Z116" s="188">
        <f t="shared" si="34"/>
        <v>0</v>
      </c>
      <c r="AA116" s="188">
        <f t="shared" si="35"/>
        <v>0</v>
      </c>
      <c r="AB116" s="188">
        <f t="shared" si="36"/>
        <v>0</v>
      </c>
      <c r="AC116" s="188">
        <f t="shared" si="37"/>
        <v>0</v>
      </c>
      <c r="AD116" s="188">
        <f t="shared" si="38"/>
        <v>0</v>
      </c>
      <c r="AE116" s="183">
        <f t="shared" si="39"/>
        <v>0</v>
      </c>
    </row>
    <row r="117" spans="1:31" x14ac:dyDescent="0.25">
      <c r="A117" s="188" t="s">
        <v>10</v>
      </c>
      <c r="B117" s="188" t="s">
        <v>396</v>
      </c>
      <c r="C117" s="188" t="s">
        <v>160</v>
      </c>
      <c r="D117" s="188" t="str">
        <f t="shared" si="22"/>
        <v>101-E356</v>
      </c>
      <c r="E117" s="188">
        <v>0</v>
      </c>
      <c r="F117" s="188">
        <v>63668.28</v>
      </c>
      <c r="G117" s="188">
        <v>96440.960000000006</v>
      </c>
      <c r="H117" s="188">
        <v>162952.79999999999</v>
      </c>
      <c r="I117" s="188">
        <v>0</v>
      </c>
      <c r="J117" s="183">
        <v>0</v>
      </c>
      <c r="L117" s="188" t="str">
        <f t="shared" si="23"/>
        <v>Emergent Electric</v>
      </c>
      <c r="M117" s="188" t="str">
        <f t="shared" si="24"/>
        <v>E356 TSM O/H Conductor &amp; Devices</v>
      </c>
      <c r="N117" s="188" t="str">
        <f t="shared" si="20"/>
        <v>Programmatic</v>
      </c>
      <c r="O117" s="188" t="str">
        <f t="shared" si="25"/>
        <v>101-E356</v>
      </c>
      <c r="P117" s="188">
        <f t="shared" si="26"/>
        <v>0</v>
      </c>
      <c r="Q117" s="188">
        <f t="shared" si="27"/>
        <v>63668.28</v>
      </c>
      <c r="R117" s="188">
        <f t="shared" si="28"/>
        <v>96440.960000000006</v>
      </c>
      <c r="S117" s="188">
        <f t="shared" si="29"/>
        <v>162952.79999999999</v>
      </c>
      <c r="T117" s="188">
        <f t="shared" si="30"/>
        <v>0</v>
      </c>
      <c r="V117" s="188" t="str">
        <f t="shared" si="31"/>
        <v>Emergent Electric</v>
      </c>
      <c r="W117" s="188" t="str">
        <f t="shared" si="32"/>
        <v>E356 TSM O/H Conductor &amp; Devices</v>
      </c>
      <c r="X117" s="188" t="str">
        <f t="shared" si="21"/>
        <v>Programmatic</v>
      </c>
      <c r="Y117" s="188" t="str">
        <f t="shared" si="33"/>
        <v>101-E356</v>
      </c>
      <c r="Z117" s="188">
        <f t="shared" si="34"/>
        <v>0</v>
      </c>
      <c r="AA117" s="188">
        <f t="shared" si="35"/>
        <v>0</v>
      </c>
      <c r="AB117" s="188">
        <f t="shared" si="36"/>
        <v>0</v>
      </c>
      <c r="AC117" s="188">
        <f t="shared" si="37"/>
        <v>0</v>
      </c>
      <c r="AD117" s="188">
        <f t="shared" si="38"/>
        <v>0</v>
      </c>
      <c r="AE117" s="183">
        <f t="shared" si="39"/>
        <v>0</v>
      </c>
    </row>
    <row r="118" spans="1:31" x14ac:dyDescent="0.25">
      <c r="A118" s="188" t="s">
        <v>10</v>
      </c>
      <c r="B118" s="188" t="s">
        <v>395</v>
      </c>
      <c r="C118" s="188" t="s">
        <v>160</v>
      </c>
      <c r="D118" s="188" t="str">
        <f t="shared" si="22"/>
        <v>101-E356</v>
      </c>
      <c r="E118" s="188">
        <v>0</v>
      </c>
      <c r="F118" s="188">
        <v>182780.55</v>
      </c>
      <c r="G118" s="188">
        <v>276162.74</v>
      </c>
      <c r="H118" s="188">
        <v>465387.51</v>
      </c>
      <c r="I118" s="188">
        <v>0</v>
      </c>
      <c r="J118" s="183">
        <v>0</v>
      </c>
      <c r="L118" s="188" t="str">
        <f t="shared" si="23"/>
        <v>Emergent Electric</v>
      </c>
      <c r="M118" s="188" t="str">
        <f t="shared" si="24"/>
        <v>E3566 TSM O/H Conductor/Devices</v>
      </c>
      <c r="N118" s="188" t="str">
        <f t="shared" si="20"/>
        <v>Programmatic</v>
      </c>
      <c r="O118" s="188" t="str">
        <f t="shared" si="25"/>
        <v>101-E356</v>
      </c>
      <c r="P118" s="188">
        <f t="shared" si="26"/>
        <v>0</v>
      </c>
      <c r="Q118" s="188">
        <f t="shared" si="27"/>
        <v>182780.55</v>
      </c>
      <c r="R118" s="188">
        <f t="shared" si="28"/>
        <v>276162.74</v>
      </c>
      <c r="S118" s="188">
        <f t="shared" si="29"/>
        <v>465387.51</v>
      </c>
      <c r="T118" s="188">
        <f t="shared" si="30"/>
        <v>0</v>
      </c>
      <c r="V118" s="188" t="str">
        <f t="shared" si="31"/>
        <v>Emergent Electric</v>
      </c>
      <c r="W118" s="188" t="str">
        <f t="shared" si="32"/>
        <v>E3566 TSM O/H Conductor/Devices</v>
      </c>
      <c r="X118" s="188" t="str">
        <f t="shared" si="21"/>
        <v>Programmatic</v>
      </c>
      <c r="Y118" s="188" t="str">
        <f t="shared" si="33"/>
        <v>101-E356</v>
      </c>
      <c r="Z118" s="188">
        <f t="shared" si="34"/>
        <v>0</v>
      </c>
      <c r="AA118" s="188">
        <f t="shared" si="35"/>
        <v>0</v>
      </c>
      <c r="AB118" s="188">
        <f t="shared" si="36"/>
        <v>0</v>
      </c>
      <c r="AC118" s="188">
        <f t="shared" si="37"/>
        <v>0</v>
      </c>
      <c r="AD118" s="188">
        <f t="shared" si="38"/>
        <v>0</v>
      </c>
      <c r="AE118" s="183">
        <f t="shared" si="39"/>
        <v>0</v>
      </c>
    </row>
    <row r="119" spans="1:31" x14ac:dyDescent="0.25">
      <c r="A119" s="188" t="s">
        <v>10</v>
      </c>
      <c r="B119" s="188" t="s">
        <v>388</v>
      </c>
      <c r="C119" s="188" t="s">
        <v>160</v>
      </c>
      <c r="D119" s="188" t="str">
        <f t="shared" si="22"/>
        <v>101-E362</v>
      </c>
      <c r="E119" s="188">
        <v>0</v>
      </c>
      <c r="F119" s="188">
        <v>6645057.0800000001</v>
      </c>
      <c r="G119" s="188">
        <v>9967301.0600000005</v>
      </c>
      <c r="H119" s="188">
        <v>16650170.33</v>
      </c>
      <c r="I119" s="188">
        <v>0</v>
      </c>
      <c r="J119" s="183">
        <v>0</v>
      </c>
      <c r="L119" s="188" t="str">
        <f t="shared" si="23"/>
        <v>Emergent Electric</v>
      </c>
      <c r="M119" s="188" t="str">
        <f t="shared" si="24"/>
        <v>E3620 DST Substation Equipment</v>
      </c>
      <c r="N119" s="188" t="str">
        <f t="shared" si="20"/>
        <v>Programmatic</v>
      </c>
      <c r="O119" s="188" t="str">
        <f t="shared" si="25"/>
        <v>101-E362</v>
      </c>
      <c r="P119" s="188">
        <f t="shared" si="26"/>
        <v>0</v>
      </c>
      <c r="Q119" s="188">
        <f t="shared" si="27"/>
        <v>6645057.0800000001</v>
      </c>
      <c r="R119" s="188">
        <f t="shared" si="28"/>
        <v>9967301.0600000005</v>
      </c>
      <c r="S119" s="188">
        <f t="shared" si="29"/>
        <v>16650170.33</v>
      </c>
      <c r="T119" s="188">
        <f t="shared" si="30"/>
        <v>0</v>
      </c>
      <c r="V119" s="188" t="str">
        <f t="shared" si="31"/>
        <v>Emergent Electric</v>
      </c>
      <c r="W119" s="188" t="str">
        <f t="shared" si="32"/>
        <v>E3620 DST Substation Equipment</v>
      </c>
      <c r="X119" s="188" t="str">
        <f t="shared" si="21"/>
        <v>Programmatic</v>
      </c>
      <c r="Y119" s="188" t="str">
        <f t="shared" si="33"/>
        <v>101-E362</v>
      </c>
      <c r="Z119" s="188">
        <f t="shared" si="34"/>
        <v>0</v>
      </c>
      <c r="AA119" s="188">
        <f t="shared" si="35"/>
        <v>0</v>
      </c>
      <c r="AB119" s="188">
        <f t="shared" si="36"/>
        <v>0</v>
      </c>
      <c r="AC119" s="188">
        <f t="shared" si="37"/>
        <v>0</v>
      </c>
      <c r="AD119" s="188">
        <f t="shared" si="38"/>
        <v>0</v>
      </c>
      <c r="AE119" s="183">
        <f t="shared" si="39"/>
        <v>0</v>
      </c>
    </row>
    <row r="120" spans="1:31" x14ac:dyDescent="0.25">
      <c r="A120" s="188" t="s">
        <v>10</v>
      </c>
      <c r="B120" s="188" t="s">
        <v>318</v>
      </c>
      <c r="C120" s="188" t="s">
        <v>160</v>
      </c>
      <c r="D120" s="188" t="str">
        <f t="shared" si="22"/>
        <v>101-E364</v>
      </c>
      <c r="E120" s="188">
        <v>0</v>
      </c>
      <c r="F120" s="188">
        <v>11354620.550000001</v>
      </c>
      <c r="G120" s="188">
        <v>17105045.52</v>
      </c>
      <c r="H120" s="188">
        <v>28566923.559999999</v>
      </c>
      <c r="I120" s="188">
        <v>0</v>
      </c>
      <c r="J120" s="183">
        <v>0</v>
      </c>
      <c r="L120" s="188" t="str">
        <f t="shared" si="23"/>
        <v>Emergent Electric</v>
      </c>
      <c r="M120" s="188" t="str">
        <f t="shared" si="24"/>
        <v>E3640 DST Poles/Towers/Fixtures</v>
      </c>
      <c r="N120" s="188" t="str">
        <f t="shared" si="20"/>
        <v>Programmatic</v>
      </c>
      <c r="O120" s="188" t="str">
        <f t="shared" si="25"/>
        <v>101-E364</v>
      </c>
      <c r="P120" s="188">
        <f t="shared" si="26"/>
        <v>0</v>
      </c>
      <c r="Q120" s="188">
        <f t="shared" si="27"/>
        <v>11354620.550000001</v>
      </c>
      <c r="R120" s="188">
        <f t="shared" si="28"/>
        <v>17105045.52</v>
      </c>
      <c r="S120" s="188">
        <f t="shared" si="29"/>
        <v>28566923.559999999</v>
      </c>
      <c r="T120" s="188">
        <f t="shared" si="30"/>
        <v>0</v>
      </c>
      <c r="V120" s="188" t="str">
        <f t="shared" si="31"/>
        <v>Emergent Electric</v>
      </c>
      <c r="W120" s="188" t="str">
        <f t="shared" si="32"/>
        <v>E3640 DST Poles/Towers/Fixtures</v>
      </c>
      <c r="X120" s="188" t="str">
        <f t="shared" si="21"/>
        <v>Programmatic</v>
      </c>
      <c r="Y120" s="188" t="str">
        <f t="shared" si="33"/>
        <v>101-E364</v>
      </c>
      <c r="Z120" s="188">
        <f t="shared" si="34"/>
        <v>0</v>
      </c>
      <c r="AA120" s="188">
        <f t="shared" si="35"/>
        <v>0</v>
      </c>
      <c r="AB120" s="188">
        <f t="shared" si="36"/>
        <v>0</v>
      </c>
      <c r="AC120" s="188">
        <f t="shared" si="37"/>
        <v>0</v>
      </c>
      <c r="AD120" s="188">
        <f t="shared" si="38"/>
        <v>0</v>
      </c>
      <c r="AE120" s="183">
        <f t="shared" si="39"/>
        <v>0</v>
      </c>
    </row>
    <row r="121" spans="1:31" x14ac:dyDescent="0.25">
      <c r="A121" s="188" t="s">
        <v>10</v>
      </c>
      <c r="B121" s="188" t="s">
        <v>327</v>
      </c>
      <c r="C121" s="188" t="s">
        <v>160</v>
      </c>
      <c r="D121" s="188" t="str">
        <f t="shared" si="22"/>
        <v>101-E365</v>
      </c>
      <c r="E121" s="188">
        <v>0</v>
      </c>
      <c r="F121" s="188">
        <v>12199455.189999999</v>
      </c>
      <c r="G121" s="188">
        <v>18510095.16</v>
      </c>
      <c r="H121" s="188">
        <v>29973495.550000001</v>
      </c>
      <c r="I121" s="188">
        <v>0</v>
      </c>
      <c r="J121" s="183">
        <v>0</v>
      </c>
      <c r="L121" s="188" t="str">
        <f t="shared" si="23"/>
        <v>Emergent Electric</v>
      </c>
      <c r="M121" s="188" t="str">
        <f t="shared" si="24"/>
        <v>E3650 DST O/H Conductor/Devices</v>
      </c>
      <c r="N121" s="188" t="str">
        <f t="shared" si="20"/>
        <v>Programmatic</v>
      </c>
      <c r="O121" s="188" t="str">
        <f t="shared" si="25"/>
        <v>101-E365</v>
      </c>
      <c r="P121" s="188">
        <f t="shared" si="26"/>
        <v>0</v>
      </c>
      <c r="Q121" s="188">
        <f t="shared" si="27"/>
        <v>12199455.189999999</v>
      </c>
      <c r="R121" s="188">
        <f t="shared" si="28"/>
        <v>18510095.16</v>
      </c>
      <c r="S121" s="188">
        <f t="shared" si="29"/>
        <v>29973495.550000001</v>
      </c>
      <c r="T121" s="188">
        <f t="shared" si="30"/>
        <v>0</v>
      </c>
      <c r="V121" s="188" t="str">
        <f t="shared" si="31"/>
        <v>Emergent Electric</v>
      </c>
      <c r="W121" s="188" t="str">
        <f t="shared" si="32"/>
        <v>E3650 DST O/H Conductor/Devices</v>
      </c>
      <c r="X121" s="188" t="str">
        <f t="shared" si="21"/>
        <v>Programmatic</v>
      </c>
      <c r="Y121" s="188" t="str">
        <f t="shared" si="33"/>
        <v>101-E365</v>
      </c>
      <c r="Z121" s="188">
        <f t="shared" si="34"/>
        <v>0</v>
      </c>
      <c r="AA121" s="188">
        <f t="shared" si="35"/>
        <v>0</v>
      </c>
      <c r="AB121" s="188">
        <f t="shared" si="36"/>
        <v>0</v>
      </c>
      <c r="AC121" s="188">
        <f t="shared" si="37"/>
        <v>0</v>
      </c>
      <c r="AD121" s="188">
        <f t="shared" si="38"/>
        <v>0</v>
      </c>
      <c r="AE121" s="183">
        <f t="shared" si="39"/>
        <v>0</v>
      </c>
    </row>
    <row r="122" spans="1:31" x14ac:dyDescent="0.25">
      <c r="A122" s="188" t="s">
        <v>10</v>
      </c>
      <c r="B122" s="188" t="s">
        <v>317</v>
      </c>
      <c r="C122" s="188" t="s">
        <v>160</v>
      </c>
      <c r="D122" s="188" t="str">
        <f t="shared" si="22"/>
        <v>101-E366</v>
      </c>
      <c r="E122" s="188">
        <v>0</v>
      </c>
      <c r="F122" s="188">
        <v>6765809.1399999997</v>
      </c>
      <c r="G122" s="188">
        <v>10300129.09</v>
      </c>
      <c r="H122" s="188">
        <v>17463638.350000001</v>
      </c>
      <c r="I122" s="188">
        <v>0</v>
      </c>
      <c r="J122" s="183">
        <v>0</v>
      </c>
      <c r="L122" s="188" t="str">
        <f t="shared" si="23"/>
        <v>Emergent Electric</v>
      </c>
      <c r="M122" s="188" t="str">
        <f t="shared" si="24"/>
        <v>E3660 DST U/G Conduit</v>
      </c>
      <c r="N122" s="188" t="str">
        <f t="shared" si="20"/>
        <v>Programmatic</v>
      </c>
      <c r="O122" s="188" t="str">
        <f t="shared" si="25"/>
        <v>101-E366</v>
      </c>
      <c r="P122" s="188">
        <f t="shared" si="26"/>
        <v>0</v>
      </c>
      <c r="Q122" s="188">
        <f t="shared" si="27"/>
        <v>6765809.1399999997</v>
      </c>
      <c r="R122" s="188">
        <f t="shared" si="28"/>
        <v>10300129.09</v>
      </c>
      <c r="S122" s="188">
        <f t="shared" si="29"/>
        <v>17463638.350000001</v>
      </c>
      <c r="T122" s="188">
        <f t="shared" si="30"/>
        <v>0</v>
      </c>
      <c r="V122" s="188" t="str">
        <f t="shared" si="31"/>
        <v>Emergent Electric</v>
      </c>
      <c r="W122" s="188" t="str">
        <f t="shared" si="32"/>
        <v>E3660 DST U/G Conduit</v>
      </c>
      <c r="X122" s="188" t="str">
        <f t="shared" si="21"/>
        <v>Programmatic</v>
      </c>
      <c r="Y122" s="188" t="str">
        <f t="shared" si="33"/>
        <v>101-E366</v>
      </c>
      <c r="Z122" s="188">
        <f t="shared" si="34"/>
        <v>0</v>
      </c>
      <c r="AA122" s="188">
        <f t="shared" si="35"/>
        <v>0</v>
      </c>
      <c r="AB122" s="188">
        <f t="shared" si="36"/>
        <v>0</v>
      </c>
      <c r="AC122" s="188">
        <f t="shared" si="37"/>
        <v>0</v>
      </c>
      <c r="AD122" s="188">
        <f t="shared" si="38"/>
        <v>0</v>
      </c>
      <c r="AE122" s="183">
        <f t="shared" si="39"/>
        <v>0</v>
      </c>
    </row>
    <row r="123" spans="1:31" x14ac:dyDescent="0.25">
      <c r="A123" s="188" t="s">
        <v>10</v>
      </c>
      <c r="B123" s="188" t="s">
        <v>316</v>
      </c>
      <c r="C123" s="188" t="s">
        <v>160</v>
      </c>
      <c r="D123" s="188" t="str">
        <f t="shared" si="22"/>
        <v>101-E367</v>
      </c>
      <c r="E123" s="188">
        <v>0</v>
      </c>
      <c r="F123" s="188">
        <v>8332902.4199999999</v>
      </c>
      <c r="G123" s="188">
        <v>12686412.689999999</v>
      </c>
      <c r="H123" s="188">
        <v>21506180.91</v>
      </c>
      <c r="I123" s="188">
        <v>0</v>
      </c>
      <c r="J123" s="183">
        <v>0</v>
      </c>
      <c r="L123" s="188" t="str">
        <f t="shared" si="23"/>
        <v>Emergent Electric</v>
      </c>
      <c r="M123" s="188" t="str">
        <f t="shared" si="24"/>
        <v>E3670 DST U/G Conductor/Devices</v>
      </c>
      <c r="N123" s="188" t="str">
        <f t="shared" si="20"/>
        <v>Programmatic</v>
      </c>
      <c r="O123" s="188" t="str">
        <f t="shared" si="25"/>
        <v>101-E367</v>
      </c>
      <c r="P123" s="188">
        <f t="shared" si="26"/>
        <v>0</v>
      </c>
      <c r="Q123" s="188">
        <f t="shared" si="27"/>
        <v>8332902.4199999999</v>
      </c>
      <c r="R123" s="188">
        <f t="shared" si="28"/>
        <v>12686412.689999999</v>
      </c>
      <c r="S123" s="188">
        <f t="shared" si="29"/>
        <v>21506180.91</v>
      </c>
      <c r="T123" s="188">
        <f t="shared" si="30"/>
        <v>0</v>
      </c>
      <c r="V123" s="188" t="str">
        <f t="shared" si="31"/>
        <v>Emergent Electric</v>
      </c>
      <c r="W123" s="188" t="str">
        <f t="shared" si="32"/>
        <v>E3670 DST U/G Conductor/Devices</v>
      </c>
      <c r="X123" s="188" t="str">
        <f t="shared" si="21"/>
        <v>Programmatic</v>
      </c>
      <c r="Y123" s="188" t="str">
        <f t="shared" si="33"/>
        <v>101-E367</v>
      </c>
      <c r="Z123" s="188">
        <f t="shared" si="34"/>
        <v>0</v>
      </c>
      <c r="AA123" s="188">
        <f t="shared" si="35"/>
        <v>0</v>
      </c>
      <c r="AB123" s="188">
        <f t="shared" si="36"/>
        <v>0</v>
      </c>
      <c r="AC123" s="188">
        <f t="shared" si="37"/>
        <v>0</v>
      </c>
      <c r="AD123" s="188">
        <f t="shared" si="38"/>
        <v>0</v>
      </c>
      <c r="AE123" s="183">
        <f t="shared" si="39"/>
        <v>0</v>
      </c>
    </row>
    <row r="124" spans="1:31" x14ac:dyDescent="0.25">
      <c r="A124" s="188" t="s">
        <v>10</v>
      </c>
      <c r="B124" s="188" t="s">
        <v>387</v>
      </c>
      <c r="C124" s="188" t="s">
        <v>160</v>
      </c>
      <c r="D124" s="188" t="str">
        <f t="shared" si="22"/>
        <v>101-E368</v>
      </c>
      <c r="E124" s="188">
        <v>0</v>
      </c>
      <c r="F124" s="188">
        <v>5850182.4400000004</v>
      </c>
      <c r="G124" s="188">
        <v>8839943.4000000004</v>
      </c>
      <c r="H124" s="188">
        <v>14909921.380000001</v>
      </c>
      <c r="I124" s="188">
        <v>0</v>
      </c>
      <c r="J124" s="183">
        <v>0</v>
      </c>
      <c r="L124" s="188" t="str">
        <f t="shared" si="23"/>
        <v>Emergent Electric</v>
      </c>
      <c r="M124" s="188" t="str">
        <f t="shared" si="24"/>
        <v>E368 DST Line Transformers</v>
      </c>
      <c r="N124" s="188" t="str">
        <f t="shared" si="20"/>
        <v>Programmatic</v>
      </c>
      <c r="O124" s="188" t="str">
        <f t="shared" si="25"/>
        <v>101-E368</v>
      </c>
      <c r="P124" s="188">
        <f t="shared" si="26"/>
        <v>0</v>
      </c>
      <c r="Q124" s="188">
        <f t="shared" si="27"/>
        <v>5850182.4400000004</v>
      </c>
      <c r="R124" s="188">
        <f t="shared" si="28"/>
        <v>8839943.4000000004</v>
      </c>
      <c r="S124" s="188">
        <f t="shared" si="29"/>
        <v>14909921.380000001</v>
      </c>
      <c r="T124" s="188">
        <f t="shared" si="30"/>
        <v>0</v>
      </c>
      <c r="V124" s="188" t="str">
        <f t="shared" si="31"/>
        <v>Emergent Electric</v>
      </c>
      <c r="W124" s="188" t="str">
        <f t="shared" si="32"/>
        <v>E368 DST Line Transformers</v>
      </c>
      <c r="X124" s="188" t="str">
        <f t="shared" si="21"/>
        <v>Programmatic</v>
      </c>
      <c r="Y124" s="188" t="str">
        <f t="shared" si="33"/>
        <v>101-E368</v>
      </c>
      <c r="Z124" s="188">
        <f t="shared" si="34"/>
        <v>0</v>
      </c>
      <c r="AA124" s="188">
        <f t="shared" si="35"/>
        <v>0</v>
      </c>
      <c r="AB124" s="188">
        <f t="shared" si="36"/>
        <v>0</v>
      </c>
      <c r="AC124" s="188">
        <f t="shared" si="37"/>
        <v>0</v>
      </c>
      <c r="AD124" s="188">
        <f t="shared" si="38"/>
        <v>0</v>
      </c>
      <c r="AE124" s="183">
        <f t="shared" si="39"/>
        <v>0</v>
      </c>
    </row>
    <row r="125" spans="1:31" x14ac:dyDescent="0.25">
      <c r="A125" s="188" t="s">
        <v>10</v>
      </c>
      <c r="B125" s="188" t="s">
        <v>386</v>
      </c>
      <c r="C125" s="188" t="s">
        <v>160</v>
      </c>
      <c r="D125" s="188" t="str">
        <f t="shared" si="22"/>
        <v>101-E369</v>
      </c>
      <c r="E125" s="188">
        <v>0</v>
      </c>
      <c r="F125" s="188">
        <v>289745.09000000003</v>
      </c>
      <c r="G125" s="188">
        <v>440699.35</v>
      </c>
      <c r="H125" s="188">
        <v>737892.35</v>
      </c>
      <c r="I125" s="188">
        <v>0</v>
      </c>
      <c r="J125" s="183">
        <v>0</v>
      </c>
      <c r="L125" s="188" t="str">
        <f t="shared" si="23"/>
        <v>Emergent Electric</v>
      </c>
      <c r="M125" s="188" t="str">
        <f t="shared" si="24"/>
        <v>E369 DST Services</v>
      </c>
      <c r="N125" s="188" t="str">
        <f t="shared" si="20"/>
        <v>Programmatic</v>
      </c>
      <c r="O125" s="188" t="str">
        <f t="shared" si="25"/>
        <v>101-E369</v>
      </c>
      <c r="P125" s="188">
        <f t="shared" si="26"/>
        <v>0</v>
      </c>
      <c r="Q125" s="188">
        <f t="shared" si="27"/>
        <v>289745.09000000003</v>
      </c>
      <c r="R125" s="188">
        <f t="shared" si="28"/>
        <v>440699.35</v>
      </c>
      <c r="S125" s="188">
        <f t="shared" si="29"/>
        <v>737892.35</v>
      </c>
      <c r="T125" s="188">
        <f t="shared" si="30"/>
        <v>0</v>
      </c>
      <c r="V125" s="188" t="str">
        <f t="shared" si="31"/>
        <v>Emergent Electric</v>
      </c>
      <c r="W125" s="188" t="str">
        <f t="shared" si="32"/>
        <v>E369 DST Services</v>
      </c>
      <c r="X125" s="188" t="str">
        <f t="shared" si="21"/>
        <v>Programmatic</v>
      </c>
      <c r="Y125" s="188" t="str">
        <f t="shared" si="33"/>
        <v>101-E369</v>
      </c>
      <c r="Z125" s="188">
        <f t="shared" si="34"/>
        <v>0</v>
      </c>
      <c r="AA125" s="188">
        <f t="shared" si="35"/>
        <v>0</v>
      </c>
      <c r="AB125" s="188">
        <f t="shared" si="36"/>
        <v>0</v>
      </c>
      <c r="AC125" s="188">
        <f t="shared" si="37"/>
        <v>0</v>
      </c>
      <c r="AD125" s="188">
        <f t="shared" si="38"/>
        <v>0</v>
      </c>
      <c r="AE125" s="183">
        <f t="shared" si="39"/>
        <v>0</v>
      </c>
    </row>
    <row r="126" spans="1:31" x14ac:dyDescent="0.25">
      <c r="A126" s="188" t="s">
        <v>10</v>
      </c>
      <c r="B126" s="188" t="s">
        <v>385</v>
      </c>
      <c r="C126" s="188" t="s">
        <v>160</v>
      </c>
      <c r="D126" s="188" t="str">
        <f t="shared" si="22"/>
        <v>101-E370</v>
      </c>
      <c r="E126" s="188">
        <v>0</v>
      </c>
      <c r="F126" s="188">
        <v>684989.4</v>
      </c>
      <c r="G126" s="188">
        <v>1037624.94</v>
      </c>
      <c r="H126" s="188">
        <v>1753341</v>
      </c>
      <c r="I126" s="188">
        <v>0</v>
      </c>
      <c r="J126" s="183">
        <v>0</v>
      </c>
      <c r="L126" s="188" t="str">
        <f t="shared" si="23"/>
        <v>Emergent Electric</v>
      </c>
      <c r="M126" s="188" t="str">
        <f t="shared" si="24"/>
        <v>E3701 DST Meters AMI</v>
      </c>
      <c r="N126" s="188" t="str">
        <f t="shared" si="20"/>
        <v>Programmatic</v>
      </c>
      <c r="O126" s="188" t="str">
        <f t="shared" si="25"/>
        <v>101-E370</v>
      </c>
      <c r="P126" s="188">
        <f t="shared" si="26"/>
        <v>0</v>
      </c>
      <c r="Q126" s="188">
        <f t="shared" si="27"/>
        <v>684989.4</v>
      </c>
      <c r="R126" s="188">
        <f t="shared" si="28"/>
        <v>1037624.94</v>
      </c>
      <c r="S126" s="188">
        <f t="shared" si="29"/>
        <v>1753341</v>
      </c>
      <c r="T126" s="188">
        <f t="shared" si="30"/>
        <v>0</v>
      </c>
      <c r="V126" s="188" t="str">
        <f t="shared" si="31"/>
        <v>Emergent Electric</v>
      </c>
      <c r="W126" s="188" t="str">
        <f t="shared" si="32"/>
        <v>E3701 DST Meters AMI</v>
      </c>
      <c r="X126" s="188" t="str">
        <f t="shared" si="21"/>
        <v>Programmatic</v>
      </c>
      <c r="Y126" s="188" t="str">
        <f t="shared" si="33"/>
        <v>101-E370</v>
      </c>
      <c r="Z126" s="188">
        <f t="shared" si="34"/>
        <v>0</v>
      </c>
      <c r="AA126" s="188">
        <f t="shared" si="35"/>
        <v>0</v>
      </c>
      <c r="AB126" s="188">
        <f t="shared" si="36"/>
        <v>0</v>
      </c>
      <c r="AC126" s="188">
        <f t="shared" si="37"/>
        <v>0</v>
      </c>
      <c r="AD126" s="188">
        <f t="shared" si="38"/>
        <v>0</v>
      </c>
      <c r="AE126" s="183">
        <f t="shared" si="39"/>
        <v>0</v>
      </c>
    </row>
    <row r="127" spans="1:31" x14ac:dyDescent="0.25">
      <c r="A127" s="188" t="s">
        <v>10</v>
      </c>
      <c r="B127" s="188" t="s">
        <v>383</v>
      </c>
      <c r="C127" s="188" t="s">
        <v>160</v>
      </c>
      <c r="D127" s="188" t="str">
        <f t="shared" si="22"/>
        <v>101-E373</v>
      </c>
      <c r="E127" s="188">
        <v>0</v>
      </c>
      <c r="F127" s="188">
        <v>91315.45</v>
      </c>
      <c r="G127" s="188">
        <v>136535.23000000001</v>
      </c>
      <c r="H127" s="188">
        <v>231149.63</v>
      </c>
      <c r="I127" s="188">
        <v>0</v>
      </c>
      <c r="J127" s="183">
        <v>0</v>
      </c>
      <c r="L127" s="188" t="str">
        <f t="shared" si="23"/>
        <v>Emergent Electric</v>
      </c>
      <c r="M127" s="188" t="str">
        <f t="shared" si="24"/>
        <v>E373 DST Street Lighting &amp; Signal</v>
      </c>
      <c r="N127" s="188" t="str">
        <f t="shared" si="20"/>
        <v>Programmatic</v>
      </c>
      <c r="O127" s="188" t="str">
        <f t="shared" si="25"/>
        <v>101-E373</v>
      </c>
      <c r="P127" s="188">
        <f t="shared" si="26"/>
        <v>0</v>
      </c>
      <c r="Q127" s="188">
        <f t="shared" si="27"/>
        <v>91315.45</v>
      </c>
      <c r="R127" s="188">
        <f t="shared" si="28"/>
        <v>136535.23000000001</v>
      </c>
      <c r="S127" s="188">
        <f t="shared" si="29"/>
        <v>231149.63</v>
      </c>
      <c r="T127" s="188">
        <f t="shared" si="30"/>
        <v>0</v>
      </c>
      <c r="V127" s="188" t="str">
        <f t="shared" si="31"/>
        <v>Emergent Electric</v>
      </c>
      <c r="W127" s="188" t="str">
        <f t="shared" si="32"/>
        <v>E373 DST Street Lighting &amp; Signal</v>
      </c>
      <c r="X127" s="188" t="str">
        <f t="shared" si="21"/>
        <v>Programmatic</v>
      </c>
      <c r="Y127" s="188" t="str">
        <f t="shared" si="33"/>
        <v>101-E373</v>
      </c>
      <c r="Z127" s="188">
        <f t="shared" si="34"/>
        <v>0</v>
      </c>
      <c r="AA127" s="188">
        <f t="shared" si="35"/>
        <v>0</v>
      </c>
      <c r="AB127" s="188">
        <f t="shared" si="36"/>
        <v>0</v>
      </c>
      <c r="AC127" s="188">
        <f t="shared" si="37"/>
        <v>0</v>
      </c>
      <c r="AD127" s="188">
        <f t="shared" si="38"/>
        <v>0</v>
      </c>
      <c r="AE127" s="183">
        <f t="shared" si="39"/>
        <v>0</v>
      </c>
    </row>
    <row r="128" spans="1:31" x14ac:dyDescent="0.25">
      <c r="A128" s="188" t="s">
        <v>10</v>
      </c>
      <c r="B128" s="188" t="s">
        <v>379</v>
      </c>
      <c r="C128" s="188" t="s">
        <v>160</v>
      </c>
      <c r="D128" s="188" t="str">
        <f t="shared" si="22"/>
        <v>101-E391</v>
      </c>
      <c r="E128" s="188">
        <v>0</v>
      </c>
      <c r="F128" s="188">
        <v>12519.2</v>
      </c>
      <c r="G128" s="188">
        <v>18345.46</v>
      </c>
      <c r="H128" s="188">
        <v>29888.240000000002</v>
      </c>
      <c r="I128" s="188">
        <v>0</v>
      </c>
      <c r="J128" s="183">
        <v>0</v>
      </c>
      <c r="L128" s="188" t="str">
        <f t="shared" si="23"/>
        <v>Emergent Electric</v>
      </c>
      <c r="M128" s="188" t="str">
        <f t="shared" si="24"/>
        <v>E3912 GEN Computer Eq, new</v>
      </c>
      <c r="N128" s="188" t="str">
        <f t="shared" si="20"/>
        <v>Programmatic</v>
      </c>
      <c r="O128" s="188" t="str">
        <f t="shared" si="25"/>
        <v>101-E391</v>
      </c>
      <c r="P128" s="188">
        <f t="shared" si="26"/>
        <v>0</v>
      </c>
      <c r="Q128" s="188">
        <f t="shared" si="27"/>
        <v>12519.2</v>
      </c>
      <c r="R128" s="188">
        <f t="shared" si="28"/>
        <v>18345.46</v>
      </c>
      <c r="S128" s="188">
        <f t="shared" si="29"/>
        <v>29888.240000000002</v>
      </c>
      <c r="T128" s="188">
        <f t="shared" si="30"/>
        <v>0</v>
      </c>
      <c r="V128" s="188" t="str">
        <f t="shared" si="31"/>
        <v>Emergent Electric</v>
      </c>
      <c r="W128" s="188" t="str">
        <f t="shared" si="32"/>
        <v>E3912 GEN Computer Eq, new</v>
      </c>
      <c r="X128" s="188" t="str">
        <f t="shared" si="21"/>
        <v>Programmatic</v>
      </c>
      <c r="Y128" s="188" t="str">
        <f t="shared" si="33"/>
        <v>101-E391</v>
      </c>
      <c r="Z128" s="188">
        <f t="shared" si="34"/>
        <v>0</v>
      </c>
      <c r="AA128" s="188">
        <f t="shared" si="35"/>
        <v>0</v>
      </c>
      <c r="AB128" s="188">
        <f t="shared" si="36"/>
        <v>0</v>
      </c>
      <c r="AC128" s="188">
        <f t="shared" si="37"/>
        <v>0</v>
      </c>
      <c r="AD128" s="188">
        <f t="shared" si="38"/>
        <v>0</v>
      </c>
      <c r="AE128" s="183">
        <f t="shared" si="39"/>
        <v>0</v>
      </c>
    </row>
    <row r="129" spans="1:31" x14ac:dyDescent="0.25">
      <c r="A129" s="188" t="s">
        <v>11</v>
      </c>
      <c r="B129" s="188" t="s">
        <v>351</v>
      </c>
      <c r="C129" s="188" t="s">
        <v>160</v>
      </c>
      <c r="D129" s="188" t="str">
        <f t="shared" si="22"/>
        <v>101-G376</v>
      </c>
      <c r="E129" s="188">
        <v>0</v>
      </c>
      <c r="F129" s="188">
        <v>722623.11</v>
      </c>
      <c r="G129" s="188">
        <v>1115247.58</v>
      </c>
      <c r="H129" s="188">
        <v>1940605.07</v>
      </c>
      <c r="I129" s="188">
        <v>0</v>
      </c>
      <c r="J129" s="183">
        <v>0</v>
      </c>
      <c r="L129" s="188" t="str">
        <f t="shared" si="23"/>
        <v>Emergent Gas</v>
      </c>
      <c r="M129" s="188" t="str">
        <f t="shared" si="24"/>
        <v>G3762 DST Mains, Plastic</v>
      </c>
      <c r="N129" s="188" t="str">
        <f t="shared" si="20"/>
        <v>Programmatic</v>
      </c>
      <c r="O129" s="188" t="str">
        <f t="shared" si="25"/>
        <v>101-G376</v>
      </c>
      <c r="P129" s="188">
        <f t="shared" si="26"/>
        <v>0</v>
      </c>
      <c r="Q129" s="188">
        <f t="shared" si="27"/>
        <v>0</v>
      </c>
      <c r="R129" s="188">
        <f t="shared" si="28"/>
        <v>0</v>
      </c>
      <c r="S129" s="188">
        <f t="shared" si="29"/>
        <v>0</v>
      </c>
      <c r="T129" s="188">
        <f t="shared" si="30"/>
        <v>0</v>
      </c>
      <c r="V129" s="188" t="str">
        <f t="shared" si="31"/>
        <v>Emergent Gas</v>
      </c>
      <c r="W129" s="188" t="str">
        <f t="shared" si="32"/>
        <v>G3762 DST Mains, Plastic</v>
      </c>
      <c r="X129" s="188" t="str">
        <f t="shared" si="21"/>
        <v>Programmatic</v>
      </c>
      <c r="Y129" s="188" t="str">
        <f t="shared" si="33"/>
        <v>101-G376</v>
      </c>
      <c r="Z129" s="188">
        <f t="shared" si="34"/>
        <v>0</v>
      </c>
      <c r="AA129" s="188">
        <f t="shared" si="35"/>
        <v>722623.11</v>
      </c>
      <c r="AB129" s="188">
        <f t="shared" si="36"/>
        <v>1115247.58</v>
      </c>
      <c r="AC129" s="188">
        <f t="shared" si="37"/>
        <v>1940605.07</v>
      </c>
      <c r="AD129" s="188">
        <f t="shared" si="38"/>
        <v>0</v>
      </c>
      <c r="AE129" s="183">
        <f t="shared" si="39"/>
        <v>0</v>
      </c>
    </row>
    <row r="130" spans="1:31" x14ac:dyDescent="0.25">
      <c r="A130" s="188" t="s">
        <v>11</v>
      </c>
      <c r="B130" s="188" t="s">
        <v>350</v>
      </c>
      <c r="C130" s="188" t="s">
        <v>160</v>
      </c>
      <c r="D130" s="188" t="str">
        <f t="shared" si="22"/>
        <v>101-G376</v>
      </c>
      <c r="E130" s="188">
        <v>0</v>
      </c>
      <c r="F130" s="188">
        <v>2329374.87</v>
      </c>
      <c r="G130" s="188">
        <v>3533276.52</v>
      </c>
      <c r="H130" s="188">
        <v>6016592.8300000001</v>
      </c>
      <c r="I130" s="188">
        <v>0</v>
      </c>
      <c r="J130" s="183">
        <v>0</v>
      </c>
      <c r="L130" s="188" t="str">
        <f t="shared" si="23"/>
        <v>Emergent Gas</v>
      </c>
      <c r="M130" s="188" t="str">
        <f t="shared" si="24"/>
        <v>G3764 DST Mains, Wrapped Steel</v>
      </c>
      <c r="N130" s="188" t="str">
        <f t="shared" si="20"/>
        <v>Programmatic</v>
      </c>
      <c r="O130" s="188" t="str">
        <f t="shared" si="25"/>
        <v>101-G376</v>
      </c>
      <c r="P130" s="188">
        <f t="shared" si="26"/>
        <v>0</v>
      </c>
      <c r="Q130" s="188">
        <f t="shared" si="27"/>
        <v>0</v>
      </c>
      <c r="R130" s="188">
        <f t="shared" si="28"/>
        <v>0</v>
      </c>
      <c r="S130" s="188">
        <f t="shared" si="29"/>
        <v>0</v>
      </c>
      <c r="T130" s="188">
        <f t="shared" si="30"/>
        <v>0</v>
      </c>
      <c r="V130" s="188" t="str">
        <f t="shared" si="31"/>
        <v>Emergent Gas</v>
      </c>
      <c r="W130" s="188" t="str">
        <f t="shared" si="32"/>
        <v>G3764 DST Mains, Wrapped Steel</v>
      </c>
      <c r="X130" s="188" t="str">
        <f t="shared" si="21"/>
        <v>Programmatic</v>
      </c>
      <c r="Y130" s="188" t="str">
        <f t="shared" si="33"/>
        <v>101-G376</v>
      </c>
      <c r="Z130" s="188">
        <f t="shared" si="34"/>
        <v>0</v>
      </c>
      <c r="AA130" s="188">
        <f t="shared" si="35"/>
        <v>2329374.87</v>
      </c>
      <c r="AB130" s="188">
        <f t="shared" si="36"/>
        <v>3533276.52</v>
      </c>
      <c r="AC130" s="188">
        <f t="shared" si="37"/>
        <v>6016592.8300000001</v>
      </c>
      <c r="AD130" s="188">
        <f t="shared" si="38"/>
        <v>0</v>
      </c>
      <c r="AE130" s="183">
        <f t="shared" si="39"/>
        <v>0</v>
      </c>
    </row>
    <row r="131" spans="1:31" x14ac:dyDescent="0.25">
      <c r="A131" s="188" t="s">
        <v>11</v>
      </c>
      <c r="B131" s="188" t="s">
        <v>349</v>
      </c>
      <c r="C131" s="188" t="s">
        <v>160</v>
      </c>
      <c r="D131" s="188" t="str">
        <f t="shared" si="22"/>
        <v>101-G376</v>
      </c>
      <c r="E131" s="188">
        <v>0</v>
      </c>
      <c r="F131" s="188">
        <v>1960175.47</v>
      </c>
      <c r="G131" s="188">
        <v>3021677.51</v>
      </c>
      <c r="H131" s="188">
        <v>5635144.0700000003</v>
      </c>
      <c r="I131" s="188">
        <v>0</v>
      </c>
      <c r="J131" s="183">
        <v>0</v>
      </c>
      <c r="L131" s="188" t="str">
        <f t="shared" si="23"/>
        <v>Emergent Gas</v>
      </c>
      <c r="M131" s="188" t="str">
        <f t="shared" si="24"/>
        <v>G3765 DST Mains, Cathodic Protectio</v>
      </c>
      <c r="N131" s="188" t="str">
        <f t="shared" si="20"/>
        <v>Programmatic</v>
      </c>
      <c r="O131" s="188" t="str">
        <f t="shared" si="25"/>
        <v>101-G376</v>
      </c>
      <c r="P131" s="188">
        <f t="shared" si="26"/>
        <v>0</v>
      </c>
      <c r="Q131" s="188">
        <f t="shared" si="27"/>
        <v>0</v>
      </c>
      <c r="R131" s="188">
        <f t="shared" si="28"/>
        <v>0</v>
      </c>
      <c r="S131" s="188">
        <f t="shared" si="29"/>
        <v>0</v>
      </c>
      <c r="T131" s="188">
        <f t="shared" si="30"/>
        <v>0</v>
      </c>
      <c r="V131" s="188" t="str">
        <f t="shared" si="31"/>
        <v>Emergent Gas</v>
      </c>
      <c r="W131" s="188" t="str">
        <f t="shared" si="32"/>
        <v>G3765 DST Mains, Cathodic Protectio</v>
      </c>
      <c r="X131" s="188" t="str">
        <f t="shared" si="21"/>
        <v>Programmatic</v>
      </c>
      <c r="Y131" s="188" t="str">
        <f t="shared" si="33"/>
        <v>101-G376</v>
      </c>
      <c r="Z131" s="188">
        <f t="shared" si="34"/>
        <v>0</v>
      </c>
      <c r="AA131" s="188">
        <f t="shared" si="35"/>
        <v>1960175.47</v>
      </c>
      <c r="AB131" s="188">
        <f t="shared" si="36"/>
        <v>3021677.51</v>
      </c>
      <c r="AC131" s="188">
        <f t="shared" si="37"/>
        <v>5635144.0700000003</v>
      </c>
      <c r="AD131" s="188">
        <f t="shared" si="38"/>
        <v>0</v>
      </c>
      <c r="AE131" s="183">
        <f t="shared" si="39"/>
        <v>0</v>
      </c>
    </row>
    <row r="132" spans="1:31" x14ac:dyDescent="0.25">
      <c r="A132" s="188" t="s">
        <v>11</v>
      </c>
      <c r="B132" s="188" t="s">
        <v>347</v>
      </c>
      <c r="C132" s="188" t="s">
        <v>160</v>
      </c>
      <c r="D132" s="188" t="str">
        <f t="shared" si="22"/>
        <v>101-G380</v>
      </c>
      <c r="E132" s="188">
        <v>0</v>
      </c>
      <c r="F132" s="188">
        <v>472857.45</v>
      </c>
      <c r="G132" s="188">
        <v>726766.47</v>
      </c>
      <c r="H132" s="188">
        <v>1292409.17</v>
      </c>
      <c r="I132" s="188">
        <v>0</v>
      </c>
      <c r="J132" s="183">
        <v>0</v>
      </c>
      <c r="L132" s="188" t="str">
        <f t="shared" si="23"/>
        <v>Emergent Gas</v>
      </c>
      <c r="M132" s="188" t="str">
        <f t="shared" si="24"/>
        <v>G3801 DST Services, Cathodic Protec</v>
      </c>
      <c r="N132" s="188" t="str">
        <f t="shared" ref="N132:N195" si="40">C132</f>
        <v>Programmatic</v>
      </c>
      <c r="O132" s="188" t="str">
        <f t="shared" si="25"/>
        <v>101-G380</v>
      </c>
      <c r="P132" s="188">
        <f t="shared" si="26"/>
        <v>0</v>
      </c>
      <c r="Q132" s="188">
        <f t="shared" si="27"/>
        <v>0</v>
      </c>
      <c r="R132" s="188">
        <f t="shared" si="28"/>
        <v>0</v>
      </c>
      <c r="S132" s="188">
        <f t="shared" si="29"/>
        <v>0</v>
      </c>
      <c r="T132" s="188">
        <f t="shared" si="30"/>
        <v>0</v>
      </c>
      <c r="V132" s="188" t="str">
        <f t="shared" si="31"/>
        <v>Emergent Gas</v>
      </c>
      <c r="W132" s="188" t="str">
        <f t="shared" si="32"/>
        <v>G3801 DST Services, Cathodic Protec</v>
      </c>
      <c r="X132" s="188" t="str">
        <f t="shared" ref="X132:X195" si="41">C132</f>
        <v>Programmatic</v>
      </c>
      <c r="Y132" s="188" t="str">
        <f t="shared" si="33"/>
        <v>101-G380</v>
      </c>
      <c r="Z132" s="188">
        <f t="shared" si="34"/>
        <v>0</v>
      </c>
      <c r="AA132" s="188">
        <f t="shared" si="35"/>
        <v>472857.45</v>
      </c>
      <c r="AB132" s="188">
        <f t="shared" si="36"/>
        <v>726766.47</v>
      </c>
      <c r="AC132" s="188">
        <f t="shared" si="37"/>
        <v>1292409.17</v>
      </c>
      <c r="AD132" s="188">
        <f t="shared" si="38"/>
        <v>0</v>
      </c>
      <c r="AE132" s="183">
        <f t="shared" si="39"/>
        <v>0</v>
      </c>
    </row>
    <row r="133" spans="1:31" x14ac:dyDescent="0.25">
      <c r="A133" s="188" t="s">
        <v>11</v>
      </c>
      <c r="B133" s="188" t="s">
        <v>346</v>
      </c>
      <c r="C133" s="188" t="s">
        <v>160</v>
      </c>
      <c r="D133" s="188" t="str">
        <f t="shared" ref="D133:D196" si="42">"101-"&amp; LEFT(B133,4)</f>
        <v>101-G380</v>
      </c>
      <c r="E133" s="188">
        <v>0</v>
      </c>
      <c r="F133" s="188">
        <v>10217977.4</v>
      </c>
      <c r="G133" s="188">
        <v>16365488.960000001</v>
      </c>
      <c r="H133" s="188">
        <v>29096741.210000001</v>
      </c>
      <c r="I133" s="188">
        <v>0</v>
      </c>
      <c r="J133" s="183">
        <v>0</v>
      </c>
      <c r="L133" s="188" t="str">
        <f t="shared" ref="L133:L196" si="43">A133</f>
        <v>Emergent Gas</v>
      </c>
      <c r="M133" s="188" t="str">
        <f t="shared" ref="M133:M196" si="44">B133</f>
        <v>G3802 DST Services, Plastic</v>
      </c>
      <c r="N133" s="188" t="str">
        <f t="shared" si="40"/>
        <v>Programmatic</v>
      </c>
      <c r="O133" s="188" t="str">
        <f t="shared" ref="O133:O196" si="45">D133</f>
        <v>101-G380</v>
      </c>
      <c r="P133" s="188">
        <f t="shared" ref="P133:P196" si="46">IF(MID($O133,5,1)="C",E133*$F$1,IF(MID($O133,5,1)="G",0,E133))</f>
        <v>0</v>
      </c>
      <c r="Q133" s="188">
        <f t="shared" ref="Q133:Q196" si="47">IF(MID($O133,5,1)="C",F133*$F$1,IF(MID($O133,5,1)="G",0,F133))</f>
        <v>0</v>
      </c>
      <c r="R133" s="188">
        <f t="shared" ref="R133:R196" si="48">IF(MID($O133,5,1)="C",G133*$F$1,IF(MID($O133,5,1)="G",0,G133))</f>
        <v>0</v>
      </c>
      <c r="S133" s="188">
        <f t="shared" ref="S133:S196" si="49">IF(MID($O133,5,1)="C",H133*$F$1,IF(MID($O133,5,1)="G",0,H133))</f>
        <v>0</v>
      </c>
      <c r="T133" s="188">
        <f t="shared" ref="T133:T196" si="50">IF(MID($O133,5,1)="C",I133*$F$1,IF(MID($O133,5,1)="G",0,I133))</f>
        <v>0</v>
      </c>
      <c r="V133" s="188" t="str">
        <f t="shared" ref="V133:V196" si="51">A133</f>
        <v>Emergent Gas</v>
      </c>
      <c r="W133" s="188" t="str">
        <f t="shared" ref="W133:W196" si="52">B133</f>
        <v>G3802 DST Services, Plastic</v>
      </c>
      <c r="X133" s="188" t="str">
        <f t="shared" si="41"/>
        <v>Programmatic</v>
      </c>
      <c r="Y133" s="188" t="str">
        <f t="shared" ref="Y133:Y196" si="53">D133</f>
        <v>101-G380</v>
      </c>
      <c r="Z133" s="188">
        <f t="shared" ref="Z133:Z196" si="54">IF(MID($O133,5,1)="C",E133*$D$1,IF(MID($O133,5,1)="E",0,E133))</f>
        <v>0</v>
      </c>
      <c r="AA133" s="188">
        <f t="shared" ref="AA133:AA196" si="55">IF(MID($O133,5,1)="C",F133*$D$1,IF(MID($O133,5,1)="E",0,F133))</f>
        <v>10217977.4</v>
      </c>
      <c r="AB133" s="188">
        <f t="shared" ref="AB133:AB196" si="56">IF(MID($O133,5,1)="C",G133*$D$1,IF(MID($O133,5,1)="E",0,G133))</f>
        <v>16365488.960000001</v>
      </c>
      <c r="AC133" s="188">
        <f t="shared" ref="AC133:AC196" si="57">IF(MID($O133,5,1)="C",H133*$D$1,IF(MID($O133,5,1)="E",0,H133))</f>
        <v>29096741.210000001</v>
      </c>
      <c r="AD133" s="188">
        <f t="shared" ref="AD133:AD196" si="58">IF(MID($O133,5,1)="C",I133*$D$1,IF(MID($O133,5,1)="E",0,I133))</f>
        <v>0</v>
      </c>
      <c r="AE133" s="183">
        <f t="shared" ref="AE133:AE196" si="59">SUM(E133:I133)-SUM(P133:T133)-SUM(Z133:AD133)</f>
        <v>0</v>
      </c>
    </row>
    <row r="134" spans="1:31" x14ac:dyDescent="0.25">
      <c r="A134" s="188" t="s">
        <v>11</v>
      </c>
      <c r="B134" s="188" t="s">
        <v>345</v>
      </c>
      <c r="C134" s="188" t="s">
        <v>160</v>
      </c>
      <c r="D134" s="188" t="str">
        <f t="shared" si="42"/>
        <v>101-G380</v>
      </c>
      <c r="E134" s="188">
        <v>0</v>
      </c>
      <c r="F134" s="188">
        <v>433552.35</v>
      </c>
      <c r="G134" s="188">
        <v>659564.38</v>
      </c>
      <c r="H134" s="188">
        <v>1120457.08</v>
      </c>
      <c r="I134" s="188">
        <v>0</v>
      </c>
      <c r="J134" s="183">
        <v>0</v>
      </c>
      <c r="L134" s="188" t="str">
        <f t="shared" si="43"/>
        <v>Emergent Gas</v>
      </c>
      <c r="M134" s="188" t="str">
        <f t="shared" si="44"/>
        <v>G3803 DST Services, Steel Wrapped</v>
      </c>
      <c r="N134" s="188" t="str">
        <f t="shared" si="40"/>
        <v>Programmatic</v>
      </c>
      <c r="O134" s="188" t="str">
        <f t="shared" si="45"/>
        <v>101-G380</v>
      </c>
      <c r="P134" s="188">
        <f t="shared" si="46"/>
        <v>0</v>
      </c>
      <c r="Q134" s="188">
        <f t="shared" si="47"/>
        <v>0</v>
      </c>
      <c r="R134" s="188">
        <f t="shared" si="48"/>
        <v>0</v>
      </c>
      <c r="S134" s="188">
        <f t="shared" si="49"/>
        <v>0</v>
      </c>
      <c r="T134" s="188">
        <f t="shared" si="50"/>
        <v>0</v>
      </c>
      <c r="V134" s="188" t="str">
        <f t="shared" si="51"/>
        <v>Emergent Gas</v>
      </c>
      <c r="W134" s="188" t="str">
        <f t="shared" si="52"/>
        <v>G3803 DST Services, Steel Wrapped</v>
      </c>
      <c r="X134" s="188" t="str">
        <f t="shared" si="41"/>
        <v>Programmatic</v>
      </c>
      <c r="Y134" s="188" t="str">
        <f t="shared" si="53"/>
        <v>101-G380</v>
      </c>
      <c r="Z134" s="188">
        <f t="shared" si="54"/>
        <v>0</v>
      </c>
      <c r="AA134" s="188">
        <f t="shared" si="55"/>
        <v>433552.35</v>
      </c>
      <c r="AB134" s="188">
        <f t="shared" si="56"/>
        <v>659564.38</v>
      </c>
      <c r="AC134" s="188">
        <f t="shared" si="57"/>
        <v>1120457.08</v>
      </c>
      <c r="AD134" s="188">
        <f t="shared" si="58"/>
        <v>0</v>
      </c>
      <c r="AE134" s="183">
        <f t="shared" si="59"/>
        <v>0</v>
      </c>
    </row>
    <row r="135" spans="1:31" x14ac:dyDescent="0.25">
      <c r="A135" s="188" t="s">
        <v>11</v>
      </c>
      <c r="B135" s="188" t="s">
        <v>344</v>
      </c>
      <c r="C135" s="188" t="s">
        <v>160</v>
      </c>
      <c r="D135" s="188" t="str">
        <f t="shared" si="42"/>
        <v>101-G381</v>
      </c>
      <c r="E135" s="188">
        <v>0</v>
      </c>
      <c r="F135" s="188">
        <v>125974.56</v>
      </c>
      <c r="G135" s="188">
        <v>190849.92000000001</v>
      </c>
      <c r="H135" s="188">
        <v>322549.56</v>
      </c>
      <c r="I135" s="188">
        <v>0</v>
      </c>
      <c r="J135" s="183">
        <v>0</v>
      </c>
      <c r="L135" s="188" t="str">
        <f t="shared" si="43"/>
        <v>Emergent Gas</v>
      </c>
      <c r="M135" s="188" t="str">
        <f t="shared" si="44"/>
        <v>G3810 DST Meters (AMR)</v>
      </c>
      <c r="N135" s="188" t="str">
        <f t="shared" si="40"/>
        <v>Programmatic</v>
      </c>
      <c r="O135" s="188" t="str">
        <f t="shared" si="45"/>
        <v>101-G381</v>
      </c>
      <c r="P135" s="188">
        <f t="shared" si="46"/>
        <v>0</v>
      </c>
      <c r="Q135" s="188">
        <f t="shared" si="47"/>
        <v>0</v>
      </c>
      <c r="R135" s="188">
        <f t="shared" si="48"/>
        <v>0</v>
      </c>
      <c r="S135" s="188">
        <f t="shared" si="49"/>
        <v>0</v>
      </c>
      <c r="T135" s="188">
        <f t="shared" si="50"/>
        <v>0</v>
      </c>
      <c r="V135" s="188" t="str">
        <f t="shared" si="51"/>
        <v>Emergent Gas</v>
      </c>
      <c r="W135" s="188" t="str">
        <f t="shared" si="52"/>
        <v>G3810 DST Meters (AMR)</v>
      </c>
      <c r="X135" s="188" t="str">
        <f t="shared" si="41"/>
        <v>Programmatic</v>
      </c>
      <c r="Y135" s="188" t="str">
        <f t="shared" si="53"/>
        <v>101-G381</v>
      </c>
      <c r="Z135" s="188">
        <f t="shared" si="54"/>
        <v>0</v>
      </c>
      <c r="AA135" s="188">
        <f t="shared" si="55"/>
        <v>125974.56</v>
      </c>
      <c r="AB135" s="188">
        <f t="shared" si="56"/>
        <v>190849.92000000001</v>
      </c>
      <c r="AC135" s="188">
        <f t="shared" si="57"/>
        <v>322549.56</v>
      </c>
      <c r="AD135" s="188">
        <f t="shared" si="58"/>
        <v>0</v>
      </c>
      <c r="AE135" s="183">
        <f t="shared" si="59"/>
        <v>0</v>
      </c>
    </row>
    <row r="136" spans="1:31" x14ac:dyDescent="0.25">
      <c r="A136" s="188" t="s">
        <v>11</v>
      </c>
      <c r="B136" s="188" t="s">
        <v>343</v>
      </c>
      <c r="C136" s="188" t="s">
        <v>160</v>
      </c>
      <c r="D136" s="188" t="str">
        <f t="shared" si="42"/>
        <v>101-G381</v>
      </c>
      <c r="E136" s="188">
        <v>0</v>
      </c>
      <c r="F136" s="188">
        <v>3748.08</v>
      </c>
      <c r="G136" s="188">
        <v>5678.28</v>
      </c>
      <c r="H136" s="188">
        <v>9596.52</v>
      </c>
      <c r="I136" s="188">
        <v>0</v>
      </c>
      <c r="J136" s="183">
        <v>0</v>
      </c>
      <c r="L136" s="188" t="str">
        <f t="shared" si="43"/>
        <v>Emergent Gas</v>
      </c>
      <c r="M136" s="188" t="str">
        <f t="shared" si="44"/>
        <v>G3812 DST Modules, AMI</v>
      </c>
      <c r="N136" s="188" t="str">
        <f t="shared" si="40"/>
        <v>Programmatic</v>
      </c>
      <c r="O136" s="188" t="str">
        <f t="shared" si="45"/>
        <v>101-G381</v>
      </c>
      <c r="P136" s="188">
        <f t="shared" si="46"/>
        <v>0</v>
      </c>
      <c r="Q136" s="188">
        <f t="shared" si="47"/>
        <v>0</v>
      </c>
      <c r="R136" s="188">
        <f t="shared" si="48"/>
        <v>0</v>
      </c>
      <c r="S136" s="188">
        <f t="shared" si="49"/>
        <v>0</v>
      </c>
      <c r="T136" s="188">
        <f t="shared" si="50"/>
        <v>0</v>
      </c>
      <c r="V136" s="188" t="str">
        <f t="shared" si="51"/>
        <v>Emergent Gas</v>
      </c>
      <c r="W136" s="188" t="str">
        <f t="shared" si="52"/>
        <v>G3812 DST Modules, AMI</v>
      </c>
      <c r="X136" s="188" t="str">
        <f t="shared" si="41"/>
        <v>Programmatic</v>
      </c>
      <c r="Y136" s="188" t="str">
        <f t="shared" si="53"/>
        <v>101-G381</v>
      </c>
      <c r="Z136" s="188">
        <f t="shared" si="54"/>
        <v>0</v>
      </c>
      <c r="AA136" s="188">
        <f t="shared" si="55"/>
        <v>3748.08</v>
      </c>
      <c r="AB136" s="188">
        <f t="shared" si="56"/>
        <v>5678.28</v>
      </c>
      <c r="AC136" s="188">
        <f t="shared" si="57"/>
        <v>9596.52</v>
      </c>
      <c r="AD136" s="188">
        <f t="shared" si="58"/>
        <v>0</v>
      </c>
      <c r="AE136" s="183">
        <f t="shared" si="59"/>
        <v>0</v>
      </c>
    </row>
    <row r="137" spans="1:31" x14ac:dyDescent="0.25">
      <c r="A137" s="188" t="s">
        <v>11</v>
      </c>
      <c r="B137" s="188" t="s">
        <v>342</v>
      </c>
      <c r="C137" s="188" t="s">
        <v>160</v>
      </c>
      <c r="D137" s="188" t="str">
        <f t="shared" si="42"/>
        <v>101-G382</v>
      </c>
      <c r="E137" s="188">
        <v>0</v>
      </c>
      <c r="F137" s="188">
        <v>1221051.24</v>
      </c>
      <c r="G137" s="188">
        <v>2054533.85</v>
      </c>
      <c r="H137" s="188">
        <v>3738891.01</v>
      </c>
      <c r="I137" s="188">
        <v>0</v>
      </c>
      <c r="J137" s="183">
        <v>0</v>
      </c>
      <c r="L137" s="188" t="str">
        <f t="shared" si="43"/>
        <v>Emergent Gas</v>
      </c>
      <c r="M137" s="188" t="str">
        <f t="shared" si="44"/>
        <v>G3820 DST Meter Installations (AMR)</v>
      </c>
      <c r="N137" s="188" t="str">
        <f t="shared" si="40"/>
        <v>Programmatic</v>
      </c>
      <c r="O137" s="188" t="str">
        <f t="shared" si="45"/>
        <v>101-G382</v>
      </c>
      <c r="P137" s="188">
        <f t="shared" si="46"/>
        <v>0</v>
      </c>
      <c r="Q137" s="188">
        <f t="shared" si="47"/>
        <v>0</v>
      </c>
      <c r="R137" s="188">
        <f t="shared" si="48"/>
        <v>0</v>
      </c>
      <c r="S137" s="188">
        <f t="shared" si="49"/>
        <v>0</v>
      </c>
      <c r="T137" s="188">
        <f t="shared" si="50"/>
        <v>0</v>
      </c>
      <c r="V137" s="188" t="str">
        <f t="shared" si="51"/>
        <v>Emergent Gas</v>
      </c>
      <c r="W137" s="188" t="str">
        <f t="shared" si="52"/>
        <v>G3820 DST Meter Installations (AMR)</v>
      </c>
      <c r="X137" s="188" t="str">
        <f t="shared" si="41"/>
        <v>Programmatic</v>
      </c>
      <c r="Y137" s="188" t="str">
        <f t="shared" si="53"/>
        <v>101-G382</v>
      </c>
      <c r="Z137" s="188">
        <f t="shared" si="54"/>
        <v>0</v>
      </c>
      <c r="AA137" s="188">
        <f t="shared" si="55"/>
        <v>1221051.24</v>
      </c>
      <c r="AB137" s="188">
        <f t="shared" si="56"/>
        <v>2054533.85</v>
      </c>
      <c r="AC137" s="188">
        <f t="shared" si="57"/>
        <v>3738891.01</v>
      </c>
      <c r="AD137" s="188">
        <f t="shared" si="58"/>
        <v>0</v>
      </c>
      <c r="AE137" s="183">
        <f t="shared" si="59"/>
        <v>0</v>
      </c>
    </row>
    <row r="138" spans="1:31" x14ac:dyDescent="0.25">
      <c r="A138" s="188" t="s">
        <v>11</v>
      </c>
      <c r="B138" s="188" t="s">
        <v>341</v>
      </c>
      <c r="C138" s="188" t="s">
        <v>160</v>
      </c>
      <c r="D138" s="188" t="str">
        <f t="shared" si="42"/>
        <v>101-G382</v>
      </c>
      <c r="E138" s="188">
        <v>0</v>
      </c>
      <c r="F138" s="188">
        <v>3748.08</v>
      </c>
      <c r="G138" s="188">
        <v>5678.28</v>
      </c>
      <c r="H138" s="188">
        <v>9596.52</v>
      </c>
      <c r="I138" s="188">
        <v>0</v>
      </c>
      <c r="J138" s="183">
        <v>0</v>
      </c>
      <c r="L138" s="188" t="str">
        <f t="shared" si="43"/>
        <v>Emergent Gas</v>
      </c>
      <c r="M138" s="188" t="str">
        <f t="shared" si="44"/>
        <v>G3822 DST Module Installations, AMI</v>
      </c>
      <c r="N138" s="188" t="str">
        <f t="shared" si="40"/>
        <v>Programmatic</v>
      </c>
      <c r="O138" s="188" t="str">
        <f t="shared" si="45"/>
        <v>101-G382</v>
      </c>
      <c r="P138" s="188">
        <f t="shared" si="46"/>
        <v>0</v>
      </c>
      <c r="Q138" s="188">
        <f t="shared" si="47"/>
        <v>0</v>
      </c>
      <c r="R138" s="188">
        <f t="shared" si="48"/>
        <v>0</v>
      </c>
      <c r="S138" s="188">
        <f t="shared" si="49"/>
        <v>0</v>
      </c>
      <c r="T138" s="188">
        <f t="shared" si="50"/>
        <v>0</v>
      </c>
      <c r="V138" s="188" t="str">
        <f t="shared" si="51"/>
        <v>Emergent Gas</v>
      </c>
      <c r="W138" s="188" t="str">
        <f t="shared" si="52"/>
        <v>G3822 DST Module Installations, AMI</v>
      </c>
      <c r="X138" s="188" t="str">
        <f t="shared" si="41"/>
        <v>Programmatic</v>
      </c>
      <c r="Y138" s="188" t="str">
        <f t="shared" si="53"/>
        <v>101-G382</v>
      </c>
      <c r="Z138" s="188">
        <f t="shared" si="54"/>
        <v>0</v>
      </c>
      <c r="AA138" s="188">
        <f t="shared" si="55"/>
        <v>3748.08</v>
      </c>
      <c r="AB138" s="188">
        <f t="shared" si="56"/>
        <v>5678.28</v>
      </c>
      <c r="AC138" s="188">
        <f t="shared" si="57"/>
        <v>9596.52</v>
      </c>
      <c r="AD138" s="188">
        <f t="shared" si="58"/>
        <v>0</v>
      </c>
      <c r="AE138" s="183">
        <f t="shared" si="59"/>
        <v>0</v>
      </c>
    </row>
    <row r="139" spans="1:31" x14ac:dyDescent="0.25">
      <c r="A139" s="188" t="s">
        <v>11</v>
      </c>
      <c r="B139" s="188" t="s">
        <v>340</v>
      </c>
      <c r="C139" s="188" t="s">
        <v>160</v>
      </c>
      <c r="D139" s="188" t="str">
        <f t="shared" si="42"/>
        <v>101-G383</v>
      </c>
      <c r="E139" s="188">
        <v>0</v>
      </c>
      <c r="F139" s="188">
        <v>1874.04</v>
      </c>
      <c r="G139" s="188">
        <v>2839.13</v>
      </c>
      <c r="H139" s="188">
        <v>4798.26</v>
      </c>
      <c r="I139" s="188">
        <v>0</v>
      </c>
      <c r="J139" s="183">
        <v>0</v>
      </c>
      <c r="L139" s="188" t="str">
        <f t="shared" si="43"/>
        <v>Emergent Gas</v>
      </c>
      <c r="M139" s="188" t="str">
        <f t="shared" si="44"/>
        <v>G383 DST House Regulators</v>
      </c>
      <c r="N139" s="188" t="str">
        <f t="shared" si="40"/>
        <v>Programmatic</v>
      </c>
      <c r="O139" s="188" t="str">
        <f t="shared" si="45"/>
        <v>101-G383</v>
      </c>
      <c r="P139" s="188">
        <f t="shared" si="46"/>
        <v>0</v>
      </c>
      <c r="Q139" s="188">
        <f t="shared" si="47"/>
        <v>0</v>
      </c>
      <c r="R139" s="188">
        <f t="shared" si="48"/>
        <v>0</v>
      </c>
      <c r="S139" s="188">
        <f t="shared" si="49"/>
        <v>0</v>
      </c>
      <c r="T139" s="188">
        <f t="shared" si="50"/>
        <v>0</v>
      </c>
      <c r="V139" s="188" t="str">
        <f t="shared" si="51"/>
        <v>Emergent Gas</v>
      </c>
      <c r="W139" s="188" t="str">
        <f t="shared" si="52"/>
        <v>G383 DST House Regulators</v>
      </c>
      <c r="X139" s="188" t="str">
        <f t="shared" si="41"/>
        <v>Programmatic</v>
      </c>
      <c r="Y139" s="188" t="str">
        <f t="shared" si="53"/>
        <v>101-G383</v>
      </c>
      <c r="Z139" s="188">
        <f t="shared" si="54"/>
        <v>0</v>
      </c>
      <c r="AA139" s="188">
        <f t="shared" si="55"/>
        <v>1874.04</v>
      </c>
      <c r="AB139" s="188">
        <f t="shared" si="56"/>
        <v>2839.13</v>
      </c>
      <c r="AC139" s="188">
        <f t="shared" si="57"/>
        <v>4798.26</v>
      </c>
      <c r="AD139" s="188">
        <f t="shared" si="58"/>
        <v>0</v>
      </c>
      <c r="AE139" s="183">
        <f t="shared" si="59"/>
        <v>0</v>
      </c>
    </row>
    <row r="140" spans="1:31" x14ac:dyDescent="0.25">
      <c r="A140" s="188" t="s">
        <v>11</v>
      </c>
      <c r="B140" s="188" t="s">
        <v>339</v>
      </c>
      <c r="C140" s="188" t="s">
        <v>160</v>
      </c>
      <c r="D140" s="188" t="str">
        <f t="shared" si="42"/>
        <v>101-G384</v>
      </c>
      <c r="E140" s="188">
        <v>0</v>
      </c>
      <c r="F140" s="188">
        <v>78163.44</v>
      </c>
      <c r="G140" s="188">
        <v>131233.19</v>
      </c>
      <c r="H140" s="188">
        <v>238488.06</v>
      </c>
      <c r="I140" s="188">
        <v>0</v>
      </c>
      <c r="J140" s="183">
        <v>0</v>
      </c>
      <c r="L140" s="188" t="str">
        <f t="shared" si="43"/>
        <v>Emergent Gas</v>
      </c>
      <c r="M140" s="188" t="str">
        <f t="shared" si="44"/>
        <v>G384 DST House Regulator Installs</v>
      </c>
      <c r="N140" s="188" t="str">
        <f t="shared" si="40"/>
        <v>Programmatic</v>
      </c>
      <c r="O140" s="188" t="str">
        <f t="shared" si="45"/>
        <v>101-G384</v>
      </c>
      <c r="P140" s="188">
        <f t="shared" si="46"/>
        <v>0</v>
      </c>
      <c r="Q140" s="188">
        <f t="shared" si="47"/>
        <v>0</v>
      </c>
      <c r="R140" s="188">
        <f t="shared" si="48"/>
        <v>0</v>
      </c>
      <c r="S140" s="188">
        <f t="shared" si="49"/>
        <v>0</v>
      </c>
      <c r="T140" s="188">
        <f t="shared" si="50"/>
        <v>0</v>
      </c>
      <c r="V140" s="188" t="str">
        <f t="shared" si="51"/>
        <v>Emergent Gas</v>
      </c>
      <c r="W140" s="188" t="str">
        <f t="shared" si="52"/>
        <v>G384 DST House Regulator Installs</v>
      </c>
      <c r="X140" s="188" t="str">
        <f t="shared" si="41"/>
        <v>Programmatic</v>
      </c>
      <c r="Y140" s="188" t="str">
        <f t="shared" si="53"/>
        <v>101-G384</v>
      </c>
      <c r="Z140" s="188">
        <f t="shared" si="54"/>
        <v>0</v>
      </c>
      <c r="AA140" s="188">
        <f t="shared" si="55"/>
        <v>78163.44</v>
      </c>
      <c r="AB140" s="188">
        <f t="shared" si="56"/>
        <v>131233.19</v>
      </c>
      <c r="AC140" s="188">
        <f t="shared" si="57"/>
        <v>238488.06</v>
      </c>
      <c r="AD140" s="188">
        <f t="shared" si="58"/>
        <v>0</v>
      </c>
      <c r="AE140" s="183">
        <f t="shared" si="59"/>
        <v>0</v>
      </c>
    </row>
    <row r="141" spans="1:31" x14ac:dyDescent="0.25">
      <c r="A141" s="188" t="s">
        <v>11</v>
      </c>
      <c r="B141" s="188" t="s">
        <v>338</v>
      </c>
      <c r="C141" s="188" t="s">
        <v>160</v>
      </c>
      <c r="D141" s="188" t="str">
        <f t="shared" si="42"/>
        <v>101-G385</v>
      </c>
      <c r="E141" s="188">
        <v>0</v>
      </c>
      <c r="F141" s="188">
        <v>450706.05</v>
      </c>
      <c r="G141" s="188">
        <v>702346.19</v>
      </c>
      <c r="H141" s="188">
        <v>1215943.46</v>
      </c>
      <c r="I141" s="188">
        <v>0</v>
      </c>
      <c r="J141" s="183">
        <v>0</v>
      </c>
      <c r="L141" s="188" t="str">
        <f t="shared" si="43"/>
        <v>Emergent Gas</v>
      </c>
      <c r="M141" s="188" t="str">
        <f t="shared" si="44"/>
        <v>G385 DST Industrial M&amp;R Sta Eq</v>
      </c>
      <c r="N141" s="188" t="str">
        <f t="shared" si="40"/>
        <v>Programmatic</v>
      </c>
      <c r="O141" s="188" t="str">
        <f t="shared" si="45"/>
        <v>101-G385</v>
      </c>
      <c r="P141" s="188">
        <f t="shared" si="46"/>
        <v>0</v>
      </c>
      <c r="Q141" s="188">
        <f t="shared" si="47"/>
        <v>0</v>
      </c>
      <c r="R141" s="188">
        <f t="shared" si="48"/>
        <v>0</v>
      </c>
      <c r="S141" s="188">
        <f t="shared" si="49"/>
        <v>0</v>
      </c>
      <c r="T141" s="188">
        <f t="shared" si="50"/>
        <v>0</v>
      </c>
      <c r="V141" s="188" t="str">
        <f t="shared" si="51"/>
        <v>Emergent Gas</v>
      </c>
      <c r="W141" s="188" t="str">
        <f t="shared" si="52"/>
        <v>G385 DST Industrial M&amp;R Sta Eq</v>
      </c>
      <c r="X141" s="188" t="str">
        <f t="shared" si="41"/>
        <v>Programmatic</v>
      </c>
      <c r="Y141" s="188" t="str">
        <f t="shared" si="53"/>
        <v>101-G385</v>
      </c>
      <c r="Z141" s="188">
        <f t="shared" si="54"/>
        <v>0</v>
      </c>
      <c r="AA141" s="188">
        <f t="shared" si="55"/>
        <v>450706.05</v>
      </c>
      <c r="AB141" s="188">
        <f t="shared" si="56"/>
        <v>702346.19</v>
      </c>
      <c r="AC141" s="188">
        <f t="shared" si="57"/>
        <v>1215943.46</v>
      </c>
      <c r="AD141" s="188">
        <f t="shared" si="58"/>
        <v>0</v>
      </c>
      <c r="AE141" s="183">
        <f t="shared" si="59"/>
        <v>0</v>
      </c>
    </row>
    <row r="142" spans="1:31" x14ac:dyDescent="0.25">
      <c r="A142" s="188" t="s">
        <v>215</v>
      </c>
      <c r="B142" s="188" t="s">
        <v>496</v>
      </c>
      <c r="C142" s="188" t="s">
        <v>173</v>
      </c>
      <c r="D142" s="188" t="str">
        <f t="shared" si="42"/>
        <v>101-E303</v>
      </c>
      <c r="E142" s="188">
        <v>0</v>
      </c>
      <c r="F142" s="188">
        <v>0</v>
      </c>
      <c r="G142" s="188">
        <v>0</v>
      </c>
      <c r="H142" s="188">
        <v>0</v>
      </c>
      <c r="I142" s="188">
        <v>0</v>
      </c>
      <c r="J142" s="183">
        <v>0</v>
      </c>
      <c r="L142" s="188" t="str">
        <f t="shared" si="43"/>
        <v>EMS Upgrade</v>
      </c>
      <c r="M142" s="188" t="str">
        <f t="shared" si="44"/>
        <v>E303.10 INT Misc Intangible Plant</v>
      </c>
      <c r="N142" s="188" t="str">
        <f t="shared" si="40"/>
        <v>Specific</v>
      </c>
      <c r="O142" s="188" t="str">
        <f t="shared" si="45"/>
        <v>101-E303</v>
      </c>
      <c r="P142" s="188">
        <f t="shared" si="46"/>
        <v>0</v>
      </c>
      <c r="Q142" s="188">
        <f t="shared" si="47"/>
        <v>0</v>
      </c>
      <c r="R142" s="188">
        <f t="shared" si="48"/>
        <v>0</v>
      </c>
      <c r="S142" s="188">
        <f t="shared" si="49"/>
        <v>0</v>
      </c>
      <c r="T142" s="188">
        <f t="shared" si="50"/>
        <v>0</v>
      </c>
      <c r="V142" s="188" t="str">
        <f t="shared" si="51"/>
        <v>EMS Upgrade</v>
      </c>
      <c r="W142" s="188" t="str">
        <f t="shared" si="52"/>
        <v>E303.10 INT Misc Intangible Plant</v>
      </c>
      <c r="X142" s="188" t="str">
        <f t="shared" si="41"/>
        <v>Specific</v>
      </c>
      <c r="Y142" s="188" t="str">
        <f t="shared" si="53"/>
        <v>101-E303</v>
      </c>
      <c r="Z142" s="188">
        <f t="shared" si="54"/>
        <v>0</v>
      </c>
      <c r="AA142" s="188">
        <f t="shared" si="55"/>
        <v>0</v>
      </c>
      <c r="AB142" s="188">
        <f t="shared" si="56"/>
        <v>0</v>
      </c>
      <c r="AC142" s="188">
        <f t="shared" si="57"/>
        <v>0</v>
      </c>
      <c r="AD142" s="188">
        <f t="shared" si="58"/>
        <v>0</v>
      </c>
      <c r="AE142" s="183">
        <f t="shared" si="59"/>
        <v>0</v>
      </c>
    </row>
    <row r="143" spans="1:31" x14ac:dyDescent="0.25">
      <c r="A143" s="188" t="s">
        <v>12</v>
      </c>
      <c r="B143" s="188" t="s">
        <v>322</v>
      </c>
      <c r="C143" s="188" t="s">
        <v>173</v>
      </c>
      <c r="D143" s="188" t="str">
        <f t="shared" si="42"/>
        <v>101-E353</v>
      </c>
      <c r="E143" s="188">
        <v>0</v>
      </c>
      <c r="F143" s="188">
        <v>0</v>
      </c>
      <c r="G143" s="188">
        <v>4196963.8600000003</v>
      </c>
      <c r="H143" s="188">
        <v>20145426.510000002</v>
      </c>
      <c r="I143" s="188">
        <v>0</v>
      </c>
      <c r="J143" s="183">
        <v>0</v>
      </c>
      <c r="L143" s="188" t="str">
        <f t="shared" si="43"/>
        <v>Energize Eastside</v>
      </c>
      <c r="M143" s="188" t="str">
        <f t="shared" si="44"/>
        <v>E3536 TSM Substation Equipment</v>
      </c>
      <c r="N143" s="188" t="str">
        <f t="shared" si="40"/>
        <v>Specific</v>
      </c>
      <c r="O143" s="188" t="str">
        <f t="shared" si="45"/>
        <v>101-E353</v>
      </c>
      <c r="P143" s="188">
        <f t="shared" si="46"/>
        <v>0</v>
      </c>
      <c r="Q143" s="188">
        <f t="shared" si="47"/>
        <v>0</v>
      </c>
      <c r="R143" s="188">
        <f t="shared" si="48"/>
        <v>4196963.8600000003</v>
      </c>
      <c r="S143" s="188">
        <f t="shared" si="49"/>
        <v>20145426.510000002</v>
      </c>
      <c r="T143" s="188">
        <f t="shared" si="50"/>
        <v>0</v>
      </c>
      <c r="V143" s="188" t="str">
        <f t="shared" si="51"/>
        <v>Energize Eastside</v>
      </c>
      <c r="W143" s="188" t="str">
        <f t="shared" si="52"/>
        <v>E3536 TSM Substation Equipment</v>
      </c>
      <c r="X143" s="188" t="str">
        <f t="shared" si="41"/>
        <v>Specific</v>
      </c>
      <c r="Y143" s="188" t="str">
        <f t="shared" si="53"/>
        <v>101-E353</v>
      </c>
      <c r="Z143" s="188">
        <f t="shared" si="54"/>
        <v>0</v>
      </c>
      <c r="AA143" s="188">
        <f t="shared" si="55"/>
        <v>0</v>
      </c>
      <c r="AB143" s="188">
        <f t="shared" si="56"/>
        <v>0</v>
      </c>
      <c r="AC143" s="188">
        <f t="shared" si="57"/>
        <v>0</v>
      </c>
      <c r="AD143" s="188">
        <f t="shared" si="58"/>
        <v>0</v>
      </c>
      <c r="AE143" s="183">
        <f t="shared" si="59"/>
        <v>0</v>
      </c>
    </row>
    <row r="144" spans="1:31" x14ac:dyDescent="0.25">
      <c r="A144" s="188" t="s">
        <v>12</v>
      </c>
      <c r="B144" s="188" t="s">
        <v>400</v>
      </c>
      <c r="C144" s="188" t="s">
        <v>173</v>
      </c>
      <c r="D144" s="188" t="str">
        <f t="shared" si="42"/>
        <v>101-E355</v>
      </c>
      <c r="E144" s="188">
        <v>0</v>
      </c>
      <c r="F144" s="188">
        <v>0</v>
      </c>
      <c r="G144" s="188">
        <v>480518.93</v>
      </c>
      <c r="H144" s="188">
        <v>42509487.450000003</v>
      </c>
      <c r="I144" s="188">
        <v>0</v>
      </c>
      <c r="J144" s="183">
        <v>0</v>
      </c>
      <c r="L144" s="188" t="str">
        <f t="shared" si="43"/>
        <v>Energize Eastside</v>
      </c>
      <c r="M144" s="188" t="str">
        <f t="shared" si="44"/>
        <v>E355 TSM Poles &amp; Fixtures</v>
      </c>
      <c r="N144" s="188" t="str">
        <f t="shared" si="40"/>
        <v>Specific</v>
      </c>
      <c r="O144" s="188" t="str">
        <f t="shared" si="45"/>
        <v>101-E355</v>
      </c>
      <c r="P144" s="188">
        <f t="shared" si="46"/>
        <v>0</v>
      </c>
      <c r="Q144" s="188">
        <f t="shared" si="47"/>
        <v>0</v>
      </c>
      <c r="R144" s="188">
        <f t="shared" si="48"/>
        <v>480518.93</v>
      </c>
      <c r="S144" s="188">
        <f t="shared" si="49"/>
        <v>42509487.450000003</v>
      </c>
      <c r="T144" s="188">
        <f t="shared" si="50"/>
        <v>0</v>
      </c>
      <c r="V144" s="188" t="str">
        <f t="shared" si="51"/>
        <v>Energize Eastside</v>
      </c>
      <c r="W144" s="188" t="str">
        <f t="shared" si="52"/>
        <v>E355 TSM Poles &amp; Fixtures</v>
      </c>
      <c r="X144" s="188" t="str">
        <f t="shared" si="41"/>
        <v>Specific</v>
      </c>
      <c r="Y144" s="188" t="str">
        <f t="shared" si="53"/>
        <v>101-E355</v>
      </c>
      <c r="Z144" s="188">
        <f t="shared" si="54"/>
        <v>0</v>
      </c>
      <c r="AA144" s="188">
        <f t="shared" si="55"/>
        <v>0</v>
      </c>
      <c r="AB144" s="188">
        <f t="shared" si="56"/>
        <v>0</v>
      </c>
      <c r="AC144" s="188">
        <f t="shared" si="57"/>
        <v>0</v>
      </c>
      <c r="AD144" s="188">
        <f t="shared" si="58"/>
        <v>0</v>
      </c>
      <c r="AE144" s="183">
        <f t="shared" si="59"/>
        <v>0</v>
      </c>
    </row>
    <row r="145" spans="1:31" x14ac:dyDescent="0.25">
      <c r="A145" s="188" t="s">
        <v>12</v>
      </c>
      <c r="B145" s="188" t="s">
        <v>324</v>
      </c>
      <c r="C145" s="188" t="s">
        <v>173</v>
      </c>
      <c r="D145" s="188" t="str">
        <f t="shared" si="42"/>
        <v>101-E355</v>
      </c>
      <c r="E145" s="188">
        <v>0</v>
      </c>
      <c r="F145" s="188">
        <v>0</v>
      </c>
      <c r="G145" s="188">
        <v>55606.74</v>
      </c>
      <c r="H145" s="188">
        <v>4919294.24</v>
      </c>
      <c r="I145" s="188">
        <v>0</v>
      </c>
      <c r="J145" s="183">
        <v>0</v>
      </c>
      <c r="L145" s="188" t="str">
        <f t="shared" si="43"/>
        <v>Energize Eastside</v>
      </c>
      <c r="M145" s="188" t="str">
        <f t="shared" si="44"/>
        <v>E3556 TSM Poles</v>
      </c>
      <c r="N145" s="188" t="str">
        <f t="shared" si="40"/>
        <v>Specific</v>
      </c>
      <c r="O145" s="188" t="str">
        <f t="shared" si="45"/>
        <v>101-E355</v>
      </c>
      <c r="P145" s="188">
        <f t="shared" si="46"/>
        <v>0</v>
      </c>
      <c r="Q145" s="188">
        <f t="shared" si="47"/>
        <v>0</v>
      </c>
      <c r="R145" s="188">
        <f t="shared" si="48"/>
        <v>55606.74</v>
      </c>
      <c r="S145" s="188">
        <f t="shared" si="49"/>
        <v>4919294.24</v>
      </c>
      <c r="T145" s="188">
        <f t="shared" si="50"/>
        <v>0</v>
      </c>
      <c r="V145" s="188" t="str">
        <f t="shared" si="51"/>
        <v>Energize Eastside</v>
      </c>
      <c r="W145" s="188" t="str">
        <f t="shared" si="52"/>
        <v>E3556 TSM Poles</v>
      </c>
      <c r="X145" s="188" t="str">
        <f t="shared" si="41"/>
        <v>Specific</v>
      </c>
      <c r="Y145" s="188" t="str">
        <f t="shared" si="53"/>
        <v>101-E355</v>
      </c>
      <c r="Z145" s="188">
        <f t="shared" si="54"/>
        <v>0</v>
      </c>
      <c r="AA145" s="188">
        <f t="shared" si="55"/>
        <v>0</v>
      </c>
      <c r="AB145" s="188">
        <f t="shared" si="56"/>
        <v>0</v>
      </c>
      <c r="AC145" s="188">
        <f t="shared" si="57"/>
        <v>0</v>
      </c>
      <c r="AD145" s="188">
        <f t="shared" si="58"/>
        <v>0</v>
      </c>
      <c r="AE145" s="183">
        <f t="shared" si="59"/>
        <v>0</v>
      </c>
    </row>
    <row r="146" spans="1:31" x14ac:dyDescent="0.25">
      <c r="A146" s="188" t="s">
        <v>12</v>
      </c>
      <c r="B146" s="188" t="s">
        <v>396</v>
      </c>
      <c r="C146" s="188" t="s">
        <v>173</v>
      </c>
      <c r="D146" s="188" t="str">
        <f t="shared" si="42"/>
        <v>101-E356</v>
      </c>
      <c r="E146" s="188">
        <v>0</v>
      </c>
      <c r="F146" s="188">
        <v>0</v>
      </c>
      <c r="G146" s="188">
        <v>86861.56</v>
      </c>
      <c r="H146" s="188">
        <v>7684276.8600000003</v>
      </c>
      <c r="I146" s="188">
        <v>0</v>
      </c>
      <c r="J146" s="183">
        <v>0</v>
      </c>
      <c r="L146" s="188" t="str">
        <f t="shared" si="43"/>
        <v>Energize Eastside</v>
      </c>
      <c r="M146" s="188" t="str">
        <f t="shared" si="44"/>
        <v>E356 TSM O/H Conductor &amp; Devices</v>
      </c>
      <c r="N146" s="188" t="str">
        <f t="shared" si="40"/>
        <v>Specific</v>
      </c>
      <c r="O146" s="188" t="str">
        <f t="shared" si="45"/>
        <v>101-E356</v>
      </c>
      <c r="P146" s="188">
        <f t="shared" si="46"/>
        <v>0</v>
      </c>
      <c r="Q146" s="188">
        <f t="shared" si="47"/>
        <v>0</v>
      </c>
      <c r="R146" s="188">
        <f t="shared" si="48"/>
        <v>86861.56</v>
      </c>
      <c r="S146" s="188">
        <f t="shared" si="49"/>
        <v>7684276.8600000003</v>
      </c>
      <c r="T146" s="188">
        <f t="shared" si="50"/>
        <v>0</v>
      </c>
      <c r="V146" s="188" t="str">
        <f t="shared" si="51"/>
        <v>Energize Eastside</v>
      </c>
      <c r="W146" s="188" t="str">
        <f t="shared" si="52"/>
        <v>E356 TSM O/H Conductor &amp; Devices</v>
      </c>
      <c r="X146" s="188" t="str">
        <f t="shared" si="41"/>
        <v>Specific</v>
      </c>
      <c r="Y146" s="188" t="str">
        <f t="shared" si="53"/>
        <v>101-E356</v>
      </c>
      <c r="Z146" s="188">
        <f t="shared" si="54"/>
        <v>0</v>
      </c>
      <c r="AA146" s="188">
        <f t="shared" si="55"/>
        <v>0</v>
      </c>
      <c r="AB146" s="188">
        <f t="shared" si="56"/>
        <v>0</v>
      </c>
      <c r="AC146" s="188">
        <f t="shared" si="57"/>
        <v>0</v>
      </c>
      <c r="AD146" s="188">
        <f t="shared" si="58"/>
        <v>0</v>
      </c>
      <c r="AE146" s="183">
        <f t="shared" si="59"/>
        <v>0</v>
      </c>
    </row>
    <row r="147" spans="1:31" x14ac:dyDescent="0.25">
      <c r="A147" s="188" t="s">
        <v>12</v>
      </c>
      <c r="B147" s="188" t="s">
        <v>395</v>
      </c>
      <c r="C147" s="188" t="s">
        <v>173</v>
      </c>
      <c r="D147" s="188" t="str">
        <f t="shared" si="42"/>
        <v>101-E356</v>
      </c>
      <c r="E147" s="188">
        <v>0</v>
      </c>
      <c r="F147" s="188">
        <v>0</v>
      </c>
      <c r="G147" s="188">
        <v>10034.780000000001</v>
      </c>
      <c r="H147" s="188">
        <v>887734.71</v>
      </c>
      <c r="I147" s="188">
        <v>0</v>
      </c>
      <c r="J147" s="183">
        <v>0</v>
      </c>
      <c r="L147" s="188" t="str">
        <f t="shared" si="43"/>
        <v>Energize Eastside</v>
      </c>
      <c r="M147" s="188" t="str">
        <f t="shared" si="44"/>
        <v>E3566 TSM O/H Conductor/Devices</v>
      </c>
      <c r="N147" s="188" t="str">
        <f t="shared" si="40"/>
        <v>Specific</v>
      </c>
      <c r="O147" s="188" t="str">
        <f t="shared" si="45"/>
        <v>101-E356</v>
      </c>
      <c r="P147" s="188">
        <f t="shared" si="46"/>
        <v>0</v>
      </c>
      <c r="Q147" s="188">
        <f t="shared" si="47"/>
        <v>0</v>
      </c>
      <c r="R147" s="188">
        <f t="shared" si="48"/>
        <v>10034.780000000001</v>
      </c>
      <c r="S147" s="188">
        <f t="shared" si="49"/>
        <v>887734.71</v>
      </c>
      <c r="T147" s="188">
        <f t="shared" si="50"/>
        <v>0</v>
      </c>
      <c r="V147" s="188" t="str">
        <f t="shared" si="51"/>
        <v>Energize Eastside</v>
      </c>
      <c r="W147" s="188" t="str">
        <f t="shared" si="52"/>
        <v>E3566 TSM O/H Conductor/Devices</v>
      </c>
      <c r="X147" s="188" t="str">
        <f t="shared" si="41"/>
        <v>Specific</v>
      </c>
      <c r="Y147" s="188" t="str">
        <f t="shared" si="53"/>
        <v>101-E356</v>
      </c>
      <c r="Z147" s="188">
        <f t="shared" si="54"/>
        <v>0</v>
      </c>
      <c r="AA147" s="188">
        <f t="shared" si="55"/>
        <v>0</v>
      </c>
      <c r="AB147" s="188">
        <f t="shared" si="56"/>
        <v>0</v>
      </c>
      <c r="AC147" s="188">
        <f t="shared" si="57"/>
        <v>0</v>
      </c>
      <c r="AD147" s="188">
        <f t="shared" si="58"/>
        <v>0</v>
      </c>
      <c r="AE147" s="183">
        <f t="shared" si="59"/>
        <v>0</v>
      </c>
    </row>
    <row r="148" spans="1:31" x14ac:dyDescent="0.25">
      <c r="A148" s="188" t="s">
        <v>12</v>
      </c>
      <c r="B148" s="188" t="s">
        <v>381</v>
      </c>
      <c r="C148" s="188" t="s">
        <v>173</v>
      </c>
      <c r="D148" s="188" t="str">
        <f t="shared" si="42"/>
        <v>101-E390</v>
      </c>
      <c r="E148" s="188">
        <v>0</v>
      </c>
      <c r="F148" s="188">
        <v>0</v>
      </c>
      <c r="G148" s="188">
        <v>3522172.4</v>
      </c>
      <c r="H148" s="188">
        <v>16906427.530000001</v>
      </c>
      <c r="I148" s="188">
        <v>0</v>
      </c>
      <c r="J148" s="183">
        <v>0</v>
      </c>
      <c r="L148" s="188" t="str">
        <f t="shared" si="43"/>
        <v>Energize Eastside</v>
      </c>
      <c r="M148" s="188" t="str">
        <f t="shared" si="44"/>
        <v>E3900 GEN Structures &amp; Improvement</v>
      </c>
      <c r="N148" s="188" t="str">
        <f t="shared" si="40"/>
        <v>Specific</v>
      </c>
      <c r="O148" s="188" t="str">
        <f t="shared" si="45"/>
        <v>101-E390</v>
      </c>
      <c r="P148" s="188">
        <f t="shared" si="46"/>
        <v>0</v>
      </c>
      <c r="Q148" s="188">
        <f t="shared" si="47"/>
        <v>0</v>
      </c>
      <c r="R148" s="188">
        <f t="shared" si="48"/>
        <v>3522172.4</v>
      </c>
      <c r="S148" s="188">
        <f t="shared" si="49"/>
        <v>16906427.530000001</v>
      </c>
      <c r="T148" s="188">
        <f t="shared" si="50"/>
        <v>0</v>
      </c>
      <c r="V148" s="188" t="str">
        <f t="shared" si="51"/>
        <v>Energize Eastside</v>
      </c>
      <c r="W148" s="188" t="str">
        <f t="shared" si="52"/>
        <v>E3900 GEN Structures &amp; Improvement</v>
      </c>
      <c r="X148" s="188" t="str">
        <f t="shared" si="41"/>
        <v>Specific</v>
      </c>
      <c r="Y148" s="188" t="str">
        <f t="shared" si="53"/>
        <v>101-E390</v>
      </c>
      <c r="Z148" s="188">
        <f t="shared" si="54"/>
        <v>0</v>
      </c>
      <c r="AA148" s="188">
        <f t="shared" si="55"/>
        <v>0</v>
      </c>
      <c r="AB148" s="188">
        <f t="shared" si="56"/>
        <v>0</v>
      </c>
      <c r="AC148" s="188">
        <f t="shared" si="57"/>
        <v>0</v>
      </c>
      <c r="AD148" s="188">
        <f t="shared" si="58"/>
        <v>0</v>
      </c>
      <c r="AE148" s="183">
        <f t="shared" si="59"/>
        <v>0</v>
      </c>
    </row>
    <row r="149" spans="1:31" x14ac:dyDescent="0.25">
      <c r="A149" s="188" t="s">
        <v>12</v>
      </c>
      <c r="B149" s="188" t="s">
        <v>372</v>
      </c>
      <c r="C149" s="188" t="s">
        <v>173</v>
      </c>
      <c r="D149" s="188" t="str">
        <f t="shared" si="42"/>
        <v>101-E397</v>
      </c>
      <c r="E149" s="188">
        <v>0</v>
      </c>
      <c r="F149" s="188">
        <v>0</v>
      </c>
      <c r="G149" s="188">
        <v>6135.92</v>
      </c>
      <c r="H149" s="188">
        <v>542818.68000000005</v>
      </c>
      <c r="I149" s="188">
        <v>0</v>
      </c>
      <c r="J149" s="183">
        <v>0</v>
      </c>
      <c r="L149" s="188" t="str">
        <f t="shared" si="43"/>
        <v>Energize Eastside</v>
      </c>
      <c r="M149" s="188" t="str">
        <f t="shared" si="44"/>
        <v>E3970 GEN Comm Equip, new</v>
      </c>
      <c r="N149" s="188" t="str">
        <f t="shared" si="40"/>
        <v>Specific</v>
      </c>
      <c r="O149" s="188" t="str">
        <f t="shared" si="45"/>
        <v>101-E397</v>
      </c>
      <c r="P149" s="188">
        <f t="shared" si="46"/>
        <v>0</v>
      </c>
      <c r="Q149" s="188">
        <f t="shared" si="47"/>
        <v>0</v>
      </c>
      <c r="R149" s="188">
        <f t="shared" si="48"/>
        <v>6135.92</v>
      </c>
      <c r="S149" s="188">
        <f t="shared" si="49"/>
        <v>542818.68000000005</v>
      </c>
      <c r="T149" s="188">
        <f t="shared" si="50"/>
        <v>0</v>
      </c>
      <c r="V149" s="188" t="str">
        <f t="shared" si="51"/>
        <v>Energize Eastside</v>
      </c>
      <c r="W149" s="188" t="str">
        <f t="shared" si="52"/>
        <v>E3970 GEN Comm Equip, new</v>
      </c>
      <c r="X149" s="188" t="str">
        <f t="shared" si="41"/>
        <v>Specific</v>
      </c>
      <c r="Y149" s="188" t="str">
        <f t="shared" si="53"/>
        <v>101-E397</v>
      </c>
      <c r="Z149" s="188">
        <f t="shared" si="54"/>
        <v>0</v>
      </c>
      <c r="AA149" s="188">
        <f t="shared" si="55"/>
        <v>0</v>
      </c>
      <c r="AB149" s="188">
        <f t="shared" si="56"/>
        <v>0</v>
      </c>
      <c r="AC149" s="188">
        <f t="shared" si="57"/>
        <v>0</v>
      </c>
      <c r="AD149" s="188">
        <f t="shared" si="58"/>
        <v>0</v>
      </c>
      <c r="AE149" s="183">
        <f t="shared" si="59"/>
        <v>0</v>
      </c>
    </row>
    <row r="150" spans="1:31" x14ac:dyDescent="0.25">
      <c r="A150" s="188" t="s">
        <v>127</v>
      </c>
      <c r="B150" s="188" t="s">
        <v>384</v>
      </c>
      <c r="C150" s="188" t="s">
        <v>160</v>
      </c>
      <c r="D150" s="188" t="str">
        <f t="shared" si="42"/>
        <v>101-E371</v>
      </c>
      <c r="E150" s="188">
        <v>0</v>
      </c>
      <c r="F150" s="188">
        <v>3158695.8</v>
      </c>
      <c r="G150" s="188">
        <v>6741693.9500000002</v>
      </c>
      <c r="H150" s="188">
        <v>15982057.68</v>
      </c>
      <c r="I150" s="188">
        <v>0</v>
      </c>
      <c r="J150" s="183">
        <v>0</v>
      </c>
      <c r="L150" s="188" t="str">
        <f t="shared" si="43"/>
        <v>EV Circuit</v>
      </c>
      <c r="M150" s="188" t="str">
        <f t="shared" si="44"/>
        <v>E3711 DST EV Charger Cust Premises</v>
      </c>
      <c r="N150" s="188" t="str">
        <f t="shared" si="40"/>
        <v>Programmatic</v>
      </c>
      <c r="O150" s="188" t="str">
        <f t="shared" si="45"/>
        <v>101-E371</v>
      </c>
      <c r="P150" s="188">
        <f t="shared" si="46"/>
        <v>0</v>
      </c>
      <c r="Q150" s="188">
        <f t="shared" si="47"/>
        <v>3158695.8</v>
      </c>
      <c r="R150" s="188">
        <f t="shared" si="48"/>
        <v>6741693.9500000002</v>
      </c>
      <c r="S150" s="188">
        <f t="shared" si="49"/>
        <v>15982057.68</v>
      </c>
      <c r="T150" s="188">
        <f t="shared" si="50"/>
        <v>0</v>
      </c>
      <c r="V150" s="188" t="str">
        <f t="shared" si="51"/>
        <v>EV Circuit</v>
      </c>
      <c r="W150" s="188" t="str">
        <f t="shared" si="52"/>
        <v>E3711 DST EV Charger Cust Premises</v>
      </c>
      <c r="X150" s="188" t="str">
        <f t="shared" si="41"/>
        <v>Programmatic</v>
      </c>
      <c r="Y150" s="188" t="str">
        <f t="shared" si="53"/>
        <v>101-E371</v>
      </c>
      <c r="Z150" s="188">
        <f t="shared" si="54"/>
        <v>0</v>
      </c>
      <c r="AA150" s="188">
        <f t="shared" si="55"/>
        <v>0</v>
      </c>
      <c r="AB150" s="188">
        <f t="shared" si="56"/>
        <v>0</v>
      </c>
      <c r="AC150" s="188">
        <f t="shared" si="57"/>
        <v>0</v>
      </c>
      <c r="AD150" s="188">
        <f t="shared" si="58"/>
        <v>0</v>
      </c>
      <c r="AE150" s="183">
        <f t="shared" si="59"/>
        <v>0</v>
      </c>
    </row>
    <row r="151" spans="1:31" x14ac:dyDescent="0.25">
      <c r="A151" s="188" t="s">
        <v>214</v>
      </c>
      <c r="B151" s="188" t="s">
        <v>450</v>
      </c>
      <c r="C151" s="188" t="s">
        <v>173</v>
      </c>
      <c r="D151" s="188" t="str">
        <f t="shared" si="42"/>
        <v>101-E344</v>
      </c>
      <c r="E151" s="188">
        <v>0</v>
      </c>
      <c r="F151" s="188">
        <v>1447.55</v>
      </c>
      <c r="G151" s="188">
        <v>1507.86</v>
      </c>
      <c r="H151" s="188">
        <v>288136.64</v>
      </c>
      <c r="I151" s="188">
        <v>0</v>
      </c>
      <c r="J151" s="183">
        <v>0</v>
      </c>
      <c r="L151" s="188" t="str">
        <f t="shared" si="43"/>
        <v>Freddy Hot Gas Path</v>
      </c>
      <c r="M151" s="188" t="str">
        <f t="shared" si="44"/>
        <v>E3440 PRD Gen, Fredonia</v>
      </c>
      <c r="N151" s="188" t="str">
        <f t="shared" si="40"/>
        <v>Specific</v>
      </c>
      <c r="O151" s="188" t="str">
        <f t="shared" si="45"/>
        <v>101-E344</v>
      </c>
      <c r="P151" s="188">
        <f t="shared" si="46"/>
        <v>0</v>
      </c>
      <c r="Q151" s="188">
        <f t="shared" si="47"/>
        <v>1447.55</v>
      </c>
      <c r="R151" s="188">
        <f t="shared" si="48"/>
        <v>1507.86</v>
      </c>
      <c r="S151" s="188">
        <f t="shared" si="49"/>
        <v>288136.64</v>
      </c>
      <c r="T151" s="188">
        <f t="shared" si="50"/>
        <v>0</v>
      </c>
      <c r="V151" s="188" t="str">
        <f t="shared" si="51"/>
        <v>Freddy Hot Gas Path</v>
      </c>
      <c r="W151" s="188" t="str">
        <f t="shared" si="52"/>
        <v>E3440 PRD Gen, Fredonia</v>
      </c>
      <c r="X151" s="188" t="str">
        <f t="shared" si="41"/>
        <v>Specific</v>
      </c>
      <c r="Y151" s="188" t="str">
        <f t="shared" si="53"/>
        <v>101-E344</v>
      </c>
      <c r="Z151" s="188">
        <f t="shared" si="54"/>
        <v>0</v>
      </c>
      <c r="AA151" s="188">
        <f t="shared" si="55"/>
        <v>0</v>
      </c>
      <c r="AB151" s="188">
        <f t="shared" si="56"/>
        <v>0</v>
      </c>
      <c r="AC151" s="188">
        <f t="shared" si="57"/>
        <v>0</v>
      </c>
      <c r="AD151" s="188">
        <f t="shared" si="58"/>
        <v>0</v>
      </c>
      <c r="AE151" s="183">
        <f t="shared" si="59"/>
        <v>0</v>
      </c>
    </row>
    <row r="152" spans="1:31" x14ac:dyDescent="0.25">
      <c r="A152" s="188" t="s">
        <v>13</v>
      </c>
      <c r="B152" s="188" t="s">
        <v>363</v>
      </c>
      <c r="C152" s="188" t="s">
        <v>160</v>
      </c>
      <c r="D152" s="188" t="str">
        <f t="shared" si="42"/>
        <v>101-G303</v>
      </c>
      <c r="E152" s="188">
        <v>0</v>
      </c>
      <c r="F152" s="188">
        <v>12953.28</v>
      </c>
      <c r="G152" s="188">
        <v>19620.84</v>
      </c>
      <c r="H152" s="188">
        <v>33152.639999999999</v>
      </c>
      <c r="I152" s="188">
        <v>0</v>
      </c>
      <c r="J152" s="183">
        <v>0</v>
      </c>
      <c r="L152" s="188" t="str">
        <f t="shared" si="43"/>
        <v>Gas Modernization</v>
      </c>
      <c r="M152" s="188" t="str">
        <f t="shared" si="44"/>
        <v>G303.5 INT Misc Intangible Plant</v>
      </c>
      <c r="N152" s="188" t="str">
        <f t="shared" si="40"/>
        <v>Programmatic</v>
      </c>
      <c r="O152" s="188" t="str">
        <f t="shared" si="45"/>
        <v>101-G303</v>
      </c>
      <c r="P152" s="188">
        <f t="shared" si="46"/>
        <v>0</v>
      </c>
      <c r="Q152" s="188">
        <f t="shared" si="47"/>
        <v>0</v>
      </c>
      <c r="R152" s="188">
        <f t="shared" si="48"/>
        <v>0</v>
      </c>
      <c r="S152" s="188">
        <f t="shared" si="49"/>
        <v>0</v>
      </c>
      <c r="T152" s="188">
        <f t="shared" si="50"/>
        <v>0</v>
      </c>
      <c r="V152" s="188" t="str">
        <f t="shared" si="51"/>
        <v>Gas Modernization</v>
      </c>
      <c r="W152" s="188" t="str">
        <f t="shared" si="52"/>
        <v>G303.5 INT Misc Intangible Plant</v>
      </c>
      <c r="X152" s="188" t="str">
        <f t="shared" si="41"/>
        <v>Programmatic</v>
      </c>
      <c r="Y152" s="188" t="str">
        <f t="shared" si="53"/>
        <v>101-G303</v>
      </c>
      <c r="Z152" s="188">
        <f t="shared" si="54"/>
        <v>0</v>
      </c>
      <c r="AA152" s="188">
        <f t="shared" si="55"/>
        <v>12953.28</v>
      </c>
      <c r="AB152" s="188">
        <f t="shared" si="56"/>
        <v>19620.84</v>
      </c>
      <c r="AC152" s="188">
        <f t="shared" si="57"/>
        <v>33152.639999999999</v>
      </c>
      <c r="AD152" s="188">
        <f t="shared" si="58"/>
        <v>0</v>
      </c>
      <c r="AE152" s="183">
        <f t="shared" si="59"/>
        <v>0</v>
      </c>
    </row>
    <row r="153" spans="1:31" x14ac:dyDescent="0.25">
      <c r="A153" s="188" t="s">
        <v>13</v>
      </c>
      <c r="B153" s="188" t="s">
        <v>352</v>
      </c>
      <c r="C153" s="188" t="s">
        <v>160</v>
      </c>
      <c r="D153" s="188" t="str">
        <f t="shared" si="42"/>
        <v>101-G375</v>
      </c>
      <c r="E153" s="188">
        <v>0</v>
      </c>
      <c r="F153" s="188">
        <v>64680.47</v>
      </c>
      <c r="G153" s="188">
        <v>102368.15</v>
      </c>
      <c r="H153" s="188">
        <v>181243.61</v>
      </c>
      <c r="I153" s="188">
        <v>0</v>
      </c>
      <c r="J153" s="183">
        <v>0</v>
      </c>
      <c r="L153" s="188" t="str">
        <f t="shared" si="43"/>
        <v>Gas Modernization</v>
      </c>
      <c r="M153" s="188" t="str">
        <f t="shared" si="44"/>
        <v>G3750 DST Structures &amp; Improvements</v>
      </c>
      <c r="N153" s="188" t="str">
        <f t="shared" si="40"/>
        <v>Programmatic</v>
      </c>
      <c r="O153" s="188" t="str">
        <f t="shared" si="45"/>
        <v>101-G375</v>
      </c>
      <c r="P153" s="188">
        <f t="shared" si="46"/>
        <v>0</v>
      </c>
      <c r="Q153" s="188">
        <f t="shared" si="47"/>
        <v>0</v>
      </c>
      <c r="R153" s="188">
        <f t="shared" si="48"/>
        <v>0</v>
      </c>
      <c r="S153" s="188">
        <f t="shared" si="49"/>
        <v>0</v>
      </c>
      <c r="T153" s="188">
        <f t="shared" si="50"/>
        <v>0</v>
      </c>
      <c r="V153" s="188" t="str">
        <f t="shared" si="51"/>
        <v>Gas Modernization</v>
      </c>
      <c r="W153" s="188" t="str">
        <f t="shared" si="52"/>
        <v>G3750 DST Structures &amp; Improvements</v>
      </c>
      <c r="X153" s="188" t="str">
        <f t="shared" si="41"/>
        <v>Programmatic</v>
      </c>
      <c r="Y153" s="188" t="str">
        <f t="shared" si="53"/>
        <v>101-G375</v>
      </c>
      <c r="Z153" s="188">
        <f t="shared" si="54"/>
        <v>0</v>
      </c>
      <c r="AA153" s="188">
        <f t="shared" si="55"/>
        <v>64680.47</v>
      </c>
      <c r="AB153" s="188">
        <f t="shared" si="56"/>
        <v>102368.15</v>
      </c>
      <c r="AC153" s="188">
        <f t="shared" si="57"/>
        <v>181243.61</v>
      </c>
      <c r="AD153" s="188">
        <f t="shared" si="58"/>
        <v>0</v>
      </c>
      <c r="AE153" s="183">
        <f t="shared" si="59"/>
        <v>0</v>
      </c>
    </row>
    <row r="154" spans="1:31" x14ac:dyDescent="0.25">
      <c r="A154" s="188" t="s">
        <v>13</v>
      </c>
      <c r="B154" s="188" t="s">
        <v>351</v>
      </c>
      <c r="C154" s="188" t="s">
        <v>160</v>
      </c>
      <c r="D154" s="188" t="str">
        <f t="shared" si="42"/>
        <v>101-G376</v>
      </c>
      <c r="E154" s="188">
        <v>0</v>
      </c>
      <c r="F154" s="188">
        <v>5547524.9299999997</v>
      </c>
      <c r="G154" s="188">
        <v>8671008.1199999992</v>
      </c>
      <c r="H154" s="188">
        <v>15170205.76</v>
      </c>
      <c r="I154" s="188">
        <v>0</v>
      </c>
      <c r="J154" s="183">
        <v>0</v>
      </c>
      <c r="L154" s="188" t="str">
        <f t="shared" si="43"/>
        <v>Gas Modernization</v>
      </c>
      <c r="M154" s="188" t="str">
        <f t="shared" si="44"/>
        <v>G3762 DST Mains, Plastic</v>
      </c>
      <c r="N154" s="188" t="str">
        <f t="shared" si="40"/>
        <v>Programmatic</v>
      </c>
      <c r="O154" s="188" t="str">
        <f t="shared" si="45"/>
        <v>101-G376</v>
      </c>
      <c r="P154" s="188">
        <f t="shared" si="46"/>
        <v>0</v>
      </c>
      <c r="Q154" s="188">
        <f t="shared" si="47"/>
        <v>0</v>
      </c>
      <c r="R154" s="188">
        <f t="shared" si="48"/>
        <v>0</v>
      </c>
      <c r="S154" s="188">
        <f t="shared" si="49"/>
        <v>0</v>
      </c>
      <c r="T154" s="188">
        <f t="shared" si="50"/>
        <v>0</v>
      </c>
      <c r="V154" s="188" t="str">
        <f t="shared" si="51"/>
        <v>Gas Modernization</v>
      </c>
      <c r="W154" s="188" t="str">
        <f t="shared" si="52"/>
        <v>G3762 DST Mains, Plastic</v>
      </c>
      <c r="X154" s="188" t="str">
        <f t="shared" si="41"/>
        <v>Programmatic</v>
      </c>
      <c r="Y154" s="188" t="str">
        <f t="shared" si="53"/>
        <v>101-G376</v>
      </c>
      <c r="Z154" s="188">
        <f t="shared" si="54"/>
        <v>0</v>
      </c>
      <c r="AA154" s="188">
        <f t="shared" si="55"/>
        <v>5547524.9299999997</v>
      </c>
      <c r="AB154" s="188">
        <f t="shared" si="56"/>
        <v>8671008.1199999992</v>
      </c>
      <c r="AC154" s="188">
        <f t="shared" si="57"/>
        <v>15170205.76</v>
      </c>
      <c r="AD154" s="188">
        <f t="shared" si="58"/>
        <v>0</v>
      </c>
      <c r="AE154" s="183">
        <f t="shared" si="59"/>
        <v>0</v>
      </c>
    </row>
    <row r="155" spans="1:31" x14ac:dyDescent="0.25">
      <c r="A155" s="188" t="s">
        <v>13</v>
      </c>
      <c r="B155" s="188" t="s">
        <v>350</v>
      </c>
      <c r="C155" s="188" t="s">
        <v>160</v>
      </c>
      <c r="D155" s="188" t="str">
        <f t="shared" si="42"/>
        <v>101-G376</v>
      </c>
      <c r="E155" s="188">
        <v>0</v>
      </c>
      <c r="F155" s="188">
        <v>1971337.31</v>
      </c>
      <c r="G155" s="188">
        <v>3572686.47</v>
      </c>
      <c r="H155" s="188">
        <v>6836284.7699999996</v>
      </c>
      <c r="I155" s="188">
        <v>0</v>
      </c>
      <c r="J155" s="183">
        <v>0</v>
      </c>
      <c r="L155" s="188" t="str">
        <f t="shared" si="43"/>
        <v>Gas Modernization</v>
      </c>
      <c r="M155" s="188" t="str">
        <f t="shared" si="44"/>
        <v>G3764 DST Mains, Wrapped Steel</v>
      </c>
      <c r="N155" s="188" t="str">
        <f t="shared" si="40"/>
        <v>Programmatic</v>
      </c>
      <c r="O155" s="188" t="str">
        <f t="shared" si="45"/>
        <v>101-G376</v>
      </c>
      <c r="P155" s="188">
        <f t="shared" si="46"/>
        <v>0</v>
      </c>
      <c r="Q155" s="188">
        <f t="shared" si="47"/>
        <v>0</v>
      </c>
      <c r="R155" s="188">
        <f t="shared" si="48"/>
        <v>0</v>
      </c>
      <c r="S155" s="188">
        <f t="shared" si="49"/>
        <v>0</v>
      </c>
      <c r="T155" s="188">
        <f t="shared" si="50"/>
        <v>0</v>
      </c>
      <c r="V155" s="188" t="str">
        <f t="shared" si="51"/>
        <v>Gas Modernization</v>
      </c>
      <c r="W155" s="188" t="str">
        <f t="shared" si="52"/>
        <v>G3764 DST Mains, Wrapped Steel</v>
      </c>
      <c r="X155" s="188" t="str">
        <f t="shared" si="41"/>
        <v>Programmatic</v>
      </c>
      <c r="Y155" s="188" t="str">
        <f t="shared" si="53"/>
        <v>101-G376</v>
      </c>
      <c r="Z155" s="188">
        <f t="shared" si="54"/>
        <v>0</v>
      </c>
      <c r="AA155" s="188">
        <f t="shared" si="55"/>
        <v>1971337.31</v>
      </c>
      <c r="AB155" s="188">
        <f t="shared" si="56"/>
        <v>3572686.47</v>
      </c>
      <c r="AC155" s="188">
        <f t="shared" si="57"/>
        <v>6836284.7699999996</v>
      </c>
      <c r="AD155" s="188">
        <f t="shared" si="58"/>
        <v>0</v>
      </c>
      <c r="AE155" s="183">
        <f t="shared" si="59"/>
        <v>0</v>
      </c>
    </row>
    <row r="156" spans="1:31" x14ac:dyDescent="0.25">
      <c r="A156" s="188" t="s">
        <v>13</v>
      </c>
      <c r="B156" s="188" t="s">
        <v>349</v>
      </c>
      <c r="C156" s="188" t="s">
        <v>160</v>
      </c>
      <c r="D156" s="188" t="str">
        <f t="shared" si="42"/>
        <v>101-G376</v>
      </c>
      <c r="E156" s="188">
        <v>0</v>
      </c>
      <c r="F156" s="188">
        <v>15347.15</v>
      </c>
      <c r="G156" s="188">
        <v>24289.57</v>
      </c>
      <c r="H156" s="188">
        <v>43004.88</v>
      </c>
      <c r="I156" s="188">
        <v>0</v>
      </c>
      <c r="J156" s="183">
        <v>0</v>
      </c>
      <c r="L156" s="188" t="str">
        <f t="shared" si="43"/>
        <v>Gas Modernization</v>
      </c>
      <c r="M156" s="188" t="str">
        <f t="shared" si="44"/>
        <v>G3765 DST Mains, Cathodic Protectio</v>
      </c>
      <c r="N156" s="188" t="str">
        <f t="shared" si="40"/>
        <v>Programmatic</v>
      </c>
      <c r="O156" s="188" t="str">
        <f t="shared" si="45"/>
        <v>101-G376</v>
      </c>
      <c r="P156" s="188">
        <f t="shared" si="46"/>
        <v>0</v>
      </c>
      <c r="Q156" s="188">
        <f t="shared" si="47"/>
        <v>0</v>
      </c>
      <c r="R156" s="188">
        <f t="shared" si="48"/>
        <v>0</v>
      </c>
      <c r="S156" s="188">
        <f t="shared" si="49"/>
        <v>0</v>
      </c>
      <c r="T156" s="188">
        <f t="shared" si="50"/>
        <v>0</v>
      </c>
      <c r="V156" s="188" t="str">
        <f t="shared" si="51"/>
        <v>Gas Modernization</v>
      </c>
      <c r="W156" s="188" t="str">
        <f t="shared" si="52"/>
        <v>G3765 DST Mains, Cathodic Protectio</v>
      </c>
      <c r="X156" s="188" t="str">
        <f t="shared" si="41"/>
        <v>Programmatic</v>
      </c>
      <c r="Y156" s="188" t="str">
        <f t="shared" si="53"/>
        <v>101-G376</v>
      </c>
      <c r="Z156" s="188">
        <f t="shared" si="54"/>
        <v>0</v>
      </c>
      <c r="AA156" s="188">
        <f t="shared" si="55"/>
        <v>15347.15</v>
      </c>
      <c r="AB156" s="188">
        <f t="shared" si="56"/>
        <v>24289.57</v>
      </c>
      <c r="AC156" s="188">
        <f t="shared" si="57"/>
        <v>43004.88</v>
      </c>
      <c r="AD156" s="188">
        <f t="shared" si="58"/>
        <v>0</v>
      </c>
      <c r="AE156" s="183">
        <f t="shared" si="59"/>
        <v>0</v>
      </c>
    </row>
    <row r="157" spans="1:31" x14ac:dyDescent="0.25">
      <c r="A157" s="188" t="s">
        <v>13</v>
      </c>
      <c r="B157" s="188" t="s">
        <v>348</v>
      </c>
      <c r="C157" s="188" t="s">
        <v>160</v>
      </c>
      <c r="D157" s="188" t="str">
        <f t="shared" si="42"/>
        <v>101-G378</v>
      </c>
      <c r="E157" s="188">
        <v>0</v>
      </c>
      <c r="F157" s="188">
        <v>4334934.3</v>
      </c>
      <c r="G157" s="188">
        <v>6560254.1299999999</v>
      </c>
      <c r="H157" s="188">
        <v>11518832.779999999</v>
      </c>
      <c r="I157" s="188">
        <v>0</v>
      </c>
      <c r="J157" s="183">
        <v>0</v>
      </c>
      <c r="L157" s="188" t="str">
        <f t="shared" si="43"/>
        <v>Gas Modernization</v>
      </c>
      <c r="M157" s="188" t="str">
        <f t="shared" si="44"/>
        <v>G3780 DST Measuring &amp; Reg Station</v>
      </c>
      <c r="N157" s="188" t="str">
        <f t="shared" si="40"/>
        <v>Programmatic</v>
      </c>
      <c r="O157" s="188" t="str">
        <f t="shared" si="45"/>
        <v>101-G378</v>
      </c>
      <c r="P157" s="188">
        <f t="shared" si="46"/>
        <v>0</v>
      </c>
      <c r="Q157" s="188">
        <f t="shared" si="47"/>
        <v>0</v>
      </c>
      <c r="R157" s="188">
        <f t="shared" si="48"/>
        <v>0</v>
      </c>
      <c r="S157" s="188">
        <f t="shared" si="49"/>
        <v>0</v>
      </c>
      <c r="T157" s="188">
        <f t="shared" si="50"/>
        <v>0</v>
      </c>
      <c r="V157" s="188" t="str">
        <f t="shared" si="51"/>
        <v>Gas Modernization</v>
      </c>
      <c r="W157" s="188" t="str">
        <f t="shared" si="52"/>
        <v>G3780 DST Measuring &amp; Reg Station</v>
      </c>
      <c r="X157" s="188" t="str">
        <f t="shared" si="41"/>
        <v>Programmatic</v>
      </c>
      <c r="Y157" s="188" t="str">
        <f t="shared" si="53"/>
        <v>101-G378</v>
      </c>
      <c r="Z157" s="188">
        <f t="shared" si="54"/>
        <v>0</v>
      </c>
      <c r="AA157" s="188">
        <f t="shared" si="55"/>
        <v>4334934.3</v>
      </c>
      <c r="AB157" s="188">
        <f t="shared" si="56"/>
        <v>6560254.1299999999</v>
      </c>
      <c r="AC157" s="188">
        <f t="shared" si="57"/>
        <v>11518832.779999999</v>
      </c>
      <c r="AD157" s="188">
        <f t="shared" si="58"/>
        <v>0</v>
      </c>
      <c r="AE157" s="183">
        <f t="shared" si="59"/>
        <v>0</v>
      </c>
    </row>
    <row r="158" spans="1:31" x14ac:dyDescent="0.25">
      <c r="A158" s="188" t="s">
        <v>13</v>
      </c>
      <c r="B158" s="188" t="s">
        <v>347</v>
      </c>
      <c r="C158" s="188" t="s">
        <v>160</v>
      </c>
      <c r="D158" s="188" t="str">
        <f t="shared" si="42"/>
        <v>101-G380</v>
      </c>
      <c r="E158" s="188">
        <v>0</v>
      </c>
      <c r="F158" s="188">
        <v>12154.44</v>
      </c>
      <c r="G158" s="188">
        <v>19991.96</v>
      </c>
      <c r="H158" s="188">
        <v>35913.71</v>
      </c>
      <c r="I158" s="188">
        <v>0</v>
      </c>
      <c r="J158" s="183">
        <v>0</v>
      </c>
      <c r="L158" s="188" t="str">
        <f t="shared" si="43"/>
        <v>Gas Modernization</v>
      </c>
      <c r="M158" s="188" t="str">
        <f t="shared" si="44"/>
        <v>G3801 DST Services, Cathodic Protec</v>
      </c>
      <c r="N158" s="188" t="str">
        <f t="shared" si="40"/>
        <v>Programmatic</v>
      </c>
      <c r="O158" s="188" t="str">
        <f t="shared" si="45"/>
        <v>101-G380</v>
      </c>
      <c r="P158" s="188">
        <f t="shared" si="46"/>
        <v>0</v>
      </c>
      <c r="Q158" s="188">
        <f t="shared" si="47"/>
        <v>0</v>
      </c>
      <c r="R158" s="188">
        <f t="shared" si="48"/>
        <v>0</v>
      </c>
      <c r="S158" s="188">
        <f t="shared" si="49"/>
        <v>0</v>
      </c>
      <c r="T158" s="188">
        <f t="shared" si="50"/>
        <v>0</v>
      </c>
      <c r="V158" s="188" t="str">
        <f t="shared" si="51"/>
        <v>Gas Modernization</v>
      </c>
      <c r="W158" s="188" t="str">
        <f t="shared" si="52"/>
        <v>G3801 DST Services, Cathodic Protec</v>
      </c>
      <c r="X158" s="188" t="str">
        <f t="shared" si="41"/>
        <v>Programmatic</v>
      </c>
      <c r="Y158" s="188" t="str">
        <f t="shared" si="53"/>
        <v>101-G380</v>
      </c>
      <c r="Z158" s="188">
        <f t="shared" si="54"/>
        <v>0</v>
      </c>
      <c r="AA158" s="188">
        <f t="shared" si="55"/>
        <v>12154.44</v>
      </c>
      <c r="AB158" s="188">
        <f t="shared" si="56"/>
        <v>19991.96</v>
      </c>
      <c r="AC158" s="188">
        <f t="shared" si="57"/>
        <v>35913.71</v>
      </c>
      <c r="AD158" s="188">
        <f t="shared" si="58"/>
        <v>0</v>
      </c>
      <c r="AE158" s="183">
        <f t="shared" si="59"/>
        <v>0</v>
      </c>
    </row>
    <row r="159" spans="1:31" x14ac:dyDescent="0.25">
      <c r="A159" s="188" t="s">
        <v>13</v>
      </c>
      <c r="B159" s="188" t="s">
        <v>346</v>
      </c>
      <c r="C159" s="188" t="s">
        <v>160</v>
      </c>
      <c r="D159" s="188" t="str">
        <f t="shared" si="42"/>
        <v>101-G380</v>
      </c>
      <c r="E159" s="188">
        <v>0</v>
      </c>
      <c r="F159" s="188">
        <v>5107851.3600000003</v>
      </c>
      <c r="G159" s="188">
        <v>8418191.75</v>
      </c>
      <c r="H159" s="188">
        <v>15320765.140000001</v>
      </c>
      <c r="I159" s="188">
        <v>0</v>
      </c>
      <c r="J159" s="183">
        <v>0</v>
      </c>
      <c r="L159" s="188" t="str">
        <f t="shared" si="43"/>
        <v>Gas Modernization</v>
      </c>
      <c r="M159" s="188" t="str">
        <f t="shared" si="44"/>
        <v>G3802 DST Services, Plastic</v>
      </c>
      <c r="N159" s="188" t="str">
        <f t="shared" si="40"/>
        <v>Programmatic</v>
      </c>
      <c r="O159" s="188" t="str">
        <f t="shared" si="45"/>
        <v>101-G380</v>
      </c>
      <c r="P159" s="188">
        <f t="shared" si="46"/>
        <v>0</v>
      </c>
      <c r="Q159" s="188">
        <f t="shared" si="47"/>
        <v>0</v>
      </c>
      <c r="R159" s="188">
        <f t="shared" si="48"/>
        <v>0</v>
      </c>
      <c r="S159" s="188">
        <f t="shared" si="49"/>
        <v>0</v>
      </c>
      <c r="T159" s="188">
        <f t="shared" si="50"/>
        <v>0</v>
      </c>
      <c r="V159" s="188" t="str">
        <f t="shared" si="51"/>
        <v>Gas Modernization</v>
      </c>
      <c r="W159" s="188" t="str">
        <f t="shared" si="52"/>
        <v>G3802 DST Services, Plastic</v>
      </c>
      <c r="X159" s="188" t="str">
        <f t="shared" si="41"/>
        <v>Programmatic</v>
      </c>
      <c r="Y159" s="188" t="str">
        <f t="shared" si="53"/>
        <v>101-G380</v>
      </c>
      <c r="Z159" s="188">
        <f t="shared" si="54"/>
        <v>0</v>
      </c>
      <c r="AA159" s="188">
        <f t="shared" si="55"/>
        <v>5107851.3600000003</v>
      </c>
      <c r="AB159" s="188">
        <f t="shared" si="56"/>
        <v>8418191.75</v>
      </c>
      <c r="AC159" s="188">
        <f t="shared" si="57"/>
        <v>15320765.140000001</v>
      </c>
      <c r="AD159" s="188">
        <f t="shared" si="58"/>
        <v>0</v>
      </c>
      <c r="AE159" s="183">
        <f t="shared" si="59"/>
        <v>0</v>
      </c>
    </row>
    <row r="160" spans="1:31" x14ac:dyDescent="0.25">
      <c r="A160" s="188" t="s">
        <v>13</v>
      </c>
      <c r="B160" s="188" t="s">
        <v>345</v>
      </c>
      <c r="C160" s="188" t="s">
        <v>160</v>
      </c>
      <c r="D160" s="188" t="str">
        <f t="shared" si="42"/>
        <v>101-G380</v>
      </c>
      <c r="E160" s="188">
        <v>0</v>
      </c>
      <c r="F160" s="188">
        <v>815890.48</v>
      </c>
      <c r="G160" s="188">
        <v>1416590.9</v>
      </c>
      <c r="H160" s="188">
        <v>2628649.88</v>
      </c>
      <c r="I160" s="188">
        <v>0</v>
      </c>
      <c r="J160" s="183">
        <v>0</v>
      </c>
      <c r="L160" s="188" t="str">
        <f t="shared" si="43"/>
        <v>Gas Modernization</v>
      </c>
      <c r="M160" s="188" t="str">
        <f t="shared" si="44"/>
        <v>G3803 DST Services, Steel Wrapped</v>
      </c>
      <c r="N160" s="188" t="str">
        <f t="shared" si="40"/>
        <v>Programmatic</v>
      </c>
      <c r="O160" s="188" t="str">
        <f t="shared" si="45"/>
        <v>101-G380</v>
      </c>
      <c r="P160" s="188">
        <f t="shared" si="46"/>
        <v>0</v>
      </c>
      <c r="Q160" s="188">
        <f t="shared" si="47"/>
        <v>0</v>
      </c>
      <c r="R160" s="188">
        <f t="shared" si="48"/>
        <v>0</v>
      </c>
      <c r="S160" s="188">
        <f t="shared" si="49"/>
        <v>0</v>
      </c>
      <c r="T160" s="188">
        <f t="shared" si="50"/>
        <v>0</v>
      </c>
      <c r="V160" s="188" t="str">
        <f t="shared" si="51"/>
        <v>Gas Modernization</v>
      </c>
      <c r="W160" s="188" t="str">
        <f t="shared" si="52"/>
        <v>G3803 DST Services, Steel Wrapped</v>
      </c>
      <c r="X160" s="188" t="str">
        <f t="shared" si="41"/>
        <v>Programmatic</v>
      </c>
      <c r="Y160" s="188" t="str">
        <f t="shared" si="53"/>
        <v>101-G380</v>
      </c>
      <c r="Z160" s="188">
        <f t="shared" si="54"/>
        <v>0</v>
      </c>
      <c r="AA160" s="188">
        <f t="shared" si="55"/>
        <v>815890.48</v>
      </c>
      <c r="AB160" s="188">
        <f t="shared" si="56"/>
        <v>1416590.9</v>
      </c>
      <c r="AC160" s="188">
        <f t="shared" si="57"/>
        <v>2628649.88</v>
      </c>
      <c r="AD160" s="188">
        <f t="shared" si="58"/>
        <v>0</v>
      </c>
      <c r="AE160" s="183">
        <f t="shared" si="59"/>
        <v>0</v>
      </c>
    </row>
    <row r="161" spans="1:31" x14ac:dyDescent="0.25">
      <c r="A161" s="188" t="s">
        <v>13</v>
      </c>
      <c r="B161" s="188" t="s">
        <v>344</v>
      </c>
      <c r="C161" s="188" t="s">
        <v>160</v>
      </c>
      <c r="D161" s="188" t="str">
        <f t="shared" si="42"/>
        <v>101-G381</v>
      </c>
      <c r="E161" s="188">
        <v>0</v>
      </c>
      <c r="F161" s="188">
        <v>5639.64</v>
      </c>
      <c r="G161" s="188">
        <v>8543.9</v>
      </c>
      <c r="H161" s="188">
        <v>14439.24</v>
      </c>
      <c r="I161" s="188">
        <v>0</v>
      </c>
      <c r="J161" s="183">
        <v>0</v>
      </c>
      <c r="L161" s="188" t="str">
        <f t="shared" si="43"/>
        <v>Gas Modernization</v>
      </c>
      <c r="M161" s="188" t="str">
        <f t="shared" si="44"/>
        <v>G3810 DST Meters (AMR)</v>
      </c>
      <c r="N161" s="188" t="str">
        <f t="shared" si="40"/>
        <v>Programmatic</v>
      </c>
      <c r="O161" s="188" t="str">
        <f t="shared" si="45"/>
        <v>101-G381</v>
      </c>
      <c r="P161" s="188">
        <f t="shared" si="46"/>
        <v>0</v>
      </c>
      <c r="Q161" s="188">
        <f t="shared" si="47"/>
        <v>0</v>
      </c>
      <c r="R161" s="188">
        <f t="shared" si="48"/>
        <v>0</v>
      </c>
      <c r="S161" s="188">
        <f t="shared" si="49"/>
        <v>0</v>
      </c>
      <c r="T161" s="188">
        <f t="shared" si="50"/>
        <v>0</v>
      </c>
      <c r="V161" s="188" t="str">
        <f t="shared" si="51"/>
        <v>Gas Modernization</v>
      </c>
      <c r="W161" s="188" t="str">
        <f t="shared" si="52"/>
        <v>G3810 DST Meters (AMR)</v>
      </c>
      <c r="X161" s="188" t="str">
        <f t="shared" si="41"/>
        <v>Programmatic</v>
      </c>
      <c r="Y161" s="188" t="str">
        <f t="shared" si="53"/>
        <v>101-G381</v>
      </c>
      <c r="Z161" s="188">
        <f t="shared" si="54"/>
        <v>0</v>
      </c>
      <c r="AA161" s="188">
        <f t="shared" si="55"/>
        <v>5639.64</v>
      </c>
      <c r="AB161" s="188">
        <f t="shared" si="56"/>
        <v>8543.9</v>
      </c>
      <c r="AC161" s="188">
        <f t="shared" si="57"/>
        <v>14439.24</v>
      </c>
      <c r="AD161" s="188">
        <f t="shared" si="58"/>
        <v>0</v>
      </c>
      <c r="AE161" s="183">
        <f t="shared" si="59"/>
        <v>0</v>
      </c>
    </row>
    <row r="162" spans="1:31" x14ac:dyDescent="0.25">
      <c r="A162" s="188" t="s">
        <v>13</v>
      </c>
      <c r="B162" s="188" t="s">
        <v>343</v>
      </c>
      <c r="C162" s="188" t="s">
        <v>160</v>
      </c>
      <c r="D162" s="188" t="str">
        <f t="shared" si="42"/>
        <v>101-G381</v>
      </c>
      <c r="E162" s="188">
        <v>0</v>
      </c>
      <c r="F162" s="188">
        <v>11275.56</v>
      </c>
      <c r="G162" s="188">
        <v>17082</v>
      </c>
      <c r="H162" s="188">
        <v>28868.639999999999</v>
      </c>
      <c r="I162" s="188">
        <v>0</v>
      </c>
      <c r="J162" s="183">
        <v>0</v>
      </c>
      <c r="L162" s="188" t="str">
        <f t="shared" si="43"/>
        <v>Gas Modernization</v>
      </c>
      <c r="M162" s="188" t="str">
        <f t="shared" si="44"/>
        <v>G3812 DST Modules, AMI</v>
      </c>
      <c r="N162" s="188" t="str">
        <f t="shared" si="40"/>
        <v>Programmatic</v>
      </c>
      <c r="O162" s="188" t="str">
        <f t="shared" si="45"/>
        <v>101-G381</v>
      </c>
      <c r="P162" s="188">
        <f t="shared" si="46"/>
        <v>0</v>
      </c>
      <c r="Q162" s="188">
        <f t="shared" si="47"/>
        <v>0</v>
      </c>
      <c r="R162" s="188">
        <f t="shared" si="48"/>
        <v>0</v>
      </c>
      <c r="S162" s="188">
        <f t="shared" si="49"/>
        <v>0</v>
      </c>
      <c r="T162" s="188">
        <f t="shared" si="50"/>
        <v>0</v>
      </c>
      <c r="V162" s="188" t="str">
        <f t="shared" si="51"/>
        <v>Gas Modernization</v>
      </c>
      <c r="W162" s="188" t="str">
        <f t="shared" si="52"/>
        <v>G3812 DST Modules, AMI</v>
      </c>
      <c r="X162" s="188" t="str">
        <f t="shared" si="41"/>
        <v>Programmatic</v>
      </c>
      <c r="Y162" s="188" t="str">
        <f t="shared" si="53"/>
        <v>101-G381</v>
      </c>
      <c r="Z162" s="188">
        <f t="shared" si="54"/>
        <v>0</v>
      </c>
      <c r="AA162" s="188">
        <f t="shared" si="55"/>
        <v>11275.56</v>
      </c>
      <c r="AB162" s="188">
        <f t="shared" si="56"/>
        <v>17082</v>
      </c>
      <c r="AC162" s="188">
        <f t="shared" si="57"/>
        <v>28868.639999999999</v>
      </c>
      <c r="AD162" s="188">
        <f t="shared" si="58"/>
        <v>0</v>
      </c>
      <c r="AE162" s="183">
        <f t="shared" si="59"/>
        <v>0</v>
      </c>
    </row>
    <row r="163" spans="1:31" x14ac:dyDescent="0.25">
      <c r="A163" s="188" t="s">
        <v>13</v>
      </c>
      <c r="B163" s="188" t="s">
        <v>342</v>
      </c>
      <c r="C163" s="188" t="s">
        <v>160</v>
      </c>
      <c r="D163" s="188" t="str">
        <f t="shared" si="42"/>
        <v>101-G382</v>
      </c>
      <c r="E163" s="188">
        <v>0</v>
      </c>
      <c r="F163" s="188">
        <v>6583.8</v>
      </c>
      <c r="G163" s="188">
        <v>9974.16</v>
      </c>
      <c r="H163" s="188">
        <v>16856.34</v>
      </c>
      <c r="I163" s="188">
        <v>0</v>
      </c>
      <c r="J163" s="183">
        <v>0</v>
      </c>
      <c r="L163" s="188" t="str">
        <f t="shared" si="43"/>
        <v>Gas Modernization</v>
      </c>
      <c r="M163" s="188" t="str">
        <f t="shared" si="44"/>
        <v>G3820 DST Meter Installations (AMR)</v>
      </c>
      <c r="N163" s="188" t="str">
        <f t="shared" si="40"/>
        <v>Programmatic</v>
      </c>
      <c r="O163" s="188" t="str">
        <f t="shared" si="45"/>
        <v>101-G382</v>
      </c>
      <c r="P163" s="188">
        <f t="shared" si="46"/>
        <v>0</v>
      </c>
      <c r="Q163" s="188">
        <f t="shared" si="47"/>
        <v>0</v>
      </c>
      <c r="R163" s="188">
        <f t="shared" si="48"/>
        <v>0</v>
      </c>
      <c r="S163" s="188">
        <f t="shared" si="49"/>
        <v>0</v>
      </c>
      <c r="T163" s="188">
        <f t="shared" si="50"/>
        <v>0</v>
      </c>
      <c r="V163" s="188" t="str">
        <f t="shared" si="51"/>
        <v>Gas Modernization</v>
      </c>
      <c r="W163" s="188" t="str">
        <f t="shared" si="52"/>
        <v>G3820 DST Meter Installations (AMR)</v>
      </c>
      <c r="X163" s="188" t="str">
        <f t="shared" si="41"/>
        <v>Programmatic</v>
      </c>
      <c r="Y163" s="188" t="str">
        <f t="shared" si="53"/>
        <v>101-G382</v>
      </c>
      <c r="Z163" s="188">
        <f t="shared" si="54"/>
        <v>0</v>
      </c>
      <c r="AA163" s="188">
        <f t="shared" si="55"/>
        <v>6583.8</v>
      </c>
      <c r="AB163" s="188">
        <f t="shared" si="56"/>
        <v>9974.16</v>
      </c>
      <c r="AC163" s="188">
        <f t="shared" si="57"/>
        <v>16856.34</v>
      </c>
      <c r="AD163" s="188">
        <f t="shared" si="58"/>
        <v>0</v>
      </c>
      <c r="AE163" s="183">
        <f t="shared" si="59"/>
        <v>0</v>
      </c>
    </row>
    <row r="164" spans="1:31" x14ac:dyDescent="0.25">
      <c r="A164" s="188" t="s">
        <v>13</v>
      </c>
      <c r="B164" s="188" t="s">
        <v>341</v>
      </c>
      <c r="C164" s="188" t="s">
        <v>160</v>
      </c>
      <c r="D164" s="188" t="str">
        <f t="shared" si="42"/>
        <v>101-G382</v>
      </c>
      <c r="E164" s="188">
        <v>0</v>
      </c>
      <c r="F164" s="188">
        <v>11275.56</v>
      </c>
      <c r="G164" s="188">
        <v>17082</v>
      </c>
      <c r="H164" s="188">
        <v>28868.639999999999</v>
      </c>
      <c r="I164" s="188">
        <v>0</v>
      </c>
      <c r="J164" s="183">
        <v>0</v>
      </c>
      <c r="L164" s="188" t="str">
        <f t="shared" si="43"/>
        <v>Gas Modernization</v>
      </c>
      <c r="M164" s="188" t="str">
        <f t="shared" si="44"/>
        <v>G3822 DST Module Installations, AMI</v>
      </c>
      <c r="N164" s="188" t="str">
        <f t="shared" si="40"/>
        <v>Programmatic</v>
      </c>
      <c r="O164" s="188" t="str">
        <f t="shared" si="45"/>
        <v>101-G382</v>
      </c>
      <c r="P164" s="188">
        <f t="shared" si="46"/>
        <v>0</v>
      </c>
      <c r="Q164" s="188">
        <f t="shared" si="47"/>
        <v>0</v>
      </c>
      <c r="R164" s="188">
        <f t="shared" si="48"/>
        <v>0</v>
      </c>
      <c r="S164" s="188">
        <f t="shared" si="49"/>
        <v>0</v>
      </c>
      <c r="T164" s="188">
        <f t="shared" si="50"/>
        <v>0</v>
      </c>
      <c r="V164" s="188" t="str">
        <f t="shared" si="51"/>
        <v>Gas Modernization</v>
      </c>
      <c r="W164" s="188" t="str">
        <f t="shared" si="52"/>
        <v>G3822 DST Module Installations, AMI</v>
      </c>
      <c r="X164" s="188" t="str">
        <f t="shared" si="41"/>
        <v>Programmatic</v>
      </c>
      <c r="Y164" s="188" t="str">
        <f t="shared" si="53"/>
        <v>101-G382</v>
      </c>
      <c r="Z164" s="188">
        <f t="shared" si="54"/>
        <v>0</v>
      </c>
      <c r="AA164" s="188">
        <f t="shared" si="55"/>
        <v>11275.56</v>
      </c>
      <c r="AB164" s="188">
        <f t="shared" si="56"/>
        <v>17082</v>
      </c>
      <c r="AC164" s="188">
        <f t="shared" si="57"/>
        <v>28868.639999999999</v>
      </c>
      <c r="AD164" s="188">
        <f t="shared" si="58"/>
        <v>0</v>
      </c>
      <c r="AE164" s="183">
        <f t="shared" si="59"/>
        <v>0</v>
      </c>
    </row>
    <row r="165" spans="1:31" x14ac:dyDescent="0.25">
      <c r="A165" s="188" t="s">
        <v>13</v>
      </c>
      <c r="B165" s="188" t="s">
        <v>340</v>
      </c>
      <c r="C165" s="188" t="s">
        <v>160</v>
      </c>
      <c r="D165" s="188" t="str">
        <f t="shared" si="42"/>
        <v>101-G383</v>
      </c>
      <c r="E165" s="188">
        <v>0</v>
      </c>
      <c r="F165" s="188">
        <v>5637.12</v>
      </c>
      <c r="G165" s="188">
        <v>8539.98</v>
      </c>
      <c r="H165" s="188">
        <v>14432.59</v>
      </c>
      <c r="I165" s="188">
        <v>0</v>
      </c>
      <c r="J165" s="183">
        <v>0</v>
      </c>
      <c r="L165" s="188" t="str">
        <f t="shared" si="43"/>
        <v>Gas Modernization</v>
      </c>
      <c r="M165" s="188" t="str">
        <f t="shared" si="44"/>
        <v>G383 DST House Regulators</v>
      </c>
      <c r="N165" s="188" t="str">
        <f t="shared" si="40"/>
        <v>Programmatic</v>
      </c>
      <c r="O165" s="188" t="str">
        <f t="shared" si="45"/>
        <v>101-G383</v>
      </c>
      <c r="P165" s="188">
        <f t="shared" si="46"/>
        <v>0</v>
      </c>
      <c r="Q165" s="188">
        <f t="shared" si="47"/>
        <v>0</v>
      </c>
      <c r="R165" s="188">
        <f t="shared" si="48"/>
        <v>0</v>
      </c>
      <c r="S165" s="188">
        <f t="shared" si="49"/>
        <v>0</v>
      </c>
      <c r="T165" s="188">
        <f t="shared" si="50"/>
        <v>0</v>
      </c>
      <c r="V165" s="188" t="str">
        <f t="shared" si="51"/>
        <v>Gas Modernization</v>
      </c>
      <c r="W165" s="188" t="str">
        <f t="shared" si="52"/>
        <v>G383 DST House Regulators</v>
      </c>
      <c r="X165" s="188" t="str">
        <f t="shared" si="41"/>
        <v>Programmatic</v>
      </c>
      <c r="Y165" s="188" t="str">
        <f t="shared" si="53"/>
        <v>101-G383</v>
      </c>
      <c r="Z165" s="188">
        <f t="shared" si="54"/>
        <v>0</v>
      </c>
      <c r="AA165" s="188">
        <f t="shared" si="55"/>
        <v>5637.12</v>
      </c>
      <c r="AB165" s="188">
        <f t="shared" si="56"/>
        <v>8539.98</v>
      </c>
      <c r="AC165" s="188">
        <f t="shared" si="57"/>
        <v>14432.59</v>
      </c>
      <c r="AD165" s="188">
        <f t="shared" si="58"/>
        <v>0</v>
      </c>
      <c r="AE165" s="183">
        <f t="shared" si="59"/>
        <v>0</v>
      </c>
    </row>
    <row r="166" spans="1:31" x14ac:dyDescent="0.25">
      <c r="A166" s="188" t="s">
        <v>13</v>
      </c>
      <c r="B166" s="188" t="s">
        <v>339</v>
      </c>
      <c r="C166" s="188" t="s">
        <v>160</v>
      </c>
      <c r="D166" s="188" t="str">
        <f t="shared" si="42"/>
        <v>101-G384</v>
      </c>
      <c r="E166" s="188">
        <v>0</v>
      </c>
      <c r="F166" s="188">
        <v>5637.12</v>
      </c>
      <c r="G166" s="188">
        <v>8539.98</v>
      </c>
      <c r="H166" s="188">
        <v>14432.59</v>
      </c>
      <c r="I166" s="188">
        <v>0</v>
      </c>
      <c r="J166" s="183">
        <v>0</v>
      </c>
      <c r="L166" s="188" t="str">
        <f t="shared" si="43"/>
        <v>Gas Modernization</v>
      </c>
      <c r="M166" s="188" t="str">
        <f t="shared" si="44"/>
        <v>G384 DST House Regulator Installs</v>
      </c>
      <c r="N166" s="188" t="str">
        <f t="shared" si="40"/>
        <v>Programmatic</v>
      </c>
      <c r="O166" s="188" t="str">
        <f t="shared" si="45"/>
        <v>101-G384</v>
      </c>
      <c r="P166" s="188">
        <f t="shared" si="46"/>
        <v>0</v>
      </c>
      <c r="Q166" s="188">
        <f t="shared" si="47"/>
        <v>0</v>
      </c>
      <c r="R166" s="188">
        <f t="shared" si="48"/>
        <v>0</v>
      </c>
      <c r="S166" s="188">
        <f t="shared" si="49"/>
        <v>0</v>
      </c>
      <c r="T166" s="188">
        <f t="shared" si="50"/>
        <v>0</v>
      </c>
      <c r="V166" s="188" t="str">
        <f t="shared" si="51"/>
        <v>Gas Modernization</v>
      </c>
      <c r="W166" s="188" t="str">
        <f t="shared" si="52"/>
        <v>G384 DST House Regulator Installs</v>
      </c>
      <c r="X166" s="188" t="str">
        <f t="shared" si="41"/>
        <v>Programmatic</v>
      </c>
      <c r="Y166" s="188" t="str">
        <f t="shared" si="53"/>
        <v>101-G384</v>
      </c>
      <c r="Z166" s="188">
        <f t="shared" si="54"/>
        <v>0</v>
      </c>
      <c r="AA166" s="188">
        <f t="shared" si="55"/>
        <v>5637.12</v>
      </c>
      <c r="AB166" s="188">
        <f t="shared" si="56"/>
        <v>8539.98</v>
      </c>
      <c r="AC166" s="188">
        <f t="shared" si="57"/>
        <v>14432.59</v>
      </c>
      <c r="AD166" s="188">
        <f t="shared" si="58"/>
        <v>0</v>
      </c>
      <c r="AE166" s="183">
        <f t="shared" si="59"/>
        <v>0</v>
      </c>
    </row>
    <row r="167" spans="1:31" x14ac:dyDescent="0.25">
      <c r="A167" s="188" t="s">
        <v>13</v>
      </c>
      <c r="B167" s="188" t="s">
        <v>338</v>
      </c>
      <c r="C167" s="188" t="s">
        <v>160</v>
      </c>
      <c r="D167" s="188" t="str">
        <f t="shared" si="42"/>
        <v>101-G385</v>
      </c>
      <c r="E167" s="188">
        <v>0</v>
      </c>
      <c r="F167" s="188">
        <v>1955753.22</v>
      </c>
      <c r="G167" s="188">
        <v>3008874.03</v>
      </c>
      <c r="H167" s="188">
        <v>5142916.1100000003</v>
      </c>
      <c r="I167" s="188">
        <v>0</v>
      </c>
      <c r="J167" s="183">
        <v>0</v>
      </c>
      <c r="L167" s="188" t="str">
        <f t="shared" si="43"/>
        <v>Gas Modernization</v>
      </c>
      <c r="M167" s="188" t="str">
        <f t="shared" si="44"/>
        <v>G385 DST Industrial M&amp;R Sta Eq</v>
      </c>
      <c r="N167" s="188" t="str">
        <f t="shared" si="40"/>
        <v>Programmatic</v>
      </c>
      <c r="O167" s="188" t="str">
        <f t="shared" si="45"/>
        <v>101-G385</v>
      </c>
      <c r="P167" s="188">
        <f t="shared" si="46"/>
        <v>0</v>
      </c>
      <c r="Q167" s="188">
        <f t="shared" si="47"/>
        <v>0</v>
      </c>
      <c r="R167" s="188">
        <f t="shared" si="48"/>
        <v>0</v>
      </c>
      <c r="S167" s="188">
        <f t="shared" si="49"/>
        <v>0</v>
      </c>
      <c r="T167" s="188">
        <f t="shared" si="50"/>
        <v>0</v>
      </c>
      <c r="V167" s="188" t="str">
        <f t="shared" si="51"/>
        <v>Gas Modernization</v>
      </c>
      <c r="W167" s="188" t="str">
        <f t="shared" si="52"/>
        <v>G385 DST Industrial M&amp;R Sta Eq</v>
      </c>
      <c r="X167" s="188" t="str">
        <f t="shared" si="41"/>
        <v>Programmatic</v>
      </c>
      <c r="Y167" s="188" t="str">
        <f t="shared" si="53"/>
        <v>101-G385</v>
      </c>
      <c r="Z167" s="188">
        <f t="shared" si="54"/>
        <v>0</v>
      </c>
      <c r="AA167" s="188">
        <f t="shared" si="55"/>
        <v>1955753.22</v>
      </c>
      <c r="AB167" s="188">
        <f t="shared" si="56"/>
        <v>3008874.03</v>
      </c>
      <c r="AC167" s="188">
        <f t="shared" si="57"/>
        <v>5142916.1100000003</v>
      </c>
      <c r="AD167" s="188">
        <f t="shared" si="58"/>
        <v>0</v>
      </c>
      <c r="AE167" s="183">
        <f t="shared" si="59"/>
        <v>0</v>
      </c>
    </row>
    <row r="168" spans="1:31" x14ac:dyDescent="0.25">
      <c r="A168" s="188" t="s">
        <v>13</v>
      </c>
      <c r="B168" s="188" t="s">
        <v>523</v>
      </c>
      <c r="C168" s="188" t="s">
        <v>160</v>
      </c>
      <c r="D168" s="188" t="str">
        <f t="shared" si="42"/>
        <v>101-G387</v>
      </c>
      <c r="E168" s="188">
        <v>0</v>
      </c>
      <c r="F168" s="188">
        <v>39612.6</v>
      </c>
      <c r="G168" s="188">
        <v>60002.7</v>
      </c>
      <c r="H168" s="188">
        <v>101384.47</v>
      </c>
      <c r="I168" s="188">
        <v>0</v>
      </c>
      <c r="J168" s="183">
        <v>0</v>
      </c>
      <c r="L168" s="188" t="str">
        <f t="shared" si="43"/>
        <v>Gas Modernization</v>
      </c>
      <c r="M168" s="188" t="str">
        <f t="shared" si="44"/>
        <v>G387 DST Other Equipment</v>
      </c>
      <c r="N168" s="188" t="str">
        <f t="shared" si="40"/>
        <v>Programmatic</v>
      </c>
      <c r="O168" s="188" t="str">
        <f t="shared" si="45"/>
        <v>101-G387</v>
      </c>
      <c r="P168" s="188">
        <f t="shared" si="46"/>
        <v>0</v>
      </c>
      <c r="Q168" s="188">
        <f t="shared" si="47"/>
        <v>0</v>
      </c>
      <c r="R168" s="188">
        <f t="shared" si="48"/>
        <v>0</v>
      </c>
      <c r="S168" s="188">
        <f t="shared" si="49"/>
        <v>0</v>
      </c>
      <c r="T168" s="188">
        <f t="shared" si="50"/>
        <v>0</v>
      </c>
      <c r="V168" s="188" t="str">
        <f t="shared" si="51"/>
        <v>Gas Modernization</v>
      </c>
      <c r="W168" s="188" t="str">
        <f t="shared" si="52"/>
        <v>G387 DST Other Equipment</v>
      </c>
      <c r="X168" s="188" t="str">
        <f t="shared" si="41"/>
        <v>Programmatic</v>
      </c>
      <c r="Y168" s="188" t="str">
        <f t="shared" si="53"/>
        <v>101-G387</v>
      </c>
      <c r="Z168" s="188">
        <f t="shared" si="54"/>
        <v>0</v>
      </c>
      <c r="AA168" s="188">
        <f t="shared" si="55"/>
        <v>39612.6</v>
      </c>
      <c r="AB168" s="188">
        <f t="shared" si="56"/>
        <v>60002.7</v>
      </c>
      <c r="AC168" s="188">
        <f t="shared" si="57"/>
        <v>101384.47</v>
      </c>
      <c r="AD168" s="188">
        <f t="shared" si="58"/>
        <v>0</v>
      </c>
      <c r="AE168" s="183">
        <f t="shared" si="59"/>
        <v>0</v>
      </c>
    </row>
    <row r="169" spans="1:31" x14ac:dyDescent="0.25">
      <c r="A169" s="188" t="s">
        <v>13</v>
      </c>
      <c r="B169" s="188" t="s">
        <v>330</v>
      </c>
      <c r="C169" s="188" t="s">
        <v>160</v>
      </c>
      <c r="D169" s="188" t="str">
        <f t="shared" si="42"/>
        <v>101-G397</v>
      </c>
      <c r="E169" s="188">
        <v>0</v>
      </c>
      <c r="F169" s="188">
        <v>40263.42</v>
      </c>
      <c r="G169" s="188">
        <v>62220.94</v>
      </c>
      <c r="H169" s="188">
        <v>107453.66</v>
      </c>
      <c r="I169" s="188">
        <v>0</v>
      </c>
      <c r="J169" s="183">
        <v>0</v>
      </c>
      <c r="L169" s="188" t="str">
        <f t="shared" si="43"/>
        <v>Gas Modernization</v>
      </c>
      <c r="M169" s="188" t="str">
        <f t="shared" si="44"/>
        <v>G3970 GEN Comm Equip, new</v>
      </c>
      <c r="N169" s="188" t="str">
        <f t="shared" si="40"/>
        <v>Programmatic</v>
      </c>
      <c r="O169" s="188" t="str">
        <f t="shared" si="45"/>
        <v>101-G397</v>
      </c>
      <c r="P169" s="188">
        <f t="shared" si="46"/>
        <v>0</v>
      </c>
      <c r="Q169" s="188">
        <f t="shared" si="47"/>
        <v>0</v>
      </c>
      <c r="R169" s="188">
        <f t="shared" si="48"/>
        <v>0</v>
      </c>
      <c r="S169" s="188">
        <f t="shared" si="49"/>
        <v>0</v>
      </c>
      <c r="T169" s="188">
        <f t="shared" si="50"/>
        <v>0</v>
      </c>
      <c r="V169" s="188" t="str">
        <f t="shared" si="51"/>
        <v>Gas Modernization</v>
      </c>
      <c r="W169" s="188" t="str">
        <f t="shared" si="52"/>
        <v>G3970 GEN Comm Equip, new</v>
      </c>
      <c r="X169" s="188" t="str">
        <f t="shared" si="41"/>
        <v>Programmatic</v>
      </c>
      <c r="Y169" s="188" t="str">
        <f t="shared" si="53"/>
        <v>101-G397</v>
      </c>
      <c r="Z169" s="188">
        <f t="shared" si="54"/>
        <v>0</v>
      </c>
      <c r="AA169" s="188">
        <f t="shared" si="55"/>
        <v>40263.42</v>
      </c>
      <c r="AB169" s="188">
        <f t="shared" si="56"/>
        <v>62220.94</v>
      </c>
      <c r="AC169" s="188">
        <f t="shared" si="57"/>
        <v>107453.66</v>
      </c>
      <c r="AD169" s="188">
        <f t="shared" si="58"/>
        <v>0</v>
      </c>
      <c r="AE169" s="183">
        <f t="shared" si="59"/>
        <v>0</v>
      </c>
    </row>
    <row r="170" spans="1:31" x14ac:dyDescent="0.25">
      <c r="A170" s="188" t="s">
        <v>14</v>
      </c>
      <c r="B170" s="188" t="s">
        <v>439</v>
      </c>
      <c r="C170" s="188" t="s">
        <v>173</v>
      </c>
      <c r="D170" s="188" t="str">
        <f t="shared" si="42"/>
        <v>101-E344</v>
      </c>
      <c r="E170" s="188">
        <v>0</v>
      </c>
      <c r="F170" s="188">
        <v>-9590572.3200000003</v>
      </c>
      <c r="G170" s="188">
        <v>-9590572.3200000003</v>
      </c>
      <c r="H170" s="188">
        <v>-9590572.3200000003</v>
      </c>
      <c r="I170" s="188">
        <v>0</v>
      </c>
      <c r="J170" s="183">
        <v>0</v>
      </c>
      <c r="L170" s="188" t="str">
        <f t="shared" si="43"/>
        <v>Goldendale MM</v>
      </c>
      <c r="M170" s="188" t="str">
        <f t="shared" si="44"/>
        <v>E34420 PRD Gen, Goldendale</v>
      </c>
      <c r="N170" s="188" t="str">
        <f t="shared" si="40"/>
        <v>Specific</v>
      </c>
      <c r="O170" s="188" t="str">
        <f t="shared" si="45"/>
        <v>101-E344</v>
      </c>
      <c r="P170" s="188">
        <f t="shared" si="46"/>
        <v>0</v>
      </c>
      <c r="Q170" s="188">
        <f t="shared" si="47"/>
        <v>-9590572.3200000003</v>
      </c>
      <c r="R170" s="188">
        <f t="shared" si="48"/>
        <v>-9590572.3200000003</v>
      </c>
      <c r="S170" s="188">
        <f t="shared" si="49"/>
        <v>-9590572.3200000003</v>
      </c>
      <c r="T170" s="188">
        <f t="shared" si="50"/>
        <v>0</v>
      </c>
      <c r="V170" s="188" t="str">
        <f t="shared" si="51"/>
        <v>Goldendale MM</v>
      </c>
      <c r="W170" s="188" t="str">
        <f t="shared" si="52"/>
        <v>E34420 PRD Gen, Goldendale</v>
      </c>
      <c r="X170" s="188" t="str">
        <f t="shared" si="41"/>
        <v>Specific</v>
      </c>
      <c r="Y170" s="188" t="str">
        <f t="shared" si="53"/>
        <v>101-E344</v>
      </c>
      <c r="Z170" s="188">
        <f t="shared" si="54"/>
        <v>0</v>
      </c>
      <c r="AA170" s="188">
        <f t="shared" si="55"/>
        <v>0</v>
      </c>
      <c r="AB170" s="188">
        <f t="shared" si="56"/>
        <v>0</v>
      </c>
      <c r="AC170" s="188">
        <f t="shared" si="57"/>
        <v>0</v>
      </c>
      <c r="AD170" s="188">
        <f t="shared" si="58"/>
        <v>0</v>
      </c>
      <c r="AE170" s="183">
        <f t="shared" si="59"/>
        <v>0</v>
      </c>
    </row>
    <row r="171" spans="1:31" x14ac:dyDescent="0.25">
      <c r="A171" s="188" t="s">
        <v>15</v>
      </c>
      <c r="B171" s="188" t="s">
        <v>495</v>
      </c>
      <c r="C171" s="188" t="s">
        <v>160</v>
      </c>
      <c r="D171" s="188" t="str">
        <f t="shared" si="42"/>
        <v>101-E303</v>
      </c>
      <c r="E171" s="188">
        <v>0</v>
      </c>
      <c r="F171" s="188">
        <v>350939.76</v>
      </c>
      <c r="G171" s="188">
        <v>350939.76</v>
      </c>
      <c r="H171" s="188">
        <v>350939.76</v>
      </c>
      <c r="I171" s="188">
        <v>0</v>
      </c>
      <c r="J171" s="183">
        <v>0</v>
      </c>
      <c r="L171" s="188" t="str">
        <f t="shared" si="43"/>
        <v>Grid Modernization</v>
      </c>
      <c r="M171" s="188" t="str">
        <f t="shared" si="44"/>
        <v>E303.3 INT Misc Intangible Plant</v>
      </c>
      <c r="N171" s="188" t="str">
        <f t="shared" si="40"/>
        <v>Programmatic</v>
      </c>
      <c r="O171" s="188" t="str">
        <f t="shared" si="45"/>
        <v>101-E303</v>
      </c>
      <c r="P171" s="188">
        <f t="shared" si="46"/>
        <v>0</v>
      </c>
      <c r="Q171" s="188">
        <f t="shared" si="47"/>
        <v>350939.76</v>
      </c>
      <c r="R171" s="188">
        <f t="shared" si="48"/>
        <v>350939.76</v>
      </c>
      <c r="S171" s="188">
        <f t="shared" si="49"/>
        <v>350939.76</v>
      </c>
      <c r="T171" s="188">
        <f t="shared" si="50"/>
        <v>0</v>
      </c>
      <c r="V171" s="188" t="str">
        <f t="shared" si="51"/>
        <v>Grid Modernization</v>
      </c>
      <c r="W171" s="188" t="str">
        <f t="shared" si="52"/>
        <v>E303.3 INT Misc Intangible Plant</v>
      </c>
      <c r="X171" s="188" t="str">
        <f t="shared" si="41"/>
        <v>Programmatic</v>
      </c>
      <c r="Y171" s="188" t="str">
        <f t="shared" si="53"/>
        <v>101-E303</v>
      </c>
      <c r="Z171" s="188">
        <f t="shared" si="54"/>
        <v>0</v>
      </c>
      <c r="AA171" s="188">
        <f t="shared" si="55"/>
        <v>0</v>
      </c>
      <c r="AB171" s="188">
        <f t="shared" si="56"/>
        <v>0</v>
      </c>
      <c r="AC171" s="188">
        <f t="shared" si="57"/>
        <v>0</v>
      </c>
      <c r="AD171" s="188">
        <f t="shared" si="58"/>
        <v>0</v>
      </c>
      <c r="AE171" s="183">
        <f t="shared" si="59"/>
        <v>0</v>
      </c>
    </row>
    <row r="172" spans="1:31" x14ac:dyDescent="0.25">
      <c r="A172" s="188" t="s">
        <v>15</v>
      </c>
      <c r="B172" s="188" t="s">
        <v>493</v>
      </c>
      <c r="C172" s="188" t="s">
        <v>160</v>
      </c>
      <c r="D172" s="188" t="str">
        <f t="shared" si="42"/>
        <v>101-E303</v>
      </c>
      <c r="E172" s="188">
        <v>0</v>
      </c>
      <c r="F172" s="188">
        <v>1568953.98</v>
      </c>
      <c r="G172" s="188">
        <v>3307973.53</v>
      </c>
      <c r="H172" s="188">
        <v>14158396.01</v>
      </c>
      <c r="I172" s="188">
        <v>0</v>
      </c>
      <c r="J172" s="183">
        <v>0</v>
      </c>
      <c r="L172" s="188" t="str">
        <f t="shared" si="43"/>
        <v>Grid Modernization</v>
      </c>
      <c r="M172" s="188" t="str">
        <f t="shared" si="44"/>
        <v>E303.5 INT Misc Intangible Plant</v>
      </c>
      <c r="N172" s="188" t="str">
        <f t="shared" si="40"/>
        <v>Programmatic</v>
      </c>
      <c r="O172" s="188" t="str">
        <f t="shared" si="45"/>
        <v>101-E303</v>
      </c>
      <c r="P172" s="188">
        <f t="shared" si="46"/>
        <v>0</v>
      </c>
      <c r="Q172" s="188">
        <f t="shared" si="47"/>
        <v>1568953.98</v>
      </c>
      <c r="R172" s="188">
        <f t="shared" si="48"/>
        <v>3307973.53</v>
      </c>
      <c r="S172" s="188">
        <f t="shared" si="49"/>
        <v>14158396.01</v>
      </c>
      <c r="T172" s="188">
        <f t="shared" si="50"/>
        <v>0</v>
      </c>
      <c r="V172" s="188" t="str">
        <f t="shared" si="51"/>
        <v>Grid Modernization</v>
      </c>
      <c r="W172" s="188" t="str">
        <f t="shared" si="52"/>
        <v>E303.5 INT Misc Intangible Plant</v>
      </c>
      <c r="X172" s="188" t="str">
        <f t="shared" si="41"/>
        <v>Programmatic</v>
      </c>
      <c r="Y172" s="188" t="str">
        <f t="shared" si="53"/>
        <v>101-E303</v>
      </c>
      <c r="Z172" s="188">
        <f t="shared" si="54"/>
        <v>0</v>
      </c>
      <c r="AA172" s="188">
        <f t="shared" si="55"/>
        <v>0</v>
      </c>
      <c r="AB172" s="188">
        <f t="shared" si="56"/>
        <v>0</v>
      </c>
      <c r="AC172" s="188">
        <f t="shared" si="57"/>
        <v>0</v>
      </c>
      <c r="AD172" s="188">
        <f t="shared" si="58"/>
        <v>0</v>
      </c>
      <c r="AE172" s="183">
        <f t="shared" si="59"/>
        <v>0</v>
      </c>
    </row>
    <row r="173" spans="1:31" x14ac:dyDescent="0.25">
      <c r="A173" s="188" t="s">
        <v>15</v>
      </c>
      <c r="B173" s="188" t="s">
        <v>522</v>
      </c>
      <c r="C173" s="188" t="s">
        <v>160</v>
      </c>
      <c r="D173" s="188" t="str">
        <f t="shared" si="42"/>
        <v>101-E353</v>
      </c>
      <c r="E173" s="188">
        <v>0</v>
      </c>
      <c r="F173" s="188">
        <v>138545.16</v>
      </c>
      <c r="G173" s="188">
        <v>255169.5</v>
      </c>
      <c r="H173" s="188">
        <v>716982.18</v>
      </c>
      <c r="I173" s="188">
        <v>0</v>
      </c>
      <c r="J173" s="183">
        <v>0</v>
      </c>
      <c r="L173" s="188" t="str">
        <f t="shared" si="43"/>
        <v>Grid Modernization</v>
      </c>
      <c r="M173" s="188" t="str">
        <f t="shared" si="44"/>
        <v>E353 TSM Sta Eq, Wind Ridge-NonProj</v>
      </c>
      <c r="N173" s="188" t="str">
        <f t="shared" si="40"/>
        <v>Programmatic</v>
      </c>
      <c r="O173" s="188" t="str">
        <f t="shared" si="45"/>
        <v>101-E353</v>
      </c>
      <c r="P173" s="188">
        <f t="shared" si="46"/>
        <v>0</v>
      </c>
      <c r="Q173" s="188">
        <f t="shared" si="47"/>
        <v>138545.16</v>
      </c>
      <c r="R173" s="188">
        <f t="shared" si="48"/>
        <v>255169.5</v>
      </c>
      <c r="S173" s="188">
        <f t="shared" si="49"/>
        <v>716982.18</v>
      </c>
      <c r="T173" s="188">
        <f t="shared" si="50"/>
        <v>0</v>
      </c>
      <c r="V173" s="188" t="str">
        <f t="shared" si="51"/>
        <v>Grid Modernization</v>
      </c>
      <c r="W173" s="188" t="str">
        <f t="shared" si="52"/>
        <v>E353 TSM Sta Eq, Wind Ridge-NonProj</v>
      </c>
      <c r="X173" s="188" t="str">
        <f t="shared" si="41"/>
        <v>Programmatic</v>
      </c>
      <c r="Y173" s="188" t="str">
        <f t="shared" si="53"/>
        <v>101-E353</v>
      </c>
      <c r="Z173" s="188">
        <f t="shared" si="54"/>
        <v>0</v>
      </c>
      <c r="AA173" s="188">
        <f t="shared" si="55"/>
        <v>0</v>
      </c>
      <c r="AB173" s="188">
        <f t="shared" si="56"/>
        <v>0</v>
      </c>
      <c r="AC173" s="188">
        <f t="shared" si="57"/>
        <v>0</v>
      </c>
      <c r="AD173" s="188">
        <f t="shared" si="58"/>
        <v>0</v>
      </c>
      <c r="AE173" s="183">
        <f t="shared" si="59"/>
        <v>0</v>
      </c>
    </row>
    <row r="174" spans="1:31" x14ac:dyDescent="0.25">
      <c r="A174" s="188" t="s">
        <v>15</v>
      </c>
      <c r="B174" s="188" t="s">
        <v>405</v>
      </c>
      <c r="C174" s="188" t="s">
        <v>160</v>
      </c>
      <c r="D174" s="188" t="str">
        <f t="shared" si="42"/>
        <v>101-E353</v>
      </c>
      <c r="E174" s="188">
        <v>0</v>
      </c>
      <c r="F174" s="188">
        <v>2971294.93</v>
      </c>
      <c r="G174" s="188">
        <v>5231446.75</v>
      </c>
      <c r="H174" s="188">
        <v>13983928.73</v>
      </c>
      <c r="I174" s="188">
        <v>0</v>
      </c>
      <c r="J174" s="183">
        <v>0</v>
      </c>
      <c r="L174" s="188" t="str">
        <f t="shared" si="43"/>
        <v>Grid Modernization</v>
      </c>
      <c r="M174" s="188" t="str">
        <f t="shared" si="44"/>
        <v>E353 TSM Station Equipment</v>
      </c>
      <c r="N174" s="188" t="str">
        <f t="shared" si="40"/>
        <v>Programmatic</v>
      </c>
      <c r="O174" s="188" t="str">
        <f t="shared" si="45"/>
        <v>101-E353</v>
      </c>
      <c r="P174" s="188">
        <f t="shared" si="46"/>
        <v>0</v>
      </c>
      <c r="Q174" s="188">
        <f t="shared" si="47"/>
        <v>2971294.93</v>
      </c>
      <c r="R174" s="188">
        <f t="shared" si="48"/>
        <v>5231446.75</v>
      </c>
      <c r="S174" s="188">
        <f t="shared" si="49"/>
        <v>13983928.73</v>
      </c>
      <c r="T174" s="188">
        <f t="shared" si="50"/>
        <v>0</v>
      </c>
      <c r="V174" s="188" t="str">
        <f t="shared" si="51"/>
        <v>Grid Modernization</v>
      </c>
      <c r="W174" s="188" t="str">
        <f t="shared" si="52"/>
        <v>E353 TSM Station Equipment</v>
      </c>
      <c r="X174" s="188" t="str">
        <f t="shared" si="41"/>
        <v>Programmatic</v>
      </c>
      <c r="Y174" s="188" t="str">
        <f t="shared" si="53"/>
        <v>101-E353</v>
      </c>
      <c r="Z174" s="188">
        <f t="shared" si="54"/>
        <v>0</v>
      </c>
      <c r="AA174" s="188">
        <f t="shared" si="55"/>
        <v>0</v>
      </c>
      <c r="AB174" s="188">
        <f t="shared" si="56"/>
        <v>0</v>
      </c>
      <c r="AC174" s="188">
        <f t="shared" si="57"/>
        <v>0</v>
      </c>
      <c r="AD174" s="188">
        <f t="shared" si="58"/>
        <v>0</v>
      </c>
      <c r="AE174" s="183">
        <f t="shared" si="59"/>
        <v>0</v>
      </c>
    </row>
    <row r="175" spans="1:31" x14ac:dyDescent="0.25">
      <c r="A175" s="188" t="s">
        <v>15</v>
      </c>
      <c r="B175" s="188" t="s">
        <v>322</v>
      </c>
      <c r="C175" s="188" t="s">
        <v>160</v>
      </c>
      <c r="D175" s="188" t="str">
        <f t="shared" si="42"/>
        <v>101-E353</v>
      </c>
      <c r="E175" s="188">
        <v>0</v>
      </c>
      <c r="F175" s="188">
        <v>5173200.5999999996</v>
      </c>
      <c r="G175" s="188">
        <v>8797763.5199999996</v>
      </c>
      <c r="H175" s="188">
        <v>22680568.34</v>
      </c>
      <c r="I175" s="188">
        <v>0</v>
      </c>
      <c r="J175" s="183">
        <v>0</v>
      </c>
      <c r="L175" s="188" t="str">
        <f t="shared" si="43"/>
        <v>Grid Modernization</v>
      </c>
      <c r="M175" s="188" t="str">
        <f t="shared" si="44"/>
        <v>E3536 TSM Substation Equipment</v>
      </c>
      <c r="N175" s="188" t="str">
        <f t="shared" si="40"/>
        <v>Programmatic</v>
      </c>
      <c r="O175" s="188" t="str">
        <f t="shared" si="45"/>
        <v>101-E353</v>
      </c>
      <c r="P175" s="188">
        <f t="shared" si="46"/>
        <v>0</v>
      </c>
      <c r="Q175" s="188">
        <f t="shared" si="47"/>
        <v>5173200.5999999996</v>
      </c>
      <c r="R175" s="188">
        <f t="shared" si="48"/>
        <v>8797763.5199999996</v>
      </c>
      <c r="S175" s="188">
        <f t="shared" si="49"/>
        <v>22680568.34</v>
      </c>
      <c r="T175" s="188">
        <f t="shared" si="50"/>
        <v>0</v>
      </c>
      <c r="V175" s="188" t="str">
        <f t="shared" si="51"/>
        <v>Grid Modernization</v>
      </c>
      <c r="W175" s="188" t="str">
        <f t="shared" si="52"/>
        <v>E3536 TSM Substation Equipment</v>
      </c>
      <c r="X175" s="188" t="str">
        <f t="shared" si="41"/>
        <v>Programmatic</v>
      </c>
      <c r="Y175" s="188" t="str">
        <f t="shared" si="53"/>
        <v>101-E353</v>
      </c>
      <c r="Z175" s="188">
        <f t="shared" si="54"/>
        <v>0</v>
      </c>
      <c r="AA175" s="188">
        <f t="shared" si="55"/>
        <v>0</v>
      </c>
      <c r="AB175" s="188">
        <f t="shared" si="56"/>
        <v>0</v>
      </c>
      <c r="AC175" s="188">
        <f t="shared" si="57"/>
        <v>0</v>
      </c>
      <c r="AD175" s="188">
        <f t="shared" si="58"/>
        <v>0</v>
      </c>
      <c r="AE175" s="183">
        <f t="shared" si="59"/>
        <v>0</v>
      </c>
    </row>
    <row r="176" spans="1:31" x14ac:dyDescent="0.25">
      <c r="A176" s="188" t="s">
        <v>15</v>
      </c>
      <c r="B176" s="188" t="s">
        <v>404</v>
      </c>
      <c r="C176" s="188" t="s">
        <v>160</v>
      </c>
      <c r="D176" s="188" t="str">
        <f t="shared" si="42"/>
        <v>101-E353</v>
      </c>
      <c r="E176" s="188">
        <v>0</v>
      </c>
      <c r="F176" s="188">
        <v>1614.65</v>
      </c>
      <c r="G176" s="188">
        <v>1977.49</v>
      </c>
      <c r="H176" s="188">
        <v>2500.79</v>
      </c>
      <c r="I176" s="188">
        <v>0</v>
      </c>
      <c r="J176" s="183">
        <v>0</v>
      </c>
      <c r="L176" s="188" t="str">
        <f t="shared" si="43"/>
        <v>Grid Modernization</v>
      </c>
      <c r="M176" s="188" t="str">
        <f t="shared" si="44"/>
        <v>E3537 TSM Substation Equipment</v>
      </c>
      <c r="N176" s="188" t="str">
        <f t="shared" si="40"/>
        <v>Programmatic</v>
      </c>
      <c r="O176" s="188" t="str">
        <f t="shared" si="45"/>
        <v>101-E353</v>
      </c>
      <c r="P176" s="188">
        <f t="shared" si="46"/>
        <v>0</v>
      </c>
      <c r="Q176" s="188">
        <f t="shared" si="47"/>
        <v>1614.65</v>
      </c>
      <c r="R176" s="188">
        <f t="shared" si="48"/>
        <v>1977.49</v>
      </c>
      <c r="S176" s="188">
        <f t="shared" si="49"/>
        <v>2500.79</v>
      </c>
      <c r="T176" s="188">
        <f t="shared" si="50"/>
        <v>0</v>
      </c>
      <c r="V176" s="188" t="str">
        <f t="shared" si="51"/>
        <v>Grid Modernization</v>
      </c>
      <c r="W176" s="188" t="str">
        <f t="shared" si="52"/>
        <v>E3537 TSM Substation Equipment</v>
      </c>
      <c r="X176" s="188" t="str">
        <f t="shared" si="41"/>
        <v>Programmatic</v>
      </c>
      <c r="Y176" s="188" t="str">
        <f t="shared" si="53"/>
        <v>101-E353</v>
      </c>
      <c r="Z176" s="188">
        <f t="shared" si="54"/>
        <v>0</v>
      </c>
      <c r="AA176" s="188">
        <f t="shared" si="55"/>
        <v>0</v>
      </c>
      <c r="AB176" s="188">
        <f t="shared" si="56"/>
        <v>0</v>
      </c>
      <c r="AC176" s="188">
        <f t="shared" si="57"/>
        <v>0</v>
      </c>
      <c r="AD176" s="188">
        <f t="shared" si="58"/>
        <v>0</v>
      </c>
      <c r="AE176" s="183">
        <f t="shared" si="59"/>
        <v>0</v>
      </c>
    </row>
    <row r="177" spans="1:31" x14ac:dyDescent="0.25">
      <c r="A177" s="188" t="s">
        <v>15</v>
      </c>
      <c r="B177" s="188" t="s">
        <v>400</v>
      </c>
      <c r="C177" s="188" t="s">
        <v>160</v>
      </c>
      <c r="D177" s="188" t="str">
        <f t="shared" si="42"/>
        <v>101-E355</v>
      </c>
      <c r="E177" s="188">
        <v>0</v>
      </c>
      <c r="F177" s="188">
        <v>1880729.88</v>
      </c>
      <c r="G177" s="188">
        <v>2763289.65</v>
      </c>
      <c r="H177" s="188">
        <v>4819538</v>
      </c>
      <c r="I177" s="188">
        <v>0</v>
      </c>
      <c r="J177" s="183">
        <v>0</v>
      </c>
      <c r="L177" s="188" t="str">
        <f t="shared" si="43"/>
        <v>Grid Modernization</v>
      </c>
      <c r="M177" s="188" t="str">
        <f t="shared" si="44"/>
        <v>E355 TSM Poles &amp; Fixtures</v>
      </c>
      <c r="N177" s="188" t="str">
        <f t="shared" si="40"/>
        <v>Programmatic</v>
      </c>
      <c r="O177" s="188" t="str">
        <f t="shared" si="45"/>
        <v>101-E355</v>
      </c>
      <c r="P177" s="188">
        <f t="shared" si="46"/>
        <v>0</v>
      </c>
      <c r="Q177" s="188">
        <f t="shared" si="47"/>
        <v>1880729.88</v>
      </c>
      <c r="R177" s="188">
        <f t="shared" si="48"/>
        <v>2763289.65</v>
      </c>
      <c r="S177" s="188">
        <f t="shared" si="49"/>
        <v>4819538</v>
      </c>
      <c r="T177" s="188">
        <f t="shared" si="50"/>
        <v>0</v>
      </c>
      <c r="V177" s="188" t="str">
        <f t="shared" si="51"/>
        <v>Grid Modernization</v>
      </c>
      <c r="W177" s="188" t="str">
        <f t="shared" si="52"/>
        <v>E355 TSM Poles &amp; Fixtures</v>
      </c>
      <c r="X177" s="188" t="str">
        <f t="shared" si="41"/>
        <v>Programmatic</v>
      </c>
      <c r="Y177" s="188" t="str">
        <f t="shared" si="53"/>
        <v>101-E355</v>
      </c>
      <c r="Z177" s="188">
        <f t="shared" si="54"/>
        <v>0</v>
      </c>
      <c r="AA177" s="188">
        <f t="shared" si="55"/>
        <v>0</v>
      </c>
      <c r="AB177" s="188">
        <f t="shared" si="56"/>
        <v>0</v>
      </c>
      <c r="AC177" s="188">
        <f t="shared" si="57"/>
        <v>0</v>
      </c>
      <c r="AD177" s="188">
        <f t="shared" si="58"/>
        <v>0</v>
      </c>
      <c r="AE177" s="183">
        <f t="shared" si="59"/>
        <v>0</v>
      </c>
    </row>
    <row r="178" spans="1:31" x14ac:dyDescent="0.25">
      <c r="A178" s="188" t="s">
        <v>15</v>
      </c>
      <c r="B178" s="188" t="s">
        <v>521</v>
      </c>
      <c r="C178" s="188" t="s">
        <v>160</v>
      </c>
      <c r="D178" s="188" t="str">
        <f t="shared" si="42"/>
        <v>101-E355</v>
      </c>
      <c r="E178" s="188">
        <v>0</v>
      </c>
      <c r="F178" s="188">
        <v>39086.79</v>
      </c>
      <c r="G178" s="188">
        <v>57464.09</v>
      </c>
      <c r="H178" s="188">
        <v>100302.39999999999</v>
      </c>
      <c r="I178" s="188">
        <v>0</v>
      </c>
      <c r="J178" s="183">
        <v>0</v>
      </c>
      <c r="L178" s="188" t="str">
        <f t="shared" si="43"/>
        <v>Grid Modernization</v>
      </c>
      <c r="M178" s="188" t="str">
        <f t="shared" si="44"/>
        <v>E355 TSM Poles, Wild Horse-WindRidg</v>
      </c>
      <c r="N178" s="188" t="str">
        <f t="shared" si="40"/>
        <v>Programmatic</v>
      </c>
      <c r="O178" s="188" t="str">
        <f t="shared" si="45"/>
        <v>101-E355</v>
      </c>
      <c r="P178" s="188">
        <f t="shared" si="46"/>
        <v>0</v>
      </c>
      <c r="Q178" s="188">
        <f t="shared" si="47"/>
        <v>39086.79</v>
      </c>
      <c r="R178" s="188">
        <f t="shared" si="48"/>
        <v>57464.09</v>
      </c>
      <c r="S178" s="188">
        <f t="shared" si="49"/>
        <v>100302.39999999999</v>
      </c>
      <c r="T178" s="188">
        <f t="shared" si="50"/>
        <v>0</v>
      </c>
      <c r="V178" s="188" t="str">
        <f t="shared" si="51"/>
        <v>Grid Modernization</v>
      </c>
      <c r="W178" s="188" t="str">
        <f t="shared" si="52"/>
        <v>E355 TSM Poles, Wild Horse-WindRidg</v>
      </c>
      <c r="X178" s="188" t="str">
        <f t="shared" si="41"/>
        <v>Programmatic</v>
      </c>
      <c r="Y178" s="188" t="str">
        <f t="shared" si="53"/>
        <v>101-E355</v>
      </c>
      <c r="Z178" s="188">
        <f t="shared" si="54"/>
        <v>0</v>
      </c>
      <c r="AA178" s="188">
        <f t="shared" si="55"/>
        <v>0</v>
      </c>
      <c r="AB178" s="188">
        <f t="shared" si="56"/>
        <v>0</v>
      </c>
      <c r="AC178" s="188">
        <f t="shared" si="57"/>
        <v>0</v>
      </c>
      <c r="AD178" s="188">
        <f t="shared" si="58"/>
        <v>0</v>
      </c>
      <c r="AE178" s="183">
        <f t="shared" si="59"/>
        <v>0</v>
      </c>
    </row>
    <row r="179" spans="1:31" x14ac:dyDescent="0.25">
      <c r="A179" s="188" t="s">
        <v>15</v>
      </c>
      <c r="B179" s="188" t="s">
        <v>324</v>
      </c>
      <c r="C179" s="188" t="s">
        <v>160</v>
      </c>
      <c r="D179" s="188" t="str">
        <f t="shared" si="42"/>
        <v>101-E355</v>
      </c>
      <c r="E179" s="188">
        <v>0</v>
      </c>
      <c r="F179" s="188">
        <v>4562433.7300000004</v>
      </c>
      <c r="G179" s="188">
        <v>6935125.5700000003</v>
      </c>
      <c r="H179" s="188">
        <v>12721608.66</v>
      </c>
      <c r="I179" s="188">
        <v>0</v>
      </c>
      <c r="J179" s="183">
        <v>0</v>
      </c>
      <c r="L179" s="188" t="str">
        <f t="shared" si="43"/>
        <v>Grid Modernization</v>
      </c>
      <c r="M179" s="188" t="str">
        <f t="shared" si="44"/>
        <v>E3556 TSM Poles</v>
      </c>
      <c r="N179" s="188" t="str">
        <f t="shared" si="40"/>
        <v>Programmatic</v>
      </c>
      <c r="O179" s="188" t="str">
        <f t="shared" si="45"/>
        <v>101-E355</v>
      </c>
      <c r="P179" s="188">
        <f t="shared" si="46"/>
        <v>0</v>
      </c>
      <c r="Q179" s="188">
        <f t="shared" si="47"/>
        <v>4562433.7300000004</v>
      </c>
      <c r="R179" s="188">
        <f t="shared" si="48"/>
        <v>6935125.5700000003</v>
      </c>
      <c r="S179" s="188">
        <f t="shared" si="49"/>
        <v>12721608.66</v>
      </c>
      <c r="T179" s="188">
        <f t="shared" si="50"/>
        <v>0</v>
      </c>
      <c r="V179" s="188" t="str">
        <f t="shared" si="51"/>
        <v>Grid Modernization</v>
      </c>
      <c r="W179" s="188" t="str">
        <f t="shared" si="52"/>
        <v>E3556 TSM Poles</v>
      </c>
      <c r="X179" s="188" t="str">
        <f t="shared" si="41"/>
        <v>Programmatic</v>
      </c>
      <c r="Y179" s="188" t="str">
        <f t="shared" si="53"/>
        <v>101-E355</v>
      </c>
      <c r="Z179" s="188">
        <f t="shared" si="54"/>
        <v>0</v>
      </c>
      <c r="AA179" s="188">
        <f t="shared" si="55"/>
        <v>0</v>
      </c>
      <c r="AB179" s="188">
        <f t="shared" si="56"/>
        <v>0</v>
      </c>
      <c r="AC179" s="188">
        <f t="shared" si="57"/>
        <v>0</v>
      </c>
      <c r="AD179" s="188">
        <f t="shared" si="58"/>
        <v>0</v>
      </c>
      <c r="AE179" s="183">
        <f t="shared" si="59"/>
        <v>0</v>
      </c>
    </row>
    <row r="180" spans="1:31" x14ac:dyDescent="0.25">
      <c r="A180" s="188" t="s">
        <v>15</v>
      </c>
      <c r="B180" s="188" t="s">
        <v>399</v>
      </c>
      <c r="C180" s="188" t="s">
        <v>160</v>
      </c>
      <c r="D180" s="188" t="str">
        <f t="shared" si="42"/>
        <v>101-E355</v>
      </c>
      <c r="E180" s="188">
        <v>0</v>
      </c>
      <c r="F180" s="188">
        <v>403902.71999999997</v>
      </c>
      <c r="G180" s="188">
        <v>593804.24</v>
      </c>
      <c r="H180" s="188">
        <v>1036473.19</v>
      </c>
      <c r="I180" s="188">
        <v>0</v>
      </c>
      <c r="J180" s="183">
        <v>0</v>
      </c>
      <c r="L180" s="188" t="str">
        <f t="shared" si="43"/>
        <v>Grid Modernization</v>
      </c>
      <c r="M180" s="188" t="str">
        <f t="shared" si="44"/>
        <v>E3557 TSM Poles</v>
      </c>
      <c r="N180" s="188" t="str">
        <f t="shared" si="40"/>
        <v>Programmatic</v>
      </c>
      <c r="O180" s="188" t="str">
        <f t="shared" si="45"/>
        <v>101-E355</v>
      </c>
      <c r="P180" s="188">
        <f t="shared" si="46"/>
        <v>0</v>
      </c>
      <c r="Q180" s="188">
        <f t="shared" si="47"/>
        <v>403902.71999999997</v>
      </c>
      <c r="R180" s="188">
        <f t="shared" si="48"/>
        <v>593804.24</v>
      </c>
      <c r="S180" s="188">
        <f t="shared" si="49"/>
        <v>1036473.19</v>
      </c>
      <c r="T180" s="188">
        <f t="shared" si="50"/>
        <v>0</v>
      </c>
      <c r="V180" s="188" t="str">
        <f t="shared" si="51"/>
        <v>Grid Modernization</v>
      </c>
      <c r="W180" s="188" t="str">
        <f t="shared" si="52"/>
        <v>E3557 TSM Poles</v>
      </c>
      <c r="X180" s="188" t="str">
        <f t="shared" si="41"/>
        <v>Programmatic</v>
      </c>
      <c r="Y180" s="188" t="str">
        <f t="shared" si="53"/>
        <v>101-E355</v>
      </c>
      <c r="Z180" s="188">
        <f t="shared" si="54"/>
        <v>0</v>
      </c>
      <c r="AA180" s="188">
        <f t="shared" si="55"/>
        <v>0</v>
      </c>
      <c r="AB180" s="188">
        <f t="shared" si="56"/>
        <v>0</v>
      </c>
      <c r="AC180" s="188">
        <f t="shared" si="57"/>
        <v>0</v>
      </c>
      <c r="AD180" s="188">
        <f t="shared" si="58"/>
        <v>0</v>
      </c>
      <c r="AE180" s="183">
        <f t="shared" si="59"/>
        <v>0</v>
      </c>
    </row>
    <row r="181" spans="1:31" x14ac:dyDescent="0.25">
      <c r="A181" s="188" t="s">
        <v>15</v>
      </c>
      <c r="B181" s="188" t="s">
        <v>395</v>
      </c>
      <c r="C181" s="188" t="s">
        <v>160</v>
      </c>
      <c r="D181" s="188" t="str">
        <f t="shared" si="42"/>
        <v>101-E356</v>
      </c>
      <c r="E181" s="188">
        <v>0</v>
      </c>
      <c r="F181" s="188">
        <v>319227.68</v>
      </c>
      <c r="G181" s="188">
        <v>512924.64</v>
      </c>
      <c r="H181" s="188">
        <v>1090628.0900000001</v>
      </c>
      <c r="I181" s="188">
        <v>0</v>
      </c>
      <c r="J181" s="183">
        <v>0</v>
      </c>
      <c r="L181" s="188" t="str">
        <f t="shared" si="43"/>
        <v>Grid Modernization</v>
      </c>
      <c r="M181" s="188" t="str">
        <f t="shared" si="44"/>
        <v>E3566 TSM O/H Conductor/Devices</v>
      </c>
      <c r="N181" s="188" t="str">
        <f t="shared" si="40"/>
        <v>Programmatic</v>
      </c>
      <c r="O181" s="188" t="str">
        <f t="shared" si="45"/>
        <v>101-E356</v>
      </c>
      <c r="P181" s="188">
        <f t="shared" si="46"/>
        <v>0</v>
      </c>
      <c r="Q181" s="188">
        <f t="shared" si="47"/>
        <v>319227.68</v>
      </c>
      <c r="R181" s="188">
        <f t="shared" si="48"/>
        <v>512924.64</v>
      </c>
      <c r="S181" s="188">
        <f t="shared" si="49"/>
        <v>1090628.0900000001</v>
      </c>
      <c r="T181" s="188">
        <f t="shared" si="50"/>
        <v>0</v>
      </c>
      <c r="V181" s="188" t="str">
        <f t="shared" si="51"/>
        <v>Grid Modernization</v>
      </c>
      <c r="W181" s="188" t="str">
        <f t="shared" si="52"/>
        <v>E3566 TSM O/H Conductor/Devices</v>
      </c>
      <c r="X181" s="188" t="str">
        <f t="shared" si="41"/>
        <v>Programmatic</v>
      </c>
      <c r="Y181" s="188" t="str">
        <f t="shared" si="53"/>
        <v>101-E356</v>
      </c>
      <c r="Z181" s="188">
        <f t="shared" si="54"/>
        <v>0</v>
      </c>
      <c r="AA181" s="188">
        <f t="shared" si="55"/>
        <v>0</v>
      </c>
      <c r="AB181" s="188">
        <f t="shared" si="56"/>
        <v>0</v>
      </c>
      <c r="AC181" s="188">
        <f t="shared" si="57"/>
        <v>0</v>
      </c>
      <c r="AD181" s="188">
        <f t="shared" si="58"/>
        <v>0</v>
      </c>
      <c r="AE181" s="183">
        <f t="shared" si="59"/>
        <v>0</v>
      </c>
    </row>
    <row r="182" spans="1:31" x14ac:dyDescent="0.25">
      <c r="A182" s="188" t="s">
        <v>15</v>
      </c>
      <c r="B182" s="188" t="s">
        <v>520</v>
      </c>
      <c r="C182" s="188" t="s">
        <v>160</v>
      </c>
      <c r="D182" s="188" t="str">
        <f t="shared" si="42"/>
        <v>101-E357</v>
      </c>
      <c r="E182" s="188">
        <v>0</v>
      </c>
      <c r="F182" s="188">
        <v>754315.44</v>
      </c>
      <c r="G182" s="188">
        <v>1508630.9</v>
      </c>
      <c r="H182" s="188">
        <v>3017261.78</v>
      </c>
      <c r="I182" s="188">
        <v>0</v>
      </c>
      <c r="J182" s="183">
        <v>0</v>
      </c>
      <c r="L182" s="188" t="str">
        <f t="shared" si="43"/>
        <v>Grid Modernization</v>
      </c>
      <c r="M182" s="188" t="str">
        <f t="shared" si="44"/>
        <v>E3577 TSM U/G Conduit</v>
      </c>
      <c r="N182" s="188" t="str">
        <f t="shared" si="40"/>
        <v>Programmatic</v>
      </c>
      <c r="O182" s="188" t="str">
        <f t="shared" si="45"/>
        <v>101-E357</v>
      </c>
      <c r="P182" s="188">
        <f t="shared" si="46"/>
        <v>0</v>
      </c>
      <c r="Q182" s="188">
        <f t="shared" si="47"/>
        <v>754315.44</v>
      </c>
      <c r="R182" s="188">
        <f t="shared" si="48"/>
        <v>1508630.9</v>
      </c>
      <c r="S182" s="188">
        <f t="shared" si="49"/>
        <v>3017261.78</v>
      </c>
      <c r="T182" s="188">
        <f t="shared" si="50"/>
        <v>0</v>
      </c>
      <c r="V182" s="188" t="str">
        <f t="shared" si="51"/>
        <v>Grid Modernization</v>
      </c>
      <c r="W182" s="188" t="str">
        <f t="shared" si="52"/>
        <v>E3577 TSM U/G Conduit</v>
      </c>
      <c r="X182" s="188" t="str">
        <f t="shared" si="41"/>
        <v>Programmatic</v>
      </c>
      <c r="Y182" s="188" t="str">
        <f t="shared" si="53"/>
        <v>101-E357</v>
      </c>
      <c r="Z182" s="188">
        <f t="shared" si="54"/>
        <v>0</v>
      </c>
      <c r="AA182" s="188">
        <f t="shared" si="55"/>
        <v>0</v>
      </c>
      <c r="AB182" s="188">
        <f t="shared" si="56"/>
        <v>0</v>
      </c>
      <c r="AC182" s="188">
        <f t="shared" si="57"/>
        <v>0</v>
      </c>
      <c r="AD182" s="188">
        <f t="shared" si="58"/>
        <v>0</v>
      </c>
      <c r="AE182" s="183">
        <f t="shared" si="59"/>
        <v>0</v>
      </c>
    </row>
    <row r="183" spans="1:31" x14ac:dyDescent="0.25">
      <c r="A183" s="188" t="s">
        <v>15</v>
      </c>
      <c r="B183" s="188" t="s">
        <v>519</v>
      </c>
      <c r="C183" s="188" t="s">
        <v>160</v>
      </c>
      <c r="D183" s="188" t="str">
        <f t="shared" si="42"/>
        <v>101-E358</v>
      </c>
      <c r="E183" s="188">
        <v>0</v>
      </c>
      <c r="F183" s="188">
        <v>1131473.04</v>
      </c>
      <c r="G183" s="188">
        <v>2262946.15</v>
      </c>
      <c r="H183" s="188">
        <v>4525892.3499999996</v>
      </c>
      <c r="I183" s="188">
        <v>0</v>
      </c>
      <c r="J183" s="183">
        <v>0</v>
      </c>
      <c r="L183" s="188" t="str">
        <f t="shared" si="43"/>
        <v>Grid Modernization</v>
      </c>
      <c r="M183" s="188" t="str">
        <f t="shared" si="44"/>
        <v>E3587 TSM U/G Conductor/Devices</v>
      </c>
      <c r="N183" s="188" t="str">
        <f t="shared" si="40"/>
        <v>Programmatic</v>
      </c>
      <c r="O183" s="188" t="str">
        <f t="shared" si="45"/>
        <v>101-E358</v>
      </c>
      <c r="P183" s="188">
        <f t="shared" si="46"/>
        <v>0</v>
      </c>
      <c r="Q183" s="188">
        <f t="shared" si="47"/>
        <v>1131473.04</v>
      </c>
      <c r="R183" s="188">
        <f t="shared" si="48"/>
        <v>2262946.15</v>
      </c>
      <c r="S183" s="188">
        <f t="shared" si="49"/>
        <v>4525892.3499999996</v>
      </c>
      <c r="T183" s="188">
        <f t="shared" si="50"/>
        <v>0</v>
      </c>
      <c r="V183" s="188" t="str">
        <f t="shared" si="51"/>
        <v>Grid Modernization</v>
      </c>
      <c r="W183" s="188" t="str">
        <f t="shared" si="52"/>
        <v>E3587 TSM U/G Conductor/Devices</v>
      </c>
      <c r="X183" s="188" t="str">
        <f t="shared" si="41"/>
        <v>Programmatic</v>
      </c>
      <c r="Y183" s="188" t="str">
        <f t="shared" si="53"/>
        <v>101-E358</v>
      </c>
      <c r="Z183" s="188">
        <f t="shared" si="54"/>
        <v>0</v>
      </c>
      <c r="AA183" s="188">
        <f t="shared" si="55"/>
        <v>0</v>
      </c>
      <c r="AB183" s="188">
        <f t="shared" si="56"/>
        <v>0</v>
      </c>
      <c r="AC183" s="188">
        <f t="shared" si="57"/>
        <v>0</v>
      </c>
      <c r="AD183" s="188">
        <f t="shared" si="58"/>
        <v>0</v>
      </c>
      <c r="AE183" s="183">
        <f t="shared" si="59"/>
        <v>0</v>
      </c>
    </row>
    <row r="184" spans="1:31" x14ac:dyDescent="0.25">
      <c r="A184" s="188" t="s">
        <v>15</v>
      </c>
      <c r="B184" s="188" t="s">
        <v>389</v>
      </c>
      <c r="C184" s="188" t="s">
        <v>160</v>
      </c>
      <c r="D184" s="188" t="str">
        <f t="shared" si="42"/>
        <v>101-E360</v>
      </c>
      <c r="E184" s="188">
        <v>0</v>
      </c>
      <c r="F184" s="188">
        <v>91386.27</v>
      </c>
      <c r="G184" s="188">
        <v>180896.24</v>
      </c>
      <c r="H184" s="188">
        <v>436438.31</v>
      </c>
      <c r="I184" s="188">
        <v>0</v>
      </c>
      <c r="J184" s="183">
        <v>0</v>
      </c>
      <c r="L184" s="188" t="str">
        <f t="shared" si="43"/>
        <v>Grid Modernization</v>
      </c>
      <c r="M184" s="188" t="str">
        <f t="shared" si="44"/>
        <v>E3600 DST Land &amp; Land Rights</v>
      </c>
      <c r="N184" s="188" t="str">
        <f t="shared" si="40"/>
        <v>Programmatic</v>
      </c>
      <c r="O184" s="188" t="str">
        <f t="shared" si="45"/>
        <v>101-E360</v>
      </c>
      <c r="P184" s="188">
        <f t="shared" si="46"/>
        <v>0</v>
      </c>
      <c r="Q184" s="188">
        <f t="shared" si="47"/>
        <v>91386.27</v>
      </c>
      <c r="R184" s="188">
        <f t="shared" si="48"/>
        <v>180896.24</v>
      </c>
      <c r="S184" s="188">
        <f t="shared" si="49"/>
        <v>436438.31</v>
      </c>
      <c r="T184" s="188">
        <f t="shared" si="50"/>
        <v>0</v>
      </c>
      <c r="V184" s="188" t="str">
        <f t="shared" si="51"/>
        <v>Grid Modernization</v>
      </c>
      <c r="W184" s="188" t="str">
        <f t="shared" si="52"/>
        <v>E3600 DST Land &amp; Land Rights</v>
      </c>
      <c r="X184" s="188" t="str">
        <f t="shared" si="41"/>
        <v>Programmatic</v>
      </c>
      <c r="Y184" s="188" t="str">
        <f t="shared" si="53"/>
        <v>101-E360</v>
      </c>
      <c r="Z184" s="188">
        <f t="shared" si="54"/>
        <v>0</v>
      </c>
      <c r="AA184" s="188">
        <f t="shared" si="55"/>
        <v>0</v>
      </c>
      <c r="AB184" s="188">
        <f t="shared" si="56"/>
        <v>0</v>
      </c>
      <c r="AC184" s="188">
        <f t="shared" si="57"/>
        <v>0</v>
      </c>
      <c r="AD184" s="188">
        <f t="shared" si="58"/>
        <v>0</v>
      </c>
      <c r="AE184" s="183">
        <f t="shared" si="59"/>
        <v>0</v>
      </c>
    </row>
    <row r="185" spans="1:31" x14ac:dyDescent="0.25">
      <c r="A185" s="185" t="s">
        <v>15</v>
      </c>
      <c r="B185" s="188" t="s">
        <v>517</v>
      </c>
      <c r="C185" s="188" t="s">
        <v>160</v>
      </c>
      <c r="D185" s="188" t="str">
        <f t="shared" si="42"/>
        <v>101-E360</v>
      </c>
      <c r="E185" s="188">
        <v>0</v>
      </c>
      <c r="F185" s="188">
        <v>1467278.96</v>
      </c>
      <c r="G185" s="188">
        <v>2025394.69</v>
      </c>
      <c r="H185" s="188">
        <v>2979289.02</v>
      </c>
      <c r="I185" s="188">
        <v>0</v>
      </c>
      <c r="J185" s="183">
        <v>0</v>
      </c>
      <c r="L185" s="188" t="str">
        <f t="shared" si="43"/>
        <v>Grid Modernization</v>
      </c>
      <c r="M185" s="188" t="str">
        <f t="shared" si="44"/>
        <v>E36010 DST Easements</v>
      </c>
      <c r="N185" s="188" t="str">
        <f t="shared" si="40"/>
        <v>Programmatic</v>
      </c>
      <c r="O185" s="188" t="str">
        <f t="shared" si="45"/>
        <v>101-E360</v>
      </c>
      <c r="P185" s="188">
        <f t="shared" si="46"/>
        <v>0</v>
      </c>
      <c r="Q185" s="188">
        <f t="shared" si="47"/>
        <v>1467278.96</v>
      </c>
      <c r="R185" s="188">
        <f t="shared" si="48"/>
        <v>2025394.69</v>
      </c>
      <c r="S185" s="188">
        <f t="shared" si="49"/>
        <v>2979289.02</v>
      </c>
      <c r="T185" s="188">
        <f t="shared" si="50"/>
        <v>0</v>
      </c>
      <c r="V185" s="188" t="str">
        <f t="shared" si="51"/>
        <v>Grid Modernization</v>
      </c>
      <c r="W185" s="188" t="str">
        <f t="shared" si="52"/>
        <v>E36010 DST Easements</v>
      </c>
      <c r="X185" s="188" t="str">
        <f t="shared" si="41"/>
        <v>Programmatic</v>
      </c>
      <c r="Y185" s="188" t="str">
        <f t="shared" si="53"/>
        <v>101-E360</v>
      </c>
      <c r="Z185" s="188">
        <f t="shared" si="54"/>
        <v>0</v>
      </c>
      <c r="AA185" s="188">
        <f t="shared" si="55"/>
        <v>0</v>
      </c>
      <c r="AB185" s="188">
        <f t="shared" si="56"/>
        <v>0</v>
      </c>
      <c r="AC185" s="188">
        <f t="shared" si="57"/>
        <v>0</v>
      </c>
      <c r="AD185" s="188">
        <f t="shared" si="58"/>
        <v>0</v>
      </c>
      <c r="AE185" s="183">
        <f t="shared" si="59"/>
        <v>0</v>
      </c>
    </row>
    <row r="186" spans="1:31" x14ac:dyDescent="0.25">
      <c r="A186" s="185" t="s">
        <v>15</v>
      </c>
      <c r="B186" s="188" t="s">
        <v>388</v>
      </c>
      <c r="C186" s="188" t="s">
        <v>160</v>
      </c>
      <c r="D186" s="188" t="str">
        <f t="shared" si="42"/>
        <v>101-E362</v>
      </c>
      <c r="E186" s="188">
        <v>0</v>
      </c>
      <c r="F186" s="188">
        <v>6558727.6799999997</v>
      </c>
      <c r="G186" s="188">
        <v>12748381.210000001</v>
      </c>
      <c r="H186" s="188">
        <v>32891478.140000001</v>
      </c>
      <c r="I186" s="188">
        <v>0</v>
      </c>
      <c r="J186" s="183">
        <v>0</v>
      </c>
      <c r="L186" s="188" t="str">
        <f t="shared" si="43"/>
        <v>Grid Modernization</v>
      </c>
      <c r="M186" s="188" t="str">
        <f t="shared" si="44"/>
        <v>E3620 DST Substation Equipment</v>
      </c>
      <c r="N186" s="188" t="str">
        <f t="shared" si="40"/>
        <v>Programmatic</v>
      </c>
      <c r="O186" s="188" t="str">
        <f t="shared" si="45"/>
        <v>101-E362</v>
      </c>
      <c r="P186" s="188">
        <f t="shared" si="46"/>
        <v>0</v>
      </c>
      <c r="Q186" s="188">
        <f t="shared" si="47"/>
        <v>6558727.6799999997</v>
      </c>
      <c r="R186" s="188">
        <f t="shared" si="48"/>
        <v>12748381.210000001</v>
      </c>
      <c r="S186" s="188">
        <f t="shared" si="49"/>
        <v>32891478.140000001</v>
      </c>
      <c r="T186" s="188">
        <f t="shared" si="50"/>
        <v>0</v>
      </c>
      <c r="V186" s="188" t="str">
        <f t="shared" si="51"/>
        <v>Grid Modernization</v>
      </c>
      <c r="W186" s="188" t="str">
        <f t="shared" si="52"/>
        <v>E3620 DST Substation Equipment</v>
      </c>
      <c r="X186" s="188" t="str">
        <f t="shared" si="41"/>
        <v>Programmatic</v>
      </c>
      <c r="Y186" s="188" t="str">
        <f t="shared" si="53"/>
        <v>101-E362</v>
      </c>
      <c r="Z186" s="188">
        <f t="shared" si="54"/>
        <v>0</v>
      </c>
      <c r="AA186" s="188">
        <f t="shared" si="55"/>
        <v>0</v>
      </c>
      <c r="AB186" s="188">
        <f t="shared" si="56"/>
        <v>0</v>
      </c>
      <c r="AC186" s="188">
        <f t="shared" si="57"/>
        <v>0</v>
      </c>
      <c r="AD186" s="188">
        <f t="shared" si="58"/>
        <v>0</v>
      </c>
      <c r="AE186" s="183">
        <f t="shared" si="59"/>
        <v>0</v>
      </c>
    </row>
    <row r="187" spans="1:31" x14ac:dyDescent="0.25">
      <c r="A187" s="185" t="s">
        <v>15</v>
      </c>
      <c r="B187" s="188" t="s">
        <v>318</v>
      </c>
      <c r="C187" s="188" t="s">
        <v>160</v>
      </c>
      <c r="D187" s="188" t="str">
        <f t="shared" si="42"/>
        <v>101-E364</v>
      </c>
      <c r="E187" s="188">
        <v>0</v>
      </c>
      <c r="F187" s="188">
        <v>14263683.359999999</v>
      </c>
      <c r="G187" s="188">
        <v>22824073.84</v>
      </c>
      <c r="H187" s="188">
        <v>39264146.719999999</v>
      </c>
      <c r="I187" s="188">
        <v>0</v>
      </c>
      <c r="J187" s="183">
        <v>0</v>
      </c>
      <c r="L187" s="188" t="str">
        <f t="shared" si="43"/>
        <v>Grid Modernization</v>
      </c>
      <c r="M187" s="188" t="str">
        <f t="shared" si="44"/>
        <v>E3640 DST Poles/Towers/Fixtures</v>
      </c>
      <c r="N187" s="188" t="str">
        <f t="shared" si="40"/>
        <v>Programmatic</v>
      </c>
      <c r="O187" s="188" t="str">
        <f t="shared" si="45"/>
        <v>101-E364</v>
      </c>
      <c r="P187" s="188">
        <f t="shared" si="46"/>
        <v>0</v>
      </c>
      <c r="Q187" s="188">
        <f t="shared" si="47"/>
        <v>14263683.359999999</v>
      </c>
      <c r="R187" s="188">
        <f t="shared" si="48"/>
        <v>22824073.84</v>
      </c>
      <c r="S187" s="188">
        <f t="shared" si="49"/>
        <v>39264146.719999999</v>
      </c>
      <c r="T187" s="188">
        <f t="shared" si="50"/>
        <v>0</v>
      </c>
      <c r="V187" s="188" t="str">
        <f t="shared" si="51"/>
        <v>Grid Modernization</v>
      </c>
      <c r="W187" s="188" t="str">
        <f t="shared" si="52"/>
        <v>E3640 DST Poles/Towers/Fixtures</v>
      </c>
      <c r="X187" s="188" t="str">
        <f t="shared" si="41"/>
        <v>Programmatic</v>
      </c>
      <c r="Y187" s="188" t="str">
        <f t="shared" si="53"/>
        <v>101-E364</v>
      </c>
      <c r="Z187" s="188">
        <f t="shared" si="54"/>
        <v>0</v>
      </c>
      <c r="AA187" s="188">
        <f t="shared" si="55"/>
        <v>0</v>
      </c>
      <c r="AB187" s="188">
        <f t="shared" si="56"/>
        <v>0</v>
      </c>
      <c r="AC187" s="188">
        <f t="shared" si="57"/>
        <v>0</v>
      </c>
      <c r="AD187" s="188">
        <f t="shared" si="58"/>
        <v>0</v>
      </c>
      <c r="AE187" s="183">
        <f t="shared" si="59"/>
        <v>0</v>
      </c>
    </row>
    <row r="188" spans="1:31" x14ac:dyDescent="0.25">
      <c r="A188" s="185" t="s">
        <v>15</v>
      </c>
      <c r="B188" s="188" t="s">
        <v>327</v>
      </c>
      <c r="C188" s="188" t="s">
        <v>160</v>
      </c>
      <c r="D188" s="188" t="str">
        <f t="shared" si="42"/>
        <v>101-E365</v>
      </c>
      <c r="E188" s="188">
        <v>0</v>
      </c>
      <c r="F188" s="188">
        <v>18450305.57</v>
      </c>
      <c r="G188" s="188">
        <v>29651472.239999998</v>
      </c>
      <c r="H188" s="188">
        <v>54572162.280000001</v>
      </c>
      <c r="I188" s="188">
        <v>0</v>
      </c>
      <c r="J188" s="183">
        <v>0</v>
      </c>
      <c r="L188" s="188" t="str">
        <f t="shared" si="43"/>
        <v>Grid Modernization</v>
      </c>
      <c r="M188" s="188" t="str">
        <f t="shared" si="44"/>
        <v>E3650 DST O/H Conductor/Devices</v>
      </c>
      <c r="N188" s="188" t="str">
        <f t="shared" si="40"/>
        <v>Programmatic</v>
      </c>
      <c r="O188" s="188" t="str">
        <f t="shared" si="45"/>
        <v>101-E365</v>
      </c>
      <c r="P188" s="188">
        <f t="shared" si="46"/>
        <v>0</v>
      </c>
      <c r="Q188" s="188">
        <f t="shared" si="47"/>
        <v>18450305.57</v>
      </c>
      <c r="R188" s="188">
        <f t="shared" si="48"/>
        <v>29651472.239999998</v>
      </c>
      <c r="S188" s="188">
        <f t="shared" si="49"/>
        <v>54572162.280000001</v>
      </c>
      <c r="T188" s="188">
        <f t="shared" si="50"/>
        <v>0</v>
      </c>
      <c r="V188" s="188" t="str">
        <f t="shared" si="51"/>
        <v>Grid Modernization</v>
      </c>
      <c r="W188" s="188" t="str">
        <f t="shared" si="52"/>
        <v>E3650 DST O/H Conductor/Devices</v>
      </c>
      <c r="X188" s="188" t="str">
        <f t="shared" si="41"/>
        <v>Programmatic</v>
      </c>
      <c r="Y188" s="188" t="str">
        <f t="shared" si="53"/>
        <v>101-E365</v>
      </c>
      <c r="Z188" s="188">
        <f t="shared" si="54"/>
        <v>0</v>
      </c>
      <c r="AA188" s="188">
        <f t="shared" si="55"/>
        <v>0</v>
      </c>
      <c r="AB188" s="188">
        <f t="shared" si="56"/>
        <v>0</v>
      </c>
      <c r="AC188" s="188">
        <f t="shared" si="57"/>
        <v>0</v>
      </c>
      <c r="AD188" s="188">
        <f t="shared" si="58"/>
        <v>0</v>
      </c>
      <c r="AE188" s="183">
        <f t="shared" si="59"/>
        <v>0</v>
      </c>
    </row>
    <row r="189" spans="1:31" x14ac:dyDescent="0.25">
      <c r="A189" s="185" t="s">
        <v>15</v>
      </c>
      <c r="B189" s="188" t="s">
        <v>317</v>
      </c>
      <c r="C189" s="188" t="s">
        <v>160</v>
      </c>
      <c r="D189" s="188" t="str">
        <f t="shared" si="42"/>
        <v>101-E366</v>
      </c>
      <c r="E189" s="188">
        <v>0</v>
      </c>
      <c r="F189" s="188">
        <v>15273874.74</v>
      </c>
      <c r="G189" s="188">
        <v>22823124.539999999</v>
      </c>
      <c r="H189" s="188">
        <v>42415509.770000003</v>
      </c>
      <c r="I189" s="188">
        <v>0</v>
      </c>
      <c r="J189" s="183">
        <v>0</v>
      </c>
      <c r="L189" s="188" t="str">
        <f t="shared" si="43"/>
        <v>Grid Modernization</v>
      </c>
      <c r="M189" s="188" t="str">
        <f t="shared" si="44"/>
        <v>E3660 DST U/G Conduit</v>
      </c>
      <c r="N189" s="188" t="str">
        <f t="shared" si="40"/>
        <v>Programmatic</v>
      </c>
      <c r="O189" s="188" t="str">
        <f t="shared" si="45"/>
        <v>101-E366</v>
      </c>
      <c r="P189" s="188">
        <f t="shared" si="46"/>
        <v>0</v>
      </c>
      <c r="Q189" s="188">
        <f t="shared" si="47"/>
        <v>15273874.74</v>
      </c>
      <c r="R189" s="188">
        <f t="shared" si="48"/>
        <v>22823124.539999999</v>
      </c>
      <c r="S189" s="188">
        <f t="shared" si="49"/>
        <v>42415509.770000003</v>
      </c>
      <c r="T189" s="188">
        <f t="shared" si="50"/>
        <v>0</v>
      </c>
      <c r="V189" s="188" t="str">
        <f t="shared" si="51"/>
        <v>Grid Modernization</v>
      </c>
      <c r="W189" s="188" t="str">
        <f t="shared" si="52"/>
        <v>E3660 DST U/G Conduit</v>
      </c>
      <c r="X189" s="188" t="str">
        <f t="shared" si="41"/>
        <v>Programmatic</v>
      </c>
      <c r="Y189" s="188" t="str">
        <f t="shared" si="53"/>
        <v>101-E366</v>
      </c>
      <c r="Z189" s="188">
        <f t="shared" si="54"/>
        <v>0</v>
      </c>
      <c r="AA189" s="188">
        <f t="shared" si="55"/>
        <v>0</v>
      </c>
      <c r="AB189" s="188">
        <f t="shared" si="56"/>
        <v>0</v>
      </c>
      <c r="AC189" s="188">
        <f t="shared" si="57"/>
        <v>0</v>
      </c>
      <c r="AD189" s="188">
        <f t="shared" si="58"/>
        <v>0</v>
      </c>
      <c r="AE189" s="183">
        <f t="shared" si="59"/>
        <v>0</v>
      </c>
    </row>
    <row r="190" spans="1:31" x14ac:dyDescent="0.25">
      <c r="A190" s="185" t="s">
        <v>15</v>
      </c>
      <c r="B190" s="188" t="s">
        <v>316</v>
      </c>
      <c r="C190" s="188" t="s">
        <v>160</v>
      </c>
      <c r="D190" s="188" t="str">
        <f t="shared" si="42"/>
        <v>101-E367</v>
      </c>
      <c r="E190" s="188">
        <v>0</v>
      </c>
      <c r="F190" s="188">
        <v>21832847.98</v>
      </c>
      <c r="G190" s="188">
        <v>29990430.93</v>
      </c>
      <c r="H190" s="188">
        <v>59422496.329999998</v>
      </c>
      <c r="I190" s="188">
        <v>0</v>
      </c>
      <c r="J190" s="183">
        <v>0</v>
      </c>
      <c r="L190" s="188" t="str">
        <f t="shared" si="43"/>
        <v>Grid Modernization</v>
      </c>
      <c r="M190" s="188" t="str">
        <f t="shared" si="44"/>
        <v>E3670 DST U/G Conductor/Devices</v>
      </c>
      <c r="N190" s="188" t="str">
        <f t="shared" si="40"/>
        <v>Programmatic</v>
      </c>
      <c r="O190" s="188" t="str">
        <f t="shared" si="45"/>
        <v>101-E367</v>
      </c>
      <c r="P190" s="188">
        <f t="shared" si="46"/>
        <v>0</v>
      </c>
      <c r="Q190" s="188">
        <f t="shared" si="47"/>
        <v>21832847.98</v>
      </c>
      <c r="R190" s="188">
        <f t="shared" si="48"/>
        <v>29990430.93</v>
      </c>
      <c r="S190" s="188">
        <f t="shared" si="49"/>
        <v>59422496.329999998</v>
      </c>
      <c r="T190" s="188">
        <f t="shared" si="50"/>
        <v>0</v>
      </c>
      <c r="V190" s="188" t="str">
        <f t="shared" si="51"/>
        <v>Grid Modernization</v>
      </c>
      <c r="W190" s="188" t="str">
        <f t="shared" si="52"/>
        <v>E3670 DST U/G Conductor/Devices</v>
      </c>
      <c r="X190" s="188" t="str">
        <f t="shared" si="41"/>
        <v>Programmatic</v>
      </c>
      <c r="Y190" s="188" t="str">
        <f t="shared" si="53"/>
        <v>101-E367</v>
      </c>
      <c r="Z190" s="188">
        <f t="shared" si="54"/>
        <v>0</v>
      </c>
      <c r="AA190" s="188">
        <f t="shared" si="55"/>
        <v>0</v>
      </c>
      <c r="AB190" s="188">
        <f t="shared" si="56"/>
        <v>0</v>
      </c>
      <c r="AC190" s="188">
        <f t="shared" si="57"/>
        <v>0</v>
      </c>
      <c r="AD190" s="188">
        <f t="shared" si="58"/>
        <v>0</v>
      </c>
      <c r="AE190" s="183">
        <f t="shared" si="59"/>
        <v>0</v>
      </c>
    </row>
    <row r="191" spans="1:31" x14ac:dyDescent="0.25">
      <c r="A191" s="185" t="s">
        <v>15</v>
      </c>
      <c r="B191" s="188" t="s">
        <v>387</v>
      </c>
      <c r="C191" s="188" t="s">
        <v>160</v>
      </c>
      <c r="D191" s="188" t="str">
        <f t="shared" si="42"/>
        <v>101-E368</v>
      </c>
      <c r="E191" s="188">
        <v>0</v>
      </c>
      <c r="F191" s="188">
        <v>36202640.189999998</v>
      </c>
      <c r="G191" s="188">
        <v>59274947.780000001</v>
      </c>
      <c r="H191" s="188">
        <v>112082140.15000001</v>
      </c>
      <c r="I191" s="188">
        <v>0</v>
      </c>
      <c r="J191" s="183">
        <v>0</v>
      </c>
      <c r="L191" s="188" t="str">
        <f t="shared" si="43"/>
        <v>Grid Modernization</v>
      </c>
      <c r="M191" s="188" t="str">
        <f t="shared" si="44"/>
        <v>E368 DST Line Transformers</v>
      </c>
      <c r="N191" s="188" t="str">
        <f t="shared" si="40"/>
        <v>Programmatic</v>
      </c>
      <c r="O191" s="188" t="str">
        <f t="shared" si="45"/>
        <v>101-E368</v>
      </c>
      <c r="P191" s="188">
        <f t="shared" si="46"/>
        <v>0</v>
      </c>
      <c r="Q191" s="188">
        <f t="shared" si="47"/>
        <v>36202640.189999998</v>
      </c>
      <c r="R191" s="188">
        <f t="shared" si="48"/>
        <v>59274947.780000001</v>
      </c>
      <c r="S191" s="188">
        <f t="shared" si="49"/>
        <v>112082140.15000001</v>
      </c>
      <c r="T191" s="188">
        <f t="shared" si="50"/>
        <v>0</v>
      </c>
      <c r="V191" s="188" t="str">
        <f t="shared" si="51"/>
        <v>Grid Modernization</v>
      </c>
      <c r="W191" s="188" t="str">
        <f t="shared" si="52"/>
        <v>E368 DST Line Transformers</v>
      </c>
      <c r="X191" s="188" t="str">
        <f t="shared" si="41"/>
        <v>Programmatic</v>
      </c>
      <c r="Y191" s="188" t="str">
        <f t="shared" si="53"/>
        <v>101-E368</v>
      </c>
      <c r="Z191" s="188">
        <f t="shared" si="54"/>
        <v>0</v>
      </c>
      <c r="AA191" s="188">
        <f t="shared" si="55"/>
        <v>0</v>
      </c>
      <c r="AB191" s="188">
        <f t="shared" si="56"/>
        <v>0</v>
      </c>
      <c r="AC191" s="188">
        <f t="shared" si="57"/>
        <v>0</v>
      </c>
      <c r="AD191" s="188">
        <f t="shared" si="58"/>
        <v>0</v>
      </c>
      <c r="AE191" s="183">
        <f t="shared" si="59"/>
        <v>0</v>
      </c>
    </row>
    <row r="192" spans="1:31" x14ac:dyDescent="0.25">
      <c r="A192" s="185" t="s">
        <v>15</v>
      </c>
      <c r="B192" s="188" t="s">
        <v>386</v>
      </c>
      <c r="C192" s="188" t="s">
        <v>160</v>
      </c>
      <c r="D192" s="188" t="str">
        <f t="shared" si="42"/>
        <v>101-E369</v>
      </c>
      <c r="E192" s="188">
        <v>0</v>
      </c>
      <c r="F192" s="188">
        <v>48533.55</v>
      </c>
      <c r="G192" s="188">
        <v>71610.679999999993</v>
      </c>
      <c r="H192" s="188">
        <v>124061.77</v>
      </c>
      <c r="I192" s="188">
        <v>0</v>
      </c>
      <c r="J192" s="183">
        <v>0</v>
      </c>
      <c r="L192" s="188" t="str">
        <f t="shared" si="43"/>
        <v>Grid Modernization</v>
      </c>
      <c r="M192" s="188" t="str">
        <f t="shared" si="44"/>
        <v>E369 DST Services</v>
      </c>
      <c r="N192" s="188" t="str">
        <f t="shared" si="40"/>
        <v>Programmatic</v>
      </c>
      <c r="O192" s="188" t="str">
        <f t="shared" si="45"/>
        <v>101-E369</v>
      </c>
      <c r="P192" s="188">
        <f t="shared" si="46"/>
        <v>0</v>
      </c>
      <c r="Q192" s="188">
        <f t="shared" si="47"/>
        <v>48533.55</v>
      </c>
      <c r="R192" s="188">
        <f t="shared" si="48"/>
        <v>71610.679999999993</v>
      </c>
      <c r="S192" s="188">
        <f t="shared" si="49"/>
        <v>124061.77</v>
      </c>
      <c r="T192" s="188">
        <f t="shared" si="50"/>
        <v>0</v>
      </c>
      <c r="V192" s="188" t="str">
        <f t="shared" si="51"/>
        <v>Grid Modernization</v>
      </c>
      <c r="W192" s="188" t="str">
        <f t="shared" si="52"/>
        <v>E369 DST Services</v>
      </c>
      <c r="X192" s="188" t="str">
        <f t="shared" si="41"/>
        <v>Programmatic</v>
      </c>
      <c r="Y192" s="188" t="str">
        <f t="shared" si="53"/>
        <v>101-E369</v>
      </c>
      <c r="Z192" s="188">
        <f t="shared" si="54"/>
        <v>0</v>
      </c>
      <c r="AA192" s="188">
        <f t="shared" si="55"/>
        <v>0</v>
      </c>
      <c r="AB192" s="188">
        <f t="shared" si="56"/>
        <v>0</v>
      </c>
      <c r="AC192" s="188">
        <f t="shared" si="57"/>
        <v>0</v>
      </c>
      <c r="AD192" s="188">
        <f t="shared" si="58"/>
        <v>0</v>
      </c>
      <c r="AE192" s="183">
        <f t="shared" si="59"/>
        <v>0</v>
      </c>
    </row>
    <row r="193" spans="1:31" x14ac:dyDescent="0.25">
      <c r="A193" s="185" t="s">
        <v>15</v>
      </c>
      <c r="B193" s="188" t="s">
        <v>385</v>
      </c>
      <c r="C193" s="188" t="s">
        <v>160</v>
      </c>
      <c r="D193" s="188" t="str">
        <f t="shared" si="42"/>
        <v>101-E370</v>
      </c>
      <c r="E193" s="188">
        <v>0</v>
      </c>
      <c r="F193" s="188">
        <v>1451105.52</v>
      </c>
      <c r="G193" s="188">
        <v>2463024.91</v>
      </c>
      <c r="H193" s="188">
        <v>4048413.66</v>
      </c>
      <c r="I193" s="188">
        <v>0</v>
      </c>
      <c r="J193" s="183">
        <v>0</v>
      </c>
      <c r="L193" s="188" t="str">
        <f t="shared" si="43"/>
        <v>Grid Modernization</v>
      </c>
      <c r="M193" s="188" t="str">
        <f t="shared" si="44"/>
        <v>E3701 DST Meters AMI</v>
      </c>
      <c r="N193" s="188" t="str">
        <f t="shared" si="40"/>
        <v>Programmatic</v>
      </c>
      <c r="O193" s="188" t="str">
        <f t="shared" si="45"/>
        <v>101-E370</v>
      </c>
      <c r="P193" s="188">
        <f t="shared" si="46"/>
        <v>0</v>
      </c>
      <c r="Q193" s="188">
        <f t="shared" si="47"/>
        <v>1451105.52</v>
      </c>
      <c r="R193" s="188">
        <f t="shared" si="48"/>
        <v>2463024.91</v>
      </c>
      <c r="S193" s="188">
        <f t="shared" si="49"/>
        <v>4048413.66</v>
      </c>
      <c r="T193" s="188">
        <f t="shared" si="50"/>
        <v>0</v>
      </c>
      <c r="V193" s="188" t="str">
        <f t="shared" si="51"/>
        <v>Grid Modernization</v>
      </c>
      <c r="W193" s="188" t="str">
        <f t="shared" si="52"/>
        <v>E3701 DST Meters AMI</v>
      </c>
      <c r="X193" s="188" t="str">
        <f t="shared" si="41"/>
        <v>Programmatic</v>
      </c>
      <c r="Y193" s="188" t="str">
        <f t="shared" si="53"/>
        <v>101-E370</v>
      </c>
      <c r="Z193" s="188">
        <f t="shared" si="54"/>
        <v>0</v>
      </c>
      <c r="AA193" s="188">
        <f t="shared" si="55"/>
        <v>0</v>
      </c>
      <c r="AB193" s="188">
        <f t="shared" si="56"/>
        <v>0</v>
      </c>
      <c r="AC193" s="188">
        <f t="shared" si="57"/>
        <v>0</v>
      </c>
      <c r="AD193" s="188">
        <f t="shared" si="58"/>
        <v>0</v>
      </c>
      <c r="AE193" s="183">
        <f t="shared" si="59"/>
        <v>0</v>
      </c>
    </row>
    <row r="194" spans="1:31" x14ac:dyDescent="0.25">
      <c r="A194" s="185" t="s">
        <v>15</v>
      </c>
      <c r="B194" s="188" t="s">
        <v>383</v>
      </c>
      <c r="C194" s="188" t="s">
        <v>160</v>
      </c>
      <c r="D194" s="188" t="str">
        <f t="shared" si="42"/>
        <v>101-E373</v>
      </c>
      <c r="E194" s="188">
        <v>0</v>
      </c>
      <c r="F194" s="188">
        <v>118749.14</v>
      </c>
      <c r="G194" s="188">
        <v>213298.94</v>
      </c>
      <c r="H194" s="188">
        <v>446801.77</v>
      </c>
      <c r="I194" s="188">
        <v>0</v>
      </c>
      <c r="J194" s="183">
        <v>0</v>
      </c>
      <c r="L194" s="188" t="str">
        <f t="shared" si="43"/>
        <v>Grid Modernization</v>
      </c>
      <c r="M194" s="188" t="str">
        <f t="shared" si="44"/>
        <v>E373 DST Street Lighting &amp; Signal</v>
      </c>
      <c r="N194" s="188" t="str">
        <f t="shared" si="40"/>
        <v>Programmatic</v>
      </c>
      <c r="O194" s="188" t="str">
        <f t="shared" si="45"/>
        <v>101-E373</v>
      </c>
      <c r="P194" s="188">
        <f t="shared" si="46"/>
        <v>0</v>
      </c>
      <c r="Q194" s="188">
        <f t="shared" si="47"/>
        <v>118749.14</v>
      </c>
      <c r="R194" s="188">
        <f t="shared" si="48"/>
        <v>213298.94</v>
      </c>
      <c r="S194" s="188">
        <f t="shared" si="49"/>
        <v>446801.77</v>
      </c>
      <c r="T194" s="188">
        <f t="shared" si="50"/>
        <v>0</v>
      </c>
      <c r="V194" s="188" t="str">
        <f t="shared" si="51"/>
        <v>Grid Modernization</v>
      </c>
      <c r="W194" s="188" t="str">
        <f t="shared" si="52"/>
        <v>E373 DST Street Lighting &amp; Signal</v>
      </c>
      <c r="X194" s="188" t="str">
        <f t="shared" si="41"/>
        <v>Programmatic</v>
      </c>
      <c r="Y194" s="188" t="str">
        <f t="shared" si="53"/>
        <v>101-E373</v>
      </c>
      <c r="Z194" s="188">
        <f t="shared" si="54"/>
        <v>0</v>
      </c>
      <c r="AA194" s="188">
        <f t="shared" si="55"/>
        <v>0</v>
      </c>
      <c r="AB194" s="188">
        <f t="shared" si="56"/>
        <v>0</v>
      </c>
      <c r="AC194" s="188">
        <f t="shared" si="57"/>
        <v>0</v>
      </c>
      <c r="AD194" s="188">
        <f t="shared" si="58"/>
        <v>0</v>
      </c>
      <c r="AE194" s="183">
        <f t="shared" si="59"/>
        <v>0</v>
      </c>
    </row>
    <row r="195" spans="1:31" x14ac:dyDescent="0.25">
      <c r="A195" s="185" t="s">
        <v>15</v>
      </c>
      <c r="B195" s="188" t="s">
        <v>379</v>
      </c>
      <c r="C195" s="188" t="s">
        <v>160</v>
      </c>
      <c r="D195" s="188" t="str">
        <f t="shared" si="42"/>
        <v>101-E391</v>
      </c>
      <c r="E195" s="188">
        <v>0</v>
      </c>
      <c r="F195" s="188">
        <v>1107312.8</v>
      </c>
      <c r="G195" s="188">
        <v>2013683.63</v>
      </c>
      <c r="H195" s="188">
        <v>5449831.7599999998</v>
      </c>
      <c r="I195" s="188">
        <v>0</v>
      </c>
      <c r="J195" s="183">
        <v>0</v>
      </c>
      <c r="L195" s="188" t="str">
        <f t="shared" si="43"/>
        <v>Grid Modernization</v>
      </c>
      <c r="M195" s="188" t="str">
        <f t="shared" si="44"/>
        <v>E3912 GEN Computer Eq, new</v>
      </c>
      <c r="N195" s="188" t="str">
        <f t="shared" si="40"/>
        <v>Programmatic</v>
      </c>
      <c r="O195" s="188" t="str">
        <f t="shared" si="45"/>
        <v>101-E391</v>
      </c>
      <c r="P195" s="188">
        <f t="shared" si="46"/>
        <v>0</v>
      </c>
      <c r="Q195" s="188">
        <f t="shared" si="47"/>
        <v>1107312.8</v>
      </c>
      <c r="R195" s="188">
        <f t="shared" si="48"/>
        <v>2013683.63</v>
      </c>
      <c r="S195" s="188">
        <f t="shared" si="49"/>
        <v>5449831.7599999998</v>
      </c>
      <c r="T195" s="188">
        <f t="shared" si="50"/>
        <v>0</v>
      </c>
      <c r="V195" s="188" t="str">
        <f t="shared" si="51"/>
        <v>Grid Modernization</v>
      </c>
      <c r="W195" s="188" t="str">
        <f t="shared" si="52"/>
        <v>E3912 GEN Computer Eq, new</v>
      </c>
      <c r="X195" s="188" t="str">
        <f t="shared" si="41"/>
        <v>Programmatic</v>
      </c>
      <c r="Y195" s="188" t="str">
        <f t="shared" si="53"/>
        <v>101-E391</v>
      </c>
      <c r="Z195" s="188">
        <f t="shared" si="54"/>
        <v>0</v>
      </c>
      <c r="AA195" s="188">
        <f t="shared" si="55"/>
        <v>0</v>
      </c>
      <c r="AB195" s="188">
        <f t="shared" si="56"/>
        <v>0</v>
      </c>
      <c r="AC195" s="188">
        <f t="shared" si="57"/>
        <v>0</v>
      </c>
      <c r="AD195" s="188">
        <f t="shared" si="58"/>
        <v>0</v>
      </c>
      <c r="AE195" s="183">
        <f t="shared" si="59"/>
        <v>0</v>
      </c>
    </row>
    <row r="196" spans="1:31" x14ac:dyDescent="0.25">
      <c r="A196" s="185" t="s">
        <v>15</v>
      </c>
      <c r="B196" s="188" t="s">
        <v>375</v>
      </c>
      <c r="C196" s="188" t="s">
        <v>160</v>
      </c>
      <c r="D196" s="188" t="str">
        <f t="shared" si="42"/>
        <v>101-E394</v>
      </c>
      <c r="E196" s="188">
        <v>0</v>
      </c>
      <c r="F196" s="188">
        <v>2766366.62</v>
      </c>
      <c r="G196" s="188">
        <v>3067866.62</v>
      </c>
      <c r="H196" s="188">
        <v>3453116.6</v>
      </c>
      <c r="I196" s="188">
        <v>0</v>
      </c>
      <c r="J196" s="183">
        <v>0</v>
      </c>
      <c r="L196" s="188" t="str">
        <f t="shared" si="43"/>
        <v>Grid Modernization</v>
      </c>
      <c r="M196" s="188" t="str">
        <f t="shared" si="44"/>
        <v>E3940 GEN Tools/Garage/Shop, new</v>
      </c>
      <c r="N196" s="188" t="str">
        <f t="shared" ref="N196:N259" si="60">C196</f>
        <v>Programmatic</v>
      </c>
      <c r="O196" s="188" t="str">
        <f t="shared" si="45"/>
        <v>101-E394</v>
      </c>
      <c r="P196" s="188">
        <f t="shared" si="46"/>
        <v>0</v>
      </c>
      <c r="Q196" s="188">
        <f t="shared" si="47"/>
        <v>2766366.62</v>
      </c>
      <c r="R196" s="188">
        <f t="shared" si="48"/>
        <v>3067866.62</v>
      </c>
      <c r="S196" s="188">
        <f t="shared" si="49"/>
        <v>3453116.6</v>
      </c>
      <c r="T196" s="188">
        <f t="shared" si="50"/>
        <v>0</v>
      </c>
      <c r="V196" s="188" t="str">
        <f t="shared" si="51"/>
        <v>Grid Modernization</v>
      </c>
      <c r="W196" s="188" t="str">
        <f t="shared" si="52"/>
        <v>E3940 GEN Tools/Garage/Shop, new</v>
      </c>
      <c r="X196" s="188" t="str">
        <f t="shared" ref="X196:X259" si="61">C196</f>
        <v>Programmatic</v>
      </c>
      <c r="Y196" s="188" t="str">
        <f t="shared" si="53"/>
        <v>101-E394</v>
      </c>
      <c r="Z196" s="188">
        <f t="shared" si="54"/>
        <v>0</v>
      </c>
      <c r="AA196" s="188">
        <f t="shared" si="55"/>
        <v>0</v>
      </c>
      <c r="AB196" s="188">
        <f t="shared" si="56"/>
        <v>0</v>
      </c>
      <c r="AC196" s="188">
        <f t="shared" si="57"/>
        <v>0</v>
      </c>
      <c r="AD196" s="188">
        <f t="shared" si="58"/>
        <v>0</v>
      </c>
      <c r="AE196" s="183">
        <f t="shared" si="59"/>
        <v>0</v>
      </c>
    </row>
    <row r="197" spans="1:31" x14ac:dyDescent="0.25">
      <c r="A197" s="188" t="s">
        <v>15</v>
      </c>
      <c r="B197" s="188" t="s">
        <v>372</v>
      </c>
      <c r="C197" s="188" t="s">
        <v>160</v>
      </c>
      <c r="D197" s="188" t="str">
        <f t="shared" ref="D197:D260" si="62">"101-"&amp; LEFT(B197,4)</f>
        <v>101-E397</v>
      </c>
      <c r="E197" s="188">
        <v>0</v>
      </c>
      <c r="F197" s="188">
        <v>2971455.58</v>
      </c>
      <c r="G197" s="188">
        <v>5077087.2</v>
      </c>
      <c r="H197" s="188">
        <v>10368492.42</v>
      </c>
      <c r="I197" s="188">
        <v>0</v>
      </c>
      <c r="J197" s="183">
        <v>0</v>
      </c>
      <c r="L197" s="188" t="str">
        <f t="shared" ref="L197:L260" si="63">A197</f>
        <v>Grid Modernization</v>
      </c>
      <c r="M197" s="188" t="str">
        <f t="shared" ref="M197:M260" si="64">B197</f>
        <v>E3970 GEN Comm Equip, new</v>
      </c>
      <c r="N197" s="188" t="str">
        <f t="shared" si="60"/>
        <v>Programmatic</v>
      </c>
      <c r="O197" s="188" t="str">
        <f t="shared" ref="O197:O260" si="65">D197</f>
        <v>101-E397</v>
      </c>
      <c r="P197" s="188">
        <f t="shared" ref="P197:P260" si="66">IF(MID($O197,5,1)="C",E197*$F$1,IF(MID($O197,5,1)="G",0,E197))</f>
        <v>0</v>
      </c>
      <c r="Q197" s="188">
        <f t="shared" ref="Q197:Q260" si="67">IF(MID($O197,5,1)="C",F197*$F$1,IF(MID($O197,5,1)="G",0,F197))</f>
        <v>2971455.58</v>
      </c>
      <c r="R197" s="188">
        <f t="shared" ref="R197:R260" si="68">IF(MID($O197,5,1)="C",G197*$F$1,IF(MID($O197,5,1)="G",0,G197))</f>
        <v>5077087.2</v>
      </c>
      <c r="S197" s="188">
        <f t="shared" ref="S197:S260" si="69">IF(MID($O197,5,1)="C",H197*$F$1,IF(MID($O197,5,1)="G",0,H197))</f>
        <v>10368492.42</v>
      </c>
      <c r="T197" s="188">
        <f t="shared" ref="T197:T260" si="70">IF(MID($O197,5,1)="C",I197*$F$1,IF(MID($O197,5,1)="G",0,I197))</f>
        <v>0</v>
      </c>
      <c r="V197" s="188" t="str">
        <f t="shared" ref="V197:V260" si="71">A197</f>
        <v>Grid Modernization</v>
      </c>
      <c r="W197" s="188" t="str">
        <f t="shared" ref="W197:W260" si="72">B197</f>
        <v>E3970 GEN Comm Equip, new</v>
      </c>
      <c r="X197" s="188" t="str">
        <f t="shared" si="61"/>
        <v>Programmatic</v>
      </c>
      <c r="Y197" s="188" t="str">
        <f t="shared" ref="Y197:Y260" si="73">D197</f>
        <v>101-E397</v>
      </c>
      <c r="Z197" s="188">
        <f t="shared" ref="Z197:Z260" si="74">IF(MID($O197,5,1)="C",E197*$D$1,IF(MID($O197,5,1)="E",0,E197))</f>
        <v>0</v>
      </c>
      <c r="AA197" s="188">
        <f t="shared" ref="AA197:AA260" si="75">IF(MID($O197,5,1)="C",F197*$D$1,IF(MID($O197,5,1)="E",0,F197))</f>
        <v>0</v>
      </c>
      <c r="AB197" s="188">
        <f t="shared" ref="AB197:AB260" si="76">IF(MID($O197,5,1)="C",G197*$D$1,IF(MID($O197,5,1)="E",0,G197))</f>
        <v>0</v>
      </c>
      <c r="AC197" s="188">
        <f t="shared" ref="AC197:AC260" si="77">IF(MID($O197,5,1)="C",H197*$D$1,IF(MID($O197,5,1)="E",0,H197))</f>
        <v>0</v>
      </c>
      <c r="AD197" s="188">
        <f t="shared" ref="AD197:AD260" si="78">IF(MID($O197,5,1)="C",I197*$D$1,IF(MID($O197,5,1)="E",0,I197))</f>
        <v>0</v>
      </c>
      <c r="AE197" s="183">
        <f t="shared" ref="AE197:AE260" si="79">SUM(E197:I197)-SUM(P197:T197)-SUM(Z197:AD197)</f>
        <v>0</v>
      </c>
    </row>
    <row r="198" spans="1:31" s="205" customFormat="1" x14ac:dyDescent="0.25">
      <c r="A198" s="188" t="s">
        <v>213</v>
      </c>
      <c r="B198" s="188" t="s">
        <v>321</v>
      </c>
      <c r="C198" s="188" t="s">
        <v>160</v>
      </c>
      <c r="D198" s="188" t="str">
        <f t="shared" si="62"/>
        <v>101-C303</v>
      </c>
      <c r="E198" s="188">
        <v>0</v>
      </c>
      <c r="F198" s="188">
        <v>126387.15</v>
      </c>
      <c r="G198" s="188">
        <v>126387.15</v>
      </c>
      <c r="H198" s="188">
        <v>126387.15</v>
      </c>
      <c r="I198" s="188">
        <v>0</v>
      </c>
      <c r="J198" s="183">
        <v>0</v>
      </c>
      <c r="L198" s="206" t="str">
        <f t="shared" si="63"/>
        <v>IT Operational Program - Common</v>
      </c>
      <c r="M198" s="206" t="str">
        <f t="shared" si="64"/>
        <v>C303.3 INT Misc Intangible Plant</v>
      </c>
      <c r="N198" s="188" t="str">
        <f t="shared" si="60"/>
        <v>Programmatic</v>
      </c>
      <c r="O198" s="206" t="str">
        <f t="shared" si="65"/>
        <v>101-C303</v>
      </c>
      <c r="P198" s="206">
        <f t="shared" si="66"/>
        <v>0</v>
      </c>
      <c r="Q198" s="206">
        <f t="shared" si="67"/>
        <v>83339.686709999994</v>
      </c>
      <c r="R198" s="206">
        <f t="shared" si="68"/>
        <v>83339.686709999994</v>
      </c>
      <c r="S198" s="206">
        <f t="shared" si="69"/>
        <v>83339.686709999994</v>
      </c>
      <c r="T198" s="206">
        <f t="shared" si="70"/>
        <v>0</v>
      </c>
      <c r="V198" s="206" t="str">
        <f t="shared" si="71"/>
        <v>IT Operational Program - Common</v>
      </c>
      <c r="W198" s="206" t="str">
        <f t="shared" si="72"/>
        <v>C303.3 INT Misc Intangible Plant</v>
      </c>
      <c r="X198" s="188" t="str">
        <f t="shared" si="61"/>
        <v>Programmatic</v>
      </c>
      <c r="Y198" s="206" t="str">
        <f t="shared" si="73"/>
        <v>101-C303</v>
      </c>
      <c r="Z198" s="206">
        <f t="shared" si="74"/>
        <v>0</v>
      </c>
      <c r="AA198" s="206">
        <f t="shared" si="75"/>
        <v>43047.46329</v>
      </c>
      <c r="AB198" s="206">
        <f t="shared" si="76"/>
        <v>43047.46329</v>
      </c>
      <c r="AC198" s="206">
        <f t="shared" si="77"/>
        <v>43047.46329</v>
      </c>
      <c r="AD198" s="206">
        <f t="shared" si="78"/>
        <v>0</v>
      </c>
      <c r="AE198" s="191">
        <f t="shared" si="79"/>
        <v>0</v>
      </c>
    </row>
    <row r="199" spans="1:31" s="205" customFormat="1" x14ac:dyDescent="0.25">
      <c r="A199" s="188" t="s">
        <v>213</v>
      </c>
      <c r="B199" s="188" t="s">
        <v>515</v>
      </c>
      <c r="C199" s="188" t="s">
        <v>160</v>
      </c>
      <c r="D199" s="188" t="str">
        <f t="shared" si="62"/>
        <v>101-C303</v>
      </c>
      <c r="E199" s="188">
        <v>0</v>
      </c>
      <c r="F199" s="188">
        <v>26949949.82</v>
      </c>
      <c r="G199" s="188">
        <v>42497674.340000004</v>
      </c>
      <c r="H199" s="188">
        <v>75223126.75</v>
      </c>
      <c r="I199" s="188">
        <v>0</v>
      </c>
      <c r="J199" s="183">
        <v>0</v>
      </c>
      <c r="L199" s="206" t="str">
        <f t="shared" si="63"/>
        <v>IT Operational Program - Common</v>
      </c>
      <c r="M199" s="206" t="str">
        <f t="shared" si="64"/>
        <v>C303.5 INT Misc Intangible Plant</v>
      </c>
      <c r="N199" s="188" t="str">
        <f t="shared" si="60"/>
        <v>Programmatic</v>
      </c>
      <c r="O199" s="206" t="str">
        <f t="shared" si="65"/>
        <v>101-C303</v>
      </c>
      <c r="P199" s="206">
        <f t="shared" si="66"/>
        <v>0</v>
      </c>
      <c r="Q199" s="206">
        <f t="shared" si="67"/>
        <v>17770796.911307998</v>
      </c>
      <c r="R199" s="206">
        <f t="shared" si="68"/>
        <v>28022966.459796</v>
      </c>
      <c r="S199" s="206">
        <f t="shared" si="69"/>
        <v>49602129.778949998</v>
      </c>
      <c r="T199" s="206">
        <f t="shared" si="70"/>
        <v>0</v>
      </c>
      <c r="V199" s="206" t="str">
        <f t="shared" si="71"/>
        <v>IT Operational Program - Common</v>
      </c>
      <c r="W199" s="206" t="str">
        <f t="shared" si="72"/>
        <v>C303.5 INT Misc Intangible Plant</v>
      </c>
      <c r="X199" s="188" t="str">
        <f t="shared" si="61"/>
        <v>Programmatic</v>
      </c>
      <c r="Y199" s="206" t="str">
        <f t="shared" si="73"/>
        <v>101-C303</v>
      </c>
      <c r="Z199" s="206">
        <f t="shared" si="74"/>
        <v>0</v>
      </c>
      <c r="AA199" s="206">
        <f t="shared" si="75"/>
        <v>9179152.9086920004</v>
      </c>
      <c r="AB199" s="206">
        <f t="shared" si="76"/>
        <v>14474707.880204001</v>
      </c>
      <c r="AC199" s="206">
        <f t="shared" si="77"/>
        <v>25620996.971050002</v>
      </c>
      <c r="AD199" s="206">
        <f t="shared" si="78"/>
        <v>0</v>
      </c>
      <c r="AE199" s="191">
        <f t="shared" si="79"/>
        <v>0</v>
      </c>
    </row>
    <row r="200" spans="1:31" s="205" customFormat="1" x14ac:dyDescent="0.25">
      <c r="A200" s="188" t="s">
        <v>213</v>
      </c>
      <c r="B200" s="188" t="s">
        <v>320</v>
      </c>
      <c r="C200" s="188" t="s">
        <v>160</v>
      </c>
      <c r="D200" s="188" t="str">
        <f t="shared" si="62"/>
        <v>101-C391</v>
      </c>
      <c r="E200" s="188">
        <v>0</v>
      </c>
      <c r="F200" s="188">
        <v>1703784.4</v>
      </c>
      <c r="G200" s="188">
        <v>1703784.4</v>
      </c>
      <c r="H200" s="188">
        <v>1703784.4</v>
      </c>
      <c r="I200" s="188">
        <v>0</v>
      </c>
      <c r="J200" s="183">
        <v>0</v>
      </c>
      <c r="L200" s="206" t="str">
        <f t="shared" si="63"/>
        <v>IT Operational Program - Common</v>
      </c>
      <c r="M200" s="206" t="str">
        <f t="shared" si="64"/>
        <v>C3912 CMN Computer Eq, new</v>
      </c>
      <c r="N200" s="188" t="str">
        <f t="shared" si="60"/>
        <v>Programmatic</v>
      </c>
      <c r="O200" s="206" t="str">
        <f t="shared" si="65"/>
        <v>101-C391</v>
      </c>
      <c r="P200" s="206">
        <f t="shared" si="66"/>
        <v>0</v>
      </c>
      <c r="Q200" s="206">
        <f t="shared" si="67"/>
        <v>1123475.4333599999</v>
      </c>
      <c r="R200" s="206">
        <f t="shared" si="68"/>
        <v>1123475.4333599999</v>
      </c>
      <c r="S200" s="206">
        <f t="shared" si="69"/>
        <v>1123475.4333599999</v>
      </c>
      <c r="T200" s="206">
        <f t="shared" si="70"/>
        <v>0</v>
      </c>
      <c r="V200" s="206" t="str">
        <f t="shared" si="71"/>
        <v>IT Operational Program - Common</v>
      </c>
      <c r="W200" s="206" t="str">
        <f t="shared" si="72"/>
        <v>C3912 CMN Computer Eq, new</v>
      </c>
      <c r="X200" s="188" t="str">
        <f t="shared" si="61"/>
        <v>Programmatic</v>
      </c>
      <c r="Y200" s="206" t="str">
        <f t="shared" si="73"/>
        <v>101-C391</v>
      </c>
      <c r="Z200" s="206">
        <f t="shared" si="74"/>
        <v>0</v>
      </c>
      <c r="AA200" s="206">
        <f t="shared" si="75"/>
        <v>580308.96664</v>
      </c>
      <c r="AB200" s="206">
        <f t="shared" si="76"/>
        <v>580308.96664</v>
      </c>
      <c r="AC200" s="206">
        <f t="shared" si="77"/>
        <v>580308.96664</v>
      </c>
      <c r="AD200" s="206">
        <f t="shared" si="78"/>
        <v>0</v>
      </c>
      <c r="AE200" s="191">
        <f t="shared" si="79"/>
        <v>0</v>
      </c>
    </row>
    <row r="201" spans="1:31" x14ac:dyDescent="0.25">
      <c r="A201" s="188" t="s">
        <v>18</v>
      </c>
      <c r="B201" s="188" t="s">
        <v>474</v>
      </c>
      <c r="C201" s="188" t="s">
        <v>173</v>
      </c>
      <c r="D201" s="188" t="str">
        <f t="shared" si="62"/>
        <v>101-E332</v>
      </c>
      <c r="E201" s="188">
        <v>0</v>
      </c>
      <c r="F201" s="188">
        <v>0</v>
      </c>
      <c r="G201" s="188">
        <v>0</v>
      </c>
      <c r="H201" s="188">
        <v>0</v>
      </c>
      <c r="I201" s="188">
        <v>0</v>
      </c>
      <c r="J201" s="183">
        <v>0</v>
      </c>
      <c r="L201" s="188" t="str">
        <f t="shared" si="63"/>
        <v>Lower Baker Dam Grouting Program</v>
      </c>
      <c r="M201" s="188" t="str">
        <f t="shared" si="64"/>
        <v>E332 HYD Res/Dam/Wwy, Upper Baker</v>
      </c>
      <c r="N201" s="188" t="str">
        <f t="shared" si="60"/>
        <v>Specific</v>
      </c>
      <c r="O201" s="188" t="str">
        <f t="shared" si="65"/>
        <v>101-E332</v>
      </c>
      <c r="P201" s="188">
        <f t="shared" si="66"/>
        <v>0</v>
      </c>
      <c r="Q201" s="188">
        <f t="shared" si="67"/>
        <v>0</v>
      </c>
      <c r="R201" s="188">
        <f t="shared" si="68"/>
        <v>0</v>
      </c>
      <c r="S201" s="188">
        <f t="shared" si="69"/>
        <v>0</v>
      </c>
      <c r="T201" s="188">
        <f t="shared" si="70"/>
        <v>0</v>
      </c>
      <c r="V201" s="188" t="str">
        <f t="shared" si="71"/>
        <v>Lower Baker Dam Grouting Program</v>
      </c>
      <c r="W201" s="188" t="str">
        <f t="shared" si="72"/>
        <v>E332 HYD Res/Dam/Wwy, Upper Baker</v>
      </c>
      <c r="X201" s="188" t="str">
        <f t="shared" si="61"/>
        <v>Specific</v>
      </c>
      <c r="Y201" s="188" t="str">
        <f t="shared" si="73"/>
        <v>101-E332</v>
      </c>
      <c r="Z201" s="188">
        <f t="shared" si="74"/>
        <v>0</v>
      </c>
      <c r="AA201" s="188">
        <f t="shared" si="75"/>
        <v>0</v>
      </c>
      <c r="AB201" s="188">
        <f t="shared" si="76"/>
        <v>0</v>
      </c>
      <c r="AC201" s="188">
        <f t="shared" si="77"/>
        <v>0</v>
      </c>
      <c r="AD201" s="188">
        <f t="shared" si="78"/>
        <v>0</v>
      </c>
      <c r="AE201" s="183">
        <f t="shared" si="79"/>
        <v>0</v>
      </c>
    </row>
    <row r="202" spans="1:31" x14ac:dyDescent="0.25">
      <c r="A202" s="188" t="s">
        <v>19</v>
      </c>
      <c r="B202" s="188" t="s">
        <v>411</v>
      </c>
      <c r="C202" s="188" t="s">
        <v>160</v>
      </c>
      <c r="D202" s="188" t="str">
        <f t="shared" si="62"/>
        <v>101-E350</v>
      </c>
      <c r="E202" s="188">
        <v>0</v>
      </c>
      <c r="F202" s="188">
        <v>259178</v>
      </c>
      <c r="G202" s="188">
        <v>259178</v>
      </c>
      <c r="H202" s="188">
        <v>259178</v>
      </c>
      <c r="I202" s="188">
        <v>0</v>
      </c>
      <c r="J202" s="183">
        <v>0</v>
      </c>
      <c r="L202" s="188" t="str">
        <f t="shared" si="63"/>
        <v>Major Projects Electric</v>
      </c>
      <c r="M202" s="188" t="str">
        <f t="shared" si="64"/>
        <v>E35010 TSM Easement</v>
      </c>
      <c r="N202" s="188" t="str">
        <f t="shared" si="60"/>
        <v>Programmatic</v>
      </c>
      <c r="O202" s="188" t="str">
        <f t="shared" si="65"/>
        <v>101-E350</v>
      </c>
      <c r="P202" s="188">
        <f t="shared" si="66"/>
        <v>0</v>
      </c>
      <c r="Q202" s="188">
        <f t="shared" si="67"/>
        <v>259178</v>
      </c>
      <c r="R202" s="188">
        <f t="shared" si="68"/>
        <v>259178</v>
      </c>
      <c r="S202" s="188">
        <f t="shared" si="69"/>
        <v>259178</v>
      </c>
      <c r="T202" s="188">
        <f t="shared" si="70"/>
        <v>0</v>
      </c>
      <c r="V202" s="188" t="str">
        <f t="shared" si="71"/>
        <v>Major Projects Electric</v>
      </c>
      <c r="W202" s="188" t="str">
        <f t="shared" si="72"/>
        <v>E35010 TSM Easement</v>
      </c>
      <c r="X202" s="188" t="str">
        <f t="shared" si="61"/>
        <v>Programmatic</v>
      </c>
      <c r="Y202" s="188" t="str">
        <f t="shared" si="73"/>
        <v>101-E350</v>
      </c>
      <c r="Z202" s="188">
        <f t="shared" si="74"/>
        <v>0</v>
      </c>
      <c r="AA202" s="188">
        <f t="shared" si="75"/>
        <v>0</v>
      </c>
      <c r="AB202" s="188">
        <f t="shared" si="76"/>
        <v>0</v>
      </c>
      <c r="AC202" s="188">
        <f t="shared" si="77"/>
        <v>0</v>
      </c>
      <c r="AD202" s="188">
        <f t="shared" si="78"/>
        <v>0</v>
      </c>
      <c r="AE202" s="183">
        <f t="shared" si="79"/>
        <v>0</v>
      </c>
    </row>
    <row r="203" spans="1:31" x14ac:dyDescent="0.25">
      <c r="A203" s="188" t="s">
        <v>19</v>
      </c>
      <c r="B203" s="188" t="s">
        <v>410</v>
      </c>
      <c r="C203" s="188" t="s">
        <v>160</v>
      </c>
      <c r="D203" s="188" t="str">
        <f t="shared" si="62"/>
        <v>101-E350</v>
      </c>
      <c r="E203" s="188">
        <v>0</v>
      </c>
      <c r="F203" s="188">
        <v>171062.49</v>
      </c>
      <c r="G203" s="188">
        <v>171062.49</v>
      </c>
      <c r="H203" s="188">
        <v>171062.49</v>
      </c>
      <c r="I203" s="188">
        <v>0</v>
      </c>
      <c r="J203" s="183">
        <v>0</v>
      </c>
      <c r="L203" s="188" t="str">
        <f t="shared" si="63"/>
        <v>Major Projects Electric</v>
      </c>
      <c r="M203" s="188" t="str">
        <f t="shared" si="64"/>
        <v>E35016 TSM Easements</v>
      </c>
      <c r="N203" s="188" t="str">
        <f t="shared" si="60"/>
        <v>Programmatic</v>
      </c>
      <c r="O203" s="188" t="str">
        <f t="shared" si="65"/>
        <v>101-E350</v>
      </c>
      <c r="P203" s="188">
        <f t="shared" si="66"/>
        <v>0</v>
      </c>
      <c r="Q203" s="188">
        <f t="shared" si="67"/>
        <v>171062.49</v>
      </c>
      <c r="R203" s="188">
        <f t="shared" si="68"/>
        <v>171062.49</v>
      </c>
      <c r="S203" s="188">
        <f t="shared" si="69"/>
        <v>171062.49</v>
      </c>
      <c r="T203" s="188">
        <f t="shared" si="70"/>
        <v>0</v>
      </c>
      <c r="V203" s="188" t="str">
        <f t="shared" si="71"/>
        <v>Major Projects Electric</v>
      </c>
      <c r="W203" s="188" t="str">
        <f t="shared" si="72"/>
        <v>E35016 TSM Easements</v>
      </c>
      <c r="X203" s="188" t="str">
        <f t="shared" si="61"/>
        <v>Programmatic</v>
      </c>
      <c r="Y203" s="188" t="str">
        <f t="shared" si="73"/>
        <v>101-E350</v>
      </c>
      <c r="Z203" s="188">
        <f t="shared" si="74"/>
        <v>0</v>
      </c>
      <c r="AA203" s="188">
        <f t="shared" si="75"/>
        <v>0</v>
      </c>
      <c r="AB203" s="188">
        <f t="shared" si="76"/>
        <v>0</v>
      </c>
      <c r="AC203" s="188">
        <f t="shared" si="77"/>
        <v>0</v>
      </c>
      <c r="AD203" s="188">
        <f t="shared" si="78"/>
        <v>0</v>
      </c>
      <c r="AE203" s="183">
        <f t="shared" si="79"/>
        <v>0</v>
      </c>
    </row>
    <row r="204" spans="1:31" x14ac:dyDescent="0.25">
      <c r="A204" s="188" t="s">
        <v>19</v>
      </c>
      <c r="B204" s="188" t="s">
        <v>405</v>
      </c>
      <c r="C204" s="188" t="s">
        <v>160</v>
      </c>
      <c r="D204" s="188" t="str">
        <f t="shared" si="62"/>
        <v>101-E353</v>
      </c>
      <c r="E204" s="188">
        <v>0</v>
      </c>
      <c r="F204" s="188">
        <v>0</v>
      </c>
      <c r="G204" s="188">
        <v>12230.2</v>
      </c>
      <c r="H204" s="188">
        <v>293524.86</v>
      </c>
      <c r="I204" s="188">
        <v>0</v>
      </c>
      <c r="J204" s="183">
        <v>0</v>
      </c>
      <c r="L204" s="188" t="str">
        <f t="shared" si="63"/>
        <v>Major Projects Electric</v>
      </c>
      <c r="M204" s="188" t="str">
        <f t="shared" si="64"/>
        <v>E353 TSM Station Equipment</v>
      </c>
      <c r="N204" s="188" t="str">
        <f t="shared" si="60"/>
        <v>Programmatic</v>
      </c>
      <c r="O204" s="188" t="str">
        <f t="shared" si="65"/>
        <v>101-E353</v>
      </c>
      <c r="P204" s="188">
        <f t="shared" si="66"/>
        <v>0</v>
      </c>
      <c r="Q204" s="188">
        <f t="shared" si="67"/>
        <v>0</v>
      </c>
      <c r="R204" s="188">
        <f t="shared" si="68"/>
        <v>12230.2</v>
      </c>
      <c r="S204" s="188">
        <f t="shared" si="69"/>
        <v>293524.86</v>
      </c>
      <c r="T204" s="188">
        <f t="shared" si="70"/>
        <v>0</v>
      </c>
      <c r="V204" s="188" t="str">
        <f t="shared" si="71"/>
        <v>Major Projects Electric</v>
      </c>
      <c r="W204" s="188" t="str">
        <f t="shared" si="72"/>
        <v>E353 TSM Station Equipment</v>
      </c>
      <c r="X204" s="188" t="str">
        <f t="shared" si="61"/>
        <v>Programmatic</v>
      </c>
      <c r="Y204" s="188" t="str">
        <f t="shared" si="73"/>
        <v>101-E353</v>
      </c>
      <c r="Z204" s="188">
        <f t="shared" si="74"/>
        <v>0</v>
      </c>
      <c r="AA204" s="188">
        <f t="shared" si="75"/>
        <v>0</v>
      </c>
      <c r="AB204" s="188">
        <f t="shared" si="76"/>
        <v>0</v>
      </c>
      <c r="AC204" s="188">
        <f t="shared" si="77"/>
        <v>0</v>
      </c>
      <c r="AD204" s="188">
        <f t="shared" si="78"/>
        <v>0</v>
      </c>
      <c r="AE204" s="183">
        <f t="shared" si="79"/>
        <v>0</v>
      </c>
    </row>
    <row r="205" spans="1:31" x14ac:dyDescent="0.25">
      <c r="A205" s="188" t="s">
        <v>19</v>
      </c>
      <c r="B205" s="188" t="s">
        <v>322</v>
      </c>
      <c r="C205" s="188" t="s">
        <v>160</v>
      </c>
      <c r="D205" s="188" t="str">
        <f t="shared" si="62"/>
        <v>101-E353</v>
      </c>
      <c r="E205" s="188">
        <v>0</v>
      </c>
      <c r="F205" s="188">
        <v>3827404.56</v>
      </c>
      <c r="G205" s="188">
        <v>4399615.91</v>
      </c>
      <c r="H205" s="188">
        <v>5016708.57</v>
      </c>
      <c r="I205" s="188">
        <v>0</v>
      </c>
      <c r="J205" s="183">
        <v>0</v>
      </c>
      <c r="L205" s="188" t="str">
        <f t="shared" si="63"/>
        <v>Major Projects Electric</v>
      </c>
      <c r="M205" s="188" t="str">
        <f t="shared" si="64"/>
        <v>E3536 TSM Substation Equipment</v>
      </c>
      <c r="N205" s="188" t="str">
        <f t="shared" si="60"/>
        <v>Programmatic</v>
      </c>
      <c r="O205" s="188" t="str">
        <f t="shared" si="65"/>
        <v>101-E353</v>
      </c>
      <c r="P205" s="188">
        <f t="shared" si="66"/>
        <v>0</v>
      </c>
      <c r="Q205" s="188">
        <f t="shared" si="67"/>
        <v>3827404.56</v>
      </c>
      <c r="R205" s="188">
        <f t="shared" si="68"/>
        <v>4399615.91</v>
      </c>
      <c r="S205" s="188">
        <f t="shared" si="69"/>
        <v>5016708.57</v>
      </c>
      <c r="T205" s="188">
        <f t="shared" si="70"/>
        <v>0</v>
      </c>
      <c r="V205" s="188" t="str">
        <f t="shared" si="71"/>
        <v>Major Projects Electric</v>
      </c>
      <c r="W205" s="188" t="str">
        <f t="shared" si="72"/>
        <v>E3536 TSM Substation Equipment</v>
      </c>
      <c r="X205" s="188" t="str">
        <f t="shared" si="61"/>
        <v>Programmatic</v>
      </c>
      <c r="Y205" s="188" t="str">
        <f t="shared" si="73"/>
        <v>101-E353</v>
      </c>
      <c r="Z205" s="188">
        <f t="shared" si="74"/>
        <v>0</v>
      </c>
      <c r="AA205" s="188">
        <f t="shared" si="75"/>
        <v>0</v>
      </c>
      <c r="AB205" s="188">
        <f t="shared" si="76"/>
        <v>0</v>
      </c>
      <c r="AC205" s="188">
        <f t="shared" si="77"/>
        <v>0</v>
      </c>
      <c r="AD205" s="188">
        <f t="shared" si="78"/>
        <v>0</v>
      </c>
      <c r="AE205" s="183">
        <f t="shared" si="79"/>
        <v>0</v>
      </c>
    </row>
    <row r="206" spans="1:31" x14ac:dyDescent="0.25">
      <c r="A206" s="188" t="s">
        <v>19</v>
      </c>
      <c r="B206" s="188" t="s">
        <v>324</v>
      </c>
      <c r="C206" s="188" t="s">
        <v>160</v>
      </c>
      <c r="D206" s="188" t="str">
        <f t="shared" si="62"/>
        <v>101-E355</v>
      </c>
      <c r="E206" s="188">
        <v>0</v>
      </c>
      <c r="F206" s="188">
        <v>9168996.5999999996</v>
      </c>
      <c r="G206" s="188">
        <v>10102625.560000001</v>
      </c>
      <c r="H206" s="188">
        <v>12289061.189999999</v>
      </c>
      <c r="I206" s="188">
        <v>0</v>
      </c>
      <c r="J206" s="183">
        <v>0</v>
      </c>
      <c r="L206" s="188" t="str">
        <f t="shared" si="63"/>
        <v>Major Projects Electric</v>
      </c>
      <c r="M206" s="188" t="str">
        <f t="shared" si="64"/>
        <v>E3556 TSM Poles</v>
      </c>
      <c r="N206" s="188" t="str">
        <f t="shared" si="60"/>
        <v>Programmatic</v>
      </c>
      <c r="O206" s="188" t="str">
        <f t="shared" si="65"/>
        <v>101-E355</v>
      </c>
      <c r="P206" s="188">
        <f t="shared" si="66"/>
        <v>0</v>
      </c>
      <c r="Q206" s="188">
        <f t="shared" si="67"/>
        <v>9168996.5999999996</v>
      </c>
      <c r="R206" s="188">
        <f t="shared" si="68"/>
        <v>10102625.560000001</v>
      </c>
      <c r="S206" s="188">
        <f t="shared" si="69"/>
        <v>12289061.189999999</v>
      </c>
      <c r="T206" s="188">
        <f t="shared" si="70"/>
        <v>0</v>
      </c>
      <c r="V206" s="188" t="str">
        <f t="shared" si="71"/>
        <v>Major Projects Electric</v>
      </c>
      <c r="W206" s="188" t="str">
        <f t="shared" si="72"/>
        <v>E3556 TSM Poles</v>
      </c>
      <c r="X206" s="188" t="str">
        <f t="shared" si="61"/>
        <v>Programmatic</v>
      </c>
      <c r="Y206" s="188" t="str">
        <f t="shared" si="73"/>
        <v>101-E355</v>
      </c>
      <c r="Z206" s="188">
        <f t="shared" si="74"/>
        <v>0</v>
      </c>
      <c r="AA206" s="188">
        <f t="shared" si="75"/>
        <v>0</v>
      </c>
      <c r="AB206" s="188">
        <f t="shared" si="76"/>
        <v>0</v>
      </c>
      <c r="AC206" s="188">
        <f t="shared" si="77"/>
        <v>0</v>
      </c>
      <c r="AD206" s="188">
        <f t="shared" si="78"/>
        <v>0</v>
      </c>
      <c r="AE206" s="183">
        <f t="shared" si="79"/>
        <v>0</v>
      </c>
    </row>
    <row r="207" spans="1:31" x14ac:dyDescent="0.25">
      <c r="A207" s="188" t="s">
        <v>19</v>
      </c>
      <c r="B207" s="188" t="s">
        <v>395</v>
      </c>
      <c r="C207" s="188" t="s">
        <v>160</v>
      </c>
      <c r="D207" s="188" t="str">
        <f t="shared" si="62"/>
        <v>101-E356</v>
      </c>
      <c r="E207" s="188">
        <v>0</v>
      </c>
      <c r="F207" s="188">
        <v>2307474.86</v>
      </c>
      <c r="G207" s="188">
        <v>2565584.9900000002</v>
      </c>
      <c r="H207" s="188">
        <v>3733344.58</v>
      </c>
      <c r="I207" s="188">
        <v>0</v>
      </c>
      <c r="J207" s="183">
        <v>0</v>
      </c>
      <c r="L207" s="188" t="str">
        <f t="shared" si="63"/>
        <v>Major Projects Electric</v>
      </c>
      <c r="M207" s="188" t="str">
        <f t="shared" si="64"/>
        <v>E3566 TSM O/H Conductor/Devices</v>
      </c>
      <c r="N207" s="188" t="str">
        <f t="shared" si="60"/>
        <v>Programmatic</v>
      </c>
      <c r="O207" s="188" t="str">
        <f t="shared" si="65"/>
        <v>101-E356</v>
      </c>
      <c r="P207" s="188">
        <f t="shared" si="66"/>
        <v>0</v>
      </c>
      <c r="Q207" s="188">
        <f t="shared" si="67"/>
        <v>2307474.86</v>
      </c>
      <c r="R207" s="188">
        <f t="shared" si="68"/>
        <v>2565584.9900000002</v>
      </c>
      <c r="S207" s="188">
        <f t="shared" si="69"/>
        <v>3733344.58</v>
      </c>
      <c r="T207" s="188">
        <f t="shared" si="70"/>
        <v>0</v>
      </c>
      <c r="V207" s="188" t="str">
        <f t="shared" si="71"/>
        <v>Major Projects Electric</v>
      </c>
      <c r="W207" s="188" t="str">
        <f t="shared" si="72"/>
        <v>E3566 TSM O/H Conductor/Devices</v>
      </c>
      <c r="X207" s="188" t="str">
        <f t="shared" si="61"/>
        <v>Programmatic</v>
      </c>
      <c r="Y207" s="188" t="str">
        <f t="shared" si="73"/>
        <v>101-E356</v>
      </c>
      <c r="Z207" s="188">
        <f t="shared" si="74"/>
        <v>0</v>
      </c>
      <c r="AA207" s="188">
        <f t="shared" si="75"/>
        <v>0</v>
      </c>
      <c r="AB207" s="188">
        <f t="shared" si="76"/>
        <v>0</v>
      </c>
      <c r="AC207" s="188">
        <f t="shared" si="77"/>
        <v>0</v>
      </c>
      <c r="AD207" s="188">
        <f t="shared" si="78"/>
        <v>0</v>
      </c>
      <c r="AE207" s="183">
        <f t="shared" si="79"/>
        <v>0</v>
      </c>
    </row>
    <row r="208" spans="1:31" x14ac:dyDescent="0.25">
      <c r="A208" s="188" t="s">
        <v>19</v>
      </c>
      <c r="B208" s="188" t="s">
        <v>389</v>
      </c>
      <c r="C208" s="188" t="s">
        <v>160</v>
      </c>
      <c r="D208" s="188" t="str">
        <f t="shared" si="62"/>
        <v>101-E360</v>
      </c>
      <c r="E208" s="188">
        <v>0</v>
      </c>
      <c r="F208" s="188">
        <v>0</v>
      </c>
      <c r="G208" s="188">
        <v>331629.33</v>
      </c>
      <c r="H208" s="188">
        <v>8029810.4199999999</v>
      </c>
      <c r="I208" s="188">
        <v>0</v>
      </c>
      <c r="J208" s="183">
        <v>0</v>
      </c>
      <c r="L208" s="188" t="str">
        <f t="shared" si="63"/>
        <v>Major Projects Electric</v>
      </c>
      <c r="M208" s="188" t="str">
        <f t="shared" si="64"/>
        <v>E3600 DST Land &amp; Land Rights</v>
      </c>
      <c r="N208" s="188" t="str">
        <f t="shared" si="60"/>
        <v>Programmatic</v>
      </c>
      <c r="O208" s="188" t="str">
        <f t="shared" si="65"/>
        <v>101-E360</v>
      </c>
      <c r="P208" s="188">
        <f t="shared" si="66"/>
        <v>0</v>
      </c>
      <c r="Q208" s="188">
        <f t="shared" si="67"/>
        <v>0</v>
      </c>
      <c r="R208" s="188">
        <f t="shared" si="68"/>
        <v>331629.33</v>
      </c>
      <c r="S208" s="188">
        <f t="shared" si="69"/>
        <v>8029810.4199999999</v>
      </c>
      <c r="T208" s="188">
        <f t="shared" si="70"/>
        <v>0</v>
      </c>
      <c r="V208" s="188" t="str">
        <f t="shared" si="71"/>
        <v>Major Projects Electric</v>
      </c>
      <c r="W208" s="188" t="str">
        <f t="shared" si="72"/>
        <v>E3600 DST Land &amp; Land Rights</v>
      </c>
      <c r="X208" s="188" t="str">
        <f t="shared" si="61"/>
        <v>Programmatic</v>
      </c>
      <c r="Y208" s="188" t="str">
        <f t="shared" si="73"/>
        <v>101-E360</v>
      </c>
      <c r="Z208" s="188">
        <f t="shared" si="74"/>
        <v>0</v>
      </c>
      <c r="AA208" s="188">
        <f t="shared" si="75"/>
        <v>0</v>
      </c>
      <c r="AB208" s="188">
        <f t="shared" si="76"/>
        <v>0</v>
      </c>
      <c r="AC208" s="188">
        <f t="shared" si="77"/>
        <v>0</v>
      </c>
      <c r="AD208" s="188">
        <f t="shared" si="78"/>
        <v>0</v>
      </c>
      <c r="AE208" s="183">
        <f t="shared" si="79"/>
        <v>0</v>
      </c>
    </row>
    <row r="209" spans="1:31" x14ac:dyDescent="0.25">
      <c r="A209" s="188" t="s">
        <v>19</v>
      </c>
      <c r="B209" s="188" t="s">
        <v>388</v>
      </c>
      <c r="C209" s="188" t="s">
        <v>160</v>
      </c>
      <c r="D209" s="188" t="str">
        <f t="shared" si="62"/>
        <v>101-E362</v>
      </c>
      <c r="E209" s="188">
        <v>0</v>
      </c>
      <c r="F209" s="188">
        <v>79104.45</v>
      </c>
      <c r="G209" s="188">
        <v>92989.36</v>
      </c>
      <c r="H209" s="188">
        <v>450002</v>
      </c>
      <c r="I209" s="188">
        <v>0</v>
      </c>
      <c r="J209" s="183">
        <v>0</v>
      </c>
      <c r="L209" s="188" t="str">
        <f t="shared" si="63"/>
        <v>Major Projects Electric</v>
      </c>
      <c r="M209" s="188" t="str">
        <f t="shared" si="64"/>
        <v>E3620 DST Substation Equipment</v>
      </c>
      <c r="N209" s="188" t="str">
        <f t="shared" si="60"/>
        <v>Programmatic</v>
      </c>
      <c r="O209" s="188" t="str">
        <f t="shared" si="65"/>
        <v>101-E362</v>
      </c>
      <c r="P209" s="188">
        <f t="shared" si="66"/>
        <v>0</v>
      </c>
      <c r="Q209" s="188">
        <f t="shared" si="67"/>
        <v>79104.45</v>
      </c>
      <c r="R209" s="188">
        <f t="shared" si="68"/>
        <v>92989.36</v>
      </c>
      <c r="S209" s="188">
        <f t="shared" si="69"/>
        <v>450002</v>
      </c>
      <c r="T209" s="188">
        <f t="shared" si="70"/>
        <v>0</v>
      </c>
      <c r="V209" s="188" t="str">
        <f t="shared" si="71"/>
        <v>Major Projects Electric</v>
      </c>
      <c r="W209" s="188" t="str">
        <f t="shared" si="72"/>
        <v>E3620 DST Substation Equipment</v>
      </c>
      <c r="X209" s="188" t="str">
        <f t="shared" si="61"/>
        <v>Programmatic</v>
      </c>
      <c r="Y209" s="188" t="str">
        <f t="shared" si="73"/>
        <v>101-E362</v>
      </c>
      <c r="Z209" s="188">
        <f t="shared" si="74"/>
        <v>0</v>
      </c>
      <c r="AA209" s="188">
        <f t="shared" si="75"/>
        <v>0</v>
      </c>
      <c r="AB209" s="188">
        <f t="shared" si="76"/>
        <v>0</v>
      </c>
      <c r="AC209" s="188">
        <f t="shared" si="77"/>
        <v>0</v>
      </c>
      <c r="AD209" s="188">
        <f t="shared" si="78"/>
        <v>0</v>
      </c>
      <c r="AE209" s="183">
        <f t="shared" si="79"/>
        <v>0</v>
      </c>
    </row>
    <row r="210" spans="1:31" x14ac:dyDescent="0.25">
      <c r="A210" s="188" t="s">
        <v>19</v>
      </c>
      <c r="B210" s="188" t="s">
        <v>318</v>
      </c>
      <c r="C210" s="188" t="s">
        <v>160</v>
      </c>
      <c r="D210" s="188" t="str">
        <f t="shared" si="62"/>
        <v>101-E364</v>
      </c>
      <c r="E210" s="188">
        <v>0</v>
      </c>
      <c r="F210" s="188">
        <v>582046.48</v>
      </c>
      <c r="G210" s="188">
        <v>592712.07999999996</v>
      </c>
      <c r="H210" s="188">
        <v>604285.96</v>
      </c>
      <c r="I210" s="188">
        <v>0</v>
      </c>
      <c r="J210" s="183">
        <v>0</v>
      </c>
      <c r="L210" s="188" t="str">
        <f t="shared" si="63"/>
        <v>Major Projects Electric</v>
      </c>
      <c r="M210" s="188" t="str">
        <f t="shared" si="64"/>
        <v>E3640 DST Poles/Towers/Fixtures</v>
      </c>
      <c r="N210" s="188" t="str">
        <f t="shared" si="60"/>
        <v>Programmatic</v>
      </c>
      <c r="O210" s="188" t="str">
        <f t="shared" si="65"/>
        <v>101-E364</v>
      </c>
      <c r="P210" s="188">
        <f t="shared" si="66"/>
        <v>0</v>
      </c>
      <c r="Q210" s="188">
        <f t="shared" si="67"/>
        <v>582046.48</v>
      </c>
      <c r="R210" s="188">
        <f t="shared" si="68"/>
        <v>592712.07999999996</v>
      </c>
      <c r="S210" s="188">
        <f t="shared" si="69"/>
        <v>604285.96</v>
      </c>
      <c r="T210" s="188">
        <f t="shared" si="70"/>
        <v>0</v>
      </c>
      <c r="V210" s="188" t="str">
        <f t="shared" si="71"/>
        <v>Major Projects Electric</v>
      </c>
      <c r="W210" s="188" t="str">
        <f t="shared" si="72"/>
        <v>E3640 DST Poles/Towers/Fixtures</v>
      </c>
      <c r="X210" s="188" t="str">
        <f t="shared" si="61"/>
        <v>Programmatic</v>
      </c>
      <c r="Y210" s="188" t="str">
        <f t="shared" si="73"/>
        <v>101-E364</v>
      </c>
      <c r="Z210" s="188">
        <f t="shared" si="74"/>
        <v>0</v>
      </c>
      <c r="AA210" s="188">
        <f t="shared" si="75"/>
        <v>0</v>
      </c>
      <c r="AB210" s="188">
        <f t="shared" si="76"/>
        <v>0</v>
      </c>
      <c r="AC210" s="188">
        <f t="shared" si="77"/>
        <v>0</v>
      </c>
      <c r="AD210" s="188">
        <f t="shared" si="78"/>
        <v>0</v>
      </c>
      <c r="AE210" s="183">
        <f t="shared" si="79"/>
        <v>0</v>
      </c>
    </row>
    <row r="211" spans="1:31" x14ac:dyDescent="0.25">
      <c r="A211" s="188" t="s">
        <v>19</v>
      </c>
      <c r="B211" s="188" t="s">
        <v>327</v>
      </c>
      <c r="C211" s="188" t="s">
        <v>160</v>
      </c>
      <c r="D211" s="188" t="str">
        <f t="shared" si="62"/>
        <v>101-E365</v>
      </c>
      <c r="E211" s="188">
        <v>0</v>
      </c>
      <c r="F211" s="188">
        <v>765890.33</v>
      </c>
      <c r="G211" s="188">
        <v>1216927.6000000001</v>
      </c>
      <c r="H211" s="188">
        <v>6493091.5700000003</v>
      </c>
      <c r="I211" s="188">
        <v>0</v>
      </c>
      <c r="J211" s="183">
        <v>0</v>
      </c>
      <c r="L211" s="188" t="str">
        <f t="shared" si="63"/>
        <v>Major Projects Electric</v>
      </c>
      <c r="M211" s="188" t="str">
        <f t="shared" si="64"/>
        <v>E3650 DST O/H Conductor/Devices</v>
      </c>
      <c r="N211" s="188" t="str">
        <f t="shared" si="60"/>
        <v>Programmatic</v>
      </c>
      <c r="O211" s="188" t="str">
        <f t="shared" si="65"/>
        <v>101-E365</v>
      </c>
      <c r="P211" s="188">
        <f t="shared" si="66"/>
        <v>0</v>
      </c>
      <c r="Q211" s="188">
        <f t="shared" si="67"/>
        <v>765890.33</v>
      </c>
      <c r="R211" s="188">
        <f t="shared" si="68"/>
        <v>1216927.6000000001</v>
      </c>
      <c r="S211" s="188">
        <f t="shared" si="69"/>
        <v>6493091.5700000003</v>
      </c>
      <c r="T211" s="188">
        <f t="shared" si="70"/>
        <v>0</v>
      </c>
      <c r="V211" s="188" t="str">
        <f t="shared" si="71"/>
        <v>Major Projects Electric</v>
      </c>
      <c r="W211" s="188" t="str">
        <f t="shared" si="72"/>
        <v>E3650 DST O/H Conductor/Devices</v>
      </c>
      <c r="X211" s="188" t="str">
        <f t="shared" si="61"/>
        <v>Programmatic</v>
      </c>
      <c r="Y211" s="188" t="str">
        <f t="shared" si="73"/>
        <v>101-E365</v>
      </c>
      <c r="Z211" s="188">
        <f t="shared" si="74"/>
        <v>0</v>
      </c>
      <c r="AA211" s="188">
        <f t="shared" si="75"/>
        <v>0</v>
      </c>
      <c r="AB211" s="188">
        <f t="shared" si="76"/>
        <v>0</v>
      </c>
      <c r="AC211" s="188">
        <f t="shared" si="77"/>
        <v>0</v>
      </c>
      <c r="AD211" s="188">
        <f t="shared" si="78"/>
        <v>0</v>
      </c>
      <c r="AE211" s="183">
        <f t="shared" si="79"/>
        <v>0</v>
      </c>
    </row>
    <row r="212" spans="1:31" x14ac:dyDescent="0.25">
      <c r="A212" s="188" t="s">
        <v>19</v>
      </c>
      <c r="B212" s="188" t="s">
        <v>317</v>
      </c>
      <c r="C212" s="188" t="s">
        <v>160</v>
      </c>
      <c r="D212" s="188" t="str">
        <f t="shared" si="62"/>
        <v>101-E366</v>
      </c>
      <c r="E212" s="188">
        <v>0</v>
      </c>
      <c r="F212" s="188">
        <v>383003.6</v>
      </c>
      <c r="G212" s="188">
        <v>383003.6</v>
      </c>
      <c r="H212" s="188">
        <v>383003.6</v>
      </c>
      <c r="I212" s="188">
        <v>0</v>
      </c>
      <c r="J212" s="183">
        <v>0</v>
      </c>
      <c r="L212" s="188" t="str">
        <f t="shared" si="63"/>
        <v>Major Projects Electric</v>
      </c>
      <c r="M212" s="188" t="str">
        <f t="shared" si="64"/>
        <v>E3660 DST U/G Conduit</v>
      </c>
      <c r="N212" s="188" t="str">
        <f t="shared" si="60"/>
        <v>Programmatic</v>
      </c>
      <c r="O212" s="188" t="str">
        <f t="shared" si="65"/>
        <v>101-E366</v>
      </c>
      <c r="P212" s="188">
        <f t="shared" si="66"/>
        <v>0</v>
      </c>
      <c r="Q212" s="188">
        <f t="shared" si="67"/>
        <v>383003.6</v>
      </c>
      <c r="R212" s="188">
        <f t="shared" si="68"/>
        <v>383003.6</v>
      </c>
      <c r="S212" s="188">
        <f t="shared" si="69"/>
        <v>383003.6</v>
      </c>
      <c r="T212" s="188">
        <f t="shared" si="70"/>
        <v>0</v>
      </c>
      <c r="V212" s="188" t="str">
        <f t="shared" si="71"/>
        <v>Major Projects Electric</v>
      </c>
      <c r="W212" s="188" t="str">
        <f t="shared" si="72"/>
        <v>E3660 DST U/G Conduit</v>
      </c>
      <c r="X212" s="188" t="str">
        <f t="shared" si="61"/>
        <v>Programmatic</v>
      </c>
      <c r="Y212" s="188" t="str">
        <f t="shared" si="73"/>
        <v>101-E366</v>
      </c>
      <c r="Z212" s="188">
        <f t="shared" si="74"/>
        <v>0</v>
      </c>
      <c r="AA212" s="188">
        <f t="shared" si="75"/>
        <v>0</v>
      </c>
      <c r="AB212" s="188">
        <f t="shared" si="76"/>
        <v>0</v>
      </c>
      <c r="AC212" s="188">
        <f t="shared" si="77"/>
        <v>0</v>
      </c>
      <c r="AD212" s="188">
        <f t="shared" si="78"/>
        <v>0</v>
      </c>
      <c r="AE212" s="183">
        <f t="shared" si="79"/>
        <v>0</v>
      </c>
    </row>
    <row r="213" spans="1:31" x14ac:dyDescent="0.25">
      <c r="A213" s="188" t="s">
        <v>19</v>
      </c>
      <c r="B213" s="188" t="s">
        <v>316</v>
      </c>
      <c r="C213" s="188" t="s">
        <v>160</v>
      </c>
      <c r="D213" s="188" t="str">
        <f t="shared" si="62"/>
        <v>101-E367</v>
      </c>
      <c r="E213" s="188">
        <v>0</v>
      </c>
      <c r="F213" s="188">
        <v>393355.06</v>
      </c>
      <c r="G213" s="188">
        <v>393355.06</v>
      </c>
      <c r="H213" s="188">
        <v>393355.06</v>
      </c>
      <c r="I213" s="188">
        <v>0</v>
      </c>
      <c r="J213" s="183">
        <v>0</v>
      </c>
      <c r="L213" s="188" t="str">
        <f t="shared" si="63"/>
        <v>Major Projects Electric</v>
      </c>
      <c r="M213" s="188" t="str">
        <f t="shared" si="64"/>
        <v>E3670 DST U/G Conductor/Devices</v>
      </c>
      <c r="N213" s="188" t="str">
        <f t="shared" si="60"/>
        <v>Programmatic</v>
      </c>
      <c r="O213" s="188" t="str">
        <f t="shared" si="65"/>
        <v>101-E367</v>
      </c>
      <c r="P213" s="188">
        <f t="shared" si="66"/>
        <v>0</v>
      </c>
      <c r="Q213" s="188">
        <f t="shared" si="67"/>
        <v>393355.06</v>
      </c>
      <c r="R213" s="188">
        <f t="shared" si="68"/>
        <v>393355.06</v>
      </c>
      <c r="S213" s="188">
        <f t="shared" si="69"/>
        <v>393355.06</v>
      </c>
      <c r="T213" s="188">
        <f t="shared" si="70"/>
        <v>0</v>
      </c>
      <c r="V213" s="188" t="str">
        <f t="shared" si="71"/>
        <v>Major Projects Electric</v>
      </c>
      <c r="W213" s="188" t="str">
        <f t="shared" si="72"/>
        <v>E3670 DST U/G Conductor/Devices</v>
      </c>
      <c r="X213" s="188" t="str">
        <f t="shared" si="61"/>
        <v>Programmatic</v>
      </c>
      <c r="Y213" s="188" t="str">
        <f t="shared" si="73"/>
        <v>101-E367</v>
      </c>
      <c r="Z213" s="188">
        <f t="shared" si="74"/>
        <v>0</v>
      </c>
      <c r="AA213" s="188">
        <f t="shared" si="75"/>
        <v>0</v>
      </c>
      <c r="AB213" s="188">
        <f t="shared" si="76"/>
        <v>0</v>
      </c>
      <c r="AC213" s="188">
        <f t="shared" si="77"/>
        <v>0</v>
      </c>
      <c r="AD213" s="188">
        <f t="shared" si="78"/>
        <v>0</v>
      </c>
      <c r="AE213" s="183">
        <f t="shared" si="79"/>
        <v>0</v>
      </c>
    </row>
    <row r="214" spans="1:31" x14ac:dyDescent="0.25">
      <c r="A214" s="188" t="s">
        <v>19</v>
      </c>
      <c r="B214" s="188" t="s">
        <v>387</v>
      </c>
      <c r="C214" s="188" t="s">
        <v>160</v>
      </c>
      <c r="D214" s="188" t="str">
        <f t="shared" si="62"/>
        <v>101-E368</v>
      </c>
      <c r="E214" s="188">
        <v>0</v>
      </c>
      <c r="F214" s="188">
        <v>169096.49</v>
      </c>
      <c r="G214" s="188">
        <v>172709.09</v>
      </c>
      <c r="H214" s="188">
        <v>176629.62</v>
      </c>
      <c r="I214" s="188">
        <v>0</v>
      </c>
      <c r="J214" s="183">
        <v>0</v>
      </c>
      <c r="L214" s="188" t="str">
        <f t="shared" si="63"/>
        <v>Major Projects Electric</v>
      </c>
      <c r="M214" s="188" t="str">
        <f t="shared" si="64"/>
        <v>E368 DST Line Transformers</v>
      </c>
      <c r="N214" s="188" t="str">
        <f t="shared" si="60"/>
        <v>Programmatic</v>
      </c>
      <c r="O214" s="188" t="str">
        <f t="shared" si="65"/>
        <v>101-E368</v>
      </c>
      <c r="P214" s="188">
        <f t="shared" si="66"/>
        <v>0</v>
      </c>
      <c r="Q214" s="188">
        <f t="shared" si="67"/>
        <v>169096.49</v>
      </c>
      <c r="R214" s="188">
        <f t="shared" si="68"/>
        <v>172709.09</v>
      </c>
      <c r="S214" s="188">
        <f t="shared" si="69"/>
        <v>176629.62</v>
      </c>
      <c r="T214" s="188">
        <f t="shared" si="70"/>
        <v>0</v>
      </c>
      <c r="V214" s="188" t="str">
        <f t="shared" si="71"/>
        <v>Major Projects Electric</v>
      </c>
      <c r="W214" s="188" t="str">
        <f t="shared" si="72"/>
        <v>E368 DST Line Transformers</v>
      </c>
      <c r="X214" s="188" t="str">
        <f t="shared" si="61"/>
        <v>Programmatic</v>
      </c>
      <c r="Y214" s="188" t="str">
        <f t="shared" si="73"/>
        <v>101-E368</v>
      </c>
      <c r="Z214" s="188">
        <f t="shared" si="74"/>
        <v>0</v>
      </c>
      <c r="AA214" s="188">
        <f t="shared" si="75"/>
        <v>0</v>
      </c>
      <c r="AB214" s="188">
        <f t="shared" si="76"/>
        <v>0</v>
      </c>
      <c r="AC214" s="188">
        <f t="shared" si="77"/>
        <v>0</v>
      </c>
      <c r="AD214" s="188">
        <f t="shared" si="78"/>
        <v>0</v>
      </c>
      <c r="AE214" s="183">
        <f t="shared" si="79"/>
        <v>0</v>
      </c>
    </row>
    <row r="215" spans="1:31" x14ac:dyDescent="0.25">
      <c r="A215" s="188" t="s">
        <v>19</v>
      </c>
      <c r="B215" s="188" t="s">
        <v>383</v>
      </c>
      <c r="C215" s="188" t="s">
        <v>160</v>
      </c>
      <c r="D215" s="188" t="str">
        <f t="shared" si="62"/>
        <v>101-E373</v>
      </c>
      <c r="E215" s="188">
        <v>0</v>
      </c>
      <c r="F215" s="188">
        <v>8054.46</v>
      </c>
      <c r="G215" s="188">
        <v>8226.77</v>
      </c>
      <c r="H215" s="188">
        <v>8414.58</v>
      </c>
      <c r="I215" s="188">
        <v>0</v>
      </c>
      <c r="J215" s="183">
        <v>0</v>
      </c>
      <c r="L215" s="188" t="str">
        <f t="shared" si="63"/>
        <v>Major Projects Electric</v>
      </c>
      <c r="M215" s="188" t="str">
        <f t="shared" si="64"/>
        <v>E373 DST Street Lighting &amp; Signal</v>
      </c>
      <c r="N215" s="188" t="str">
        <f t="shared" si="60"/>
        <v>Programmatic</v>
      </c>
      <c r="O215" s="188" t="str">
        <f t="shared" si="65"/>
        <v>101-E373</v>
      </c>
      <c r="P215" s="188">
        <f t="shared" si="66"/>
        <v>0</v>
      </c>
      <c r="Q215" s="188">
        <f t="shared" si="67"/>
        <v>8054.46</v>
      </c>
      <c r="R215" s="188">
        <f t="shared" si="68"/>
        <v>8226.77</v>
      </c>
      <c r="S215" s="188">
        <f t="shared" si="69"/>
        <v>8414.58</v>
      </c>
      <c r="T215" s="188">
        <f t="shared" si="70"/>
        <v>0</v>
      </c>
      <c r="V215" s="188" t="str">
        <f t="shared" si="71"/>
        <v>Major Projects Electric</v>
      </c>
      <c r="W215" s="188" t="str">
        <f t="shared" si="72"/>
        <v>E373 DST Street Lighting &amp; Signal</v>
      </c>
      <c r="X215" s="188" t="str">
        <f t="shared" si="61"/>
        <v>Programmatic</v>
      </c>
      <c r="Y215" s="188" t="str">
        <f t="shared" si="73"/>
        <v>101-E373</v>
      </c>
      <c r="Z215" s="188">
        <f t="shared" si="74"/>
        <v>0</v>
      </c>
      <c r="AA215" s="188">
        <f t="shared" si="75"/>
        <v>0</v>
      </c>
      <c r="AB215" s="188">
        <f t="shared" si="76"/>
        <v>0</v>
      </c>
      <c r="AC215" s="188">
        <f t="shared" si="77"/>
        <v>0</v>
      </c>
      <c r="AD215" s="188">
        <f t="shared" si="78"/>
        <v>0</v>
      </c>
      <c r="AE215" s="183">
        <f t="shared" si="79"/>
        <v>0</v>
      </c>
    </row>
    <row r="216" spans="1:31" x14ac:dyDescent="0.25">
      <c r="A216" s="188" t="s">
        <v>19</v>
      </c>
      <c r="B216" s="188" t="s">
        <v>379</v>
      </c>
      <c r="C216" s="188" t="s">
        <v>160</v>
      </c>
      <c r="D216" s="188" t="str">
        <f t="shared" si="62"/>
        <v>101-E391</v>
      </c>
      <c r="E216" s="188">
        <v>0</v>
      </c>
      <c r="F216" s="188">
        <v>44163</v>
      </c>
      <c r="G216" s="188">
        <v>53043.839999999997</v>
      </c>
      <c r="H216" s="188">
        <v>61924.68</v>
      </c>
      <c r="I216" s="188">
        <v>0</v>
      </c>
      <c r="J216" s="183">
        <v>0</v>
      </c>
      <c r="L216" s="188" t="str">
        <f t="shared" si="63"/>
        <v>Major Projects Electric</v>
      </c>
      <c r="M216" s="188" t="str">
        <f t="shared" si="64"/>
        <v>E3912 GEN Computer Eq, new</v>
      </c>
      <c r="N216" s="188" t="str">
        <f t="shared" si="60"/>
        <v>Programmatic</v>
      </c>
      <c r="O216" s="188" t="str">
        <f t="shared" si="65"/>
        <v>101-E391</v>
      </c>
      <c r="P216" s="188">
        <f t="shared" si="66"/>
        <v>0</v>
      </c>
      <c r="Q216" s="188">
        <f t="shared" si="67"/>
        <v>44163</v>
      </c>
      <c r="R216" s="188">
        <f t="shared" si="68"/>
        <v>53043.839999999997</v>
      </c>
      <c r="S216" s="188">
        <f t="shared" si="69"/>
        <v>61924.68</v>
      </c>
      <c r="T216" s="188">
        <f t="shared" si="70"/>
        <v>0</v>
      </c>
      <c r="V216" s="188" t="str">
        <f t="shared" si="71"/>
        <v>Major Projects Electric</v>
      </c>
      <c r="W216" s="188" t="str">
        <f t="shared" si="72"/>
        <v>E3912 GEN Computer Eq, new</v>
      </c>
      <c r="X216" s="188" t="str">
        <f t="shared" si="61"/>
        <v>Programmatic</v>
      </c>
      <c r="Y216" s="188" t="str">
        <f t="shared" si="73"/>
        <v>101-E391</v>
      </c>
      <c r="Z216" s="188">
        <f t="shared" si="74"/>
        <v>0</v>
      </c>
      <c r="AA216" s="188">
        <f t="shared" si="75"/>
        <v>0</v>
      </c>
      <c r="AB216" s="188">
        <f t="shared" si="76"/>
        <v>0</v>
      </c>
      <c r="AC216" s="188">
        <f t="shared" si="77"/>
        <v>0</v>
      </c>
      <c r="AD216" s="188">
        <f t="shared" si="78"/>
        <v>0</v>
      </c>
      <c r="AE216" s="183">
        <f t="shared" si="79"/>
        <v>0</v>
      </c>
    </row>
    <row r="217" spans="1:31" x14ac:dyDescent="0.25">
      <c r="A217" s="188" t="s">
        <v>19</v>
      </c>
      <c r="B217" s="188" t="s">
        <v>372</v>
      </c>
      <c r="C217" s="188" t="s">
        <v>160</v>
      </c>
      <c r="D217" s="188" t="str">
        <f t="shared" si="62"/>
        <v>101-E397</v>
      </c>
      <c r="E217" s="188">
        <v>0</v>
      </c>
      <c r="F217" s="188">
        <v>360412.44</v>
      </c>
      <c r="G217" s="188">
        <v>360412.44</v>
      </c>
      <c r="H217" s="188">
        <v>360412.44</v>
      </c>
      <c r="I217" s="188">
        <v>0</v>
      </c>
      <c r="J217" s="183">
        <v>0</v>
      </c>
      <c r="L217" s="188" t="str">
        <f t="shared" si="63"/>
        <v>Major Projects Electric</v>
      </c>
      <c r="M217" s="188" t="str">
        <f t="shared" si="64"/>
        <v>E3970 GEN Comm Equip, new</v>
      </c>
      <c r="N217" s="188" t="str">
        <f t="shared" si="60"/>
        <v>Programmatic</v>
      </c>
      <c r="O217" s="188" t="str">
        <f t="shared" si="65"/>
        <v>101-E397</v>
      </c>
      <c r="P217" s="188">
        <f t="shared" si="66"/>
        <v>0</v>
      </c>
      <c r="Q217" s="188">
        <f t="shared" si="67"/>
        <v>360412.44</v>
      </c>
      <c r="R217" s="188">
        <f t="shared" si="68"/>
        <v>360412.44</v>
      </c>
      <c r="S217" s="188">
        <f t="shared" si="69"/>
        <v>360412.44</v>
      </c>
      <c r="T217" s="188">
        <f t="shared" si="70"/>
        <v>0</v>
      </c>
      <c r="V217" s="188" t="str">
        <f t="shared" si="71"/>
        <v>Major Projects Electric</v>
      </c>
      <c r="W217" s="188" t="str">
        <f t="shared" si="72"/>
        <v>E3970 GEN Comm Equip, new</v>
      </c>
      <c r="X217" s="188" t="str">
        <f t="shared" si="61"/>
        <v>Programmatic</v>
      </c>
      <c r="Y217" s="188" t="str">
        <f t="shared" si="73"/>
        <v>101-E397</v>
      </c>
      <c r="Z217" s="188">
        <f t="shared" si="74"/>
        <v>0</v>
      </c>
      <c r="AA217" s="188">
        <f t="shared" si="75"/>
        <v>0</v>
      </c>
      <c r="AB217" s="188">
        <f t="shared" si="76"/>
        <v>0</v>
      </c>
      <c r="AC217" s="188">
        <f t="shared" si="77"/>
        <v>0</v>
      </c>
      <c r="AD217" s="188">
        <f t="shared" si="78"/>
        <v>0</v>
      </c>
      <c r="AE217" s="183">
        <f t="shared" si="79"/>
        <v>0</v>
      </c>
    </row>
    <row r="218" spans="1:31" x14ac:dyDescent="0.25">
      <c r="A218" s="188" t="s">
        <v>20</v>
      </c>
      <c r="B218" s="188" t="s">
        <v>518</v>
      </c>
      <c r="C218" s="188" t="s">
        <v>160</v>
      </c>
      <c r="D218" s="188" t="str">
        <f t="shared" si="62"/>
        <v>101-G362</v>
      </c>
      <c r="E218" s="188">
        <v>0</v>
      </c>
      <c r="F218" s="188">
        <v>2776711.59</v>
      </c>
      <c r="G218" s="188">
        <v>2776711.59</v>
      </c>
      <c r="H218" s="188">
        <v>2776711.59</v>
      </c>
      <c r="I218" s="188">
        <v>0</v>
      </c>
      <c r="J218" s="183">
        <v>0</v>
      </c>
      <c r="L218" s="188" t="str">
        <f t="shared" si="63"/>
        <v>Major Projects Gas</v>
      </c>
      <c r="M218" s="188" t="str">
        <f t="shared" si="64"/>
        <v>G362 OSP Gas Holders</v>
      </c>
      <c r="N218" s="188" t="str">
        <f t="shared" si="60"/>
        <v>Programmatic</v>
      </c>
      <c r="O218" s="188" t="str">
        <f t="shared" si="65"/>
        <v>101-G362</v>
      </c>
      <c r="P218" s="188">
        <f t="shared" si="66"/>
        <v>0</v>
      </c>
      <c r="Q218" s="188">
        <f t="shared" si="67"/>
        <v>0</v>
      </c>
      <c r="R218" s="188">
        <f t="shared" si="68"/>
        <v>0</v>
      </c>
      <c r="S218" s="188">
        <f t="shared" si="69"/>
        <v>0</v>
      </c>
      <c r="T218" s="188">
        <f t="shared" si="70"/>
        <v>0</v>
      </c>
      <c r="V218" s="188" t="str">
        <f t="shared" si="71"/>
        <v>Major Projects Gas</v>
      </c>
      <c r="W218" s="188" t="str">
        <f t="shared" si="72"/>
        <v>G362 OSP Gas Holders</v>
      </c>
      <c r="X218" s="188" t="str">
        <f t="shared" si="61"/>
        <v>Programmatic</v>
      </c>
      <c r="Y218" s="188" t="str">
        <f t="shared" si="73"/>
        <v>101-G362</v>
      </c>
      <c r="Z218" s="188">
        <f t="shared" si="74"/>
        <v>0</v>
      </c>
      <c r="AA218" s="188">
        <f t="shared" si="75"/>
        <v>2776711.59</v>
      </c>
      <c r="AB218" s="188">
        <f t="shared" si="76"/>
        <v>2776711.59</v>
      </c>
      <c r="AC218" s="188">
        <f t="shared" si="77"/>
        <v>2776711.59</v>
      </c>
      <c r="AD218" s="188">
        <f t="shared" si="78"/>
        <v>0</v>
      </c>
      <c r="AE218" s="183">
        <f t="shared" si="79"/>
        <v>0</v>
      </c>
    </row>
    <row r="219" spans="1:31" x14ac:dyDescent="0.25">
      <c r="A219" s="188" t="s">
        <v>20</v>
      </c>
      <c r="B219" s="188" t="s">
        <v>348</v>
      </c>
      <c r="C219" s="188" t="s">
        <v>160</v>
      </c>
      <c r="D219" s="188" t="str">
        <f t="shared" si="62"/>
        <v>101-G378</v>
      </c>
      <c r="E219" s="188">
        <v>0</v>
      </c>
      <c r="F219" s="188">
        <v>585638.16</v>
      </c>
      <c r="G219" s="188">
        <v>873656.94</v>
      </c>
      <c r="H219" s="188">
        <v>1449694.5</v>
      </c>
      <c r="I219" s="188">
        <v>0</v>
      </c>
      <c r="J219" s="183">
        <v>0</v>
      </c>
      <c r="L219" s="188" t="str">
        <f t="shared" si="63"/>
        <v>Major Projects Gas</v>
      </c>
      <c r="M219" s="188" t="str">
        <f t="shared" si="64"/>
        <v>G3780 DST Measuring &amp; Reg Station</v>
      </c>
      <c r="N219" s="188" t="str">
        <f t="shared" si="60"/>
        <v>Programmatic</v>
      </c>
      <c r="O219" s="188" t="str">
        <f t="shared" si="65"/>
        <v>101-G378</v>
      </c>
      <c r="P219" s="188">
        <f t="shared" si="66"/>
        <v>0</v>
      </c>
      <c r="Q219" s="188">
        <f t="shared" si="67"/>
        <v>0</v>
      </c>
      <c r="R219" s="188">
        <f t="shared" si="68"/>
        <v>0</v>
      </c>
      <c r="S219" s="188">
        <f t="shared" si="69"/>
        <v>0</v>
      </c>
      <c r="T219" s="188">
        <f t="shared" si="70"/>
        <v>0</v>
      </c>
      <c r="V219" s="188" t="str">
        <f t="shared" si="71"/>
        <v>Major Projects Gas</v>
      </c>
      <c r="W219" s="188" t="str">
        <f t="shared" si="72"/>
        <v>G3780 DST Measuring &amp; Reg Station</v>
      </c>
      <c r="X219" s="188" t="str">
        <f t="shared" si="61"/>
        <v>Programmatic</v>
      </c>
      <c r="Y219" s="188" t="str">
        <f t="shared" si="73"/>
        <v>101-G378</v>
      </c>
      <c r="Z219" s="188">
        <f t="shared" si="74"/>
        <v>0</v>
      </c>
      <c r="AA219" s="188">
        <f t="shared" si="75"/>
        <v>585638.16</v>
      </c>
      <c r="AB219" s="188">
        <f t="shared" si="76"/>
        <v>873656.94</v>
      </c>
      <c r="AC219" s="188">
        <f t="shared" si="77"/>
        <v>1449694.5</v>
      </c>
      <c r="AD219" s="188">
        <f t="shared" si="78"/>
        <v>0</v>
      </c>
      <c r="AE219" s="183">
        <f t="shared" si="79"/>
        <v>0</v>
      </c>
    </row>
    <row r="220" spans="1:31" x14ac:dyDescent="0.25">
      <c r="A220" s="188" t="s">
        <v>21</v>
      </c>
      <c r="B220" s="188" t="s">
        <v>351</v>
      </c>
      <c r="C220" s="188" t="s">
        <v>173</v>
      </c>
      <c r="D220" s="188" t="str">
        <f t="shared" si="62"/>
        <v>101-G376</v>
      </c>
      <c r="E220" s="188">
        <v>0</v>
      </c>
      <c r="F220" s="188">
        <v>879456.34</v>
      </c>
      <c r="G220" s="188">
        <v>879456.34</v>
      </c>
      <c r="H220" s="188">
        <v>879456.34</v>
      </c>
      <c r="I220" s="188">
        <v>0</v>
      </c>
      <c r="J220" s="183">
        <v>0</v>
      </c>
      <c r="L220" s="188" t="str">
        <f t="shared" si="63"/>
        <v>Marine Crossing</v>
      </c>
      <c r="M220" s="188" t="str">
        <f t="shared" si="64"/>
        <v>G3762 DST Mains, Plastic</v>
      </c>
      <c r="N220" s="188" t="str">
        <f t="shared" si="60"/>
        <v>Specific</v>
      </c>
      <c r="O220" s="188" t="str">
        <f t="shared" si="65"/>
        <v>101-G376</v>
      </c>
      <c r="P220" s="188">
        <f t="shared" si="66"/>
        <v>0</v>
      </c>
      <c r="Q220" s="188">
        <f t="shared" si="67"/>
        <v>0</v>
      </c>
      <c r="R220" s="188">
        <f t="shared" si="68"/>
        <v>0</v>
      </c>
      <c r="S220" s="188">
        <f t="shared" si="69"/>
        <v>0</v>
      </c>
      <c r="T220" s="188">
        <f t="shared" si="70"/>
        <v>0</v>
      </c>
      <c r="V220" s="188" t="str">
        <f t="shared" si="71"/>
        <v>Marine Crossing</v>
      </c>
      <c r="W220" s="188" t="str">
        <f t="shared" si="72"/>
        <v>G3762 DST Mains, Plastic</v>
      </c>
      <c r="X220" s="188" t="str">
        <f t="shared" si="61"/>
        <v>Specific</v>
      </c>
      <c r="Y220" s="188" t="str">
        <f t="shared" si="73"/>
        <v>101-G376</v>
      </c>
      <c r="Z220" s="188">
        <f t="shared" si="74"/>
        <v>0</v>
      </c>
      <c r="AA220" s="188">
        <f t="shared" si="75"/>
        <v>879456.34</v>
      </c>
      <c r="AB220" s="188">
        <f t="shared" si="76"/>
        <v>879456.34</v>
      </c>
      <c r="AC220" s="188">
        <f t="shared" si="77"/>
        <v>879456.34</v>
      </c>
      <c r="AD220" s="188">
        <f t="shared" si="78"/>
        <v>0</v>
      </c>
      <c r="AE220" s="183">
        <f t="shared" si="79"/>
        <v>0</v>
      </c>
    </row>
    <row r="221" spans="1:31" x14ac:dyDescent="0.25">
      <c r="A221" s="188" t="s">
        <v>21</v>
      </c>
      <c r="B221" s="188" t="s">
        <v>350</v>
      </c>
      <c r="C221" s="188" t="s">
        <v>173</v>
      </c>
      <c r="D221" s="188" t="str">
        <f t="shared" si="62"/>
        <v>101-G376</v>
      </c>
      <c r="E221" s="188">
        <v>0</v>
      </c>
      <c r="F221" s="188">
        <v>376909.86</v>
      </c>
      <c r="G221" s="188">
        <v>376909.86</v>
      </c>
      <c r="H221" s="188">
        <v>376909.86</v>
      </c>
      <c r="I221" s="188">
        <v>0</v>
      </c>
      <c r="J221" s="183">
        <v>0</v>
      </c>
      <c r="L221" s="188" t="str">
        <f t="shared" si="63"/>
        <v>Marine Crossing</v>
      </c>
      <c r="M221" s="188" t="str">
        <f t="shared" si="64"/>
        <v>G3764 DST Mains, Wrapped Steel</v>
      </c>
      <c r="N221" s="188" t="str">
        <f t="shared" si="60"/>
        <v>Specific</v>
      </c>
      <c r="O221" s="188" t="str">
        <f t="shared" si="65"/>
        <v>101-G376</v>
      </c>
      <c r="P221" s="188">
        <f t="shared" si="66"/>
        <v>0</v>
      </c>
      <c r="Q221" s="188">
        <f t="shared" si="67"/>
        <v>0</v>
      </c>
      <c r="R221" s="188">
        <f t="shared" si="68"/>
        <v>0</v>
      </c>
      <c r="S221" s="188">
        <f t="shared" si="69"/>
        <v>0</v>
      </c>
      <c r="T221" s="188">
        <f t="shared" si="70"/>
        <v>0</v>
      </c>
      <c r="V221" s="188" t="str">
        <f t="shared" si="71"/>
        <v>Marine Crossing</v>
      </c>
      <c r="W221" s="188" t="str">
        <f t="shared" si="72"/>
        <v>G3764 DST Mains, Wrapped Steel</v>
      </c>
      <c r="X221" s="188" t="str">
        <f t="shared" si="61"/>
        <v>Specific</v>
      </c>
      <c r="Y221" s="188" t="str">
        <f t="shared" si="73"/>
        <v>101-G376</v>
      </c>
      <c r="Z221" s="188">
        <f t="shared" si="74"/>
        <v>0</v>
      </c>
      <c r="AA221" s="188">
        <f t="shared" si="75"/>
        <v>376909.86</v>
      </c>
      <c r="AB221" s="188">
        <f t="shared" si="76"/>
        <v>376909.86</v>
      </c>
      <c r="AC221" s="188">
        <f t="shared" si="77"/>
        <v>376909.86</v>
      </c>
      <c r="AD221" s="188">
        <f t="shared" si="78"/>
        <v>0</v>
      </c>
      <c r="AE221" s="183">
        <f t="shared" si="79"/>
        <v>0</v>
      </c>
    </row>
    <row r="222" spans="1:31" x14ac:dyDescent="0.25">
      <c r="A222" s="188" t="s">
        <v>22</v>
      </c>
      <c r="B222" s="188" t="s">
        <v>438</v>
      </c>
      <c r="C222" s="188" t="s">
        <v>173</v>
      </c>
      <c r="D222" s="188" t="str">
        <f t="shared" si="62"/>
        <v>101-E344</v>
      </c>
      <c r="E222" s="188">
        <v>0</v>
      </c>
      <c r="F222" s="188">
        <v>14828422.560000001</v>
      </c>
      <c r="G222" s="188">
        <v>12731803.369999999</v>
      </c>
      <c r="H222" s="188">
        <v>10635184.199999999</v>
      </c>
      <c r="I222" s="188">
        <v>0</v>
      </c>
      <c r="J222" s="183">
        <v>0</v>
      </c>
      <c r="L222" s="188" t="str">
        <f t="shared" si="63"/>
        <v>Mint Farm MM</v>
      </c>
      <c r="M222" s="188" t="str">
        <f t="shared" si="64"/>
        <v>E34420 PRD Gen, Mint Farm</v>
      </c>
      <c r="N222" s="188" t="str">
        <f t="shared" si="60"/>
        <v>Specific</v>
      </c>
      <c r="O222" s="188" t="str">
        <f t="shared" si="65"/>
        <v>101-E344</v>
      </c>
      <c r="P222" s="188">
        <f t="shared" si="66"/>
        <v>0</v>
      </c>
      <c r="Q222" s="188">
        <f t="shared" si="67"/>
        <v>14828422.560000001</v>
      </c>
      <c r="R222" s="188">
        <f t="shared" si="68"/>
        <v>12731803.369999999</v>
      </c>
      <c r="S222" s="188">
        <f t="shared" si="69"/>
        <v>10635184.199999999</v>
      </c>
      <c r="T222" s="188">
        <f t="shared" si="70"/>
        <v>0</v>
      </c>
      <c r="V222" s="188" t="str">
        <f t="shared" si="71"/>
        <v>Mint Farm MM</v>
      </c>
      <c r="W222" s="188" t="str">
        <f t="shared" si="72"/>
        <v>E34420 PRD Gen, Mint Farm</v>
      </c>
      <c r="X222" s="188" t="str">
        <f t="shared" si="61"/>
        <v>Specific</v>
      </c>
      <c r="Y222" s="188" t="str">
        <f t="shared" si="73"/>
        <v>101-E344</v>
      </c>
      <c r="Z222" s="188">
        <f t="shared" si="74"/>
        <v>0</v>
      </c>
      <c r="AA222" s="188">
        <f t="shared" si="75"/>
        <v>0</v>
      </c>
      <c r="AB222" s="188">
        <f t="shared" si="76"/>
        <v>0</v>
      </c>
      <c r="AC222" s="188">
        <f t="shared" si="77"/>
        <v>0</v>
      </c>
      <c r="AD222" s="188">
        <f t="shared" si="78"/>
        <v>0</v>
      </c>
      <c r="AE222" s="183">
        <f t="shared" si="79"/>
        <v>0</v>
      </c>
    </row>
    <row r="223" spans="1:31" x14ac:dyDescent="0.25">
      <c r="A223" s="188" t="s">
        <v>23</v>
      </c>
      <c r="B223" s="188" t="s">
        <v>498</v>
      </c>
      <c r="C223" s="188" t="s">
        <v>172</v>
      </c>
      <c r="D223" s="188" t="str">
        <f t="shared" si="62"/>
        <v>101-E302</v>
      </c>
      <c r="E223" s="188">
        <v>0</v>
      </c>
      <c r="F223" s="188">
        <v>146934</v>
      </c>
      <c r="G223" s="188">
        <v>476534.58</v>
      </c>
      <c r="H223" s="188">
        <v>1195301.7</v>
      </c>
      <c r="I223" s="188">
        <v>0</v>
      </c>
      <c r="J223" s="183">
        <v>0</v>
      </c>
      <c r="L223" s="188" t="str">
        <f t="shared" si="63"/>
        <v>PI Electric</v>
      </c>
      <c r="M223" s="188" t="str">
        <f t="shared" si="64"/>
        <v>E302.10 INT Franchises</v>
      </c>
      <c r="N223" s="188" t="str">
        <f t="shared" si="60"/>
        <v>Programmatic Customer Drive</v>
      </c>
      <c r="O223" s="188" t="str">
        <f t="shared" si="65"/>
        <v>101-E302</v>
      </c>
      <c r="P223" s="188">
        <f t="shared" si="66"/>
        <v>0</v>
      </c>
      <c r="Q223" s="188">
        <f t="shared" si="67"/>
        <v>146934</v>
      </c>
      <c r="R223" s="188">
        <f t="shared" si="68"/>
        <v>476534.58</v>
      </c>
      <c r="S223" s="188">
        <f t="shared" si="69"/>
        <v>1195301.7</v>
      </c>
      <c r="T223" s="188">
        <f t="shared" si="70"/>
        <v>0</v>
      </c>
      <c r="V223" s="188" t="str">
        <f t="shared" si="71"/>
        <v>PI Electric</v>
      </c>
      <c r="W223" s="188" t="str">
        <f t="shared" si="72"/>
        <v>E302.10 INT Franchises</v>
      </c>
      <c r="X223" s="188" t="str">
        <f t="shared" si="61"/>
        <v>Programmatic Customer Drive</v>
      </c>
      <c r="Y223" s="188" t="str">
        <f t="shared" si="73"/>
        <v>101-E302</v>
      </c>
      <c r="Z223" s="188">
        <f t="shared" si="74"/>
        <v>0</v>
      </c>
      <c r="AA223" s="188">
        <f t="shared" si="75"/>
        <v>0</v>
      </c>
      <c r="AB223" s="188">
        <f t="shared" si="76"/>
        <v>0</v>
      </c>
      <c r="AC223" s="188">
        <f t="shared" si="77"/>
        <v>0</v>
      </c>
      <c r="AD223" s="188">
        <f t="shared" si="78"/>
        <v>0</v>
      </c>
      <c r="AE223" s="183">
        <f t="shared" si="79"/>
        <v>0</v>
      </c>
    </row>
    <row r="224" spans="1:31" x14ac:dyDescent="0.25">
      <c r="A224" s="188" t="s">
        <v>23</v>
      </c>
      <c r="B224" s="188" t="s">
        <v>410</v>
      </c>
      <c r="C224" s="188" t="s">
        <v>172</v>
      </c>
      <c r="D224" s="188" t="str">
        <f t="shared" si="62"/>
        <v>101-E350</v>
      </c>
      <c r="E224" s="188">
        <v>0</v>
      </c>
      <c r="F224" s="188">
        <v>15705.36</v>
      </c>
      <c r="G224" s="188">
        <v>50297.29</v>
      </c>
      <c r="H224" s="188">
        <v>125699.52</v>
      </c>
      <c r="I224" s="188">
        <v>0</v>
      </c>
      <c r="J224" s="183">
        <v>0</v>
      </c>
      <c r="L224" s="188" t="str">
        <f t="shared" si="63"/>
        <v>PI Electric</v>
      </c>
      <c r="M224" s="188" t="str">
        <f t="shared" si="64"/>
        <v>E35016 TSM Easements</v>
      </c>
      <c r="N224" s="188" t="str">
        <f t="shared" si="60"/>
        <v>Programmatic Customer Drive</v>
      </c>
      <c r="O224" s="188" t="str">
        <f t="shared" si="65"/>
        <v>101-E350</v>
      </c>
      <c r="P224" s="188">
        <f t="shared" si="66"/>
        <v>0</v>
      </c>
      <c r="Q224" s="188">
        <f t="shared" si="67"/>
        <v>15705.36</v>
      </c>
      <c r="R224" s="188">
        <f t="shared" si="68"/>
        <v>50297.29</v>
      </c>
      <c r="S224" s="188">
        <f t="shared" si="69"/>
        <v>125699.52</v>
      </c>
      <c r="T224" s="188">
        <f t="shared" si="70"/>
        <v>0</v>
      </c>
      <c r="V224" s="188" t="str">
        <f t="shared" si="71"/>
        <v>PI Electric</v>
      </c>
      <c r="W224" s="188" t="str">
        <f t="shared" si="72"/>
        <v>E35016 TSM Easements</v>
      </c>
      <c r="X224" s="188" t="str">
        <f t="shared" si="61"/>
        <v>Programmatic Customer Drive</v>
      </c>
      <c r="Y224" s="188" t="str">
        <f t="shared" si="73"/>
        <v>101-E350</v>
      </c>
      <c r="Z224" s="188">
        <f t="shared" si="74"/>
        <v>0</v>
      </c>
      <c r="AA224" s="188">
        <f t="shared" si="75"/>
        <v>0</v>
      </c>
      <c r="AB224" s="188">
        <f t="shared" si="76"/>
        <v>0</v>
      </c>
      <c r="AC224" s="188">
        <f t="shared" si="77"/>
        <v>0</v>
      </c>
      <c r="AD224" s="188">
        <f t="shared" si="78"/>
        <v>0</v>
      </c>
      <c r="AE224" s="183">
        <f t="shared" si="79"/>
        <v>0</v>
      </c>
    </row>
    <row r="225" spans="1:31" x14ac:dyDescent="0.25">
      <c r="A225" s="188" t="s">
        <v>23</v>
      </c>
      <c r="B225" s="188" t="s">
        <v>400</v>
      </c>
      <c r="C225" s="188" t="s">
        <v>172</v>
      </c>
      <c r="D225" s="188" t="str">
        <f t="shared" si="62"/>
        <v>101-E355</v>
      </c>
      <c r="E225" s="188">
        <v>0</v>
      </c>
      <c r="F225" s="188">
        <v>239.04</v>
      </c>
      <c r="G225" s="188">
        <v>358.56</v>
      </c>
      <c r="H225" s="188">
        <v>597.6</v>
      </c>
      <c r="I225" s="188">
        <v>0</v>
      </c>
      <c r="J225" s="183">
        <v>0</v>
      </c>
      <c r="L225" s="188" t="str">
        <f t="shared" si="63"/>
        <v>PI Electric</v>
      </c>
      <c r="M225" s="188" t="str">
        <f t="shared" si="64"/>
        <v>E355 TSM Poles &amp; Fixtures</v>
      </c>
      <c r="N225" s="188" t="str">
        <f t="shared" si="60"/>
        <v>Programmatic Customer Drive</v>
      </c>
      <c r="O225" s="188" t="str">
        <f t="shared" si="65"/>
        <v>101-E355</v>
      </c>
      <c r="P225" s="188">
        <f t="shared" si="66"/>
        <v>0</v>
      </c>
      <c r="Q225" s="188">
        <f t="shared" si="67"/>
        <v>239.04</v>
      </c>
      <c r="R225" s="188">
        <f t="shared" si="68"/>
        <v>358.56</v>
      </c>
      <c r="S225" s="188">
        <f t="shared" si="69"/>
        <v>597.6</v>
      </c>
      <c r="T225" s="188">
        <f t="shared" si="70"/>
        <v>0</v>
      </c>
      <c r="V225" s="188" t="str">
        <f t="shared" si="71"/>
        <v>PI Electric</v>
      </c>
      <c r="W225" s="188" t="str">
        <f t="shared" si="72"/>
        <v>E355 TSM Poles &amp; Fixtures</v>
      </c>
      <c r="X225" s="188" t="str">
        <f t="shared" si="61"/>
        <v>Programmatic Customer Drive</v>
      </c>
      <c r="Y225" s="188" t="str">
        <f t="shared" si="73"/>
        <v>101-E355</v>
      </c>
      <c r="Z225" s="188">
        <f t="shared" si="74"/>
        <v>0</v>
      </c>
      <c r="AA225" s="188">
        <f t="shared" si="75"/>
        <v>0</v>
      </c>
      <c r="AB225" s="188">
        <f t="shared" si="76"/>
        <v>0</v>
      </c>
      <c r="AC225" s="188">
        <f t="shared" si="77"/>
        <v>0</v>
      </c>
      <c r="AD225" s="188">
        <f t="shared" si="78"/>
        <v>0</v>
      </c>
      <c r="AE225" s="183">
        <f t="shared" si="79"/>
        <v>0</v>
      </c>
    </row>
    <row r="226" spans="1:31" x14ac:dyDescent="0.25">
      <c r="A226" s="188" t="s">
        <v>23</v>
      </c>
      <c r="B226" s="188" t="s">
        <v>324</v>
      </c>
      <c r="C226" s="188" t="s">
        <v>172</v>
      </c>
      <c r="D226" s="188" t="str">
        <f t="shared" si="62"/>
        <v>101-E355</v>
      </c>
      <c r="E226" s="188">
        <v>0</v>
      </c>
      <c r="F226" s="188">
        <v>321128.3</v>
      </c>
      <c r="G226" s="188">
        <v>601201.44999999995</v>
      </c>
      <c r="H226" s="188">
        <v>1183791.57</v>
      </c>
      <c r="I226" s="188">
        <v>0</v>
      </c>
      <c r="J226" s="183">
        <v>0</v>
      </c>
      <c r="L226" s="188" t="str">
        <f t="shared" si="63"/>
        <v>PI Electric</v>
      </c>
      <c r="M226" s="188" t="str">
        <f t="shared" si="64"/>
        <v>E3556 TSM Poles</v>
      </c>
      <c r="N226" s="188" t="str">
        <f t="shared" si="60"/>
        <v>Programmatic Customer Drive</v>
      </c>
      <c r="O226" s="188" t="str">
        <f t="shared" si="65"/>
        <v>101-E355</v>
      </c>
      <c r="P226" s="188">
        <f t="shared" si="66"/>
        <v>0</v>
      </c>
      <c r="Q226" s="188">
        <f t="shared" si="67"/>
        <v>321128.3</v>
      </c>
      <c r="R226" s="188">
        <f t="shared" si="68"/>
        <v>601201.44999999995</v>
      </c>
      <c r="S226" s="188">
        <f t="shared" si="69"/>
        <v>1183791.57</v>
      </c>
      <c r="T226" s="188">
        <f t="shared" si="70"/>
        <v>0</v>
      </c>
      <c r="V226" s="188" t="str">
        <f t="shared" si="71"/>
        <v>PI Electric</v>
      </c>
      <c r="W226" s="188" t="str">
        <f t="shared" si="72"/>
        <v>E3556 TSM Poles</v>
      </c>
      <c r="X226" s="188" t="str">
        <f t="shared" si="61"/>
        <v>Programmatic Customer Drive</v>
      </c>
      <c r="Y226" s="188" t="str">
        <f t="shared" si="73"/>
        <v>101-E355</v>
      </c>
      <c r="Z226" s="188">
        <f t="shared" si="74"/>
        <v>0</v>
      </c>
      <c r="AA226" s="188">
        <f t="shared" si="75"/>
        <v>0</v>
      </c>
      <c r="AB226" s="188">
        <f t="shared" si="76"/>
        <v>0</v>
      </c>
      <c r="AC226" s="188">
        <f t="shared" si="77"/>
        <v>0</v>
      </c>
      <c r="AD226" s="188">
        <f t="shared" si="78"/>
        <v>0</v>
      </c>
      <c r="AE226" s="183">
        <f t="shared" si="79"/>
        <v>0</v>
      </c>
    </row>
    <row r="227" spans="1:31" x14ac:dyDescent="0.25">
      <c r="A227" s="188" t="s">
        <v>23</v>
      </c>
      <c r="B227" s="188" t="s">
        <v>399</v>
      </c>
      <c r="C227" s="188" t="s">
        <v>172</v>
      </c>
      <c r="D227" s="188" t="str">
        <f t="shared" si="62"/>
        <v>101-E355</v>
      </c>
      <c r="E227" s="188">
        <v>0</v>
      </c>
      <c r="F227" s="188">
        <v>7966.8</v>
      </c>
      <c r="G227" s="188">
        <v>11950.2</v>
      </c>
      <c r="H227" s="188">
        <v>19917</v>
      </c>
      <c r="I227" s="188">
        <v>0</v>
      </c>
      <c r="J227" s="183">
        <v>0</v>
      </c>
      <c r="L227" s="188" t="str">
        <f t="shared" si="63"/>
        <v>PI Electric</v>
      </c>
      <c r="M227" s="188" t="str">
        <f t="shared" si="64"/>
        <v>E3557 TSM Poles</v>
      </c>
      <c r="N227" s="188" t="str">
        <f t="shared" si="60"/>
        <v>Programmatic Customer Drive</v>
      </c>
      <c r="O227" s="188" t="str">
        <f t="shared" si="65"/>
        <v>101-E355</v>
      </c>
      <c r="P227" s="188">
        <f t="shared" si="66"/>
        <v>0</v>
      </c>
      <c r="Q227" s="188">
        <f t="shared" si="67"/>
        <v>7966.8</v>
      </c>
      <c r="R227" s="188">
        <f t="shared" si="68"/>
        <v>11950.2</v>
      </c>
      <c r="S227" s="188">
        <f t="shared" si="69"/>
        <v>19917</v>
      </c>
      <c r="T227" s="188">
        <f t="shared" si="70"/>
        <v>0</v>
      </c>
      <c r="V227" s="188" t="str">
        <f t="shared" si="71"/>
        <v>PI Electric</v>
      </c>
      <c r="W227" s="188" t="str">
        <f t="shared" si="72"/>
        <v>E3557 TSM Poles</v>
      </c>
      <c r="X227" s="188" t="str">
        <f t="shared" si="61"/>
        <v>Programmatic Customer Drive</v>
      </c>
      <c r="Y227" s="188" t="str">
        <f t="shared" si="73"/>
        <v>101-E355</v>
      </c>
      <c r="Z227" s="188">
        <f t="shared" si="74"/>
        <v>0</v>
      </c>
      <c r="AA227" s="188">
        <f t="shared" si="75"/>
        <v>0</v>
      </c>
      <c r="AB227" s="188">
        <f t="shared" si="76"/>
        <v>0</v>
      </c>
      <c r="AC227" s="188">
        <f t="shared" si="77"/>
        <v>0</v>
      </c>
      <c r="AD227" s="188">
        <f t="shared" si="78"/>
        <v>0</v>
      </c>
      <c r="AE227" s="183">
        <f t="shared" si="79"/>
        <v>0</v>
      </c>
    </row>
    <row r="228" spans="1:31" x14ac:dyDescent="0.25">
      <c r="A228" s="188" t="s">
        <v>23</v>
      </c>
      <c r="B228" s="188" t="s">
        <v>395</v>
      </c>
      <c r="C228" s="188" t="s">
        <v>172</v>
      </c>
      <c r="D228" s="188" t="str">
        <f t="shared" si="62"/>
        <v>101-E356</v>
      </c>
      <c r="E228" s="188">
        <v>0</v>
      </c>
      <c r="F228" s="188">
        <v>29175.13</v>
      </c>
      <c r="G228" s="188">
        <v>88064.42</v>
      </c>
      <c r="H228" s="188">
        <v>216220.09</v>
      </c>
      <c r="I228" s="188">
        <v>0</v>
      </c>
      <c r="J228" s="183">
        <v>0</v>
      </c>
      <c r="L228" s="188" t="str">
        <f t="shared" si="63"/>
        <v>PI Electric</v>
      </c>
      <c r="M228" s="188" t="str">
        <f t="shared" si="64"/>
        <v>E3566 TSM O/H Conductor/Devices</v>
      </c>
      <c r="N228" s="188" t="str">
        <f t="shared" si="60"/>
        <v>Programmatic Customer Drive</v>
      </c>
      <c r="O228" s="188" t="str">
        <f t="shared" si="65"/>
        <v>101-E356</v>
      </c>
      <c r="P228" s="188">
        <f t="shared" si="66"/>
        <v>0</v>
      </c>
      <c r="Q228" s="188">
        <f t="shared" si="67"/>
        <v>29175.13</v>
      </c>
      <c r="R228" s="188">
        <f t="shared" si="68"/>
        <v>88064.42</v>
      </c>
      <c r="S228" s="188">
        <f t="shared" si="69"/>
        <v>216220.09</v>
      </c>
      <c r="T228" s="188">
        <f t="shared" si="70"/>
        <v>0</v>
      </c>
      <c r="V228" s="188" t="str">
        <f t="shared" si="71"/>
        <v>PI Electric</v>
      </c>
      <c r="W228" s="188" t="str">
        <f t="shared" si="72"/>
        <v>E3566 TSM O/H Conductor/Devices</v>
      </c>
      <c r="X228" s="188" t="str">
        <f t="shared" si="61"/>
        <v>Programmatic Customer Drive</v>
      </c>
      <c r="Y228" s="188" t="str">
        <f t="shared" si="73"/>
        <v>101-E356</v>
      </c>
      <c r="Z228" s="188">
        <f t="shared" si="74"/>
        <v>0</v>
      </c>
      <c r="AA228" s="188">
        <f t="shared" si="75"/>
        <v>0</v>
      </c>
      <c r="AB228" s="188">
        <f t="shared" si="76"/>
        <v>0</v>
      </c>
      <c r="AC228" s="188">
        <f t="shared" si="77"/>
        <v>0</v>
      </c>
      <c r="AD228" s="188">
        <f t="shared" si="78"/>
        <v>0</v>
      </c>
      <c r="AE228" s="183">
        <f t="shared" si="79"/>
        <v>0</v>
      </c>
    </row>
    <row r="229" spans="1:31" x14ac:dyDescent="0.25">
      <c r="A229" s="188" t="s">
        <v>23</v>
      </c>
      <c r="B229" s="188" t="s">
        <v>394</v>
      </c>
      <c r="C229" s="188" t="s">
        <v>172</v>
      </c>
      <c r="D229" s="188" t="str">
        <f t="shared" si="62"/>
        <v>101-E356</v>
      </c>
      <c r="E229" s="188">
        <v>0</v>
      </c>
      <c r="F229" s="188">
        <v>2038.68</v>
      </c>
      <c r="G229" s="188">
        <v>3058.02</v>
      </c>
      <c r="H229" s="188">
        <v>5096.7</v>
      </c>
      <c r="I229" s="188">
        <v>0</v>
      </c>
      <c r="J229" s="183">
        <v>0</v>
      </c>
      <c r="L229" s="188" t="str">
        <f t="shared" si="63"/>
        <v>PI Electric</v>
      </c>
      <c r="M229" s="188" t="str">
        <f t="shared" si="64"/>
        <v>E3567 TSM O/H Conductor/Devices</v>
      </c>
      <c r="N229" s="188" t="str">
        <f t="shared" si="60"/>
        <v>Programmatic Customer Drive</v>
      </c>
      <c r="O229" s="188" t="str">
        <f t="shared" si="65"/>
        <v>101-E356</v>
      </c>
      <c r="P229" s="188">
        <f t="shared" si="66"/>
        <v>0</v>
      </c>
      <c r="Q229" s="188">
        <f t="shared" si="67"/>
        <v>2038.68</v>
      </c>
      <c r="R229" s="188">
        <f t="shared" si="68"/>
        <v>3058.02</v>
      </c>
      <c r="S229" s="188">
        <f t="shared" si="69"/>
        <v>5096.7</v>
      </c>
      <c r="T229" s="188">
        <f t="shared" si="70"/>
        <v>0</v>
      </c>
      <c r="V229" s="188" t="str">
        <f t="shared" si="71"/>
        <v>PI Electric</v>
      </c>
      <c r="W229" s="188" t="str">
        <f t="shared" si="72"/>
        <v>E3567 TSM O/H Conductor/Devices</v>
      </c>
      <c r="X229" s="188" t="str">
        <f t="shared" si="61"/>
        <v>Programmatic Customer Drive</v>
      </c>
      <c r="Y229" s="188" t="str">
        <f t="shared" si="73"/>
        <v>101-E356</v>
      </c>
      <c r="Z229" s="188">
        <f t="shared" si="74"/>
        <v>0</v>
      </c>
      <c r="AA229" s="188">
        <f t="shared" si="75"/>
        <v>0</v>
      </c>
      <c r="AB229" s="188">
        <f t="shared" si="76"/>
        <v>0</v>
      </c>
      <c r="AC229" s="188">
        <f t="shared" si="77"/>
        <v>0</v>
      </c>
      <c r="AD229" s="188">
        <f t="shared" si="78"/>
        <v>0</v>
      </c>
      <c r="AE229" s="183">
        <f t="shared" si="79"/>
        <v>0</v>
      </c>
    </row>
    <row r="230" spans="1:31" x14ac:dyDescent="0.25">
      <c r="A230" s="188" t="s">
        <v>23</v>
      </c>
      <c r="B230" s="188" t="s">
        <v>517</v>
      </c>
      <c r="C230" s="188" t="s">
        <v>172</v>
      </c>
      <c r="D230" s="188" t="str">
        <f t="shared" si="62"/>
        <v>101-E360</v>
      </c>
      <c r="E230" s="188">
        <v>0</v>
      </c>
      <c r="F230" s="188">
        <v>10280.52</v>
      </c>
      <c r="G230" s="188">
        <v>33341.58</v>
      </c>
      <c r="H230" s="188">
        <v>83631.350000000006</v>
      </c>
      <c r="I230" s="188">
        <v>0</v>
      </c>
      <c r="J230" s="183">
        <v>0</v>
      </c>
      <c r="L230" s="188" t="str">
        <f t="shared" si="63"/>
        <v>PI Electric</v>
      </c>
      <c r="M230" s="188" t="str">
        <f t="shared" si="64"/>
        <v>E36010 DST Easements</v>
      </c>
      <c r="N230" s="188" t="str">
        <f t="shared" si="60"/>
        <v>Programmatic Customer Drive</v>
      </c>
      <c r="O230" s="188" t="str">
        <f t="shared" si="65"/>
        <v>101-E360</v>
      </c>
      <c r="P230" s="188">
        <f t="shared" si="66"/>
        <v>0</v>
      </c>
      <c r="Q230" s="188">
        <f t="shared" si="67"/>
        <v>10280.52</v>
      </c>
      <c r="R230" s="188">
        <f t="shared" si="68"/>
        <v>33341.58</v>
      </c>
      <c r="S230" s="188">
        <f t="shared" si="69"/>
        <v>83631.350000000006</v>
      </c>
      <c r="T230" s="188">
        <f t="shared" si="70"/>
        <v>0</v>
      </c>
      <c r="V230" s="188" t="str">
        <f t="shared" si="71"/>
        <v>PI Electric</v>
      </c>
      <c r="W230" s="188" t="str">
        <f t="shared" si="72"/>
        <v>E36010 DST Easements</v>
      </c>
      <c r="X230" s="188" t="str">
        <f t="shared" si="61"/>
        <v>Programmatic Customer Drive</v>
      </c>
      <c r="Y230" s="188" t="str">
        <f t="shared" si="73"/>
        <v>101-E360</v>
      </c>
      <c r="Z230" s="188">
        <f t="shared" si="74"/>
        <v>0</v>
      </c>
      <c r="AA230" s="188">
        <f t="shared" si="75"/>
        <v>0</v>
      </c>
      <c r="AB230" s="188">
        <f t="shared" si="76"/>
        <v>0</v>
      </c>
      <c r="AC230" s="188">
        <f t="shared" si="77"/>
        <v>0</v>
      </c>
      <c r="AD230" s="188">
        <f t="shared" si="78"/>
        <v>0</v>
      </c>
      <c r="AE230" s="183">
        <f t="shared" si="79"/>
        <v>0</v>
      </c>
    </row>
    <row r="231" spans="1:31" x14ac:dyDescent="0.25">
      <c r="A231" s="188" t="s">
        <v>23</v>
      </c>
      <c r="B231" s="188" t="s">
        <v>388</v>
      </c>
      <c r="C231" s="188" t="s">
        <v>172</v>
      </c>
      <c r="D231" s="188" t="str">
        <f t="shared" si="62"/>
        <v>101-E362</v>
      </c>
      <c r="E231" s="188">
        <v>0</v>
      </c>
      <c r="F231" s="188">
        <v>366.5</v>
      </c>
      <c r="G231" s="188">
        <v>368.54</v>
      </c>
      <c r="H231" s="188">
        <v>369.05</v>
      </c>
      <c r="I231" s="188">
        <v>0</v>
      </c>
      <c r="J231" s="183">
        <v>0</v>
      </c>
      <c r="L231" s="188" t="str">
        <f t="shared" si="63"/>
        <v>PI Electric</v>
      </c>
      <c r="M231" s="188" t="str">
        <f t="shared" si="64"/>
        <v>E3620 DST Substation Equipment</v>
      </c>
      <c r="N231" s="188" t="str">
        <f t="shared" si="60"/>
        <v>Programmatic Customer Drive</v>
      </c>
      <c r="O231" s="188" t="str">
        <f t="shared" si="65"/>
        <v>101-E362</v>
      </c>
      <c r="P231" s="188">
        <f t="shared" si="66"/>
        <v>0</v>
      </c>
      <c r="Q231" s="188">
        <f t="shared" si="67"/>
        <v>366.5</v>
      </c>
      <c r="R231" s="188">
        <f t="shared" si="68"/>
        <v>368.54</v>
      </c>
      <c r="S231" s="188">
        <f t="shared" si="69"/>
        <v>369.05</v>
      </c>
      <c r="T231" s="188">
        <f t="shared" si="70"/>
        <v>0</v>
      </c>
      <c r="V231" s="188" t="str">
        <f t="shared" si="71"/>
        <v>PI Electric</v>
      </c>
      <c r="W231" s="188" t="str">
        <f t="shared" si="72"/>
        <v>E3620 DST Substation Equipment</v>
      </c>
      <c r="X231" s="188" t="str">
        <f t="shared" si="61"/>
        <v>Programmatic Customer Drive</v>
      </c>
      <c r="Y231" s="188" t="str">
        <f t="shared" si="73"/>
        <v>101-E362</v>
      </c>
      <c r="Z231" s="188">
        <f t="shared" si="74"/>
        <v>0</v>
      </c>
      <c r="AA231" s="188">
        <f t="shared" si="75"/>
        <v>0</v>
      </c>
      <c r="AB231" s="188">
        <f t="shared" si="76"/>
        <v>0</v>
      </c>
      <c r="AC231" s="188">
        <f t="shared" si="77"/>
        <v>0</v>
      </c>
      <c r="AD231" s="188">
        <f t="shared" si="78"/>
        <v>0</v>
      </c>
      <c r="AE231" s="183">
        <f t="shared" si="79"/>
        <v>0</v>
      </c>
    </row>
    <row r="232" spans="1:31" x14ac:dyDescent="0.25">
      <c r="A232" s="188" t="s">
        <v>23</v>
      </c>
      <c r="B232" s="188" t="s">
        <v>318</v>
      </c>
      <c r="C232" s="188" t="s">
        <v>172</v>
      </c>
      <c r="D232" s="188" t="str">
        <f t="shared" si="62"/>
        <v>101-E364</v>
      </c>
      <c r="E232" s="188">
        <v>0</v>
      </c>
      <c r="F232" s="188">
        <v>3558375.86</v>
      </c>
      <c r="G232" s="188">
        <v>5875160.4500000002</v>
      </c>
      <c r="H232" s="188">
        <v>10640262.18</v>
      </c>
      <c r="I232" s="188">
        <v>0</v>
      </c>
      <c r="J232" s="183">
        <v>0</v>
      </c>
      <c r="L232" s="188" t="str">
        <f t="shared" si="63"/>
        <v>PI Electric</v>
      </c>
      <c r="M232" s="188" t="str">
        <f t="shared" si="64"/>
        <v>E3640 DST Poles/Towers/Fixtures</v>
      </c>
      <c r="N232" s="188" t="str">
        <f t="shared" si="60"/>
        <v>Programmatic Customer Drive</v>
      </c>
      <c r="O232" s="188" t="str">
        <f t="shared" si="65"/>
        <v>101-E364</v>
      </c>
      <c r="P232" s="188">
        <f t="shared" si="66"/>
        <v>0</v>
      </c>
      <c r="Q232" s="188">
        <f t="shared" si="67"/>
        <v>3558375.86</v>
      </c>
      <c r="R232" s="188">
        <f t="shared" si="68"/>
        <v>5875160.4500000002</v>
      </c>
      <c r="S232" s="188">
        <f t="shared" si="69"/>
        <v>10640262.18</v>
      </c>
      <c r="T232" s="188">
        <f t="shared" si="70"/>
        <v>0</v>
      </c>
      <c r="V232" s="188" t="str">
        <f t="shared" si="71"/>
        <v>PI Electric</v>
      </c>
      <c r="W232" s="188" t="str">
        <f t="shared" si="72"/>
        <v>E3640 DST Poles/Towers/Fixtures</v>
      </c>
      <c r="X232" s="188" t="str">
        <f t="shared" si="61"/>
        <v>Programmatic Customer Drive</v>
      </c>
      <c r="Y232" s="188" t="str">
        <f t="shared" si="73"/>
        <v>101-E364</v>
      </c>
      <c r="Z232" s="188">
        <f t="shared" si="74"/>
        <v>0</v>
      </c>
      <c r="AA232" s="188">
        <f t="shared" si="75"/>
        <v>0</v>
      </c>
      <c r="AB232" s="188">
        <f t="shared" si="76"/>
        <v>0</v>
      </c>
      <c r="AC232" s="188">
        <f t="shared" si="77"/>
        <v>0</v>
      </c>
      <c r="AD232" s="188">
        <f t="shared" si="78"/>
        <v>0</v>
      </c>
      <c r="AE232" s="183">
        <f t="shared" si="79"/>
        <v>0</v>
      </c>
    </row>
    <row r="233" spans="1:31" x14ac:dyDescent="0.25">
      <c r="A233" s="188" t="s">
        <v>23</v>
      </c>
      <c r="B233" s="188" t="s">
        <v>327</v>
      </c>
      <c r="C233" s="188" t="s">
        <v>172</v>
      </c>
      <c r="D233" s="188" t="str">
        <f t="shared" si="62"/>
        <v>101-E365</v>
      </c>
      <c r="E233" s="188">
        <v>0</v>
      </c>
      <c r="F233" s="188">
        <v>1249917.3799999999</v>
      </c>
      <c r="G233" s="188">
        <v>1462806.59</v>
      </c>
      <c r="H233" s="188">
        <v>1777460.41</v>
      </c>
      <c r="I233" s="188">
        <v>0</v>
      </c>
      <c r="J233" s="183">
        <v>0</v>
      </c>
      <c r="L233" s="188" t="str">
        <f t="shared" si="63"/>
        <v>PI Electric</v>
      </c>
      <c r="M233" s="188" t="str">
        <f t="shared" si="64"/>
        <v>E3650 DST O/H Conductor/Devices</v>
      </c>
      <c r="N233" s="188" t="str">
        <f t="shared" si="60"/>
        <v>Programmatic Customer Drive</v>
      </c>
      <c r="O233" s="188" t="str">
        <f t="shared" si="65"/>
        <v>101-E365</v>
      </c>
      <c r="P233" s="188">
        <f t="shared" si="66"/>
        <v>0</v>
      </c>
      <c r="Q233" s="188">
        <f t="shared" si="67"/>
        <v>1249917.3799999999</v>
      </c>
      <c r="R233" s="188">
        <f t="shared" si="68"/>
        <v>1462806.59</v>
      </c>
      <c r="S233" s="188">
        <f t="shared" si="69"/>
        <v>1777460.41</v>
      </c>
      <c r="T233" s="188">
        <f t="shared" si="70"/>
        <v>0</v>
      </c>
      <c r="V233" s="188" t="str">
        <f t="shared" si="71"/>
        <v>PI Electric</v>
      </c>
      <c r="W233" s="188" t="str">
        <f t="shared" si="72"/>
        <v>E3650 DST O/H Conductor/Devices</v>
      </c>
      <c r="X233" s="188" t="str">
        <f t="shared" si="61"/>
        <v>Programmatic Customer Drive</v>
      </c>
      <c r="Y233" s="188" t="str">
        <f t="shared" si="73"/>
        <v>101-E365</v>
      </c>
      <c r="Z233" s="188">
        <f t="shared" si="74"/>
        <v>0</v>
      </c>
      <c r="AA233" s="188">
        <f t="shared" si="75"/>
        <v>0</v>
      </c>
      <c r="AB233" s="188">
        <f t="shared" si="76"/>
        <v>0</v>
      </c>
      <c r="AC233" s="188">
        <f t="shared" si="77"/>
        <v>0</v>
      </c>
      <c r="AD233" s="188">
        <f t="shared" si="78"/>
        <v>0</v>
      </c>
      <c r="AE233" s="183">
        <f t="shared" si="79"/>
        <v>0</v>
      </c>
    </row>
    <row r="234" spans="1:31" x14ac:dyDescent="0.25">
      <c r="A234" s="188" t="s">
        <v>23</v>
      </c>
      <c r="B234" s="188" t="s">
        <v>317</v>
      </c>
      <c r="C234" s="188" t="s">
        <v>172</v>
      </c>
      <c r="D234" s="188" t="str">
        <f t="shared" si="62"/>
        <v>101-E366</v>
      </c>
      <c r="E234" s="188">
        <v>0</v>
      </c>
      <c r="F234" s="188">
        <v>4064722.24</v>
      </c>
      <c r="G234" s="188">
        <v>5088237.91</v>
      </c>
      <c r="H234" s="188">
        <v>7138211.9699999997</v>
      </c>
      <c r="I234" s="188">
        <v>0</v>
      </c>
      <c r="J234" s="183">
        <v>0</v>
      </c>
      <c r="L234" s="188" t="str">
        <f t="shared" si="63"/>
        <v>PI Electric</v>
      </c>
      <c r="M234" s="188" t="str">
        <f t="shared" si="64"/>
        <v>E3660 DST U/G Conduit</v>
      </c>
      <c r="N234" s="188" t="str">
        <f t="shared" si="60"/>
        <v>Programmatic Customer Drive</v>
      </c>
      <c r="O234" s="188" t="str">
        <f t="shared" si="65"/>
        <v>101-E366</v>
      </c>
      <c r="P234" s="188">
        <f t="shared" si="66"/>
        <v>0</v>
      </c>
      <c r="Q234" s="188">
        <f t="shared" si="67"/>
        <v>4064722.24</v>
      </c>
      <c r="R234" s="188">
        <f t="shared" si="68"/>
        <v>5088237.91</v>
      </c>
      <c r="S234" s="188">
        <f t="shared" si="69"/>
        <v>7138211.9699999997</v>
      </c>
      <c r="T234" s="188">
        <f t="shared" si="70"/>
        <v>0</v>
      </c>
      <c r="V234" s="188" t="str">
        <f t="shared" si="71"/>
        <v>PI Electric</v>
      </c>
      <c r="W234" s="188" t="str">
        <f t="shared" si="72"/>
        <v>E3660 DST U/G Conduit</v>
      </c>
      <c r="X234" s="188" t="str">
        <f t="shared" si="61"/>
        <v>Programmatic Customer Drive</v>
      </c>
      <c r="Y234" s="188" t="str">
        <f t="shared" si="73"/>
        <v>101-E366</v>
      </c>
      <c r="Z234" s="188">
        <f t="shared" si="74"/>
        <v>0</v>
      </c>
      <c r="AA234" s="188">
        <f t="shared" si="75"/>
        <v>0</v>
      </c>
      <c r="AB234" s="188">
        <f t="shared" si="76"/>
        <v>0</v>
      </c>
      <c r="AC234" s="188">
        <f t="shared" si="77"/>
        <v>0</v>
      </c>
      <c r="AD234" s="188">
        <f t="shared" si="78"/>
        <v>0</v>
      </c>
      <c r="AE234" s="183">
        <f t="shared" si="79"/>
        <v>0</v>
      </c>
    </row>
    <row r="235" spans="1:31" x14ac:dyDescent="0.25">
      <c r="A235" s="188" t="s">
        <v>23</v>
      </c>
      <c r="B235" s="188" t="s">
        <v>316</v>
      </c>
      <c r="C235" s="188" t="s">
        <v>172</v>
      </c>
      <c r="D235" s="188" t="str">
        <f t="shared" si="62"/>
        <v>101-E367</v>
      </c>
      <c r="E235" s="188">
        <v>0</v>
      </c>
      <c r="F235" s="188">
        <v>3475789.84</v>
      </c>
      <c r="G235" s="188">
        <v>4058371.37</v>
      </c>
      <c r="H235" s="188">
        <v>4868121.95</v>
      </c>
      <c r="I235" s="188">
        <v>0</v>
      </c>
      <c r="J235" s="183">
        <v>0</v>
      </c>
      <c r="L235" s="188" t="str">
        <f t="shared" si="63"/>
        <v>PI Electric</v>
      </c>
      <c r="M235" s="188" t="str">
        <f t="shared" si="64"/>
        <v>E3670 DST U/G Conductor/Devices</v>
      </c>
      <c r="N235" s="188" t="str">
        <f t="shared" si="60"/>
        <v>Programmatic Customer Drive</v>
      </c>
      <c r="O235" s="188" t="str">
        <f t="shared" si="65"/>
        <v>101-E367</v>
      </c>
      <c r="P235" s="188">
        <f t="shared" si="66"/>
        <v>0</v>
      </c>
      <c r="Q235" s="188">
        <f t="shared" si="67"/>
        <v>3475789.84</v>
      </c>
      <c r="R235" s="188">
        <f t="shared" si="68"/>
        <v>4058371.37</v>
      </c>
      <c r="S235" s="188">
        <f t="shared" si="69"/>
        <v>4868121.95</v>
      </c>
      <c r="T235" s="188">
        <f t="shared" si="70"/>
        <v>0</v>
      </c>
      <c r="V235" s="188" t="str">
        <f t="shared" si="71"/>
        <v>PI Electric</v>
      </c>
      <c r="W235" s="188" t="str">
        <f t="shared" si="72"/>
        <v>E3670 DST U/G Conductor/Devices</v>
      </c>
      <c r="X235" s="188" t="str">
        <f t="shared" si="61"/>
        <v>Programmatic Customer Drive</v>
      </c>
      <c r="Y235" s="188" t="str">
        <f t="shared" si="73"/>
        <v>101-E367</v>
      </c>
      <c r="Z235" s="188">
        <f t="shared" si="74"/>
        <v>0</v>
      </c>
      <c r="AA235" s="188">
        <f t="shared" si="75"/>
        <v>0</v>
      </c>
      <c r="AB235" s="188">
        <f t="shared" si="76"/>
        <v>0</v>
      </c>
      <c r="AC235" s="188">
        <f t="shared" si="77"/>
        <v>0</v>
      </c>
      <c r="AD235" s="188">
        <f t="shared" si="78"/>
        <v>0</v>
      </c>
      <c r="AE235" s="183">
        <f t="shared" si="79"/>
        <v>0</v>
      </c>
    </row>
    <row r="236" spans="1:31" x14ac:dyDescent="0.25">
      <c r="A236" s="188" t="s">
        <v>23</v>
      </c>
      <c r="B236" s="188" t="s">
        <v>387</v>
      </c>
      <c r="C236" s="188" t="s">
        <v>172</v>
      </c>
      <c r="D236" s="188" t="str">
        <f t="shared" si="62"/>
        <v>101-E368</v>
      </c>
      <c r="E236" s="188">
        <v>0</v>
      </c>
      <c r="F236" s="188">
        <v>535083.63</v>
      </c>
      <c r="G236" s="188">
        <v>731462.65</v>
      </c>
      <c r="H236" s="188">
        <v>1180938.96</v>
      </c>
      <c r="I236" s="188">
        <v>0</v>
      </c>
      <c r="J236" s="183">
        <v>0</v>
      </c>
      <c r="L236" s="188" t="str">
        <f t="shared" si="63"/>
        <v>PI Electric</v>
      </c>
      <c r="M236" s="188" t="str">
        <f t="shared" si="64"/>
        <v>E368 DST Line Transformers</v>
      </c>
      <c r="N236" s="188" t="str">
        <f t="shared" si="60"/>
        <v>Programmatic Customer Drive</v>
      </c>
      <c r="O236" s="188" t="str">
        <f t="shared" si="65"/>
        <v>101-E368</v>
      </c>
      <c r="P236" s="188">
        <f t="shared" si="66"/>
        <v>0</v>
      </c>
      <c r="Q236" s="188">
        <f t="shared" si="67"/>
        <v>535083.63</v>
      </c>
      <c r="R236" s="188">
        <f t="shared" si="68"/>
        <v>731462.65</v>
      </c>
      <c r="S236" s="188">
        <f t="shared" si="69"/>
        <v>1180938.96</v>
      </c>
      <c r="T236" s="188">
        <f t="shared" si="70"/>
        <v>0</v>
      </c>
      <c r="V236" s="188" t="str">
        <f t="shared" si="71"/>
        <v>PI Electric</v>
      </c>
      <c r="W236" s="188" t="str">
        <f t="shared" si="72"/>
        <v>E368 DST Line Transformers</v>
      </c>
      <c r="X236" s="188" t="str">
        <f t="shared" si="61"/>
        <v>Programmatic Customer Drive</v>
      </c>
      <c r="Y236" s="188" t="str">
        <f t="shared" si="73"/>
        <v>101-E368</v>
      </c>
      <c r="Z236" s="188">
        <f t="shared" si="74"/>
        <v>0</v>
      </c>
      <c r="AA236" s="188">
        <f t="shared" si="75"/>
        <v>0</v>
      </c>
      <c r="AB236" s="188">
        <f t="shared" si="76"/>
        <v>0</v>
      </c>
      <c r="AC236" s="188">
        <f t="shared" si="77"/>
        <v>0</v>
      </c>
      <c r="AD236" s="188">
        <f t="shared" si="78"/>
        <v>0</v>
      </c>
      <c r="AE236" s="183">
        <f t="shared" si="79"/>
        <v>0</v>
      </c>
    </row>
    <row r="237" spans="1:31" x14ac:dyDescent="0.25">
      <c r="A237" s="188" t="s">
        <v>23</v>
      </c>
      <c r="B237" s="188" t="s">
        <v>386</v>
      </c>
      <c r="C237" s="188" t="s">
        <v>172</v>
      </c>
      <c r="D237" s="188" t="str">
        <f t="shared" si="62"/>
        <v>101-E369</v>
      </c>
      <c r="E237" s="188">
        <v>0</v>
      </c>
      <c r="F237" s="188">
        <v>8615.94</v>
      </c>
      <c r="G237" s="188">
        <v>11940.89</v>
      </c>
      <c r="H237" s="188">
        <v>20631.23</v>
      </c>
      <c r="I237" s="188">
        <v>0</v>
      </c>
      <c r="J237" s="183">
        <v>0</v>
      </c>
      <c r="L237" s="188" t="str">
        <f t="shared" si="63"/>
        <v>PI Electric</v>
      </c>
      <c r="M237" s="188" t="str">
        <f t="shared" si="64"/>
        <v>E369 DST Services</v>
      </c>
      <c r="N237" s="188" t="str">
        <f t="shared" si="60"/>
        <v>Programmatic Customer Drive</v>
      </c>
      <c r="O237" s="188" t="str">
        <f t="shared" si="65"/>
        <v>101-E369</v>
      </c>
      <c r="P237" s="188">
        <f t="shared" si="66"/>
        <v>0</v>
      </c>
      <c r="Q237" s="188">
        <f t="shared" si="67"/>
        <v>8615.94</v>
      </c>
      <c r="R237" s="188">
        <f t="shared" si="68"/>
        <v>11940.89</v>
      </c>
      <c r="S237" s="188">
        <f t="shared" si="69"/>
        <v>20631.23</v>
      </c>
      <c r="T237" s="188">
        <f t="shared" si="70"/>
        <v>0</v>
      </c>
      <c r="V237" s="188" t="str">
        <f t="shared" si="71"/>
        <v>PI Electric</v>
      </c>
      <c r="W237" s="188" t="str">
        <f t="shared" si="72"/>
        <v>E369 DST Services</v>
      </c>
      <c r="X237" s="188" t="str">
        <f t="shared" si="61"/>
        <v>Programmatic Customer Drive</v>
      </c>
      <c r="Y237" s="188" t="str">
        <f t="shared" si="73"/>
        <v>101-E369</v>
      </c>
      <c r="Z237" s="188">
        <f t="shared" si="74"/>
        <v>0</v>
      </c>
      <c r="AA237" s="188">
        <f t="shared" si="75"/>
        <v>0</v>
      </c>
      <c r="AB237" s="188">
        <f t="shared" si="76"/>
        <v>0</v>
      </c>
      <c r="AC237" s="188">
        <f t="shared" si="77"/>
        <v>0</v>
      </c>
      <c r="AD237" s="188">
        <f t="shared" si="78"/>
        <v>0</v>
      </c>
      <c r="AE237" s="183">
        <f t="shared" si="79"/>
        <v>0</v>
      </c>
    </row>
    <row r="238" spans="1:31" x14ac:dyDescent="0.25">
      <c r="A238" s="188" t="s">
        <v>23</v>
      </c>
      <c r="B238" s="188" t="s">
        <v>383</v>
      </c>
      <c r="C238" s="188" t="s">
        <v>172</v>
      </c>
      <c r="D238" s="188" t="str">
        <f t="shared" si="62"/>
        <v>101-E373</v>
      </c>
      <c r="E238" s="188">
        <v>0</v>
      </c>
      <c r="F238" s="188">
        <v>917.7</v>
      </c>
      <c r="G238" s="188">
        <v>1015.89</v>
      </c>
      <c r="H238" s="188">
        <v>1091.98</v>
      </c>
      <c r="I238" s="188">
        <v>0</v>
      </c>
      <c r="J238" s="183">
        <v>0</v>
      </c>
      <c r="L238" s="188" t="str">
        <f t="shared" si="63"/>
        <v>PI Electric</v>
      </c>
      <c r="M238" s="188" t="str">
        <f t="shared" si="64"/>
        <v>E373 DST Street Lighting &amp; Signal</v>
      </c>
      <c r="N238" s="188" t="str">
        <f t="shared" si="60"/>
        <v>Programmatic Customer Drive</v>
      </c>
      <c r="O238" s="188" t="str">
        <f t="shared" si="65"/>
        <v>101-E373</v>
      </c>
      <c r="P238" s="188">
        <f t="shared" si="66"/>
        <v>0</v>
      </c>
      <c r="Q238" s="188">
        <f t="shared" si="67"/>
        <v>917.7</v>
      </c>
      <c r="R238" s="188">
        <f t="shared" si="68"/>
        <v>1015.89</v>
      </c>
      <c r="S238" s="188">
        <f t="shared" si="69"/>
        <v>1091.98</v>
      </c>
      <c r="T238" s="188">
        <f t="shared" si="70"/>
        <v>0</v>
      </c>
      <c r="V238" s="188" t="str">
        <f t="shared" si="71"/>
        <v>PI Electric</v>
      </c>
      <c r="W238" s="188" t="str">
        <f t="shared" si="72"/>
        <v>E373 DST Street Lighting &amp; Signal</v>
      </c>
      <c r="X238" s="188" t="str">
        <f t="shared" si="61"/>
        <v>Programmatic Customer Drive</v>
      </c>
      <c r="Y238" s="188" t="str">
        <f t="shared" si="73"/>
        <v>101-E373</v>
      </c>
      <c r="Z238" s="188">
        <f t="shared" si="74"/>
        <v>0</v>
      </c>
      <c r="AA238" s="188">
        <f t="shared" si="75"/>
        <v>0</v>
      </c>
      <c r="AB238" s="188">
        <f t="shared" si="76"/>
        <v>0</v>
      </c>
      <c r="AC238" s="188">
        <f t="shared" si="77"/>
        <v>0</v>
      </c>
      <c r="AD238" s="188">
        <f t="shared" si="78"/>
        <v>0</v>
      </c>
      <c r="AE238" s="183">
        <f t="shared" si="79"/>
        <v>0</v>
      </c>
    </row>
    <row r="239" spans="1:31" x14ac:dyDescent="0.25">
      <c r="A239" s="188" t="s">
        <v>24</v>
      </c>
      <c r="B239" s="188" t="s">
        <v>351</v>
      </c>
      <c r="C239" s="188" t="s">
        <v>172</v>
      </c>
      <c r="D239" s="188" t="str">
        <f t="shared" si="62"/>
        <v>101-G376</v>
      </c>
      <c r="E239" s="188">
        <v>0</v>
      </c>
      <c r="F239" s="188">
        <v>2348129.36</v>
      </c>
      <c r="G239" s="188">
        <v>2416362.4700000002</v>
      </c>
      <c r="H239" s="188">
        <v>2449537.14</v>
      </c>
      <c r="I239" s="188">
        <v>0</v>
      </c>
      <c r="J239" s="183">
        <v>0</v>
      </c>
      <c r="L239" s="188" t="str">
        <f t="shared" si="63"/>
        <v>PI Gas</v>
      </c>
      <c r="M239" s="188" t="str">
        <f t="shared" si="64"/>
        <v>G3762 DST Mains, Plastic</v>
      </c>
      <c r="N239" s="188" t="str">
        <f t="shared" si="60"/>
        <v>Programmatic Customer Drive</v>
      </c>
      <c r="O239" s="188" t="str">
        <f t="shared" si="65"/>
        <v>101-G376</v>
      </c>
      <c r="P239" s="188">
        <f t="shared" si="66"/>
        <v>0</v>
      </c>
      <c r="Q239" s="188">
        <f t="shared" si="67"/>
        <v>0</v>
      </c>
      <c r="R239" s="188">
        <f t="shared" si="68"/>
        <v>0</v>
      </c>
      <c r="S239" s="188">
        <f t="shared" si="69"/>
        <v>0</v>
      </c>
      <c r="T239" s="188">
        <f t="shared" si="70"/>
        <v>0</v>
      </c>
      <c r="V239" s="188" t="str">
        <f t="shared" si="71"/>
        <v>PI Gas</v>
      </c>
      <c r="W239" s="188" t="str">
        <f t="shared" si="72"/>
        <v>G3762 DST Mains, Plastic</v>
      </c>
      <c r="X239" s="188" t="str">
        <f t="shared" si="61"/>
        <v>Programmatic Customer Drive</v>
      </c>
      <c r="Y239" s="188" t="str">
        <f t="shared" si="73"/>
        <v>101-G376</v>
      </c>
      <c r="Z239" s="188">
        <f t="shared" si="74"/>
        <v>0</v>
      </c>
      <c r="AA239" s="188">
        <f t="shared" si="75"/>
        <v>2348129.36</v>
      </c>
      <c r="AB239" s="188">
        <f t="shared" si="76"/>
        <v>2416362.4700000002</v>
      </c>
      <c r="AC239" s="188">
        <f t="shared" si="77"/>
        <v>2449537.14</v>
      </c>
      <c r="AD239" s="188">
        <f t="shared" si="78"/>
        <v>0</v>
      </c>
      <c r="AE239" s="183">
        <f t="shared" si="79"/>
        <v>0</v>
      </c>
    </row>
    <row r="240" spans="1:31" x14ac:dyDescent="0.25">
      <c r="A240" s="188" t="s">
        <v>24</v>
      </c>
      <c r="B240" s="188" t="s">
        <v>350</v>
      </c>
      <c r="C240" s="188" t="s">
        <v>172</v>
      </c>
      <c r="D240" s="188" t="str">
        <f t="shared" si="62"/>
        <v>101-G376</v>
      </c>
      <c r="E240" s="188">
        <v>0</v>
      </c>
      <c r="F240" s="188">
        <v>7266680.2999999998</v>
      </c>
      <c r="G240" s="188">
        <v>7295727.21</v>
      </c>
      <c r="H240" s="188">
        <v>7315397.9400000004</v>
      </c>
      <c r="I240" s="188">
        <v>0</v>
      </c>
      <c r="J240" s="183">
        <v>0</v>
      </c>
      <c r="L240" s="188" t="str">
        <f t="shared" si="63"/>
        <v>PI Gas</v>
      </c>
      <c r="M240" s="188" t="str">
        <f t="shared" si="64"/>
        <v>G3764 DST Mains, Wrapped Steel</v>
      </c>
      <c r="N240" s="188" t="str">
        <f t="shared" si="60"/>
        <v>Programmatic Customer Drive</v>
      </c>
      <c r="O240" s="188" t="str">
        <f t="shared" si="65"/>
        <v>101-G376</v>
      </c>
      <c r="P240" s="188">
        <f t="shared" si="66"/>
        <v>0</v>
      </c>
      <c r="Q240" s="188">
        <f t="shared" si="67"/>
        <v>0</v>
      </c>
      <c r="R240" s="188">
        <f t="shared" si="68"/>
        <v>0</v>
      </c>
      <c r="S240" s="188">
        <f t="shared" si="69"/>
        <v>0</v>
      </c>
      <c r="T240" s="188">
        <f t="shared" si="70"/>
        <v>0</v>
      </c>
      <c r="V240" s="188" t="str">
        <f t="shared" si="71"/>
        <v>PI Gas</v>
      </c>
      <c r="W240" s="188" t="str">
        <f t="shared" si="72"/>
        <v>G3764 DST Mains, Wrapped Steel</v>
      </c>
      <c r="X240" s="188" t="str">
        <f t="shared" si="61"/>
        <v>Programmatic Customer Drive</v>
      </c>
      <c r="Y240" s="188" t="str">
        <f t="shared" si="73"/>
        <v>101-G376</v>
      </c>
      <c r="Z240" s="188">
        <f t="shared" si="74"/>
        <v>0</v>
      </c>
      <c r="AA240" s="188">
        <f t="shared" si="75"/>
        <v>7266680.2999999998</v>
      </c>
      <c r="AB240" s="188">
        <f t="shared" si="76"/>
        <v>7295727.21</v>
      </c>
      <c r="AC240" s="188">
        <f t="shared" si="77"/>
        <v>7315397.9400000004</v>
      </c>
      <c r="AD240" s="188">
        <f t="shared" si="78"/>
        <v>0</v>
      </c>
      <c r="AE240" s="183">
        <f t="shared" si="79"/>
        <v>0</v>
      </c>
    </row>
    <row r="241" spans="1:31" x14ac:dyDescent="0.25">
      <c r="A241" s="188" t="s">
        <v>24</v>
      </c>
      <c r="B241" s="188" t="s">
        <v>348</v>
      </c>
      <c r="C241" s="188" t="s">
        <v>172</v>
      </c>
      <c r="D241" s="188" t="str">
        <f t="shared" si="62"/>
        <v>101-G378</v>
      </c>
      <c r="E241" s="188">
        <v>0</v>
      </c>
      <c r="F241" s="188">
        <v>52384.24</v>
      </c>
      <c r="G241" s="188">
        <v>54150.15</v>
      </c>
      <c r="H241" s="188">
        <v>55137.68</v>
      </c>
      <c r="I241" s="188">
        <v>0</v>
      </c>
      <c r="J241" s="183">
        <v>0</v>
      </c>
      <c r="L241" s="188" t="str">
        <f t="shared" si="63"/>
        <v>PI Gas</v>
      </c>
      <c r="M241" s="188" t="str">
        <f t="shared" si="64"/>
        <v>G3780 DST Measuring &amp; Reg Station</v>
      </c>
      <c r="N241" s="188" t="str">
        <f t="shared" si="60"/>
        <v>Programmatic Customer Drive</v>
      </c>
      <c r="O241" s="188" t="str">
        <f t="shared" si="65"/>
        <v>101-G378</v>
      </c>
      <c r="P241" s="188">
        <f t="shared" si="66"/>
        <v>0</v>
      </c>
      <c r="Q241" s="188">
        <f t="shared" si="67"/>
        <v>0</v>
      </c>
      <c r="R241" s="188">
        <f t="shared" si="68"/>
        <v>0</v>
      </c>
      <c r="S241" s="188">
        <f t="shared" si="69"/>
        <v>0</v>
      </c>
      <c r="T241" s="188">
        <f t="shared" si="70"/>
        <v>0</v>
      </c>
      <c r="V241" s="188" t="str">
        <f t="shared" si="71"/>
        <v>PI Gas</v>
      </c>
      <c r="W241" s="188" t="str">
        <f t="shared" si="72"/>
        <v>G3780 DST Measuring &amp; Reg Station</v>
      </c>
      <c r="X241" s="188" t="str">
        <f t="shared" si="61"/>
        <v>Programmatic Customer Drive</v>
      </c>
      <c r="Y241" s="188" t="str">
        <f t="shared" si="73"/>
        <v>101-G378</v>
      </c>
      <c r="Z241" s="188">
        <f t="shared" si="74"/>
        <v>0</v>
      </c>
      <c r="AA241" s="188">
        <f t="shared" si="75"/>
        <v>52384.24</v>
      </c>
      <c r="AB241" s="188">
        <f t="shared" si="76"/>
        <v>54150.15</v>
      </c>
      <c r="AC241" s="188">
        <f t="shared" si="77"/>
        <v>55137.68</v>
      </c>
      <c r="AD241" s="188">
        <f t="shared" si="78"/>
        <v>0</v>
      </c>
      <c r="AE241" s="183">
        <f t="shared" si="79"/>
        <v>0</v>
      </c>
    </row>
    <row r="242" spans="1:31" x14ac:dyDescent="0.25">
      <c r="A242" s="188" t="s">
        <v>24</v>
      </c>
      <c r="B242" s="188" t="s">
        <v>347</v>
      </c>
      <c r="C242" s="188" t="s">
        <v>172</v>
      </c>
      <c r="D242" s="188" t="str">
        <f t="shared" si="62"/>
        <v>101-G380</v>
      </c>
      <c r="E242" s="188">
        <v>0</v>
      </c>
      <c r="F242" s="188">
        <v>342.93</v>
      </c>
      <c r="G242" s="188">
        <v>354.15</v>
      </c>
      <c r="H242" s="188">
        <v>359.81</v>
      </c>
      <c r="I242" s="188">
        <v>0</v>
      </c>
      <c r="J242" s="183">
        <v>0</v>
      </c>
      <c r="L242" s="188" t="str">
        <f t="shared" si="63"/>
        <v>PI Gas</v>
      </c>
      <c r="M242" s="188" t="str">
        <f t="shared" si="64"/>
        <v>G3801 DST Services, Cathodic Protec</v>
      </c>
      <c r="N242" s="188" t="str">
        <f t="shared" si="60"/>
        <v>Programmatic Customer Drive</v>
      </c>
      <c r="O242" s="188" t="str">
        <f t="shared" si="65"/>
        <v>101-G380</v>
      </c>
      <c r="P242" s="188">
        <f t="shared" si="66"/>
        <v>0</v>
      </c>
      <c r="Q242" s="188">
        <f t="shared" si="67"/>
        <v>0</v>
      </c>
      <c r="R242" s="188">
        <f t="shared" si="68"/>
        <v>0</v>
      </c>
      <c r="S242" s="188">
        <f t="shared" si="69"/>
        <v>0</v>
      </c>
      <c r="T242" s="188">
        <f t="shared" si="70"/>
        <v>0</v>
      </c>
      <c r="V242" s="188" t="str">
        <f t="shared" si="71"/>
        <v>PI Gas</v>
      </c>
      <c r="W242" s="188" t="str">
        <f t="shared" si="72"/>
        <v>G3801 DST Services, Cathodic Protec</v>
      </c>
      <c r="X242" s="188" t="str">
        <f t="shared" si="61"/>
        <v>Programmatic Customer Drive</v>
      </c>
      <c r="Y242" s="188" t="str">
        <f t="shared" si="73"/>
        <v>101-G380</v>
      </c>
      <c r="Z242" s="188">
        <f t="shared" si="74"/>
        <v>0</v>
      </c>
      <c r="AA242" s="188">
        <f t="shared" si="75"/>
        <v>342.93</v>
      </c>
      <c r="AB242" s="188">
        <f t="shared" si="76"/>
        <v>354.15</v>
      </c>
      <c r="AC242" s="188">
        <f t="shared" si="77"/>
        <v>359.81</v>
      </c>
      <c r="AD242" s="188">
        <f t="shared" si="78"/>
        <v>0</v>
      </c>
      <c r="AE242" s="183">
        <f t="shared" si="79"/>
        <v>0</v>
      </c>
    </row>
    <row r="243" spans="1:31" x14ac:dyDescent="0.25">
      <c r="A243" s="188" t="s">
        <v>24</v>
      </c>
      <c r="B243" s="188" t="s">
        <v>346</v>
      </c>
      <c r="C243" s="188" t="s">
        <v>172</v>
      </c>
      <c r="D243" s="188" t="str">
        <f t="shared" si="62"/>
        <v>101-G380</v>
      </c>
      <c r="E243" s="188">
        <v>0</v>
      </c>
      <c r="F243" s="188">
        <v>29190.74</v>
      </c>
      <c r="G243" s="188">
        <v>30401.39</v>
      </c>
      <c r="H243" s="188">
        <v>31231.75</v>
      </c>
      <c r="I243" s="188">
        <v>0</v>
      </c>
      <c r="J243" s="183">
        <v>0</v>
      </c>
      <c r="L243" s="188" t="str">
        <f t="shared" si="63"/>
        <v>PI Gas</v>
      </c>
      <c r="M243" s="188" t="str">
        <f t="shared" si="64"/>
        <v>G3802 DST Services, Plastic</v>
      </c>
      <c r="N243" s="188" t="str">
        <f t="shared" si="60"/>
        <v>Programmatic Customer Drive</v>
      </c>
      <c r="O243" s="188" t="str">
        <f t="shared" si="65"/>
        <v>101-G380</v>
      </c>
      <c r="P243" s="188">
        <f t="shared" si="66"/>
        <v>0</v>
      </c>
      <c r="Q243" s="188">
        <f t="shared" si="67"/>
        <v>0</v>
      </c>
      <c r="R243" s="188">
        <f t="shared" si="68"/>
        <v>0</v>
      </c>
      <c r="S243" s="188">
        <f t="shared" si="69"/>
        <v>0</v>
      </c>
      <c r="T243" s="188">
        <f t="shared" si="70"/>
        <v>0</v>
      </c>
      <c r="V243" s="188" t="str">
        <f t="shared" si="71"/>
        <v>PI Gas</v>
      </c>
      <c r="W243" s="188" t="str">
        <f t="shared" si="72"/>
        <v>G3802 DST Services, Plastic</v>
      </c>
      <c r="X243" s="188" t="str">
        <f t="shared" si="61"/>
        <v>Programmatic Customer Drive</v>
      </c>
      <c r="Y243" s="188" t="str">
        <f t="shared" si="73"/>
        <v>101-G380</v>
      </c>
      <c r="Z243" s="188">
        <f t="shared" si="74"/>
        <v>0</v>
      </c>
      <c r="AA243" s="188">
        <f t="shared" si="75"/>
        <v>29190.74</v>
      </c>
      <c r="AB243" s="188">
        <f t="shared" si="76"/>
        <v>30401.39</v>
      </c>
      <c r="AC243" s="188">
        <f t="shared" si="77"/>
        <v>31231.75</v>
      </c>
      <c r="AD243" s="188">
        <f t="shared" si="78"/>
        <v>0</v>
      </c>
      <c r="AE243" s="183">
        <f t="shared" si="79"/>
        <v>0</v>
      </c>
    </row>
    <row r="244" spans="1:31" x14ac:dyDescent="0.25">
      <c r="A244" s="188" t="s">
        <v>24</v>
      </c>
      <c r="B244" s="188" t="s">
        <v>345</v>
      </c>
      <c r="C244" s="188" t="s">
        <v>172</v>
      </c>
      <c r="D244" s="188" t="str">
        <f t="shared" si="62"/>
        <v>101-G380</v>
      </c>
      <c r="E244" s="188">
        <v>0</v>
      </c>
      <c r="F244" s="188">
        <v>6968.3</v>
      </c>
      <c r="G244" s="188">
        <v>7156.82</v>
      </c>
      <c r="H244" s="188">
        <v>7232.63</v>
      </c>
      <c r="I244" s="188">
        <v>0</v>
      </c>
      <c r="J244" s="183">
        <v>0</v>
      </c>
      <c r="L244" s="188" t="str">
        <f t="shared" si="63"/>
        <v>PI Gas</v>
      </c>
      <c r="M244" s="188" t="str">
        <f t="shared" si="64"/>
        <v>G3803 DST Services, Steel Wrapped</v>
      </c>
      <c r="N244" s="188" t="str">
        <f t="shared" si="60"/>
        <v>Programmatic Customer Drive</v>
      </c>
      <c r="O244" s="188" t="str">
        <f t="shared" si="65"/>
        <v>101-G380</v>
      </c>
      <c r="P244" s="188">
        <f t="shared" si="66"/>
        <v>0</v>
      </c>
      <c r="Q244" s="188">
        <f t="shared" si="67"/>
        <v>0</v>
      </c>
      <c r="R244" s="188">
        <f t="shared" si="68"/>
        <v>0</v>
      </c>
      <c r="S244" s="188">
        <f t="shared" si="69"/>
        <v>0</v>
      </c>
      <c r="T244" s="188">
        <f t="shared" si="70"/>
        <v>0</v>
      </c>
      <c r="V244" s="188" t="str">
        <f t="shared" si="71"/>
        <v>PI Gas</v>
      </c>
      <c r="W244" s="188" t="str">
        <f t="shared" si="72"/>
        <v>G3803 DST Services, Steel Wrapped</v>
      </c>
      <c r="X244" s="188" t="str">
        <f t="shared" si="61"/>
        <v>Programmatic Customer Drive</v>
      </c>
      <c r="Y244" s="188" t="str">
        <f t="shared" si="73"/>
        <v>101-G380</v>
      </c>
      <c r="Z244" s="188">
        <f t="shared" si="74"/>
        <v>0</v>
      </c>
      <c r="AA244" s="188">
        <f t="shared" si="75"/>
        <v>6968.3</v>
      </c>
      <c r="AB244" s="188">
        <f t="shared" si="76"/>
        <v>7156.82</v>
      </c>
      <c r="AC244" s="188">
        <f t="shared" si="77"/>
        <v>7232.63</v>
      </c>
      <c r="AD244" s="188">
        <f t="shared" si="78"/>
        <v>0</v>
      </c>
      <c r="AE244" s="183">
        <f t="shared" si="79"/>
        <v>0</v>
      </c>
    </row>
    <row r="245" spans="1:31" x14ac:dyDescent="0.25">
      <c r="A245" s="188" t="s">
        <v>24</v>
      </c>
      <c r="B245" s="188" t="s">
        <v>342</v>
      </c>
      <c r="C245" s="188" t="s">
        <v>172</v>
      </c>
      <c r="D245" s="188" t="str">
        <f t="shared" si="62"/>
        <v>101-G382</v>
      </c>
      <c r="E245" s="188">
        <v>0</v>
      </c>
      <c r="F245" s="188">
        <v>916.7</v>
      </c>
      <c r="G245" s="188">
        <v>941.42</v>
      </c>
      <c r="H245" s="188">
        <v>951.31</v>
      </c>
      <c r="I245" s="188">
        <v>0</v>
      </c>
      <c r="J245" s="183">
        <v>0</v>
      </c>
      <c r="L245" s="188" t="str">
        <f t="shared" si="63"/>
        <v>PI Gas</v>
      </c>
      <c r="M245" s="188" t="str">
        <f t="shared" si="64"/>
        <v>G3820 DST Meter Installations (AMR)</v>
      </c>
      <c r="N245" s="188" t="str">
        <f t="shared" si="60"/>
        <v>Programmatic Customer Drive</v>
      </c>
      <c r="O245" s="188" t="str">
        <f t="shared" si="65"/>
        <v>101-G382</v>
      </c>
      <c r="P245" s="188">
        <f t="shared" si="66"/>
        <v>0</v>
      </c>
      <c r="Q245" s="188">
        <f t="shared" si="67"/>
        <v>0</v>
      </c>
      <c r="R245" s="188">
        <f t="shared" si="68"/>
        <v>0</v>
      </c>
      <c r="S245" s="188">
        <f t="shared" si="69"/>
        <v>0</v>
      </c>
      <c r="T245" s="188">
        <f t="shared" si="70"/>
        <v>0</v>
      </c>
      <c r="V245" s="188" t="str">
        <f t="shared" si="71"/>
        <v>PI Gas</v>
      </c>
      <c r="W245" s="188" t="str">
        <f t="shared" si="72"/>
        <v>G3820 DST Meter Installations (AMR)</v>
      </c>
      <c r="X245" s="188" t="str">
        <f t="shared" si="61"/>
        <v>Programmatic Customer Drive</v>
      </c>
      <c r="Y245" s="188" t="str">
        <f t="shared" si="73"/>
        <v>101-G382</v>
      </c>
      <c r="Z245" s="188">
        <f t="shared" si="74"/>
        <v>0</v>
      </c>
      <c r="AA245" s="188">
        <f t="shared" si="75"/>
        <v>916.7</v>
      </c>
      <c r="AB245" s="188">
        <f t="shared" si="76"/>
        <v>941.42</v>
      </c>
      <c r="AC245" s="188">
        <f t="shared" si="77"/>
        <v>951.31</v>
      </c>
      <c r="AD245" s="188">
        <f t="shared" si="78"/>
        <v>0</v>
      </c>
      <c r="AE245" s="183">
        <f t="shared" si="79"/>
        <v>0</v>
      </c>
    </row>
    <row r="246" spans="1:31" x14ac:dyDescent="0.25">
      <c r="A246" s="188" t="s">
        <v>24</v>
      </c>
      <c r="B246" s="188" t="s">
        <v>338</v>
      </c>
      <c r="C246" s="188" t="s">
        <v>172</v>
      </c>
      <c r="D246" s="188" t="str">
        <f t="shared" si="62"/>
        <v>101-G385</v>
      </c>
      <c r="E246" s="188">
        <v>0</v>
      </c>
      <c r="F246" s="188">
        <v>1135.25</v>
      </c>
      <c r="G246" s="188">
        <v>1165.8399999999999</v>
      </c>
      <c r="H246" s="188">
        <v>1178.05</v>
      </c>
      <c r="I246" s="188">
        <v>0</v>
      </c>
      <c r="J246" s="183">
        <v>0</v>
      </c>
      <c r="L246" s="188" t="str">
        <f t="shared" si="63"/>
        <v>PI Gas</v>
      </c>
      <c r="M246" s="188" t="str">
        <f t="shared" si="64"/>
        <v>G385 DST Industrial M&amp;R Sta Eq</v>
      </c>
      <c r="N246" s="188" t="str">
        <f t="shared" si="60"/>
        <v>Programmatic Customer Drive</v>
      </c>
      <c r="O246" s="188" t="str">
        <f t="shared" si="65"/>
        <v>101-G385</v>
      </c>
      <c r="P246" s="188">
        <f t="shared" si="66"/>
        <v>0</v>
      </c>
      <c r="Q246" s="188">
        <f t="shared" si="67"/>
        <v>0</v>
      </c>
      <c r="R246" s="188">
        <f t="shared" si="68"/>
        <v>0</v>
      </c>
      <c r="S246" s="188">
        <f t="shared" si="69"/>
        <v>0</v>
      </c>
      <c r="T246" s="188">
        <f t="shared" si="70"/>
        <v>0</v>
      </c>
      <c r="V246" s="188" t="str">
        <f t="shared" si="71"/>
        <v>PI Gas</v>
      </c>
      <c r="W246" s="188" t="str">
        <f t="shared" si="72"/>
        <v>G385 DST Industrial M&amp;R Sta Eq</v>
      </c>
      <c r="X246" s="188" t="str">
        <f t="shared" si="61"/>
        <v>Programmatic Customer Drive</v>
      </c>
      <c r="Y246" s="188" t="str">
        <f t="shared" si="73"/>
        <v>101-G385</v>
      </c>
      <c r="Z246" s="188">
        <f t="shared" si="74"/>
        <v>0</v>
      </c>
      <c r="AA246" s="188">
        <f t="shared" si="75"/>
        <v>1135.25</v>
      </c>
      <c r="AB246" s="188">
        <f t="shared" si="76"/>
        <v>1165.8399999999999</v>
      </c>
      <c r="AC246" s="188">
        <f t="shared" si="77"/>
        <v>1178.05</v>
      </c>
      <c r="AD246" s="188">
        <f t="shared" si="78"/>
        <v>0</v>
      </c>
      <c r="AE246" s="183">
        <f t="shared" si="79"/>
        <v>0</v>
      </c>
    </row>
    <row r="247" spans="1:31" x14ac:dyDescent="0.25">
      <c r="A247" s="188" t="s">
        <v>25</v>
      </c>
      <c r="B247" s="188" t="s">
        <v>351</v>
      </c>
      <c r="C247" s="188" t="s">
        <v>160</v>
      </c>
      <c r="D247" s="188" t="str">
        <f t="shared" si="62"/>
        <v>101-G376</v>
      </c>
      <c r="E247" s="188">
        <v>0</v>
      </c>
      <c r="F247" s="188">
        <v>22676804.420000002</v>
      </c>
      <c r="G247" s="188">
        <v>32943315.579999998</v>
      </c>
      <c r="H247" s="188">
        <v>58577865.460000001</v>
      </c>
      <c r="I247" s="188">
        <v>0</v>
      </c>
      <c r="J247" s="183">
        <v>0</v>
      </c>
      <c r="L247" s="188" t="str">
        <f t="shared" si="63"/>
        <v>Pipe Replacement</v>
      </c>
      <c r="M247" s="188" t="str">
        <f t="shared" si="64"/>
        <v>G3762 DST Mains, Plastic</v>
      </c>
      <c r="N247" s="188" t="str">
        <f t="shared" si="60"/>
        <v>Programmatic</v>
      </c>
      <c r="O247" s="188" t="str">
        <f t="shared" si="65"/>
        <v>101-G376</v>
      </c>
      <c r="P247" s="188">
        <f t="shared" si="66"/>
        <v>0</v>
      </c>
      <c r="Q247" s="188">
        <f t="shared" si="67"/>
        <v>0</v>
      </c>
      <c r="R247" s="188">
        <f t="shared" si="68"/>
        <v>0</v>
      </c>
      <c r="S247" s="188">
        <f t="shared" si="69"/>
        <v>0</v>
      </c>
      <c r="T247" s="188">
        <f t="shared" si="70"/>
        <v>0</v>
      </c>
      <c r="V247" s="188" t="str">
        <f t="shared" si="71"/>
        <v>Pipe Replacement</v>
      </c>
      <c r="W247" s="188" t="str">
        <f t="shared" si="72"/>
        <v>G3762 DST Mains, Plastic</v>
      </c>
      <c r="X247" s="188" t="str">
        <f t="shared" si="61"/>
        <v>Programmatic</v>
      </c>
      <c r="Y247" s="188" t="str">
        <f t="shared" si="73"/>
        <v>101-G376</v>
      </c>
      <c r="Z247" s="188">
        <f t="shared" si="74"/>
        <v>0</v>
      </c>
      <c r="AA247" s="188">
        <f t="shared" si="75"/>
        <v>22676804.420000002</v>
      </c>
      <c r="AB247" s="188">
        <f t="shared" si="76"/>
        <v>32943315.579999998</v>
      </c>
      <c r="AC247" s="188">
        <f t="shared" si="77"/>
        <v>58577865.460000001</v>
      </c>
      <c r="AD247" s="188">
        <f t="shared" si="78"/>
        <v>0</v>
      </c>
      <c r="AE247" s="183">
        <f t="shared" si="79"/>
        <v>0</v>
      </c>
    </row>
    <row r="248" spans="1:31" x14ac:dyDescent="0.25">
      <c r="A248" s="188" t="s">
        <v>25</v>
      </c>
      <c r="B248" s="188" t="s">
        <v>350</v>
      </c>
      <c r="C248" s="188" t="s">
        <v>160</v>
      </c>
      <c r="D248" s="188" t="str">
        <f t="shared" si="62"/>
        <v>101-G376</v>
      </c>
      <c r="E248" s="188">
        <v>0</v>
      </c>
      <c r="F248" s="188">
        <v>1641074.15</v>
      </c>
      <c r="G248" s="188">
        <v>2384037.15</v>
      </c>
      <c r="H248" s="188">
        <v>4239167.0599999996</v>
      </c>
      <c r="I248" s="188">
        <v>0</v>
      </c>
      <c r="J248" s="183">
        <v>0</v>
      </c>
      <c r="L248" s="188" t="str">
        <f t="shared" si="63"/>
        <v>Pipe Replacement</v>
      </c>
      <c r="M248" s="188" t="str">
        <f t="shared" si="64"/>
        <v>G3764 DST Mains, Wrapped Steel</v>
      </c>
      <c r="N248" s="188" t="str">
        <f t="shared" si="60"/>
        <v>Programmatic</v>
      </c>
      <c r="O248" s="188" t="str">
        <f t="shared" si="65"/>
        <v>101-G376</v>
      </c>
      <c r="P248" s="188">
        <f t="shared" si="66"/>
        <v>0</v>
      </c>
      <c r="Q248" s="188">
        <f t="shared" si="67"/>
        <v>0</v>
      </c>
      <c r="R248" s="188">
        <f t="shared" si="68"/>
        <v>0</v>
      </c>
      <c r="S248" s="188">
        <f t="shared" si="69"/>
        <v>0</v>
      </c>
      <c r="T248" s="188">
        <f t="shared" si="70"/>
        <v>0</v>
      </c>
      <c r="V248" s="188" t="str">
        <f t="shared" si="71"/>
        <v>Pipe Replacement</v>
      </c>
      <c r="W248" s="188" t="str">
        <f t="shared" si="72"/>
        <v>G3764 DST Mains, Wrapped Steel</v>
      </c>
      <c r="X248" s="188" t="str">
        <f t="shared" si="61"/>
        <v>Programmatic</v>
      </c>
      <c r="Y248" s="188" t="str">
        <f t="shared" si="73"/>
        <v>101-G376</v>
      </c>
      <c r="Z248" s="188">
        <f t="shared" si="74"/>
        <v>0</v>
      </c>
      <c r="AA248" s="188">
        <f t="shared" si="75"/>
        <v>1641074.15</v>
      </c>
      <c r="AB248" s="188">
        <f t="shared" si="76"/>
        <v>2384037.15</v>
      </c>
      <c r="AC248" s="188">
        <f t="shared" si="77"/>
        <v>4239167.0599999996</v>
      </c>
      <c r="AD248" s="188">
        <f t="shared" si="78"/>
        <v>0</v>
      </c>
      <c r="AE248" s="183">
        <f t="shared" si="79"/>
        <v>0</v>
      </c>
    </row>
    <row r="249" spans="1:31" x14ac:dyDescent="0.25">
      <c r="A249" s="188" t="s">
        <v>25</v>
      </c>
      <c r="B249" s="188" t="s">
        <v>347</v>
      </c>
      <c r="C249" s="188" t="s">
        <v>160</v>
      </c>
      <c r="D249" s="188" t="str">
        <f t="shared" si="62"/>
        <v>101-G380</v>
      </c>
      <c r="E249" s="188">
        <v>0</v>
      </c>
      <c r="F249" s="188">
        <v>29027.43</v>
      </c>
      <c r="G249" s="188">
        <v>45243.06</v>
      </c>
      <c r="H249" s="188">
        <v>79769.08</v>
      </c>
      <c r="I249" s="188">
        <v>0</v>
      </c>
      <c r="J249" s="183">
        <v>0</v>
      </c>
      <c r="L249" s="188" t="str">
        <f t="shared" si="63"/>
        <v>Pipe Replacement</v>
      </c>
      <c r="M249" s="188" t="str">
        <f t="shared" si="64"/>
        <v>G3801 DST Services, Cathodic Protec</v>
      </c>
      <c r="N249" s="188" t="str">
        <f t="shared" si="60"/>
        <v>Programmatic</v>
      </c>
      <c r="O249" s="188" t="str">
        <f t="shared" si="65"/>
        <v>101-G380</v>
      </c>
      <c r="P249" s="188">
        <f t="shared" si="66"/>
        <v>0</v>
      </c>
      <c r="Q249" s="188">
        <f t="shared" si="67"/>
        <v>0</v>
      </c>
      <c r="R249" s="188">
        <f t="shared" si="68"/>
        <v>0</v>
      </c>
      <c r="S249" s="188">
        <f t="shared" si="69"/>
        <v>0</v>
      </c>
      <c r="T249" s="188">
        <f t="shared" si="70"/>
        <v>0</v>
      </c>
      <c r="V249" s="188" t="str">
        <f t="shared" si="71"/>
        <v>Pipe Replacement</v>
      </c>
      <c r="W249" s="188" t="str">
        <f t="shared" si="72"/>
        <v>G3801 DST Services, Cathodic Protec</v>
      </c>
      <c r="X249" s="188" t="str">
        <f t="shared" si="61"/>
        <v>Programmatic</v>
      </c>
      <c r="Y249" s="188" t="str">
        <f t="shared" si="73"/>
        <v>101-G380</v>
      </c>
      <c r="Z249" s="188">
        <f t="shared" si="74"/>
        <v>0</v>
      </c>
      <c r="AA249" s="188">
        <f t="shared" si="75"/>
        <v>29027.43</v>
      </c>
      <c r="AB249" s="188">
        <f t="shared" si="76"/>
        <v>45243.06</v>
      </c>
      <c r="AC249" s="188">
        <f t="shared" si="77"/>
        <v>79769.08</v>
      </c>
      <c r="AD249" s="188">
        <f t="shared" si="78"/>
        <v>0</v>
      </c>
      <c r="AE249" s="183">
        <f t="shared" si="79"/>
        <v>0</v>
      </c>
    </row>
    <row r="250" spans="1:31" x14ac:dyDescent="0.25">
      <c r="A250" s="188" t="s">
        <v>25</v>
      </c>
      <c r="B250" s="188" t="s">
        <v>346</v>
      </c>
      <c r="C250" s="188" t="s">
        <v>160</v>
      </c>
      <c r="D250" s="188" t="str">
        <f t="shared" si="62"/>
        <v>101-G380</v>
      </c>
      <c r="E250" s="188">
        <v>0</v>
      </c>
      <c r="F250" s="188">
        <v>28803415.350000001</v>
      </c>
      <c r="G250" s="188">
        <v>42476844.170000002</v>
      </c>
      <c r="H250" s="188">
        <v>75390032.049999997</v>
      </c>
      <c r="I250" s="188">
        <v>0</v>
      </c>
      <c r="J250" s="183">
        <v>0</v>
      </c>
      <c r="L250" s="188" t="str">
        <f t="shared" si="63"/>
        <v>Pipe Replacement</v>
      </c>
      <c r="M250" s="188" t="str">
        <f t="shared" si="64"/>
        <v>G3802 DST Services, Plastic</v>
      </c>
      <c r="N250" s="188" t="str">
        <f t="shared" si="60"/>
        <v>Programmatic</v>
      </c>
      <c r="O250" s="188" t="str">
        <f t="shared" si="65"/>
        <v>101-G380</v>
      </c>
      <c r="P250" s="188">
        <f t="shared" si="66"/>
        <v>0</v>
      </c>
      <c r="Q250" s="188">
        <f t="shared" si="67"/>
        <v>0</v>
      </c>
      <c r="R250" s="188">
        <f t="shared" si="68"/>
        <v>0</v>
      </c>
      <c r="S250" s="188">
        <f t="shared" si="69"/>
        <v>0</v>
      </c>
      <c r="T250" s="188">
        <f t="shared" si="70"/>
        <v>0</v>
      </c>
      <c r="V250" s="188" t="str">
        <f t="shared" si="71"/>
        <v>Pipe Replacement</v>
      </c>
      <c r="W250" s="188" t="str">
        <f t="shared" si="72"/>
        <v>G3802 DST Services, Plastic</v>
      </c>
      <c r="X250" s="188" t="str">
        <f t="shared" si="61"/>
        <v>Programmatic</v>
      </c>
      <c r="Y250" s="188" t="str">
        <f t="shared" si="73"/>
        <v>101-G380</v>
      </c>
      <c r="Z250" s="188">
        <f t="shared" si="74"/>
        <v>0</v>
      </c>
      <c r="AA250" s="188">
        <f t="shared" si="75"/>
        <v>28803415.350000001</v>
      </c>
      <c r="AB250" s="188">
        <f t="shared" si="76"/>
        <v>42476844.170000002</v>
      </c>
      <c r="AC250" s="188">
        <f t="shared" si="77"/>
        <v>75390032.049999997</v>
      </c>
      <c r="AD250" s="188">
        <f t="shared" si="78"/>
        <v>0</v>
      </c>
      <c r="AE250" s="183">
        <f t="shared" si="79"/>
        <v>0</v>
      </c>
    </row>
    <row r="251" spans="1:31" x14ac:dyDescent="0.25">
      <c r="A251" s="188" t="s">
        <v>25</v>
      </c>
      <c r="B251" s="188" t="s">
        <v>345</v>
      </c>
      <c r="C251" s="188" t="s">
        <v>160</v>
      </c>
      <c r="D251" s="188" t="str">
        <f t="shared" si="62"/>
        <v>101-G380</v>
      </c>
      <c r="E251" s="188">
        <v>0</v>
      </c>
      <c r="F251" s="188">
        <v>9661.2800000000007</v>
      </c>
      <c r="G251" s="188">
        <v>15060.13</v>
      </c>
      <c r="H251" s="188">
        <v>26552.52</v>
      </c>
      <c r="I251" s="188">
        <v>0</v>
      </c>
      <c r="J251" s="183">
        <v>0</v>
      </c>
      <c r="L251" s="188" t="str">
        <f t="shared" si="63"/>
        <v>Pipe Replacement</v>
      </c>
      <c r="M251" s="188" t="str">
        <f t="shared" si="64"/>
        <v>G3803 DST Services, Steel Wrapped</v>
      </c>
      <c r="N251" s="188" t="str">
        <f t="shared" si="60"/>
        <v>Programmatic</v>
      </c>
      <c r="O251" s="188" t="str">
        <f t="shared" si="65"/>
        <v>101-G380</v>
      </c>
      <c r="P251" s="188">
        <f t="shared" si="66"/>
        <v>0</v>
      </c>
      <c r="Q251" s="188">
        <f t="shared" si="67"/>
        <v>0</v>
      </c>
      <c r="R251" s="188">
        <f t="shared" si="68"/>
        <v>0</v>
      </c>
      <c r="S251" s="188">
        <f t="shared" si="69"/>
        <v>0</v>
      </c>
      <c r="T251" s="188">
        <f t="shared" si="70"/>
        <v>0</v>
      </c>
      <c r="V251" s="188" t="str">
        <f t="shared" si="71"/>
        <v>Pipe Replacement</v>
      </c>
      <c r="W251" s="188" t="str">
        <f t="shared" si="72"/>
        <v>G3803 DST Services, Steel Wrapped</v>
      </c>
      <c r="X251" s="188" t="str">
        <f t="shared" si="61"/>
        <v>Programmatic</v>
      </c>
      <c r="Y251" s="188" t="str">
        <f t="shared" si="73"/>
        <v>101-G380</v>
      </c>
      <c r="Z251" s="188">
        <f t="shared" si="74"/>
        <v>0</v>
      </c>
      <c r="AA251" s="188">
        <f t="shared" si="75"/>
        <v>9661.2800000000007</v>
      </c>
      <c r="AB251" s="188">
        <f t="shared" si="76"/>
        <v>15060.13</v>
      </c>
      <c r="AC251" s="188">
        <f t="shared" si="77"/>
        <v>26552.52</v>
      </c>
      <c r="AD251" s="188">
        <f t="shared" si="78"/>
        <v>0</v>
      </c>
      <c r="AE251" s="183">
        <f t="shared" si="79"/>
        <v>0</v>
      </c>
    </row>
    <row r="252" spans="1:31" x14ac:dyDescent="0.25">
      <c r="A252" s="188" t="s">
        <v>25</v>
      </c>
      <c r="B252" s="188" t="s">
        <v>338</v>
      </c>
      <c r="C252" s="188" t="s">
        <v>160</v>
      </c>
      <c r="D252" s="188" t="str">
        <f t="shared" si="62"/>
        <v>101-G385</v>
      </c>
      <c r="E252" s="188">
        <v>0</v>
      </c>
      <c r="F252" s="188">
        <v>8028.95</v>
      </c>
      <c r="G252" s="188">
        <v>11666.48</v>
      </c>
      <c r="H252" s="188">
        <v>20735.57</v>
      </c>
      <c r="I252" s="188">
        <v>0</v>
      </c>
      <c r="J252" s="183">
        <v>0</v>
      </c>
      <c r="L252" s="188" t="str">
        <f t="shared" si="63"/>
        <v>Pipe Replacement</v>
      </c>
      <c r="M252" s="188" t="str">
        <f t="shared" si="64"/>
        <v>G385 DST Industrial M&amp;R Sta Eq</v>
      </c>
      <c r="N252" s="188" t="str">
        <f t="shared" si="60"/>
        <v>Programmatic</v>
      </c>
      <c r="O252" s="188" t="str">
        <f t="shared" si="65"/>
        <v>101-G385</v>
      </c>
      <c r="P252" s="188">
        <f t="shared" si="66"/>
        <v>0</v>
      </c>
      <c r="Q252" s="188">
        <f t="shared" si="67"/>
        <v>0</v>
      </c>
      <c r="R252" s="188">
        <f t="shared" si="68"/>
        <v>0</v>
      </c>
      <c r="S252" s="188">
        <f t="shared" si="69"/>
        <v>0</v>
      </c>
      <c r="T252" s="188">
        <f t="shared" si="70"/>
        <v>0</v>
      </c>
      <c r="V252" s="188" t="str">
        <f t="shared" si="71"/>
        <v>Pipe Replacement</v>
      </c>
      <c r="W252" s="188" t="str">
        <f t="shared" si="72"/>
        <v>G385 DST Industrial M&amp;R Sta Eq</v>
      </c>
      <c r="X252" s="188" t="str">
        <f t="shared" si="61"/>
        <v>Programmatic</v>
      </c>
      <c r="Y252" s="188" t="str">
        <f t="shared" si="73"/>
        <v>101-G385</v>
      </c>
      <c r="Z252" s="188">
        <f t="shared" si="74"/>
        <v>0</v>
      </c>
      <c r="AA252" s="188">
        <f t="shared" si="75"/>
        <v>8028.95</v>
      </c>
      <c r="AB252" s="188">
        <f t="shared" si="76"/>
        <v>11666.48</v>
      </c>
      <c r="AC252" s="188">
        <f t="shared" si="77"/>
        <v>20735.57</v>
      </c>
      <c r="AD252" s="188">
        <f t="shared" si="78"/>
        <v>0</v>
      </c>
      <c r="AE252" s="183">
        <f t="shared" si="79"/>
        <v>0</v>
      </c>
    </row>
    <row r="253" spans="1:31" x14ac:dyDescent="0.25">
      <c r="A253" s="188" t="s">
        <v>212</v>
      </c>
      <c r="B253" s="188" t="s">
        <v>516</v>
      </c>
      <c r="C253" s="188" t="s">
        <v>26</v>
      </c>
      <c r="D253" s="188" t="str">
        <f t="shared" si="62"/>
        <v>101-C302</v>
      </c>
      <c r="E253" s="188">
        <v>0</v>
      </c>
      <c r="F253" s="188">
        <v>146624</v>
      </c>
      <c r="G253" s="188">
        <v>152733.32999999999</v>
      </c>
      <c r="H253" s="188">
        <v>299479.5</v>
      </c>
      <c r="I253" s="188">
        <v>0</v>
      </c>
      <c r="J253" s="183">
        <v>0</v>
      </c>
      <c r="L253" s="188" t="str">
        <f t="shared" si="63"/>
        <v>Projected - Common</v>
      </c>
      <c r="M253" s="188" t="str">
        <f t="shared" si="64"/>
        <v>C302.10 INT Franchises &amp; Consents</v>
      </c>
      <c r="N253" s="188" t="str">
        <f t="shared" si="60"/>
        <v>Projected</v>
      </c>
      <c r="O253" s="188" t="str">
        <f t="shared" si="65"/>
        <v>101-C302</v>
      </c>
      <c r="P253" s="188">
        <f t="shared" si="66"/>
        <v>0</v>
      </c>
      <c r="Q253" s="188">
        <f t="shared" si="67"/>
        <v>96683.865600000005</v>
      </c>
      <c r="R253" s="188">
        <f t="shared" si="68"/>
        <v>100712.35780199998</v>
      </c>
      <c r="S253" s="188">
        <f t="shared" si="69"/>
        <v>197476.78229999999</v>
      </c>
      <c r="T253" s="188">
        <f t="shared" si="70"/>
        <v>0</v>
      </c>
      <c r="V253" s="188" t="str">
        <f t="shared" si="71"/>
        <v>Projected - Common</v>
      </c>
      <c r="W253" s="188" t="str">
        <f t="shared" si="72"/>
        <v>C302.10 INT Franchises &amp; Consents</v>
      </c>
      <c r="X253" s="188" t="str">
        <f t="shared" si="61"/>
        <v>Projected</v>
      </c>
      <c r="Y253" s="188" t="str">
        <f t="shared" si="73"/>
        <v>101-C302</v>
      </c>
      <c r="Z253" s="188">
        <f t="shared" si="74"/>
        <v>0</v>
      </c>
      <c r="AA253" s="188">
        <f t="shared" si="75"/>
        <v>49940.134400000003</v>
      </c>
      <c r="AB253" s="188">
        <f t="shared" si="76"/>
        <v>52020.972197999996</v>
      </c>
      <c r="AC253" s="188">
        <f t="shared" si="77"/>
        <v>102002.71770000001</v>
      </c>
      <c r="AD253" s="188">
        <f t="shared" si="78"/>
        <v>0</v>
      </c>
      <c r="AE253" s="183">
        <f t="shared" si="79"/>
        <v>0</v>
      </c>
    </row>
    <row r="254" spans="1:31" x14ac:dyDescent="0.25">
      <c r="A254" s="188" t="s">
        <v>212</v>
      </c>
      <c r="B254" s="188" t="s">
        <v>323</v>
      </c>
      <c r="C254" s="188" t="s">
        <v>26</v>
      </c>
      <c r="D254" s="188" t="str">
        <f t="shared" si="62"/>
        <v>101-C303</v>
      </c>
      <c r="E254" s="188">
        <v>0</v>
      </c>
      <c r="F254" s="188">
        <v>0</v>
      </c>
      <c r="G254" s="188">
        <v>678834.45</v>
      </c>
      <c r="H254" s="188">
        <v>8392779.6899999995</v>
      </c>
      <c r="I254" s="188">
        <v>0</v>
      </c>
      <c r="J254" s="183">
        <v>0</v>
      </c>
      <c r="L254" s="188" t="str">
        <f t="shared" si="63"/>
        <v>Projected - Common</v>
      </c>
      <c r="M254" s="188" t="str">
        <f t="shared" si="64"/>
        <v>C303.10 INT Misc Intangible Plant</v>
      </c>
      <c r="N254" s="188" t="str">
        <f t="shared" si="60"/>
        <v>Projected</v>
      </c>
      <c r="O254" s="188" t="str">
        <f t="shared" si="65"/>
        <v>101-C303</v>
      </c>
      <c r="P254" s="188">
        <f t="shared" si="66"/>
        <v>0</v>
      </c>
      <c r="Q254" s="188">
        <f t="shared" si="67"/>
        <v>0</v>
      </c>
      <c r="R254" s="188">
        <f t="shared" si="68"/>
        <v>447623.43632999994</v>
      </c>
      <c r="S254" s="188">
        <f t="shared" si="69"/>
        <v>5534198.9275859995</v>
      </c>
      <c r="T254" s="188">
        <f t="shared" si="70"/>
        <v>0</v>
      </c>
      <c r="V254" s="188" t="str">
        <f t="shared" si="71"/>
        <v>Projected - Common</v>
      </c>
      <c r="W254" s="188" t="str">
        <f t="shared" si="72"/>
        <v>C303.10 INT Misc Intangible Plant</v>
      </c>
      <c r="X254" s="188" t="str">
        <f t="shared" si="61"/>
        <v>Projected</v>
      </c>
      <c r="Y254" s="188" t="str">
        <f t="shared" si="73"/>
        <v>101-C303</v>
      </c>
      <c r="Z254" s="188">
        <f t="shared" si="74"/>
        <v>0</v>
      </c>
      <c r="AA254" s="188">
        <f t="shared" si="75"/>
        <v>0</v>
      </c>
      <c r="AB254" s="188">
        <f t="shared" si="76"/>
        <v>231211.01366999999</v>
      </c>
      <c r="AC254" s="188">
        <f t="shared" si="77"/>
        <v>2858580.762414</v>
      </c>
      <c r="AD254" s="188">
        <f t="shared" si="78"/>
        <v>0</v>
      </c>
      <c r="AE254" s="183">
        <f t="shared" si="79"/>
        <v>0</v>
      </c>
    </row>
    <row r="255" spans="1:31" x14ac:dyDescent="0.25">
      <c r="A255" s="188" t="s">
        <v>212</v>
      </c>
      <c r="B255" s="188" t="s">
        <v>321</v>
      </c>
      <c r="C255" s="188" t="s">
        <v>26</v>
      </c>
      <c r="D255" s="188" t="str">
        <f t="shared" si="62"/>
        <v>101-C303</v>
      </c>
      <c r="E255" s="188">
        <v>0</v>
      </c>
      <c r="F255" s="188">
        <v>10995526.51</v>
      </c>
      <c r="G255" s="188">
        <v>13962391.27</v>
      </c>
      <c r="H255" s="188">
        <v>19358680.010000002</v>
      </c>
      <c r="I255" s="188">
        <v>0</v>
      </c>
      <c r="J255" s="183">
        <v>0</v>
      </c>
      <c r="L255" s="188" t="str">
        <f t="shared" si="63"/>
        <v>Projected - Common</v>
      </c>
      <c r="M255" s="188" t="str">
        <f t="shared" si="64"/>
        <v>C303.3 INT Misc Intangible Plant</v>
      </c>
      <c r="N255" s="188" t="str">
        <f t="shared" si="60"/>
        <v>Projected</v>
      </c>
      <c r="O255" s="188" t="str">
        <f t="shared" si="65"/>
        <v>101-C303</v>
      </c>
      <c r="P255" s="188">
        <f t="shared" si="66"/>
        <v>0</v>
      </c>
      <c r="Q255" s="188">
        <f t="shared" si="67"/>
        <v>7250450.1806939999</v>
      </c>
      <c r="R255" s="188">
        <f t="shared" si="68"/>
        <v>9206800.8034380004</v>
      </c>
      <c r="S255" s="188">
        <f t="shared" si="69"/>
        <v>12765113.598594001</v>
      </c>
      <c r="T255" s="188">
        <f t="shared" si="70"/>
        <v>0</v>
      </c>
      <c r="V255" s="188" t="str">
        <f t="shared" si="71"/>
        <v>Projected - Common</v>
      </c>
      <c r="W255" s="188" t="str">
        <f t="shared" si="72"/>
        <v>C303.3 INT Misc Intangible Plant</v>
      </c>
      <c r="X255" s="188" t="str">
        <f t="shared" si="61"/>
        <v>Projected</v>
      </c>
      <c r="Y255" s="188" t="str">
        <f t="shared" si="73"/>
        <v>101-C303</v>
      </c>
      <c r="Z255" s="188">
        <f t="shared" si="74"/>
        <v>0</v>
      </c>
      <c r="AA255" s="188">
        <f t="shared" si="75"/>
        <v>3745076.3293059999</v>
      </c>
      <c r="AB255" s="188">
        <f t="shared" si="76"/>
        <v>4755590.4665620001</v>
      </c>
      <c r="AC255" s="188">
        <f t="shared" si="77"/>
        <v>6593566.4114060011</v>
      </c>
      <c r="AD255" s="188">
        <f t="shared" si="78"/>
        <v>0</v>
      </c>
      <c r="AE255" s="183">
        <f t="shared" si="79"/>
        <v>0</v>
      </c>
    </row>
    <row r="256" spans="1:31" x14ac:dyDescent="0.25">
      <c r="A256" s="188" t="s">
        <v>212</v>
      </c>
      <c r="B256" s="188" t="s">
        <v>515</v>
      </c>
      <c r="C256" s="188" t="s">
        <v>26</v>
      </c>
      <c r="D256" s="188" t="str">
        <f t="shared" si="62"/>
        <v>101-C303</v>
      </c>
      <c r="E256" s="188">
        <v>0</v>
      </c>
      <c r="F256" s="188">
        <v>12159773.51</v>
      </c>
      <c r="G256" s="188">
        <v>20040247.260000002</v>
      </c>
      <c r="H256" s="188">
        <v>63132605.759999998</v>
      </c>
      <c r="I256" s="188">
        <v>0</v>
      </c>
      <c r="J256" s="183">
        <v>0</v>
      </c>
      <c r="L256" s="188" t="str">
        <f t="shared" si="63"/>
        <v>Projected - Common</v>
      </c>
      <c r="M256" s="188" t="str">
        <f t="shared" si="64"/>
        <v>C303.5 INT Misc Intangible Plant</v>
      </c>
      <c r="N256" s="188" t="str">
        <f t="shared" si="60"/>
        <v>Projected</v>
      </c>
      <c r="O256" s="188" t="str">
        <f t="shared" si="65"/>
        <v>101-C303</v>
      </c>
      <c r="P256" s="188">
        <f t="shared" si="66"/>
        <v>0</v>
      </c>
      <c r="Q256" s="188">
        <f t="shared" si="67"/>
        <v>8018154.6524939993</v>
      </c>
      <c r="R256" s="188">
        <f t="shared" si="68"/>
        <v>13214539.043244001</v>
      </c>
      <c r="S256" s="188">
        <f t="shared" si="69"/>
        <v>41629640.238143995</v>
      </c>
      <c r="T256" s="188">
        <f t="shared" si="70"/>
        <v>0</v>
      </c>
      <c r="V256" s="188" t="str">
        <f t="shared" si="71"/>
        <v>Projected - Common</v>
      </c>
      <c r="W256" s="188" t="str">
        <f t="shared" si="72"/>
        <v>C303.5 INT Misc Intangible Plant</v>
      </c>
      <c r="X256" s="188" t="str">
        <f t="shared" si="61"/>
        <v>Projected</v>
      </c>
      <c r="Y256" s="188" t="str">
        <f t="shared" si="73"/>
        <v>101-C303</v>
      </c>
      <c r="Z256" s="188">
        <f t="shared" si="74"/>
        <v>0</v>
      </c>
      <c r="AA256" s="188">
        <f t="shared" si="75"/>
        <v>4141618.857506</v>
      </c>
      <c r="AB256" s="188">
        <f t="shared" si="76"/>
        <v>6825708.2167560011</v>
      </c>
      <c r="AC256" s="188">
        <f t="shared" si="77"/>
        <v>21502965.521855999</v>
      </c>
      <c r="AD256" s="188">
        <f t="shared" si="78"/>
        <v>0</v>
      </c>
      <c r="AE256" s="183">
        <f t="shared" si="79"/>
        <v>0</v>
      </c>
    </row>
    <row r="257" spans="1:31" x14ac:dyDescent="0.25">
      <c r="A257" s="188" t="s">
        <v>212</v>
      </c>
      <c r="B257" s="188" t="s">
        <v>514</v>
      </c>
      <c r="C257" s="188" t="s">
        <v>26</v>
      </c>
      <c r="D257" s="188" t="str">
        <f t="shared" si="62"/>
        <v>101-C303</v>
      </c>
      <c r="E257" s="188">
        <v>0</v>
      </c>
      <c r="F257" s="188">
        <v>0</v>
      </c>
      <c r="G257" s="188">
        <v>1037855.22</v>
      </c>
      <c r="H257" s="188">
        <v>5432263.5599999996</v>
      </c>
      <c r="I257" s="188">
        <v>0</v>
      </c>
      <c r="J257" s="183">
        <v>0</v>
      </c>
      <c r="L257" s="188" t="str">
        <f t="shared" si="63"/>
        <v>Projected - Common</v>
      </c>
      <c r="M257" s="188" t="str">
        <f t="shared" si="64"/>
        <v>C303.7 INT Misc Intangible Plant</v>
      </c>
      <c r="N257" s="188" t="str">
        <f t="shared" si="60"/>
        <v>Projected</v>
      </c>
      <c r="O257" s="188" t="str">
        <f t="shared" si="65"/>
        <v>101-C303</v>
      </c>
      <c r="P257" s="188">
        <f t="shared" si="66"/>
        <v>0</v>
      </c>
      <c r="Q257" s="188">
        <f t="shared" si="67"/>
        <v>0</v>
      </c>
      <c r="R257" s="188">
        <f t="shared" si="68"/>
        <v>684361.73206800001</v>
      </c>
      <c r="S257" s="188">
        <f t="shared" si="69"/>
        <v>3582034.5914639998</v>
      </c>
      <c r="T257" s="188">
        <f t="shared" si="70"/>
        <v>0</v>
      </c>
      <c r="V257" s="188" t="str">
        <f t="shared" si="71"/>
        <v>Projected - Common</v>
      </c>
      <c r="W257" s="188" t="str">
        <f t="shared" si="72"/>
        <v>C303.7 INT Misc Intangible Plant</v>
      </c>
      <c r="X257" s="188" t="str">
        <f t="shared" si="61"/>
        <v>Projected</v>
      </c>
      <c r="Y257" s="188" t="str">
        <f t="shared" si="73"/>
        <v>101-C303</v>
      </c>
      <c r="Z257" s="188">
        <f t="shared" si="74"/>
        <v>0</v>
      </c>
      <c r="AA257" s="188">
        <f t="shared" si="75"/>
        <v>0</v>
      </c>
      <c r="AB257" s="188">
        <f t="shared" si="76"/>
        <v>353493.48793200002</v>
      </c>
      <c r="AC257" s="188">
        <f t="shared" si="77"/>
        <v>1850228.968536</v>
      </c>
      <c r="AD257" s="188">
        <f t="shared" si="78"/>
        <v>0</v>
      </c>
      <c r="AE257" s="183">
        <f t="shared" si="79"/>
        <v>0</v>
      </c>
    </row>
    <row r="258" spans="1:31" x14ac:dyDescent="0.25">
      <c r="A258" s="188" t="s">
        <v>212</v>
      </c>
      <c r="B258" s="188" t="s">
        <v>513</v>
      </c>
      <c r="C258" s="188" t="s">
        <v>26</v>
      </c>
      <c r="D258" s="188" t="str">
        <f t="shared" si="62"/>
        <v>101-C303</v>
      </c>
      <c r="E258" s="188">
        <v>0</v>
      </c>
      <c r="F258" s="188">
        <v>0</v>
      </c>
      <c r="G258" s="188">
        <v>64859.96</v>
      </c>
      <c r="H258" s="188">
        <v>1556639.1</v>
      </c>
      <c r="I258" s="188">
        <v>0</v>
      </c>
      <c r="J258" s="183">
        <v>0</v>
      </c>
      <c r="L258" s="188" t="str">
        <f t="shared" si="63"/>
        <v>Projected - Common</v>
      </c>
      <c r="M258" s="188" t="str">
        <f t="shared" si="64"/>
        <v>C303.8 INT Misc Intangible Plant</v>
      </c>
      <c r="N258" s="188" t="str">
        <f t="shared" si="60"/>
        <v>Projected</v>
      </c>
      <c r="O258" s="188" t="str">
        <f t="shared" si="65"/>
        <v>101-C303</v>
      </c>
      <c r="P258" s="188">
        <f t="shared" si="66"/>
        <v>0</v>
      </c>
      <c r="Q258" s="188">
        <f t="shared" si="67"/>
        <v>0</v>
      </c>
      <c r="R258" s="188">
        <f t="shared" si="68"/>
        <v>42768.657623999999</v>
      </c>
      <c r="S258" s="188">
        <f t="shared" si="69"/>
        <v>1026447.8225400001</v>
      </c>
      <c r="T258" s="188">
        <f t="shared" si="70"/>
        <v>0</v>
      </c>
      <c r="V258" s="188" t="str">
        <f t="shared" si="71"/>
        <v>Projected - Common</v>
      </c>
      <c r="W258" s="188" t="str">
        <f t="shared" si="72"/>
        <v>C303.8 INT Misc Intangible Plant</v>
      </c>
      <c r="X258" s="188" t="str">
        <f t="shared" si="61"/>
        <v>Projected</v>
      </c>
      <c r="Y258" s="188" t="str">
        <f t="shared" si="73"/>
        <v>101-C303</v>
      </c>
      <c r="Z258" s="188">
        <f t="shared" si="74"/>
        <v>0</v>
      </c>
      <c r="AA258" s="188">
        <f t="shared" si="75"/>
        <v>0</v>
      </c>
      <c r="AB258" s="188">
        <f t="shared" si="76"/>
        <v>22091.302376</v>
      </c>
      <c r="AC258" s="188">
        <f t="shared" si="77"/>
        <v>530191.27746000001</v>
      </c>
      <c r="AD258" s="188">
        <f t="shared" si="78"/>
        <v>0</v>
      </c>
      <c r="AE258" s="183">
        <f t="shared" si="79"/>
        <v>0</v>
      </c>
    </row>
    <row r="259" spans="1:31" x14ac:dyDescent="0.25">
      <c r="A259" s="188" t="s">
        <v>212</v>
      </c>
      <c r="B259" s="188" t="s">
        <v>512</v>
      </c>
      <c r="C259" s="188" t="s">
        <v>26</v>
      </c>
      <c r="D259" s="188" t="str">
        <f t="shared" si="62"/>
        <v>101-C389</v>
      </c>
      <c r="E259" s="188">
        <v>0</v>
      </c>
      <c r="F259" s="188">
        <v>0</v>
      </c>
      <c r="G259" s="188">
        <v>2800000.01</v>
      </c>
      <c r="H259" s="188">
        <v>8400000.0500000007</v>
      </c>
      <c r="I259" s="188">
        <v>0</v>
      </c>
      <c r="J259" s="183">
        <v>0</v>
      </c>
      <c r="L259" s="188" t="str">
        <f t="shared" si="63"/>
        <v>Projected - Common</v>
      </c>
      <c r="M259" s="188" t="str">
        <f t="shared" si="64"/>
        <v>C389 CMN Land &amp; Land Rights</v>
      </c>
      <c r="N259" s="188" t="str">
        <f t="shared" si="60"/>
        <v>Projected</v>
      </c>
      <c r="O259" s="188" t="str">
        <f t="shared" si="65"/>
        <v>101-C389</v>
      </c>
      <c r="P259" s="188">
        <f t="shared" si="66"/>
        <v>0</v>
      </c>
      <c r="Q259" s="188">
        <f t="shared" si="67"/>
        <v>0</v>
      </c>
      <c r="R259" s="188">
        <f t="shared" si="68"/>
        <v>1846320.0065939999</v>
      </c>
      <c r="S259" s="188">
        <f t="shared" si="69"/>
        <v>5538960.0329700001</v>
      </c>
      <c r="T259" s="188">
        <f t="shared" si="70"/>
        <v>0</v>
      </c>
      <c r="V259" s="188" t="str">
        <f t="shared" si="71"/>
        <v>Projected - Common</v>
      </c>
      <c r="W259" s="188" t="str">
        <f t="shared" si="72"/>
        <v>C389 CMN Land &amp; Land Rights</v>
      </c>
      <c r="X259" s="188" t="str">
        <f t="shared" si="61"/>
        <v>Projected</v>
      </c>
      <c r="Y259" s="188" t="str">
        <f t="shared" si="73"/>
        <v>101-C389</v>
      </c>
      <c r="Z259" s="188">
        <f t="shared" si="74"/>
        <v>0</v>
      </c>
      <c r="AA259" s="188">
        <f t="shared" si="75"/>
        <v>0</v>
      </c>
      <c r="AB259" s="188">
        <f t="shared" si="76"/>
        <v>953680.00340599997</v>
      </c>
      <c r="AC259" s="188">
        <f t="shared" si="77"/>
        <v>2861040.0170300002</v>
      </c>
      <c r="AD259" s="188">
        <f t="shared" si="78"/>
        <v>0</v>
      </c>
      <c r="AE259" s="183">
        <f t="shared" si="79"/>
        <v>0</v>
      </c>
    </row>
    <row r="260" spans="1:31" x14ac:dyDescent="0.25">
      <c r="A260" s="188" t="s">
        <v>212</v>
      </c>
      <c r="B260" s="188" t="s">
        <v>511</v>
      </c>
      <c r="C260" s="188" t="s">
        <v>26</v>
      </c>
      <c r="D260" s="188" t="str">
        <f t="shared" si="62"/>
        <v>101-C390</v>
      </c>
      <c r="E260" s="188">
        <v>0</v>
      </c>
      <c r="F260" s="188">
        <v>106618.31</v>
      </c>
      <c r="G260" s="188">
        <v>106618.31</v>
      </c>
      <c r="H260" s="188">
        <v>106618.31</v>
      </c>
      <c r="I260" s="188">
        <v>0</v>
      </c>
      <c r="J260" s="183">
        <v>0</v>
      </c>
      <c r="L260" s="188" t="str">
        <f t="shared" si="63"/>
        <v>Projected - Common</v>
      </c>
      <c r="M260" s="188" t="str">
        <f t="shared" si="64"/>
        <v>C3900 CMN Str/Impv, Fleet Svc Facl</v>
      </c>
      <c r="N260" s="188" t="str">
        <f t="shared" ref="N260:N323" si="80">C260</f>
        <v>Projected</v>
      </c>
      <c r="O260" s="188" t="str">
        <f t="shared" si="65"/>
        <v>101-C390</v>
      </c>
      <c r="P260" s="188">
        <f t="shared" si="66"/>
        <v>0</v>
      </c>
      <c r="Q260" s="188">
        <f t="shared" si="67"/>
        <v>70304.113614000002</v>
      </c>
      <c r="R260" s="188">
        <f t="shared" si="68"/>
        <v>70304.113614000002</v>
      </c>
      <c r="S260" s="188">
        <f t="shared" si="69"/>
        <v>70304.113614000002</v>
      </c>
      <c r="T260" s="188">
        <f t="shared" si="70"/>
        <v>0</v>
      </c>
      <c r="V260" s="188" t="str">
        <f t="shared" si="71"/>
        <v>Projected - Common</v>
      </c>
      <c r="W260" s="188" t="str">
        <f t="shared" si="72"/>
        <v>C3900 CMN Str/Impv, Fleet Svc Facl</v>
      </c>
      <c r="X260" s="188" t="str">
        <f t="shared" ref="X260:X323" si="81">C260</f>
        <v>Projected</v>
      </c>
      <c r="Y260" s="188" t="str">
        <f t="shared" si="73"/>
        <v>101-C390</v>
      </c>
      <c r="Z260" s="188">
        <f t="shared" si="74"/>
        <v>0</v>
      </c>
      <c r="AA260" s="188">
        <f t="shared" si="75"/>
        <v>36314.196386000003</v>
      </c>
      <c r="AB260" s="188">
        <f t="shared" si="76"/>
        <v>36314.196386000003</v>
      </c>
      <c r="AC260" s="188">
        <f t="shared" si="77"/>
        <v>36314.196386000003</v>
      </c>
      <c r="AD260" s="188">
        <f t="shared" si="78"/>
        <v>0</v>
      </c>
      <c r="AE260" s="183">
        <f t="shared" si="79"/>
        <v>0</v>
      </c>
    </row>
    <row r="261" spans="1:31" x14ac:dyDescent="0.25">
      <c r="A261" s="185" t="s">
        <v>212</v>
      </c>
      <c r="B261" s="188" t="s">
        <v>510</v>
      </c>
      <c r="C261" s="188" t="s">
        <v>26</v>
      </c>
      <c r="D261" s="188" t="str">
        <f t="shared" ref="D261:D324" si="82">"101-"&amp; LEFT(B261,4)</f>
        <v>101-C390</v>
      </c>
      <c r="E261" s="188">
        <v>0</v>
      </c>
      <c r="F261" s="188">
        <v>133857.75</v>
      </c>
      <c r="G261" s="188">
        <v>133857.75</v>
      </c>
      <c r="H261" s="188">
        <v>133857.75</v>
      </c>
      <c r="I261" s="188">
        <v>0</v>
      </c>
      <c r="J261" s="183">
        <v>0</v>
      </c>
      <c r="L261" s="188" t="str">
        <f t="shared" ref="L261:L324" si="83">A261</f>
        <v>Projected - Common</v>
      </c>
      <c r="M261" s="188" t="str">
        <f t="shared" ref="M261:M324" si="84">B261</f>
        <v>C3900 CMN Str/Impv, Kittitas Svc Ct</v>
      </c>
      <c r="N261" s="188" t="str">
        <f t="shared" si="80"/>
        <v>Projected</v>
      </c>
      <c r="O261" s="188" t="str">
        <f t="shared" ref="O261:O324" si="85">D261</f>
        <v>101-C390</v>
      </c>
      <c r="P261" s="188">
        <f t="shared" ref="P261:P324" si="86">IF(MID($O261,5,1)="C",E261*$F$1,IF(MID($O261,5,1)="G",0,E261))</f>
        <v>0</v>
      </c>
      <c r="Q261" s="188">
        <f t="shared" ref="Q261:Q324" si="87">IF(MID($O261,5,1)="C",F261*$F$1,IF(MID($O261,5,1)="G",0,F261))</f>
        <v>88265.800350000005</v>
      </c>
      <c r="R261" s="188">
        <f t="shared" ref="R261:R324" si="88">IF(MID($O261,5,1)="C",G261*$F$1,IF(MID($O261,5,1)="G",0,G261))</f>
        <v>88265.800350000005</v>
      </c>
      <c r="S261" s="188">
        <f t="shared" ref="S261:S324" si="89">IF(MID($O261,5,1)="C",H261*$F$1,IF(MID($O261,5,1)="G",0,H261))</f>
        <v>88265.800350000005</v>
      </c>
      <c r="T261" s="188">
        <f t="shared" ref="T261:T324" si="90">IF(MID($O261,5,1)="C",I261*$F$1,IF(MID($O261,5,1)="G",0,I261))</f>
        <v>0</v>
      </c>
      <c r="V261" s="188" t="str">
        <f t="shared" ref="V261:V324" si="91">A261</f>
        <v>Projected - Common</v>
      </c>
      <c r="W261" s="188" t="str">
        <f t="shared" ref="W261:W324" si="92">B261</f>
        <v>C3900 CMN Str/Impv, Kittitas Svc Ct</v>
      </c>
      <c r="X261" s="188" t="str">
        <f t="shared" si="81"/>
        <v>Projected</v>
      </c>
      <c r="Y261" s="188" t="str">
        <f t="shared" ref="Y261:Y324" si="93">D261</f>
        <v>101-C390</v>
      </c>
      <c r="Z261" s="188">
        <f t="shared" ref="Z261:Z324" si="94">IF(MID($O261,5,1)="C",E261*$D$1,IF(MID($O261,5,1)="E",0,E261))</f>
        <v>0</v>
      </c>
      <c r="AA261" s="188">
        <f t="shared" ref="AA261:AA324" si="95">IF(MID($O261,5,1)="C",F261*$D$1,IF(MID($O261,5,1)="E",0,F261))</f>
        <v>45591.949650000002</v>
      </c>
      <c r="AB261" s="188">
        <f t="shared" ref="AB261:AB324" si="96">IF(MID($O261,5,1)="C",G261*$D$1,IF(MID($O261,5,1)="E",0,G261))</f>
        <v>45591.949650000002</v>
      </c>
      <c r="AC261" s="188">
        <f t="shared" ref="AC261:AC324" si="97">IF(MID($O261,5,1)="C",H261*$D$1,IF(MID($O261,5,1)="E",0,H261))</f>
        <v>45591.949650000002</v>
      </c>
      <c r="AD261" s="188">
        <f t="shared" ref="AD261:AD324" si="98">IF(MID($O261,5,1)="C",I261*$D$1,IF(MID($O261,5,1)="E",0,I261))</f>
        <v>0</v>
      </c>
      <c r="AE261" s="183">
        <f t="shared" ref="AE261:AE324" si="99">SUM(E261:I261)-SUM(P261:T261)-SUM(Z261:AD261)</f>
        <v>0</v>
      </c>
    </row>
    <row r="262" spans="1:31" x14ac:dyDescent="0.25">
      <c r="A262" s="185" t="s">
        <v>212</v>
      </c>
      <c r="B262" s="188" t="s">
        <v>509</v>
      </c>
      <c r="C262" s="188" t="s">
        <v>26</v>
      </c>
      <c r="D262" s="188" t="str">
        <f t="shared" si="82"/>
        <v>101-C390</v>
      </c>
      <c r="E262" s="188">
        <v>0</v>
      </c>
      <c r="F262" s="188">
        <v>36597.17</v>
      </c>
      <c r="G262" s="188">
        <v>36597.17</v>
      </c>
      <c r="H262" s="188">
        <v>36597.17</v>
      </c>
      <c r="I262" s="188">
        <v>0</v>
      </c>
      <c r="J262" s="183">
        <v>0</v>
      </c>
      <c r="L262" s="188" t="str">
        <f t="shared" si="83"/>
        <v>Projected - Common</v>
      </c>
      <c r="M262" s="188" t="str">
        <f t="shared" si="84"/>
        <v>C3900 CMN Str/Impv, Olympia Svc Ctr</v>
      </c>
      <c r="N262" s="188" t="str">
        <f t="shared" si="80"/>
        <v>Projected</v>
      </c>
      <c r="O262" s="188" t="str">
        <f t="shared" si="85"/>
        <v>101-C390</v>
      </c>
      <c r="P262" s="188">
        <f t="shared" si="86"/>
        <v>0</v>
      </c>
      <c r="Q262" s="188">
        <f t="shared" si="87"/>
        <v>24132.173897999997</v>
      </c>
      <c r="R262" s="188">
        <f t="shared" si="88"/>
        <v>24132.173897999997</v>
      </c>
      <c r="S262" s="188">
        <f t="shared" si="89"/>
        <v>24132.173897999997</v>
      </c>
      <c r="T262" s="188">
        <f t="shared" si="90"/>
        <v>0</v>
      </c>
      <c r="V262" s="188" t="str">
        <f t="shared" si="91"/>
        <v>Projected - Common</v>
      </c>
      <c r="W262" s="188" t="str">
        <f t="shared" si="92"/>
        <v>C3900 CMN Str/Impv, Olympia Svc Ctr</v>
      </c>
      <c r="X262" s="188" t="str">
        <f t="shared" si="81"/>
        <v>Projected</v>
      </c>
      <c r="Y262" s="188" t="str">
        <f t="shared" si="93"/>
        <v>101-C390</v>
      </c>
      <c r="Z262" s="188">
        <f t="shared" si="94"/>
        <v>0</v>
      </c>
      <c r="AA262" s="188">
        <f t="shared" si="95"/>
        <v>12464.996101999999</v>
      </c>
      <c r="AB262" s="188">
        <f t="shared" si="96"/>
        <v>12464.996101999999</v>
      </c>
      <c r="AC262" s="188">
        <f t="shared" si="97"/>
        <v>12464.996101999999</v>
      </c>
      <c r="AD262" s="188">
        <f t="shared" si="98"/>
        <v>0</v>
      </c>
      <c r="AE262" s="183">
        <f t="shared" si="99"/>
        <v>0</v>
      </c>
    </row>
    <row r="263" spans="1:31" x14ac:dyDescent="0.25">
      <c r="A263" s="185" t="s">
        <v>212</v>
      </c>
      <c r="B263" s="188" t="s">
        <v>508</v>
      </c>
      <c r="C263" s="188" t="s">
        <v>26</v>
      </c>
      <c r="D263" s="188" t="str">
        <f t="shared" si="82"/>
        <v>101-C390</v>
      </c>
      <c r="E263" s="188">
        <v>0</v>
      </c>
      <c r="F263" s="188">
        <v>68079.240000000005</v>
      </c>
      <c r="G263" s="188">
        <v>172245.91</v>
      </c>
      <c r="H263" s="188">
        <v>2568079.2400000002</v>
      </c>
      <c r="I263" s="188">
        <v>0</v>
      </c>
      <c r="J263" s="183">
        <v>0</v>
      </c>
      <c r="L263" s="188" t="str">
        <f t="shared" si="83"/>
        <v>Projected - Common</v>
      </c>
      <c r="M263" s="188" t="str">
        <f t="shared" si="84"/>
        <v>C3900 CMN Str/Impv, S King Complex</v>
      </c>
      <c r="N263" s="188" t="str">
        <f t="shared" si="80"/>
        <v>Projected</v>
      </c>
      <c r="O263" s="188" t="str">
        <f t="shared" si="85"/>
        <v>101-C390</v>
      </c>
      <c r="P263" s="188">
        <f t="shared" si="86"/>
        <v>0</v>
      </c>
      <c r="Q263" s="188">
        <f t="shared" si="87"/>
        <v>44891.450856000003</v>
      </c>
      <c r="R263" s="188">
        <f t="shared" si="88"/>
        <v>113578.953054</v>
      </c>
      <c r="S263" s="188">
        <f t="shared" si="89"/>
        <v>1693391.4508560002</v>
      </c>
      <c r="T263" s="188">
        <f t="shared" si="90"/>
        <v>0</v>
      </c>
      <c r="V263" s="188" t="str">
        <f t="shared" si="91"/>
        <v>Projected - Common</v>
      </c>
      <c r="W263" s="188" t="str">
        <f t="shared" si="92"/>
        <v>C3900 CMN Str/Impv, S King Complex</v>
      </c>
      <c r="X263" s="188" t="str">
        <f t="shared" si="81"/>
        <v>Projected</v>
      </c>
      <c r="Y263" s="188" t="str">
        <f t="shared" si="93"/>
        <v>101-C390</v>
      </c>
      <c r="Z263" s="188">
        <f t="shared" si="94"/>
        <v>0</v>
      </c>
      <c r="AA263" s="188">
        <f t="shared" si="95"/>
        <v>23187.789144000002</v>
      </c>
      <c r="AB263" s="188">
        <f t="shared" si="96"/>
        <v>58666.956946000006</v>
      </c>
      <c r="AC263" s="188">
        <f t="shared" si="97"/>
        <v>874687.78914400015</v>
      </c>
      <c r="AD263" s="188">
        <f t="shared" si="98"/>
        <v>0</v>
      </c>
      <c r="AE263" s="183">
        <f t="shared" si="99"/>
        <v>0</v>
      </c>
    </row>
    <row r="264" spans="1:31" x14ac:dyDescent="0.25">
      <c r="A264" s="185" t="s">
        <v>212</v>
      </c>
      <c r="B264" s="188" t="s">
        <v>507</v>
      </c>
      <c r="C264" s="188" t="s">
        <v>26</v>
      </c>
      <c r="D264" s="188" t="str">
        <f t="shared" si="82"/>
        <v>101-C390</v>
      </c>
      <c r="E264" s="188">
        <v>0</v>
      </c>
      <c r="F264" s="188">
        <v>227477.26</v>
      </c>
      <c r="G264" s="188">
        <v>227477.26</v>
      </c>
      <c r="H264" s="188">
        <v>227477.26</v>
      </c>
      <c r="I264" s="188">
        <v>0</v>
      </c>
      <c r="J264" s="183">
        <v>0</v>
      </c>
      <c r="L264" s="188" t="str">
        <f t="shared" si="83"/>
        <v>Projected - Common</v>
      </c>
      <c r="M264" s="188" t="str">
        <f t="shared" si="84"/>
        <v>C3900 CMN Str/Impv, Tacoma Office</v>
      </c>
      <c r="N264" s="188" t="str">
        <f t="shared" si="80"/>
        <v>Projected</v>
      </c>
      <c r="O264" s="188" t="str">
        <f t="shared" si="85"/>
        <v>101-C390</v>
      </c>
      <c r="P264" s="188">
        <f t="shared" si="86"/>
        <v>0</v>
      </c>
      <c r="Q264" s="188">
        <f t="shared" si="87"/>
        <v>149998.505244</v>
      </c>
      <c r="R264" s="188">
        <f t="shared" si="88"/>
        <v>149998.505244</v>
      </c>
      <c r="S264" s="188">
        <f t="shared" si="89"/>
        <v>149998.505244</v>
      </c>
      <c r="T264" s="188">
        <f t="shared" si="90"/>
        <v>0</v>
      </c>
      <c r="V264" s="188" t="str">
        <f t="shared" si="91"/>
        <v>Projected - Common</v>
      </c>
      <c r="W264" s="188" t="str">
        <f t="shared" si="92"/>
        <v>C3900 CMN Str/Impv, Tacoma Office</v>
      </c>
      <c r="X264" s="188" t="str">
        <f t="shared" si="81"/>
        <v>Projected</v>
      </c>
      <c r="Y264" s="188" t="str">
        <f t="shared" si="93"/>
        <v>101-C390</v>
      </c>
      <c r="Z264" s="188">
        <f t="shared" si="94"/>
        <v>0</v>
      </c>
      <c r="AA264" s="188">
        <f t="shared" si="95"/>
        <v>77478.754756000009</v>
      </c>
      <c r="AB264" s="188">
        <f t="shared" si="96"/>
        <v>77478.754756000009</v>
      </c>
      <c r="AC264" s="188">
        <f t="shared" si="97"/>
        <v>77478.754756000009</v>
      </c>
      <c r="AD264" s="188">
        <f t="shared" si="98"/>
        <v>0</v>
      </c>
      <c r="AE264" s="183">
        <f t="shared" si="99"/>
        <v>0</v>
      </c>
    </row>
    <row r="265" spans="1:31" x14ac:dyDescent="0.25">
      <c r="A265" s="185" t="s">
        <v>212</v>
      </c>
      <c r="B265" s="188" t="s">
        <v>506</v>
      </c>
      <c r="C265" s="188" t="s">
        <v>26</v>
      </c>
      <c r="D265" s="188" t="str">
        <f t="shared" si="82"/>
        <v>101-C390</v>
      </c>
      <c r="E265" s="188">
        <v>0</v>
      </c>
      <c r="F265" s="188">
        <v>1365302.82</v>
      </c>
      <c r="G265" s="188">
        <v>1365302.82</v>
      </c>
      <c r="H265" s="188">
        <v>1365302.82</v>
      </c>
      <c r="I265" s="188">
        <v>0</v>
      </c>
      <c r="J265" s="183">
        <v>0</v>
      </c>
      <c r="L265" s="188" t="str">
        <f t="shared" si="83"/>
        <v>Projected - Common</v>
      </c>
      <c r="M265" s="188" t="str">
        <f t="shared" si="84"/>
        <v>C3900 CMN Structure &amp; Improvement</v>
      </c>
      <c r="N265" s="188" t="str">
        <f t="shared" si="80"/>
        <v>Projected</v>
      </c>
      <c r="O265" s="188" t="str">
        <f t="shared" si="85"/>
        <v>101-C390</v>
      </c>
      <c r="P265" s="188">
        <f t="shared" si="86"/>
        <v>0</v>
      </c>
      <c r="Q265" s="188">
        <f t="shared" si="87"/>
        <v>900280.67950800003</v>
      </c>
      <c r="R265" s="188">
        <f t="shared" si="88"/>
        <v>900280.67950800003</v>
      </c>
      <c r="S265" s="188">
        <f t="shared" si="89"/>
        <v>900280.67950800003</v>
      </c>
      <c r="T265" s="188">
        <f t="shared" si="90"/>
        <v>0</v>
      </c>
      <c r="V265" s="188" t="str">
        <f t="shared" si="91"/>
        <v>Projected - Common</v>
      </c>
      <c r="W265" s="188" t="str">
        <f t="shared" si="92"/>
        <v>C3900 CMN Structure &amp; Improvement</v>
      </c>
      <c r="X265" s="188" t="str">
        <f t="shared" si="81"/>
        <v>Projected</v>
      </c>
      <c r="Y265" s="188" t="str">
        <f t="shared" si="93"/>
        <v>101-C390</v>
      </c>
      <c r="Z265" s="188">
        <f t="shared" si="94"/>
        <v>0</v>
      </c>
      <c r="AA265" s="188">
        <f t="shared" si="95"/>
        <v>465022.14049200004</v>
      </c>
      <c r="AB265" s="188">
        <f t="shared" si="96"/>
        <v>465022.14049200004</v>
      </c>
      <c r="AC265" s="188">
        <f t="shared" si="97"/>
        <v>465022.14049200004</v>
      </c>
      <c r="AD265" s="188">
        <f t="shared" si="98"/>
        <v>0</v>
      </c>
      <c r="AE265" s="183">
        <f t="shared" si="99"/>
        <v>0</v>
      </c>
    </row>
    <row r="266" spans="1:31" x14ac:dyDescent="0.25">
      <c r="A266" s="185" t="s">
        <v>212</v>
      </c>
      <c r="B266" s="188" t="s">
        <v>505</v>
      </c>
      <c r="C266" s="188" t="s">
        <v>26</v>
      </c>
      <c r="D266" s="188" t="str">
        <f t="shared" si="82"/>
        <v>101-C390</v>
      </c>
      <c r="E266" s="188">
        <v>0</v>
      </c>
      <c r="F266" s="188">
        <v>222496.31</v>
      </c>
      <c r="G266" s="188">
        <v>222525.81</v>
      </c>
      <c r="H266" s="188">
        <v>223233.71</v>
      </c>
      <c r="I266" s="188">
        <v>0</v>
      </c>
      <c r="J266" s="183">
        <v>0</v>
      </c>
      <c r="L266" s="188" t="str">
        <f t="shared" si="83"/>
        <v>Projected - Common</v>
      </c>
      <c r="M266" s="188" t="str">
        <f t="shared" si="84"/>
        <v>C3901 CMN LH, Bothell Access Center</v>
      </c>
      <c r="N266" s="188" t="str">
        <f t="shared" si="80"/>
        <v>Projected</v>
      </c>
      <c r="O266" s="188" t="str">
        <f t="shared" si="85"/>
        <v>101-C390</v>
      </c>
      <c r="P266" s="188">
        <f t="shared" si="86"/>
        <v>0</v>
      </c>
      <c r="Q266" s="188">
        <f t="shared" si="87"/>
        <v>146714.06681399999</v>
      </c>
      <c r="R266" s="188">
        <f t="shared" si="88"/>
        <v>146733.519114</v>
      </c>
      <c r="S266" s="188">
        <f t="shared" si="89"/>
        <v>147200.30837399999</v>
      </c>
      <c r="T266" s="188">
        <f t="shared" si="90"/>
        <v>0</v>
      </c>
      <c r="V266" s="188" t="str">
        <f t="shared" si="91"/>
        <v>Projected - Common</v>
      </c>
      <c r="W266" s="188" t="str">
        <f t="shared" si="92"/>
        <v>C3901 CMN LH, Bothell Access Center</v>
      </c>
      <c r="X266" s="188" t="str">
        <f t="shared" si="81"/>
        <v>Projected</v>
      </c>
      <c r="Y266" s="188" t="str">
        <f t="shared" si="93"/>
        <v>101-C390</v>
      </c>
      <c r="Z266" s="188">
        <f t="shared" si="94"/>
        <v>0</v>
      </c>
      <c r="AA266" s="188">
        <f t="shared" si="95"/>
        <v>75782.243186000007</v>
      </c>
      <c r="AB266" s="188">
        <f t="shared" si="96"/>
        <v>75792.290886000003</v>
      </c>
      <c r="AC266" s="188">
        <f t="shared" si="97"/>
        <v>76033.401626000006</v>
      </c>
      <c r="AD266" s="188">
        <f t="shared" si="98"/>
        <v>0</v>
      </c>
      <c r="AE266" s="183">
        <f t="shared" si="99"/>
        <v>0</v>
      </c>
    </row>
    <row r="267" spans="1:31" x14ac:dyDescent="0.25">
      <c r="A267" s="185" t="s">
        <v>212</v>
      </c>
      <c r="B267" s="188" t="s">
        <v>504</v>
      </c>
      <c r="C267" s="188" t="s">
        <v>26</v>
      </c>
      <c r="D267" s="188" t="str">
        <f t="shared" si="82"/>
        <v>101-C390</v>
      </c>
      <c r="E267" s="188">
        <v>0</v>
      </c>
      <c r="F267" s="188">
        <v>0</v>
      </c>
      <c r="G267" s="188">
        <v>6239087.1600000001</v>
      </c>
      <c r="H267" s="188">
        <v>12477314.73</v>
      </c>
      <c r="I267" s="188">
        <v>0</v>
      </c>
      <c r="J267" s="183">
        <v>0</v>
      </c>
      <c r="L267" s="188" t="str">
        <f t="shared" si="83"/>
        <v>Projected - Common</v>
      </c>
      <c r="M267" s="188" t="str">
        <f t="shared" si="84"/>
        <v>C3901 CMN LH, PSE East Building</v>
      </c>
      <c r="N267" s="188" t="str">
        <f t="shared" si="80"/>
        <v>Projected</v>
      </c>
      <c r="O267" s="188" t="str">
        <f t="shared" si="85"/>
        <v>101-C390</v>
      </c>
      <c r="P267" s="188">
        <f t="shared" si="86"/>
        <v>0</v>
      </c>
      <c r="Q267" s="188">
        <f t="shared" si="87"/>
        <v>0</v>
      </c>
      <c r="R267" s="188">
        <f t="shared" si="88"/>
        <v>4114054.0733039998</v>
      </c>
      <c r="S267" s="188">
        <f t="shared" si="89"/>
        <v>8227541.3329619998</v>
      </c>
      <c r="T267" s="188">
        <f t="shared" si="90"/>
        <v>0</v>
      </c>
      <c r="V267" s="188" t="str">
        <f t="shared" si="91"/>
        <v>Projected - Common</v>
      </c>
      <c r="W267" s="188" t="str">
        <f t="shared" si="92"/>
        <v>C3901 CMN LH, PSE East Building</v>
      </c>
      <c r="X267" s="188" t="str">
        <f t="shared" si="81"/>
        <v>Projected</v>
      </c>
      <c r="Y267" s="188" t="str">
        <f t="shared" si="93"/>
        <v>101-C390</v>
      </c>
      <c r="Z267" s="188">
        <f t="shared" si="94"/>
        <v>0</v>
      </c>
      <c r="AA267" s="188">
        <f t="shared" si="95"/>
        <v>0</v>
      </c>
      <c r="AB267" s="188">
        <f t="shared" si="96"/>
        <v>2125033.0866960003</v>
      </c>
      <c r="AC267" s="188">
        <f t="shared" si="97"/>
        <v>4249773.3970380006</v>
      </c>
      <c r="AD267" s="188">
        <f t="shared" si="98"/>
        <v>0</v>
      </c>
      <c r="AE267" s="183">
        <f t="shared" si="99"/>
        <v>0</v>
      </c>
    </row>
    <row r="268" spans="1:31" x14ac:dyDescent="0.25">
      <c r="A268" s="185" t="s">
        <v>212</v>
      </c>
      <c r="B268" s="188" t="s">
        <v>503</v>
      </c>
      <c r="C268" s="188" t="s">
        <v>26</v>
      </c>
      <c r="D268" s="188" t="str">
        <f t="shared" si="82"/>
        <v>101-C390</v>
      </c>
      <c r="E268" s="188">
        <v>0</v>
      </c>
      <c r="F268" s="188">
        <v>98062.68</v>
      </c>
      <c r="G268" s="188">
        <v>202229.35</v>
      </c>
      <c r="H268" s="188">
        <v>2598062.6800000002</v>
      </c>
      <c r="I268" s="188">
        <v>0</v>
      </c>
      <c r="J268" s="183">
        <v>0</v>
      </c>
      <c r="L268" s="188" t="str">
        <f t="shared" si="83"/>
        <v>Projected - Common</v>
      </c>
      <c r="M268" s="188" t="str">
        <f t="shared" si="84"/>
        <v>C3901 CMN LH, Redmond West/Willow</v>
      </c>
      <c r="N268" s="188" t="str">
        <f t="shared" si="80"/>
        <v>Projected</v>
      </c>
      <c r="O268" s="188" t="str">
        <f t="shared" si="85"/>
        <v>101-C390</v>
      </c>
      <c r="P268" s="188">
        <f t="shared" si="86"/>
        <v>0</v>
      </c>
      <c r="Q268" s="188">
        <f t="shared" si="87"/>
        <v>64662.531191999995</v>
      </c>
      <c r="R268" s="188">
        <f t="shared" si="88"/>
        <v>133350.03339</v>
      </c>
      <c r="S268" s="188">
        <f t="shared" si="89"/>
        <v>1713162.531192</v>
      </c>
      <c r="T268" s="188">
        <f t="shared" si="90"/>
        <v>0</v>
      </c>
      <c r="V268" s="188" t="str">
        <f t="shared" si="91"/>
        <v>Projected - Common</v>
      </c>
      <c r="W268" s="188" t="str">
        <f t="shared" si="92"/>
        <v>C3901 CMN LH, Redmond West/Willow</v>
      </c>
      <c r="X268" s="188" t="str">
        <f t="shared" si="81"/>
        <v>Projected</v>
      </c>
      <c r="Y268" s="188" t="str">
        <f t="shared" si="93"/>
        <v>101-C390</v>
      </c>
      <c r="Z268" s="188">
        <f t="shared" si="94"/>
        <v>0</v>
      </c>
      <c r="AA268" s="188">
        <f t="shared" si="95"/>
        <v>33400.148807999998</v>
      </c>
      <c r="AB268" s="188">
        <f t="shared" si="96"/>
        <v>68879.316610000009</v>
      </c>
      <c r="AC268" s="188">
        <f t="shared" si="97"/>
        <v>884900.14880800014</v>
      </c>
      <c r="AD268" s="188">
        <f t="shared" si="98"/>
        <v>0</v>
      </c>
      <c r="AE268" s="183">
        <f t="shared" si="99"/>
        <v>0</v>
      </c>
    </row>
    <row r="269" spans="1:31" x14ac:dyDescent="0.25">
      <c r="A269" s="185" t="s">
        <v>212</v>
      </c>
      <c r="B269" s="188" t="s">
        <v>502</v>
      </c>
      <c r="C269" s="188" t="s">
        <v>26</v>
      </c>
      <c r="D269" s="188" t="str">
        <f t="shared" si="82"/>
        <v>101-C391</v>
      </c>
      <c r="E269" s="188">
        <v>0</v>
      </c>
      <c r="F269" s="188">
        <v>2022131.38</v>
      </c>
      <c r="G269" s="188">
        <v>2147131.38</v>
      </c>
      <c r="H269" s="188">
        <v>5399729</v>
      </c>
      <c r="I269" s="188">
        <v>0</v>
      </c>
      <c r="J269" s="183">
        <v>0</v>
      </c>
      <c r="L269" s="188" t="str">
        <f t="shared" si="83"/>
        <v>Projected - Common</v>
      </c>
      <c r="M269" s="188" t="str">
        <f t="shared" si="84"/>
        <v>C3911 CMN Office Furn &amp; Eq, new</v>
      </c>
      <c r="N269" s="188" t="str">
        <f t="shared" si="80"/>
        <v>Projected</v>
      </c>
      <c r="O269" s="188" t="str">
        <f t="shared" si="85"/>
        <v>101-C391</v>
      </c>
      <c r="P269" s="188">
        <f t="shared" si="86"/>
        <v>0</v>
      </c>
      <c r="Q269" s="188">
        <f t="shared" si="87"/>
        <v>1333393.4319719998</v>
      </c>
      <c r="R269" s="188">
        <f t="shared" si="88"/>
        <v>1415818.4319719998</v>
      </c>
      <c r="S269" s="188">
        <f t="shared" si="89"/>
        <v>3560581.3026000001</v>
      </c>
      <c r="T269" s="188">
        <f t="shared" si="90"/>
        <v>0</v>
      </c>
      <c r="V269" s="188" t="str">
        <f t="shared" si="91"/>
        <v>Projected - Common</v>
      </c>
      <c r="W269" s="188" t="str">
        <f t="shared" si="92"/>
        <v>C3911 CMN Office Furn &amp; Eq, new</v>
      </c>
      <c r="X269" s="188" t="str">
        <f t="shared" si="81"/>
        <v>Projected</v>
      </c>
      <c r="Y269" s="188" t="str">
        <f t="shared" si="93"/>
        <v>101-C391</v>
      </c>
      <c r="Z269" s="188">
        <f t="shared" si="94"/>
        <v>0</v>
      </c>
      <c r="AA269" s="188">
        <f t="shared" si="95"/>
        <v>688737.94802799996</v>
      </c>
      <c r="AB269" s="188">
        <f t="shared" si="96"/>
        <v>731312.94802799996</v>
      </c>
      <c r="AC269" s="188">
        <f t="shared" si="97"/>
        <v>1839147.6974000002</v>
      </c>
      <c r="AD269" s="188">
        <f t="shared" si="98"/>
        <v>0</v>
      </c>
      <c r="AE269" s="183">
        <f t="shared" si="99"/>
        <v>0</v>
      </c>
    </row>
    <row r="270" spans="1:31" x14ac:dyDescent="0.25">
      <c r="A270" s="185" t="s">
        <v>212</v>
      </c>
      <c r="B270" s="188" t="s">
        <v>320</v>
      </c>
      <c r="C270" s="188" t="s">
        <v>26</v>
      </c>
      <c r="D270" s="188" t="str">
        <f t="shared" si="82"/>
        <v>101-C391</v>
      </c>
      <c r="E270" s="188">
        <v>0</v>
      </c>
      <c r="F270" s="188">
        <v>482512.98</v>
      </c>
      <c r="G270" s="188">
        <v>1272779.74</v>
      </c>
      <c r="H270" s="188">
        <v>2892322.32</v>
      </c>
      <c r="I270" s="188">
        <v>0</v>
      </c>
      <c r="J270" s="183">
        <v>0</v>
      </c>
      <c r="L270" s="188" t="str">
        <f t="shared" si="83"/>
        <v>Projected - Common</v>
      </c>
      <c r="M270" s="188" t="str">
        <f t="shared" si="84"/>
        <v>C3912 CMN Computer Eq, new</v>
      </c>
      <c r="N270" s="188" t="str">
        <f t="shared" si="80"/>
        <v>Projected</v>
      </c>
      <c r="O270" s="188" t="str">
        <f t="shared" si="85"/>
        <v>101-C391</v>
      </c>
      <c r="P270" s="188">
        <f t="shared" si="86"/>
        <v>0</v>
      </c>
      <c r="Q270" s="188">
        <f t="shared" si="87"/>
        <v>318169.05901199998</v>
      </c>
      <c r="R270" s="188">
        <f t="shared" si="88"/>
        <v>839270.96055600001</v>
      </c>
      <c r="S270" s="188">
        <f t="shared" si="89"/>
        <v>1907197.3378079999</v>
      </c>
      <c r="T270" s="188">
        <f t="shared" si="90"/>
        <v>0</v>
      </c>
      <c r="V270" s="188" t="str">
        <f t="shared" si="91"/>
        <v>Projected - Common</v>
      </c>
      <c r="W270" s="188" t="str">
        <f t="shared" si="92"/>
        <v>C3912 CMN Computer Eq, new</v>
      </c>
      <c r="X270" s="188" t="str">
        <f t="shared" si="81"/>
        <v>Projected</v>
      </c>
      <c r="Y270" s="188" t="str">
        <f t="shared" si="93"/>
        <v>101-C391</v>
      </c>
      <c r="Z270" s="188">
        <f t="shared" si="94"/>
        <v>0</v>
      </c>
      <c r="AA270" s="188">
        <f t="shared" si="95"/>
        <v>164343.920988</v>
      </c>
      <c r="AB270" s="188">
        <f t="shared" si="96"/>
        <v>433508.77944400004</v>
      </c>
      <c r="AC270" s="188">
        <f t="shared" si="97"/>
        <v>985124.98219200002</v>
      </c>
      <c r="AD270" s="188">
        <f t="shared" si="98"/>
        <v>0</v>
      </c>
      <c r="AE270" s="183">
        <f t="shared" si="99"/>
        <v>0</v>
      </c>
    </row>
    <row r="271" spans="1:31" x14ac:dyDescent="0.25">
      <c r="A271" s="185" t="s">
        <v>212</v>
      </c>
      <c r="B271" s="188" t="s">
        <v>501</v>
      </c>
      <c r="C271" s="188" t="s">
        <v>26</v>
      </c>
      <c r="D271" s="188" t="str">
        <f t="shared" si="82"/>
        <v>101-C392</v>
      </c>
      <c r="E271" s="188">
        <v>0</v>
      </c>
      <c r="F271" s="188">
        <v>258178.43</v>
      </c>
      <c r="G271" s="188">
        <v>269490.14</v>
      </c>
      <c r="H271" s="188">
        <v>545337.46</v>
      </c>
      <c r="I271" s="188">
        <v>0</v>
      </c>
      <c r="J271" s="183">
        <v>0</v>
      </c>
      <c r="L271" s="188" t="str">
        <f t="shared" si="83"/>
        <v>Projected - Common</v>
      </c>
      <c r="M271" s="188" t="str">
        <f t="shared" si="84"/>
        <v>C3920 GEN Trans Equip, new</v>
      </c>
      <c r="N271" s="188" t="str">
        <f t="shared" si="80"/>
        <v>Projected</v>
      </c>
      <c r="O271" s="188" t="str">
        <f t="shared" si="85"/>
        <v>101-C392</v>
      </c>
      <c r="P271" s="188">
        <f t="shared" si="86"/>
        <v>0</v>
      </c>
      <c r="Q271" s="188">
        <f t="shared" si="87"/>
        <v>170242.856742</v>
      </c>
      <c r="R271" s="188">
        <f t="shared" si="88"/>
        <v>177701.798316</v>
      </c>
      <c r="S271" s="188">
        <f t="shared" si="89"/>
        <v>359595.52112399996</v>
      </c>
      <c r="T271" s="188">
        <f t="shared" si="90"/>
        <v>0</v>
      </c>
      <c r="V271" s="188" t="str">
        <f t="shared" si="91"/>
        <v>Projected - Common</v>
      </c>
      <c r="W271" s="188" t="str">
        <f t="shared" si="92"/>
        <v>C3920 GEN Trans Equip, new</v>
      </c>
      <c r="X271" s="188" t="str">
        <f t="shared" si="81"/>
        <v>Projected</v>
      </c>
      <c r="Y271" s="188" t="str">
        <f t="shared" si="93"/>
        <v>101-C392</v>
      </c>
      <c r="Z271" s="188">
        <f t="shared" si="94"/>
        <v>0</v>
      </c>
      <c r="AA271" s="188">
        <f t="shared" si="95"/>
        <v>87935.573258000004</v>
      </c>
      <c r="AB271" s="188">
        <f t="shared" si="96"/>
        <v>91788.341684000014</v>
      </c>
      <c r="AC271" s="188">
        <f t="shared" si="97"/>
        <v>185741.938876</v>
      </c>
      <c r="AD271" s="188">
        <f t="shared" si="98"/>
        <v>0</v>
      </c>
      <c r="AE271" s="183">
        <f t="shared" si="99"/>
        <v>0</v>
      </c>
    </row>
    <row r="272" spans="1:31" x14ac:dyDescent="0.25">
      <c r="A272" s="185" t="s">
        <v>212</v>
      </c>
      <c r="B272" s="188" t="s">
        <v>500</v>
      </c>
      <c r="C272" s="188" t="s">
        <v>26</v>
      </c>
      <c r="D272" s="188" t="str">
        <f t="shared" si="82"/>
        <v>101-C394</v>
      </c>
      <c r="E272" s="188">
        <v>0</v>
      </c>
      <c r="F272" s="188">
        <v>208480.37</v>
      </c>
      <c r="G272" s="188">
        <v>208480.37</v>
      </c>
      <c r="H272" s="188">
        <v>208480.37</v>
      </c>
      <c r="I272" s="188">
        <v>0</v>
      </c>
      <c r="J272" s="183">
        <v>0</v>
      </c>
      <c r="L272" s="188" t="str">
        <f t="shared" si="83"/>
        <v>Projected - Common</v>
      </c>
      <c r="M272" s="188" t="str">
        <f t="shared" si="84"/>
        <v>C3940 CMN Tools/Shop/Garage new</v>
      </c>
      <c r="N272" s="188" t="str">
        <f t="shared" si="80"/>
        <v>Projected</v>
      </c>
      <c r="O272" s="188" t="str">
        <f t="shared" si="85"/>
        <v>101-C394</v>
      </c>
      <c r="P272" s="188">
        <f t="shared" si="86"/>
        <v>0</v>
      </c>
      <c r="Q272" s="188">
        <f t="shared" si="87"/>
        <v>137471.95597799998</v>
      </c>
      <c r="R272" s="188">
        <f t="shared" si="88"/>
        <v>137471.95597799998</v>
      </c>
      <c r="S272" s="188">
        <f t="shared" si="89"/>
        <v>137471.95597799998</v>
      </c>
      <c r="T272" s="188">
        <f t="shared" si="90"/>
        <v>0</v>
      </c>
      <c r="V272" s="188" t="str">
        <f t="shared" si="91"/>
        <v>Projected - Common</v>
      </c>
      <c r="W272" s="188" t="str">
        <f t="shared" si="92"/>
        <v>C3940 CMN Tools/Shop/Garage new</v>
      </c>
      <c r="X272" s="188" t="str">
        <f t="shared" si="81"/>
        <v>Projected</v>
      </c>
      <c r="Y272" s="188" t="str">
        <f t="shared" si="93"/>
        <v>101-C394</v>
      </c>
      <c r="Z272" s="188">
        <f t="shared" si="94"/>
        <v>0</v>
      </c>
      <c r="AA272" s="188">
        <f t="shared" si="95"/>
        <v>71008.414021999997</v>
      </c>
      <c r="AB272" s="188">
        <f t="shared" si="96"/>
        <v>71008.414021999997</v>
      </c>
      <c r="AC272" s="188">
        <f t="shared" si="97"/>
        <v>71008.414021999997</v>
      </c>
      <c r="AD272" s="188">
        <f t="shared" si="98"/>
        <v>0</v>
      </c>
      <c r="AE272" s="183">
        <f t="shared" si="99"/>
        <v>0</v>
      </c>
    </row>
    <row r="273" spans="1:31" x14ac:dyDescent="0.25">
      <c r="A273" s="185" t="s">
        <v>212</v>
      </c>
      <c r="B273" s="188" t="s">
        <v>499</v>
      </c>
      <c r="C273" s="188" t="s">
        <v>26</v>
      </c>
      <c r="D273" s="188" t="str">
        <f t="shared" si="82"/>
        <v>101-C396</v>
      </c>
      <c r="E273" s="188">
        <v>0</v>
      </c>
      <c r="F273" s="188">
        <v>7317.94</v>
      </c>
      <c r="G273" s="188">
        <v>7638.56</v>
      </c>
      <c r="H273" s="188">
        <v>15457.33</v>
      </c>
      <c r="I273" s="188">
        <v>0</v>
      </c>
      <c r="J273" s="183">
        <v>0</v>
      </c>
      <c r="L273" s="188" t="str">
        <f t="shared" si="83"/>
        <v>Projected - Common</v>
      </c>
      <c r="M273" s="188" t="str">
        <f t="shared" si="84"/>
        <v>C396 GEN Power Op Equip, new</v>
      </c>
      <c r="N273" s="188" t="str">
        <f t="shared" si="80"/>
        <v>Projected</v>
      </c>
      <c r="O273" s="188" t="str">
        <f t="shared" si="85"/>
        <v>101-C396</v>
      </c>
      <c r="P273" s="188">
        <f t="shared" si="86"/>
        <v>0</v>
      </c>
      <c r="Q273" s="188">
        <f t="shared" si="87"/>
        <v>4825.4496359999994</v>
      </c>
      <c r="R273" s="188">
        <f t="shared" si="88"/>
        <v>5036.8664639999997</v>
      </c>
      <c r="S273" s="188">
        <f t="shared" si="89"/>
        <v>10192.563402</v>
      </c>
      <c r="T273" s="188">
        <f t="shared" si="90"/>
        <v>0</v>
      </c>
      <c r="V273" s="188" t="str">
        <f t="shared" si="91"/>
        <v>Projected - Common</v>
      </c>
      <c r="W273" s="188" t="str">
        <f t="shared" si="92"/>
        <v>C396 GEN Power Op Equip, new</v>
      </c>
      <c r="X273" s="188" t="str">
        <f t="shared" si="81"/>
        <v>Projected</v>
      </c>
      <c r="Y273" s="188" t="str">
        <f t="shared" si="93"/>
        <v>101-C396</v>
      </c>
      <c r="Z273" s="188">
        <f t="shared" si="94"/>
        <v>0</v>
      </c>
      <c r="AA273" s="188">
        <f t="shared" si="95"/>
        <v>2492.4903639999998</v>
      </c>
      <c r="AB273" s="188">
        <f t="shared" si="96"/>
        <v>2601.6935360000002</v>
      </c>
      <c r="AC273" s="188">
        <f t="shared" si="97"/>
        <v>5264.7665980000002</v>
      </c>
      <c r="AD273" s="188">
        <f t="shared" si="98"/>
        <v>0</v>
      </c>
      <c r="AE273" s="183">
        <f t="shared" si="99"/>
        <v>0</v>
      </c>
    </row>
    <row r="274" spans="1:31" x14ac:dyDescent="0.25">
      <c r="A274" s="185" t="s">
        <v>212</v>
      </c>
      <c r="B274" s="188" t="s">
        <v>319</v>
      </c>
      <c r="C274" s="188" t="s">
        <v>26</v>
      </c>
      <c r="D274" s="188" t="str">
        <f t="shared" si="82"/>
        <v>101-C397</v>
      </c>
      <c r="E274" s="188">
        <v>0</v>
      </c>
      <c r="F274" s="188">
        <v>404003.9</v>
      </c>
      <c r="G274" s="188">
        <v>416508.05</v>
      </c>
      <c r="H274" s="188">
        <v>923334.99</v>
      </c>
      <c r="I274" s="188">
        <v>0</v>
      </c>
      <c r="J274" s="183">
        <v>0</v>
      </c>
      <c r="L274" s="188" t="str">
        <f t="shared" si="83"/>
        <v>Projected - Common</v>
      </c>
      <c r="M274" s="188" t="str">
        <f t="shared" si="84"/>
        <v>C3970 CMN Comm Equip, new</v>
      </c>
      <c r="N274" s="188" t="str">
        <f t="shared" si="80"/>
        <v>Projected</v>
      </c>
      <c r="O274" s="188" t="str">
        <f t="shared" si="85"/>
        <v>101-C397</v>
      </c>
      <c r="P274" s="188">
        <f t="shared" si="86"/>
        <v>0</v>
      </c>
      <c r="Q274" s="188">
        <f t="shared" si="87"/>
        <v>266400.17165999999</v>
      </c>
      <c r="R274" s="188">
        <f t="shared" si="88"/>
        <v>274645.40817000001</v>
      </c>
      <c r="S274" s="188">
        <f t="shared" si="89"/>
        <v>608847.09240600001</v>
      </c>
      <c r="T274" s="188">
        <f t="shared" si="90"/>
        <v>0</v>
      </c>
      <c r="V274" s="188" t="str">
        <f t="shared" si="91"/>
        <v>Projected - Common</v>
      </c>
      <c r="W274" s="188" t="str">
        <f t="shared" si="92"/>
        <v>C3970 CMN Comm Equip, new</v>
      </c>
      <c r="X274" s="188" t="str">
        <f t="shared" si="81"/>
        <v>Projected</v>
      </c>
      <c r="Y274" s="188" t="str">
        <f t="shared" si="93"/>
        <v>101-C397</v>
      </c>
      <c r="Z274" s="188">
        <f t="shared" si="94"/>
        <v>0</v>
      </c>
      <c r="AA274" s="188">
        <f t="shared" si="95"/>
        <v>137603.72834</v>
      </c>
      <c r="AB274" s="188">
        <f t="shared" si="96"/>
        <v>141862.64183000001</v>
      </c>
      <c r="AC274" s="188">
        <f t="shared" si="97"/>
        <v>314487.89759400004</v>
      </c>
      <c r="AD274" s="188">
        <f t="shared" si="98"/>
        <v>0</v>
      </c>
      <c r="AE274" s="183">
        <f t="shared" si="99"/>
        <v>0</v>
      </c>
    </row>
    <row r="275" spans="1:31" x14ac:dyDescent="0.25">
      <c r="A275" s="185" t="s">
        <v>211</v>
      </c>
      <c r="B275" s="188" t="s">
        <v>498</v>
      </c>
      <c r="C275" s="188" t="s">
        <v>26</v>
      </c>
      <c r="D275" s="188" t="str">
        <f t="shared" si="82"/>
        <v>101-E302</v>
      </c>
      <c r="E275" s="188">
        <v>0</v>
      </c>
      <c r="F275" s="188">
        <v>1853302.28</v>
      </c>
      <c r="G275" s="188">
        <v>3317425.4</v>
      </c>
      <c r="H275" s="188">
        <v>7367419.7999999998</v>
      </c>
      <c r="I275" s="188">
        <v>0</v>
      </c>
      <c r="J275" s="183">
        <v>0</v>
      </c>
      <c r="L275" s="188" t="str">
        <f t="shared" si="83"/>
        <v>Projected - Electric</v>
      </c>
      <c r="M275" s="188" t="str">
        <f t="shared" si="84"/>
        <v>E302.10 INT Franchises</v>
      </c>
      <c r="N275" s="188" t="str">
        <f t="shared" si="80"/>
        <v>Projected</v>
      </c>
      <c r="O275" s="188" t="str">
        <f t="shared" si="85"/>
        <v>101-E302</v>
      </c>
      <c r="P275" s="188">
        <f t="shared" si="86"/>
        <v>0</v>
      </c>
      <c r="Q275" s="188">
        <f t="shared" si="87"/>
        <v>1853302.28</v>
      </c>
      <c r="R275" s="188">
        <f t="shared" si="88"/>
        <v>3317425.4</v>
      </c>
      <c r="S275" s="188">
        <f t="shared" si="89"/>
        <v>7367419.7999999998</v>
      </c>
      <c r="T275" s="188">
        <f t="shared" si="90"/>
        <v>0</v>
      </c>
      <c r="V275" s="188" t="str">
        <f t="shared" si="91"/>
        <v>Projected - Electric</v>
      </c>
      <c r="W275" s="188" t="str">
        <f t="shared" si="92"/>
        <v>E302.10 INT Franchises</v>
      </c>
      <c r="X275" s="188" t="str">
        <f t="shared" si="81"/>
        <v>Projected</v>
      </c>
      <c r="Y275" s="188" t="str">
        <f t="shared" si="93"/>
        <v>101-E302</v>
      </c>
      <c r="Z275" s="188">
        <f t="shared" si="94"/>
        <v>0</v>
      </c>
      <c r="AA275" s="188">
        <f t="shared" si="95"/>
        <v>0</v>
      </c>
      <c r="AB275" s="188">
        <f t="shared" si="96"/>
        <v>0</v>
      </c>
      <c r="AC275" s="188">
        <f t="shared" si="97"/>
        <v>0</v>
      </c>
      <c r="AD275" s="188">
        <f t="shared" si="98"/>
        <v>0</v>
      </c>
      <c r="AE275" s="183">
        <f t="shared" si="99"/>
        <v>0</v>
      </c>
    </row>
    <row r="276" spans="1:31" x14ac:dyDescent="0.25">
      <c r="A276" s="185" t="s">
        <v>211</v>
      </c>
      <c r="B276" s="188" t="s">
        <v>497</v>
      </c>
      <c r="C276" s="188" t="s">
        <v>26</v>
      </c>
      <c r="D276" s="188" t="str">
        <f t="shared" si="82"/>
        <v>101-E302</v>
      </c>
      <c r="E276" s="188">
        <v>0</v>
      </c>
      <c r="F276" s="188">
        <v>0</v>
      </c>
      <c r="G276" s="188">
        <v>0</v>
      </c>
      <c r="H276" s="188">
        <v>0</v>
      </c>
      <c r="I276" s="188">
        <v>0</v>
      </c>
      <c r="J276" s="183">
        <v>0</v>
      </c>
      <c r="L276" s="188" t="str">
        <f t="shared" si="83"/>
        <v>Projected - Electric</v>
      </c>
      <c r="M276" s="188" t="str">
        <f t="shared" si="84"/>
        <v>E302.10 INT Franchises, Baker Project</v>
      </c>
      <c r="N276" s="188" t="str">
        <f t="shared" si="80"/>
        <v>Projected</v>
      </c>
      <c r="O276" s="188" t="str">
        <f t="shared" si="85"/>
        <v>101-E302</v>
      </c>
      <c r="P276" s="188">
        <f t="shared" si="86"/>
        <v>0</v>
      </c>
      <c r="Q276" s="188">
        <f t="shared" si="87"/>
        <v>0</v>
      </c>
      <c r="R276" s="188">
        <f t="shared" si="88"/>
        <v>0</v>
      </c>
      <c r="S276" s="188">
        <f t="shared" si="89"/>
        <v>0</v>
      </c>
      <c r="T276" s="188">
        <f t="shared" si="90"/>
        <v>0</v>
      </c>
      <c r="V276" s="188" t="str">
        <f t="shared" si="91"/>
        <v>Projected - Electric</v>
      </c>
      <c r="W276" s="188" t="str">
        <f t="shared" si="92"/>
        <v>E302.10 INT Franchises, Baker Project</v>
      </c>
      <c r="X276" s="188" t="str">
        <f t="shared" si="81"/>
        <v>Projected</v>
      </c>
      <c r="Y276" s="188" t="str">
        <f t="shared" si="93"/>
        <v>101-E302</v>
      </c>
      <c r="Z276" s="188">
        <f t="shared" si="94"/>
        <v>0</v>
      </c>
      <c r="AA276" s="188">
        <f t="shared" si="95"/>
        <v>0</v>
      </c>
      <c r="AB276" s="188">
        <f t="shared" si="96"/>
        <v>0</v>
      </c>
      <c r="AC276" s="188">
        <f t="shared" si="97"/>
        <v>0</v>
      </c>
      <c r="AD276" s="188">
        <f t="shared" si="98"/>
        <v>0</v>
      </c>
      <c r="AE276" s="183">
        <f t="shared" si="99"/>
        <v>0</v>
      </c>
    </row>
    <row r="277" spans="1:31" x14ac:dyDescent="0.25">
      <c r="A277" s="185" t="s">
        <v>211</v>
      </c>
      <c r="B277" s="188" t="s">
        <v>496</v>
      </c>
      <c r="C277" s="188" t="s">
        <v>26</v>
      </c>
      <c r="D277" s="188" t="str">
        <f t="shared" si="82"/>
        <v>101-E303</v>
      </c>
      <c r="E277" s="188">
        <v>0</v>
      </c>
      <c r="F277" s="188">
        <v>226460.76</v>
      </c>
      <c r="G277" s="188">
        <v>340967.36</v>
      </c>
      <c r="H277" s="188">
        <v>572034.42000000004</v>
      </c>
      <c r="I277" s="188">
        <v>0</v>
      </c>
      <c r="J277" s="183">
        <v>0</v>
      </c>
      <c r="L277" s="188" t="str">
        <f t="shared" si="83"/>
        <v>Projected - Electric</v>
      </c>
      <c r="M277" s="188" t="str">
        <f t="shared" si="84"/>
        <v>E303.10 INT Misc Intangible Plant</v>
      </c>
      <c r="N277" s="188" t="str">
        <f t="shared" si="80"/>
        <v>Projected</v>
      </c>
      <c r="O277" s="188" t="str">
        <f t="shared" si="85"/>
        <v>101-E303</v>
      </c>
      <c r="P277" s="188">
        <f t="shared" si="86"/>
        <v>0</v>
      </c>
      <c r="Q277" s="188">
        <f t="shared" si="87"/>
        <v>226460.76</v>
      </c>
      <c r="R277" s="188">
        <f t="shared" si="88"/>
        <v>340967.36</v>
      </c>
      <c r="S277" s="188">
        <f t="shared" si="89"/>
        <v>572034.42000000004</v>
      </c>
      <c r="T277" s="188">
        <f t="shared" si="90"/>
        <v>0</v>
      </c>
      <c r="V277" s="188" t="str">
        <f t="shared" si="91"/>
        <v>Projected - Electric</v>
      </c>
      <c r="W277" s="188" t="str">
        <f t="shared" si="92"/>
        <v>E303.10 INT Misc Intangible Plant</v>
      </c>
      <c r="X277" s="188" t="str">
        <f t="shared" si="81"/>
        <v>Projected</v>
      </c>
      <c r="Y277" s="188" t="str">
        <f t="shared" si="93"/>
        <v>101-E303</v>
      </c>
      <c r="Z277" s="188">
        <f t="shared" si="94"/>
        <v>0</v>
      </c>
      <c r="AA277" s="188">
        <f t="shared" si="95"/>
        <v>0</v>
      </c>
      <c r="AB277" s="188">
        <f t="shared" si="96"/>
        <v>0</v>
      </c>
      <c r="AC277" s="188">
        <f t="shared" si="97"/>
        <v>0</v>
      </c>
      <c r="AD277" s="188">
        <f t="shared" si="98"/>
        <v>0</v>
      </c>
      <c r="AE277" s="183">
        <f t="shared" si="99"/>
        <v>0</v>
      </c>
    </row>
    <row r="278" spans="1:31" x14ac:dyDescent="0.25">
      <c r="A278" s="185" t="s">
        <v>211</v>
      </c>
      <c r="B278" s="188" t="s">
        <v>495</v>
      </c>
      <c r="C278" s="188" t="s">
        <v>26</v>
      </c>
      <c r="D278" s="188" t="str">
        <f t="shared" si="82"/>
        <v>101-E303</v>
      </c>
      <c r="E278" s="188">
        <v>0</v>
      </c>
      <c r="F278" s="188">
        <v>6888.82</v>
      </c>
      <c r="G278" s="188">
        <v>6888.82</v>
      </c>
      <c r="H278" s="188">
        <v>3071295.17</v>
      </c>
      <c r="I278" s="188">
        <v>0</v>
      </c>
      <c r="J278" s="183">
        <v>0</v>
      </c>
      <c r="L278" s="188" t="str">
        <f t="shared" si="83"/>
        <v>Projected - Electric</v>
      </c>
      <c r="M278" s="188" t="str">
        <f t="shared" si="84"/>
        <v>E303.3 INT Misc Intangible Plant</v>
      </c>
      <c r="N278" s="188" t="str">
        <f t="shared" si="80"/>
        <v>Projected</v>
      </c>
      <c r="O278" s="188" t="str">
        <f t="shared" si="85"/>
        <v>101-E303</v>
      </c>
      <c r="P278" s="188">
        <f t="shared" si="86"/>
        <v>0</v>
      </c>
      <c r="Q278" s="188">
        <f t="shared" si="87"/>
        <v>6888.82</v>
      </c>
      <c r="R278" s="188">
        <f t="shared" si="88"/>
        <v>6888.82</v>
      </c>
      <c r="S278" s="188">
        <f t="shared" si="89"/>
        <v>3071295.17</v>
      </c>
      <c r="T278" s="188">
        <f t="shared" si="90"/>
        <v>0</v>
      </c>
      <c r="V278" s="188" t="str">
        <f t="shared" si="91"/>
        <v>Projected - Electric</v>
      </c>
      <c r="W278" s="188" t="str">
        <f t="shared" si="92"/>
        <v>E303.3 INT Misc Intangible Plant</v>
      </c>
      <c r="X278" s="188" t="str">
        <f t="shared" si="81"/>
        <v>Projected</v>
      </c>
      <c r="Y278" s="188" t="str">
        <f t="shared" si="93"/>
        <v>101-E303</v>
      </c>
      <c r="Z278" s="188">
        <f t="shared" si="94"/>
        <v>0</v>
      </c>
      <c r="AA278" s="188">
        <f t="shared" si="95"/>
        <v>0</v>
      </c>
      <c r="AB278" s="188">
        <f t="shared" si="96"/>
        <v>0</v>
      </c>
      <c r="AC278" s="188">
        <f t="shared" si="97"/>
        <v>0</v>
      </c>
      <c r="AD278" s="188">
        <f t="shared" si="98"/>
        <v>0</v>
      </c>
      <c r="AE278" s="183">
        <f t="shared" si="99"/>
        <v>0</v>
      </c>
    </row>
    <row r="279" spans="1:31" x14ac:dyDescent="0.25">
      <c r="A279" s="185" t="s">
        <v>211</v>
      </c>
      <c r="B279" s="188" t="s">
        <v>494</v>
      </c>
      <c r="C279" s="188" t="s">
        <v>26</v>
      </c>
      <c r="D279" s="188" t="str">
        <f t="shared" si="82"/>
        <v>101-E303</v>
      </c>
      <c r="E279" s="188">
        <v>0</v>
      </c>
      <c r="F279" s="188">
        <v>6049.26</v>
      </c>
      <c r="G279" s="188">
        <v>6308.87</v>
      </c>
      <c r="H279" s="188">
        <v>12547.4</v>
      </c>
      <c r="I279" s="188">
        <v>0</v>
      </c>
      <c r="J279" s="183">
        <v>0</v>
      </c>
      <c r="L279" s="188" t="str">
        <f t="shared" si="83"/>
        <v>Projected - Electric</v>
      </c>
      <c r="M279" s="188" t="str">
        <f t="shared" si="84"/>
        <v>E303.4 INT Misc Intangible Plant</v>
      </c>
      <c r="N279" s="188" t="str">
        <f t="shared" si="80"/>
        <v>Projected</v>
      </c>
      <c r="O279" s="188" t="str">
        <f t="shared" si="85"/>
        <v>101-E303</v>
      </c>
      <c r="P279" s="188">
        <f t="shared" si="86"/>
        <v>0</v>
      </c>
      <c r="Q279" s="188">
        <f t="shared" si="87"/>
        <v>6049.26</v>
      </c>
      <c r="R279" s="188">
        <f t="shared" si="88"/>
        <v>6308.87</v>
      </c>
      <c r="S279" s="188">
        <f t="shared" si="89"/>
        <v>12547.4</v>
      </c>
      <c r="T279" s="188">
        <f t="shared" si="90"/>
        <v>0</v>
      </c>
      <c r="V279" s="188" t="str">
        <f t="shared" si="91"/>
        <v>Projected - Electric</v>
      </c>
      <c r="W279" s="188" t="str">
        <f t="shared" si="92"/>
        <v>E303.4 INT Misc Intangible Plant</v>
      </c>
      <c r="X279" s="188" t="str">
        <f t="shared" si="81"/>
        <v>Projected</v>
      </c>
      <c r="Y279" s="188" t="str">
        <f t="shared" si="93"/>
        <v>101-E303</v>
      </c>
      <c r="Z279" s="188">
        <f t="shared" si="94"/>
        <v>0</v>
      </c>
      <c r="AA279" s="188">
        <f t="shared" si="95"/>
        <v>0</v>
      </c>
      <c r="AB279" s="188">
        <f t="shared" si="96"/>
        <v>0</v>
      </c>
      <c r="AC279" s="188">
        <f t="shared" si="97"/>
        <v>0</v>
      </c>
      <c r="AD279" s="188">
        <f t="shared" si="98"/>
        <v>0</v>
      </c>
      <c r="AE279" s="183">
        <f t="shared" si="99"/>
        <v>0</v>
      </c>
    </row>
    <row r="280" spans="1:31" x14ac:dyDescent="0.25">
      <c r="A280" s="185" t="s">
        <v>211</v>
      </c>
      <c r="B280" s="188" t="s">
        <v>493</v>
      </c>
      <c r="C280" s="188" t="s">
        <v>26</v>
      </c>
      <c r="D280" s="188" t="str">
        <f t="shared" si="82"/>
        <v>101-E303</v>
      </c>
      <c r="E280" s="188">
        <v>0</v>
      </c>
      <c r="F280" s="188">
        <v>7478194.9400000004</v>
      </c>
      <c r="G280" s="188">
        <v>12485877.17</v>
      </c>
      <c r="H280" s="188">
        <v>22466081.989999998</v>
      </c>
      <c r="I280" s="188">
        <v>0</v>
      </c>
      <c r="J280" s="183">
        <v>0</v>
      </c>
      <c r="L280" s="188" t="str">
        <f t="shared" si="83"/>
        <v>Projected - Electric</v>
      </c>
      <c r="M280" s="188" t="str">
        <f t="shared" si="84"/>
        <v>E303.5 INT Misc Intangible Plant</v>
      </c>
      <c r="N280" s="188" t="str">
        <f t="shared" si="80"/>
        <v>Projected</v>
      </c>
      <c r="O280" s="188" t="str">
        <f t="shared" si="85"/>
        <v>101-E303</v>
      </c>
      <c r="P280" s="188">
        <f t="shared" si="86"/>
        <v>0</v>
      </c>
      <c r="Q280" s="188">
        <f t="shared" si="87"/>
        <v>7478194.9400000004</v>
      </c>
      <c r="R280" s="188">
        <f t="shared" si="88"/>
        <v>12485877.17</v>
      </c>
      <c r="S280" s="188">
        <f t="shared" si="89"/>
        <v>22466081.989999998</v>
      </c>
      <c r="T280" s="188">
        <f t="shared" si="90"/>
        <v>0</v>
      </c>
      <c r="V280" s="188" t="str">
        <f t="shared" si="91"/>
        <v>Projected - Electric</v>
      </c>
      <c r="W280" s="188" t="str">
        <f t="shared" si="92"/>
        <v>E303.5 INT Misc Intangible Plant</v>
      </c>
      <c r="X280" s="188" t="str">
        <f t="shared" si="81"/>
        <v>Projected</v>
      </c>
      <c r="Y280" s="188" t="str">
        <f t="shared" si="93"/>
        <v>101-E303</v>
      </c>
      <c r="Z280" s="188">
        <f t="shared" si="94"/>
        <v>0</v>
      </c>
      <c r="AA280" s="188">
        <f t="shared" si="95"/>
        <v>0</v>
      </c>
      <c r="AB280" s="188">
        <f t="shared" si="96"/>
        <v>0</v>
      </c>
      <c r="AC280" s="188">
        <f t="shared" si="97"/>
        <v>0</v>
      </c>
      <c r="AD280" s="188">
        <f t="shared" si="98"/>
        <v>0</v>
      </c>
      <c r="AE280" s="183">
        <f t="shared" si="99"/>
        <v>0</v>
      </c>
    </row>
    <row r="281" spans="1:31" x14ac:dyDescent="0.25">
      <c r="A281" s="185" t="s">
        <v>211</v>
      </c>
      <c r="B281" s="188" t="s">
        <v>492</v>
      </c>
      <c r="C281" s="188" t="s">
        <v>26</v>
      </c>
      <c r="D281" s="188" t="str">
        <f t="shared" si="82"/>
        <v>101-E311</v>
      </c>
      <c r="E281" s="188">
        <v>0</v>
      </c>
      <c r="F281" s="188">
        <v>38268.720000000001</v>
      </c>
      <c r="G281" s="188">
        <v>60908.04</v>
      </c>
      <c r="H281" s="188">
        <v>83547.360000000001</v>
      </c>
      <c r="I281" s="188">
        <v>0</v>
      </c>
      <c r="J281" s="183">
        <v>0</v>
      </c>
      <c r="L281" s="188" t="str">
        <f t="shared" si="83"/>
        <v>Projected - Electric</v>
      </c>
      <c r="M281" s="188" t="str">
        <f t="shared" si="84"/>
        <v>E311 STM Str/Imprv, Mint Farm</v>
      </c>
      <c r="N281" s="188" t="str">
        <f t="shared" si="80"/>
        <v>Projected</v>
      </c>
      <c r="O281" s="188" t="str">
        <f t="shared" si="85"/>
        <v>101-E311</v>
      </c>
      <c r="P281" s="188">
        <f t="shared" si="86"/>
        <v>0</v>
      </c>
      <c r="Q281" s="188">
        <f t="shared" si="87"/>
        <v>38268.720000000001</v>
      </c>
      <c r="R281" s="188">
        <f t="shared" si="88"/>
        <v>60908.04</v>
      </c>
      <c r="S281" s="188">
        <f t="shared" si="89"/>
        <v>83547.360000000001</v>
      </c>
      <c r="T281" s="188">
        <f t="shared" si="90"/>
        <v>0</v>
      </c>
      <c r="V281" s="188" t="str">
        <f t="shared" si="91"/>
        <v>Projected - Electric</v>
      </c>
      <c r="W281" s="188" t="str">
        <f t="shared" si="92"/>
        <v>E311 STM Str/Imprv, Mint Farm</v>
      </c>
      <c r="X281" s="188" t="str">
        <f t="shared" si="81"/>
        <v>Projected</v>
      </c>
      <c r="Y281" s="188" t="str">
        <f t="shared" si="93"/>
        <v>101-E311</v>
      </c>
      <c r="Z281" s="188">
        <f t="shared" si="94"/>
        <v>0</v>
      </c>
      <c r="AA281" s="188">
        <f t="shared" si="95"/>
        <v>0</v>
      </c>
      <c r="AB281" s="188">
        <f t="shared" si="96"/>
        <v>0</v>
      </c>
      <c r="AC281" s="188">
        <f t="shared" si="97"/>
        <v>0</v>
      </c>
      <c r="AD281" s="188">
        <f t="shared" si="98"/>
        <v>0</v>
      </c>
      <c r="AE281" s="183">
        <f t="shared" si="99"/>
        <v>0</v>
      </c>
    </row>
    <row r="282" spans="1:31" x14ac:dyDescent="0.25">
      <c r="A282" s="185" t="s">
        <v>211</v>
      </c>
      <c r="B282" s="188" t="s">
        <v>491</v>
      </c>
      <c r="C282" s="188" t="s">
        <v>26</v>
      </c>
      <c r="D282" s="188" t="str">
        <f t="shared" si="82"/>
        <v>101-E311</v>
      </c>
      <c r="E282" s="188">
        <v>0</v>
      </c>
      <c r="F282" s="188">
        <v>3123.96</v>
      </c>
      <c r="G282" s="188">
        <v>3631.25</v>
      </c>
      <c r="H282" s="188">
        <v>11395.86</v>
      </c>
      <c r="I282" s="188">
        <v>0</v>
      </c>
      <c r="J282" s="183">
        <v>0</v>
      </c>
      <c r="L282" s="188" t="str">
        <f t="shared" si="83"/>
        <v>Projected - Electric</v>
      </c>
      <c r="M282" s="188" t="str">
        <f t="shared" si="84"/>
        <v>E311 STM Str/Impv, Ferndale</v>
      </c>
      <c r="N282" s="188" t="str">
        <f t="shared" si="80"/>
        <v>Projected</v>
      </c>
      <c r="O282" s="188" t="str">
        <f t="shared" si="85"/>
        <v>101-E311</v>
      </c>
      <c r="P282" s="188">
        <f t="shared" si="86"/>
        <v>0</v>
      </c>
      <c r="Q282" s="188">
        <f t="shared" si="87"/>
        <v>3123.96</v>
      </c>
      <c r="R282" s="188">
        <f t="shared" si="88"/>
        <v>3631.25</v>
      </c>
      <c r="S282" s="188">
        <f t="shared" si="89"/>
        <v>11395.86</v>
      </c>
      <c r="T282" s="188">
        <f t="shared" si="90"/>
        <v>0</v>
      </c>
      <c r="V282" s="188" t="str">
        <f t="shared" si="91"/>
        <v>Projected - Electric</v>
      </c>
      <c r="W282" s="188" t="str">
        <f t="shared" si="92"/>
        <v>E311 STM Str/Impv, Ferndale</v>
      </c>
      <c r="X282" s="188" t="str">
        <f t="shared" si="81"/>
        <v>Projected</v>
      </c>
      <c r="Y282" s="188" t="str">
        <f t="shared" si="93"/>
        <v>101-E311</v>
      </c>
      <c r="Z282" s="188">
        <f t="shared" si="94"/>
        <v>0</v>
      </c>
      <c r="AA282" s="188">
        <f t="shared" si="95"/>
        <v>0</v>
      </c>
      <c r="AB282" s="188">
        <f t="shared" si="96"/>
        <v>0</v>
      </c>
      <c r="AC282" s="188">
        <f t="shared" si="97"/>
        <v>0</v>
      </c>
      <c r="AD282" s="188">
        <f t="shared" si="98"/>
        <v>0</v>
      </c>
      <c r="AE282" s="183">
        <f t="shared" si="99"/>
        <v>0</v>
      </c>
    </row>
    <row r="283" spans="1:31" x14ac:dyDescent="0.25">
      <c r="A283" s="185" t="s">
        <v>211</v>
      </c>
      <c r="B283" s="188" t="s">
        <v>490</v>
      </c>
      <c r="C283" s="188" t="s">
        <v>26</v>
      </c>
      <c r="D283" s="188" t="str">
        <f t="shared" si="82"/>
        <v>101-E311</v>
      </c>
      <c r="E283" s="188">
        <v>0</v>
      </c>
      <c r="F283" s="188">
        <v>551668.19999999995</v>
      </c>
      <c r="G283" s="188">
        <v>551668.19999999995</v>
      </c>
      <c r="H283" s="188">
        <v>551668.19999999995</v>
      </c>
      <c r="I283" s="188">
        <v>0</v>
      </c>
      <c r="J283" s="183">
        <v>0</v>
      </c>
      <c r="L283" s="188" t="str">
        <f t="shared" si="83"/>
        <v>Projected - Electric</v>
      </c>
      <c r="M283" s="188" t="str">
        <f t="shared" si="84"/>
        <v>E311 STM Str/Impv, Goldendale</v>
      </c>
      <c r="N283" s="188" t="str">
        <f t="shared" si="80"/>
        <v>Projected</v>
      </c>
      <c r="O283" s="188" t="str">
        <f t="shared" si="85"/>
        <v>101-E311</v>
      </c>
      <c r="P283" s="188">
        <f t="shared" si="86"/>
        <v>0</v>
      </c>
      <c r="Q283" s="188">
        <f t="shared" si="87"/>
        <v>551668.19999999995</v>
      </c>
      <c r="R283" s="188">
        <f t="shared" si="88"/>
        <v>551668.19999999995</v>
      </c>
      <c r="S283" s="188">
        <f t="shared" si="89"/>
        <v>551668.19999999995</v>
      </c>
      <c r="T283" s="188">
        <f t="shared" si="90"/>
        <v>0</v>
      </c>
      <c r="V283" s="188" t="str">
        <f t="shared" si="91"/>
        <v>Projected - Electric</v>
      </c>
      <c r="W283" s="188" t="str">
        <f t="shared" si="92"/>
        <v>E311 STM Str/Impv, Goldendale</v>
      </c>
      <c r="X283" s="188" t="str">
        <f t="shared" si="81"/>
        <v>Projected</v>
      </c>
      <c r="Y283" s="188" t="str">
        <f t="shared" si="93"/>
        <v>101-E311</v>
      </c>
      <c r="Z283" s="188">
        <f t="shared" si="94"/>
        <v>0</v>
      </c>
      <c r="AA283" s="188">
        <f t="shared" si="95"/>
        <v>0</v>
      </c>
      <c r="AB283" s="188">
        <f t="shared" si="96"/>
        <v>0</v>
      </c>
      <c r="AC283" s="188">
        <f t="shared" si="97"/>
        <v>0</v>
      </c>
      <c r="AD283" s="188">
        <f t="shared" si="98"/>
        <v>0</v>
      </c>
      <c r="AE283" s="183">
        <f t="shared" si="99"/>
        <v>0</v>
      </c>
    </row>
    <row r="284" spans="1:31" x14ac:dyDescent="0.25">
      <c r="A284" s="185" t="s">
        <v>211</v>
      </c>
      <c r="B284" s="188" t="s">
        <v>489</v>
      </c>
      <c r="C284" s="188" t="s">
        <v>26</v>
      </c>
      <c r="D284" s="188" t="str">
        <f t="shared" si="82"/>
        <v>101-E312</v>
      </c>
      <c r="E284" s="188">
        <v>0</v>
      </c>
      <c r="F284" s="188">
        <v>209023.68</v>
      </c>
      <c r="G284" s="188">
        <v>236451.79</v>
      </c>
      <c r="H284" s="188">
        <v>282165.31</v>
      </c>
      <c r="I284" s="188">
        <v>0</v>
      </c>
      <c r="J284" s="183">
        <v>0</v>
      </c>
      <c r="L284" s="188" t="str">
        <f t="shared" si="83"/>
        <v>Projected - Electric</v>
      </c>
      <c r="M284" s="188" t="str">
        <f t="shared" si="84"/>
        <v>E312 STM Boiler, Encogen</v>
      </c>
      <c r="N284" s="188" t="str">
        <f t="shared" si="80"/>
        <v>Projected</v>
      </c>
      <c r="O284" s="188" t="str">
        <f t="shared" si="85"/>
        <v>101-E312</v>
      </c>
      <c r="P284" s="188">
        <f t="shared" si="86"/>
        <v>0</v>
      </c>
      <c r="Q284" s="188">
        <f t="shared" si="87"/>
        <v>209023.68</v>
      </c>
      <c r="R284" s="188">
        <f t="shared" si="88"/>
        <v>236451.79</v>
      </c>
      <c r="S284" s="188">
        <f t="shared" si="89"/>
        <v>282165.31</v>
      </c>
      <c r="T284" s="188">
        <f t="shared" si="90"/>
        <v>0</v>
      </c>
      <c r="V284" s="188" t="str">
        <f t="shared" si="91"/>
        <v>Projected - Electric</v>
      </c>
      <c r="W284" s="188" t="str">
        <f t="shared" si="92"/>
        <v>E312 STM Boiler, Encogen</v>
      </c>
      <c r="X284" s="188" t="str">
        <f t="shared" si="81"/>
        <v>Projected</v>
      </c>
      <c r="Y284" s="188" t="str">
        <f t="shared" si="93"/>
        <v>101-E312</v>
      </c>
      <c r="Z284" s="188">
        <f t="shared" si="94"/>
        <v>0</v>
      </c>
      <c r="AA284" s="188">
        <f t="shared" si="95"/>
        <v>0</v>
      </c>
      <c r="AB284" s="188">
        <f t="shared" si="96"/>
        <v>0</v>
      </c>
      <c r="AC284" s="188">
        <f t="shared" si="97"/>
        <v>0</v>
      </c>
      <c r="AD284" s="188">
        <f t="shared" si="98"/>
        <v>0</v>
      </c>
      <c r="AE284" s="183">
        <f t="shared" si="99"/>
        <v>0</v>
      </c>
    </row>
    <row r="285" spans="1:31" x14ac:dyDescent="0.25">
      <c r="A285" s="185" t="s">
        <v>211</v>
      </c>
      <c r="B285" s="188" t="s">
        <v>488</v>
      </c>
      <c r="C285" s="188" t="s">
        <v>26</v>
      </c>
      <c r="D285" s="188" t="str">
        <f t="shared" si="82"/>
        <v>101-E312</v>
      </c>
      <c r="E285" s="188">
        <v>0</v>
      </c>
      <c r="F285" s="188">
        <v>9279.48</v>
      </c>
      <c r="G285" s="188">
        <v>10786.32</v>
      </c>
      <c r="H285" s="188">
        <v>33850.620000000003</v>
      </c>
      <c r="I285" s="188">
        <v>0</v>
      </c>
      <c r="J285" s="183">
        <v>0</v>
      </c>
      <c r="L285" s="188" t="str">
        <f t="shared" si="83"/>
        <v>Projected - Electric</v>
      </c>
      <c r="M285" s="188" t="str">
        <f t="shared" si="84"/>
        <v>E312 STM Boiler, Ferndale</v>
      </c>
      <c r="N285" s="188" t="str">
        <f t="shared" si="80"/>
        <v>Projected</v>
      </c>
      <c r="O285" s="188" t="str">
        <f t="shared" si="85"/>
        <v>101-E312</v>
      </c>
      <c r="P285" s="188">
        <f t="shared" si="86"/>
        <v>0</v>
      </c>
      <c r="Q285" s="188">
        <f t="shared" si="87"/>
        <v>9279.48</v>
      </c>
      <c r="R285" s="188">
        <f t="shared" si="88"/>
        <v>10786.32</v>
      </c>
      <c r="S285" s="188">
        <f t="shared" si="89"/>
        <v>33850.620000000003</v>
      </c>
      <c r="T285" s="188">
        <f t="shared" si="90"/>
        <v>0</v>
      </c>
      <c r="V285" s="188" t="str">
        <f t="shared" si="91"/>
        <v>Projected - Electric</v>
      </c>
      <c r="W285" s="188" t="str">
        <f t="shared" si="92"/>
        <v>E312 STM Boiler, Ferndale</v>
      </c>
      <c r="X285" s="188" t="str">
        <f t="shared" si="81"/>
        <v>Projected</v>
      </c>
      <c r="Y285" s="188" t="str">
        <f t="shared" si="93"/>
        <v>101-E312</v>
      </c>
      <c r="Z285" s="188">
        <f t="shared" si="94"/>
        <v>0</v>
      </c>
      <c r="AA285" s="188">
        <f t="shared" si="95"/>
        <v>0</v>
      </c>
      <c r="AB285" s="188">
        <f t="shared" si="96"/>
        <v>0</v>
      </c>
      <c r="AC285" s="188">
        <f t="shared" si="97"/>
        <v>0</v>
      </c>
      <c r="AD285" s="188">
        <f t="shared" si="98"/>
        <v>0</v>
      </c>
      <c r="AE285" s="183">
        <f t="shared" si="99"/>
        <v>0</v>
      </c>
    </row>
    <row r="286" spans="1:31" x14ac:dyDescent="0.25">
      <c r="A286" s="185" t="s">
        <v>211</v>
      </c>
      <c r="B286" s="188" t="s">
        <v>487</v>
      </c>
      <c r="C286" s="188" t="s">
        <v>26</v>
      </c>
      <c r="D286" s="188" t="str">
        <f t="shared" si="82"/>
        <v>101-E312</v>
      </c>
      <c r="E286" s="188">
        <v>0</v>
      </c>
      <c r="F286" s="188">
        <v>428760.24</v>
      </c>
      <c r="G286" s="188">
        <v>428760.24</v>
      </c>
      <c r="H286" s="188">
        <v>428760.24</v>
      </c>
      <c r="I286" s="188">
        <v>0</v>
      </c>
      <c r="J286" s="183">
        <v>0</v>
      </c>
      <c r="L286" s="188" t="str">
        <f t="shared" si="83"/>
        <v>Projected - Electric</v>
      </c>
      <c r="M286" s="188" t="str">
        <f t="shared" si="84"/>
        <v>E312 STM Boiler, Goldendale</v>
      </c>
      <c r="N286" s="188" t="str">
        <f t="shared" si="80"/>
        <v>Projected</v>
      </c>
      <c r="O286" s="188" t="str">
        <f t="shared" si="85"/>
        <v>101-E312</v>
      </c>
      <c r="P286" s="188">
        <f t="shared" si="86"/>
        <v>0</v>
      </c>
      <c r="Q286" s="188">
        <f t="shared" si="87"/>
        <v>428760.24</v>
      </c>
      <c r="R286" s="188">
        <f t="shared" si="88"/>
        <v>428760.24</v>
      </c>
      <c r="S286" s="188">
        <f t="shared" si="89"/>
        <v>428760.24</v>
      </c>
      <c r="T286" s="188">
        <f t="shared" si="90"/>
        <v>0</v>
      </c>
      <c r="V286" s="188" t="str">
        <f t="shared" si="91"/>
        <v>Projected - Electric</v>
      </c>
      <c r="W286" s="188" t="str">
        <f t="shared" si="92"/>
        <v>E312 STM Boiler, Goldendale</v>
      </c>
      <c r="X286" s="188" t="str">
        <f t="shared" si="81"/>
        <v>Projected</v>
      </c>
      <c r="Y286" s="188" t="str">
        <f t="shared" si="93"/>
        <v>101-E312</v>
      </c>
      <c r="Z286" s="188">
        <f t="shared" si="94"/>
        <v>0</v>
      </c>
      <c r="AA286" s="188">
        <f t="shared" si="95"/>
        <v>0</v>
      </c>
      <c r="AB286" s="188">
        <f t="shared" si="96"/>
        <v>0</v>
      </c>
      <c r="AC286" s="188">
        <f t="shared" si="97"/>
        <v>0</v>
      </c>
      <c r="AD286" s="188">
        <f t="shared" si="98"/>
        <v>0</v>
      </c>
      <c r="AE286" s="183">
        <f t="shared" si="99"/>
        <v>0</v>
      </c>
    </row>
    <row r="287" spans="1:31" x14ac:dyDescent="0.25">
      <c r="A287" s="185" t="s">
        <v>211</v>
      </c>
      <c r="B287" s="188" t="s">
        <v>486</v>
      </c>
      <c r="C287" s="188" t="s">
        <v>26</v>
      </c>
      <c r="D287" s="188" t="str">
        <f t="shared" si="82"/>
        <v>101-E312</v>
      </c>
      <c r="E287" s="188">
        <v>0</v>
      </c>
      <c r="F287" s="188">
        <v>223129.2</v>
      </c>
      <c r="G287" s="188">
        <v>355129.86</v>
      </c>
      <c r="H287" s="188">
        <v>487130.52</v>
      </c>
      <c r="I287" s="188">
        <v>0</v>
      </c>
      <c r="J287" s="183">
        <v>0</v>
      </c>
      <c r="L287" s="188" t="str">
        <f t="shared" si="83"/>
        <v>Projected - Electric</v>
      </c>
      <c r="M287" s="188" t="str">
        <f t="shared" si="84"/>
        <v>E312 STM Boiler, Mint Farm</v>
      </c>
      <c r="N287" s="188" t="str">
        <f t="shared" si="80"/>
        <v>Projected</v>
      </c>
      <c r="O287" s="188" t="str">
        <f t="shared" si="85"/>
        <v>101-E312</v>
      </c>
      <c r="P287" s="188">
        <f t="shared" si="86"/>
        <v>0</v>
      </c>
      <c r="Q287" s="188">
        <f t="shared" si="87"/>
        <v>223129.2</v>
      </c>
      <c r="R287" s="188">
        <f t="shared" si="88"/>
        <v>355129.86</v>
      </c>
      <c r="S287" s="188">
        <f t="shared" si="89"/>
        <v>487130.52</v>
      </c>
      <c r="T287" s="188">
        <f t="shared" si="90"/>
        <v>0</v>
      </c>
      <c r="V287" s="188" t="str">
        <f t="shared" si="91"/>
        <v>Projected - Electric</v>
      </c>
      <c r="W287" s="188" t="str">
        <f t="shared" si="92"/>
        <v>E312 STM Boiler, Mint Farm</v>
      </c>
      <c r="X287" s="188" t="str">
        <f t="shared" si="81"/>
        <v>Projected</v>
      </c>
      <c r="Y287" s="188" t="str">
        <f t="shared" si="93"/>
        <v>101-E312</v>
      </c>
      <c r="Z287" s="188">
        <f t="shared" si="94"/>
        <v>0</v>
      </c>
      <c r="AA287" s="188">
        <f t="shared" si="95"/>
        <v>0</v>
      </c>
      <c r="AB287" s="188">
        <f t="shared" si="96"/>
        <v>0</v>
      </c>
      <c r="AC287" s="188">
        <f t="shared" si="97"/>
        <v>0</v>
      </c>
      <c r="AD287" s="188">
        <f t="shared" si="98"/>
        <v>0</v>
      </c>
      <c r="AE287" s="183">
        <f t="shared" si="99"/>
        <v>0</v>
      </c>
    </row>
    <row r="288" spans="1:31" x14ac:dyDescent="0.25">
      <c r="A288" s="185" t="s">
        <v>211</v>
      </c>
      <c r="B288" s="188" t="s">
        <v>485</v>
      </c>
      <c r="C288" s="188" t="s">
        <v>26</v>
      </c>
      <c r="D288" s="188" t="str">
        <f t="shared" si="82"/>
        <v>101-E314</v>
      </c>
      <c r="E288" s="188">
        <v>0</v>
      </c>
      <c r="F288" s="188">
        <v>336891.96</v>
      </c>
      <c r="G288" s="188">
        <v>381098.94</v>
      </c>
      <c r="H288" s="188">
        <v>454777.26</v>
      </c>
      <c r="I288" s="188">
        <v>0</v>
      </c>
      <c r="J288" s="183">
        <v>0</v>
      </c>
      <c r="L288" s="188" t="str">
        <f t="shared" si="83"/>
        <v>Projected - Electric</v>
      </c>
      <c r="M288" s="188" t="str">
        <f t="shared" si="84"/>
        <v>E314 STM Turbogen, Encogen</v>
      </c>
      <c r="N288" s="188" t="str">
        <f t="shared" si="80"/>
        <v>Projected</v>
      </c>
      <c r="O288" s="188" t="str">
        <f t="shared" si="85"/>
        <v>101-E314</v>
      </c>
      <c r="P288" s="188">
        <f t="shared" si="86"/>
        <v>0</v>
      </c>
      <c r="Q288" s="188">
        <f t="shared" si="87"/>
        <v>336891.96</v>
      </c>
      <c r="R288" s="188">
        <f t="shared" si="88"/>
        <v>381098.94</v>
      </c>
      <c r="S288" s="188">
        <f t="shared" si="89"/>
        <v>454777.26</v>
      </c>
      <c r="T288" s="188">
        <f t="shared" si="90"/>
        <v>0</v>
      </c>
      <c r="V288" s="188" t="str">
        <f t="shared" si="91"/>
        <v>Projected - Electric</v>
      </c>
      <c r="W288" s="188" t="str">
        <f t="shared" si="92"/>
        <v>E314 STM Turbogen, Encogen</v>
      </c>
      <c r="X288" s="188" t="str">
        <f t="shared" si="81"/>
        <v>Projected</v>
      </c>
      <c r="Y288" s="188" t="str">
        <f t="shared" si="93"/>
        <v>101-E314</v>
      </c>
      <c r="Z288" s="188">
        <f t="shared" si="94"/>
        <v>0</v>
      </c>
      <c r="AA288" s="188">
        <f t="shared" si="95"/>
        <v>0</v>
      </c>
      <c r="AB288" s="188">
        <f t="shared" si="96"/>
        <v>0</v>
      </c>
      <c r="AC288" s="188">
        <f t="shared" si="97"/>
        <v>0</v>
      </c>
      <c r="AD288" s="188">
        <f t="shared" si="98"/>
        <v>0</v>
      </c>
      <c r="AE288" s="183">
        <f t="shared" si="99"/>
        <v>0</v>
      </c>
    </row>
    <row r="289" spans="1:31" x14ac:dyDescent="0.25">
      <c r="A289" s="185" t="s">
        <v>211</v>
      </c>
      <c r="B289" s="188" t="s">
        <v>484</v>
      </c>
      <c r="C289" s="188" t="s">
        <v>26</v>
      </c>
      <c r="D289" s="188" t="str">
        <f t="shared" si="82"/>
        <v>101-E314</v>
      </c>
      <c r="E289" s="188">
        <v>0</v>
      </c>
      <c r="F289" s="188">
        <v>2948.04</v>
      </c>
      <c r="G289" s="188">
        <v>104353.13</v>
      </c>
      <c r="H289" s="188">
        <v>205758.24</v>
      </c>
      <c r="I289" s="188">
        <v>0</v>
      </c>
      <c r="J289" s="183">
        <v>0</v>
      </c>
      <c r="L289" s="188" t="str">
        <f t="shared" si="83"/>
        <v>Projected - Electric</v>
      </c>
      <c r="M289" s="188" t="str">
        <f t="shared" si="84"/>
        <v>E314 STM Turbogen, Fred 1/APC</v>
      </c>
      <c r="N289" s="188" t="str">
        <f t="shared" si="80"/>
        <v>Projected</v>
      </c>
      <c r="O289" s="188" t="str">
        <f t="shared" si="85"/>
        <v>101-E314</v>
      </c>
      <c r="P289" s="188">
        <f t="shared" si="86"/>
        <v>0</v>
      </c>
      <c r="Q289" s="188">
        <f t="shared" si="87"/>
        <v>2948.04</v>
      </c>
      <c r="R289" s="188">
        <f t="shared" si="88"/>
        <v>104353.13</v>
      </c>
      <c r="S289" s="188">
        <f t="shared" si="89"/>
        <v>205758.24</v>
      </c>
      <c r="T289" s="188">
        <f t="shared" si="90"/>
        <v>0</v>
      </c>
      <c r="V289" s="188" t="str">
        <f t="shared" si="91"/>
        <v>Projected - Electric</v>
      </c>
      <c r="W289" s="188" t="str">
        <f t="shared" si="92"/>
        <v>E314 STM Turbogen, Fred 1/APC</v>
      </c>
      <c r="X289" s="188" t="str">
        <f t="shared" si="81"/>
        <v>Projected</v>
      </c>
      <c r="Y289" s="188" t="str">
        <f t="shared" si="93"/>
        <v>101-E314</v>
      </c>
      <c r="Z289" s="188">
        <f t="shared" si="94"/>
        <v>0</v>
      </c>
      <c r="AA289" s="188">
        <f t="shared" si="95"/>
        <v>0</v>
      </c>
      <c r="AB289" s="188">
        <f t="shared" si="96"/>
        <v>0</v>
      </c>
      <c r="AC289" s="188">
        <f t="shared" si="97"/>
        <v>0</v>
      </c>
      <c r="AD289" s="188">
        <f t="shared" si="98"/>
        <v>0</v>
      </c>
      <c r="AE289" s="183">
        <f t="shared" si="99"/>
        <v>0</v>
      </c>
    </row>
    <row r="290" spans="1:31" x14ac:dyDescent="0.25">
      <c r="A290" s="185" t="s">
        <v>211</v>
      </c>
      <c r="B290" s="188" t="s">
        <v>483</v>
      </c>
      <c r="C290" s="188" t="s">
        <v>26</v>
      </c>
      <c r="D290" s="188" t="str">
        <f t="shared" si="82"/>
        <v>101-E314</v>
      </c>
      <c r="E290" s="188">
        <v>0</v>
      </c>
      <c r="F290" s="188">
        <v>800429.16</v>
      </c>
      <c r="G290" s="188">
        <v>800429.16</v>
      </c>
      <c r="H290" s="188">
        <v>800429.16</v>
      </c>
      <c r="I290" s="188">
        <v>0</v>
      </c>
      <c r="J290" s="183">
        <v>0</v>
      </c>
      <c r="L290" s="188" t="str">
        <f t="shared" si="83"/>
        <v>Projected - Electric</v>
      </c>
      <c r="M290" s="188" t="str">
        <f t="shared" si="84"/>
        <v>E314 STM Turbogen, Goldendale</v>
      </c>
      <c r="N290" s="188" t="str">
        <f t="shared" si="80"/>
        <v>Projected</v>
      </c>
      <c r="O290" s="188" t="str">
        <f t="shared" si="85"/>
        <v>101-E314</v>
      </c>
      <c r="P290" s="188">
        <f t="shared" si="86"/>
        <v>0</v>
      </c>
      <c r="Q290" s="188">
        <f t="shared" si="87"/>
        <v>800429.16</v>
      </c>
      <c r="R290" s="188">
        <f t="shared" si="88"/>
        <v>800429.16</v>
      </c>
      <c r="S290" s="188">
        <f t="shared" si="89"/>
        <v>800429.16</v>
      </c>
      <c r="T290" s="188">
        <f t="shared" si="90"/>
        <v>0</v>
      </c>
      <c r="V290" s="188" t="str">
        <f t="shared" si="91"/>
        <v>Projected - Electric</v>
      </c>
      <c r="W290" s="188" t="str">
        <f t="shared" si="92"/>
        <v>E314 STM Turbogen, Goldendale</v>
      </c>
      <c r="X290" s="188" t="str">
        <f t="shared" si="81"/>
        <v>Projected</v>
      </c>
      <c r="Y290" s="188" t="str">
        <f t="shared" si="93"/>
        <v>101-E314</v>
      </c>
      <c r="Z290" s="188">
        <f t="shared" si="94"/>
        <v>0</v>
      </c>
      <c r="AA290" s="188">
        <f t="shared" si="95"/>
        <v>0</v>
      </c>
      <c r="AB290" s="188">
        <f t="shared" si="96"/>
        <v>0</v>
      </c>
      <c r="AC290" s="188">
        <f t="shared" si="97"/>
        <v>0</v>
      </c>
      <c r="AD290" s="188">
        <f t="shared" si="98"/>
        <v>0</v>
      </c>
      <c r="AE290" s="183">
        <f t="shared" si="99"/>
        <v>0</v>
      </c>
    </row>
    <row r="291" spans="1:31" x14ac:dyDescent="0.25">
      <c r="A291" s="185" t="s">
        <v>211</v>
      </c>
      <c r="B291" s="188" t="s">
        <v>482</v>
      </c>
      <c r="C291" s="188" t="s">
        <v>26</v>
      </c>
      <c r="D291" s="188" t="str">
        <f t="shared" si="82"/>
        <v>101-E314</v>
      </c>
      <c r="E291" s="188">
        <v>0</v>
      </c>
      <c r="F291" s="188">
        <v>350051.64</v>
      </c>
      <c r="G291" s="188">
        <v>557138.16</v>
      </c>
      <c r="H291" s="188">
        <v>764224.68</v>
      </c>
      <c r="I291" s="188">
        <v>0</v>
      </c>
      <c r="J291" s="183">
        <v>0</v>
      </c>
      <c r="L291" s="188" t="str">
        <f t="shared" si="83"/>
        <v>Projected - Electric</v>
      </c>
      <c r="M291" s="188" t="str">
        <f t="shared" si="84"/>
        <v>E314 STM Turbogen, Mint Farm</v>
      </c>
      <c r="N291" s="188" t="str">
        <f t="shared" si="80"/>
        <v>Projected</v>
      </c>
      <c r="O291" s="188" t="str">
        <f t="shared" si="85"/>
        <v>101-E314</v>
      </c>
      <c r="P291" s="188">
        <f t="shared" si="86"/>
        <v>0</v>
      </c>
      <c r="Q291" s="188">
        <f t="shared" si="87"/>
        <v>350051.64</v>
      </c>
      <c r="R291" s="188">
        <f t="shared" si="88"/>
        <v>557138.16</v>
      </c>
      <c r="S291" s="188">
        <f t="shared" si="89"/>
        <v>764224.68</v>
      </c>
      <c r="T291" s="188">
        <f t="shared" si="90"/>
        <v>0</v>
      </c>
      <c r="V291" s="188" t="str">
        <f t="shared" si="91"/>
        <v>Projected - Electric</v>
      </c>
      <c r="W291" s="188" t="str">
        <f t="shared" si="92"/>
        <v>E314 STM Turbogen, Mint Farm</v>
      </c>
      <c r="X291" s="188" t="str">
        <f t="shared" si="81"/>
        <v>Projected</v>
      </c>
      <c r="Y291" s="188" t="str">
        <f t="shared" si="93"/>
        <v>101-E314</v>
      </c>
      <c r="Z291" s="188">
        <f t="shared" si="94"/>
        <v>0</v>
      </c>
      <c r="AA291" s="188">
        <f t="shared" si="95"/>
        <v>0</v>
      </c>
      <c r="AB291" s="188">
        <f t="shared" si="96"/>
        <v>0</v>
      </c>
      <c r="AC291" s="188">
        <f t="shared" si="97"/>
        <v>0</v>
      </c>
      <c r="AD291" s="188">
        <f t="shared" si="98"/>
        <v>0</v>
      </c>
      <c r="AE291" s="183">
        <f t="shared" si="99"/>
        <v>0</v>
      </c>
    </row>
    <row r="292" spans="1:31" x14ac:dyDescent="0.25">
      <c r="A292" s="185" t="s">
        <v>211</v>
      </c>
      <c r="B292" s="188" t="s">
        <v>481</v>
      </c>
      <c r="C292" s="188" t="s">
        <v>26</v>
      </c>
      <c r="D292" s="188" t="str">
        <f t="shared" si="82"/>
        <v>101-E316</v>
      </c>
      <c r="E292" s="188">
        <v>0</v>
      </c>
      <c r="F292" s="188">
        <v>292.92</v>
      </c>
      <c r="G292" s="188">
        <v>293.41000000000003</v>
      </c>
      <c r="H292" s="188">
        <v>305.07</v>
      </c>
      <c r="I292" s="188">
        <v>0</v>
      </c>
      <c r="J292" s="183">
        <v>0</v>
      </c>
      <c r="L292" s="188" t="str">
        <f t="shared" si="83"/>
        <v>Projected - Electric</v>
      </c>
      <c r="M292" s="188" t="str">
        <f t="shared" si="84"/>
        <v>E316 STM Misc, Mint Farm</v>
      </c>
      <c r="N292" s="188" t="str">
        <f t="shared" si="80"/>
        <v>Projected</v>
      </c>
      <c r="O292" s="188" t="str">
        <f t="shared" si="85"/>
        <v>101-E316</v>
      </c>
      <c r="P292" s="188">
        <f t="shared" si="86"/>
        <v>0</v>
      </c>
      <c r="Q292" s="188">
        <f t="shared" si="87"/>
        <v>292.92</v>
      </c>
      <c r="R292" s="188">
        <f t="shared" si="88"/>
        <v>293.41000000000003</v>
      </c>
      <c r="S292" s="188">
        <f t="shared" si="89"/>
        <v>305.07</v>
      </c>
      <c r="T292" s="188">
        <f t="shared" si="90"/>
        <v>0</v>
      </c>
      <c r="V292" s="188" t="str">
        <f t="shared" si="91"/>
        <v>Projected - Electric</v>
      </c>
      <c r="W292" s="188" t="str">
        <f t="shared" si="92"/>
        <v>E316 STM Misc, Mint Farm</v>
      </c>
      <c r="X292" s="188" t="str">
        <f t="shared" si="81"/>
        <v>Projected</v>
      </c>
      <c r="Y292" s="188" t="str">
        <f t="shared" si="93"/>
        <v>101-E316</v>
      </c>
      <c r="Z292" s="188">
        <f t="shared" si="94"/>
        <v>0</v>
      </c>
      <c r="AA292" s="188">
        <f t="shared" si="95"/>
        <v>0</v>
      </c>
      <c r="AB292" s="188">
        <f t="shared" si="96"/>
        <v>0</v>
      </c>
      <c r="AC292" s="188">
        <f t="shared" si="97"/>
        <v>0</v>
      </c>
      <c r="AD292" s="188">
        <f t="shared" si="98"/>
        <v>0</v>
      </c>
      <c r="AE292" s="183">
        <f t="shared" si="99"/>
        <v>0</v>
      </c>
    </row>
    <row r="293" spans="1:31" x14ac:dyDescent="0.25">
      <c r="A293" s="185" t="s">
        <v>211</v>
      </c>
      <c r="B293" s="188" t="s">
        <v>480</v>
      </c>
      <c r="C293" s="188" t="s">
        <v>26</v>
      </c>
      <c r="D293" s="188" t="str">
        <f t="shared" si="82"/>
        <v>101-E330</v>
      </c>
      <c r="E293" s="188">
        <v>0</v>
      </c>
      <c r="F293" s="188">
        <v>78260.52</v>
      </c>
      <c r="G293" s="188">
        <v>78260.52</v>
      </c>
      <c r="H293" s="188">
        <v>78260.52</v>
      </c>
      <c r="I293" s="188">
        <v>0</v>
      </c>
      <c r="J293" s="183">
        <v>0</v>
      </c>
      <c r="L293" s="188" t="str">
        <f t="shared" si="83"/>
        <v>Projected - Electric</v>
      </c>
      <c r="M293" s="188" t="str">
        <f t="shared" si="84"/>
        <v>E3300 HYD Land, Lower Baker</v>
      </c>
      <c r="N293" s="188" t="str">
        <f t="shared" si="80"/>
        <v>Projected</v>
      </c>
      <c r="O293" s="188" t="str">
        <f t="shared" si="85"/>
        <v>101-E330</v>
      </c>
      <c r="P293" s="188">
        <f t="shared" si="86"/>
        <v>0</v>
      </c>
      <c r="Q293" s="188">
        <f t="shared" si="87"/>
        <v>78260.52</v>
      </c>
      <c r="R293" s="188">
        <f t="shared" si="88"/>
        <v>78260.52</v>
      </c>
      <c r="S293" s="188">
        <f t="shared" si="89"/>
        <v>78260.52</v>
      </c>
      <c r="T293" s="188">
        <f t="shared" si="90"/>
        <v>0</v>
      </c>
      <c r="V293" s="188" t="str">
        <f t="shared" si="91"/>
        <v>Projected - Electric</v>
      </c>
      <c r="W293" s="188" t="str">
        <f t="shared" si="92"/>
        <v>E3300 HYD Land, Lower Baker</v>
      </c>
      <c r="X293" s="188" t="str">
        <f t="shared" si="81"/>
        <v>Projected</v>
      </c>
      <c r="Y293" s="188" t="str">
        <f t="shared" si="93"/>
        <v>101-E330</v>
      </c>
      <c r="Z293" s="188">
        <f t="shared" si="94"/>
        <v>0</v>
      </c>
      <c r="AA293" s="188">
        <f t="shared" si="95"/>
        <v>0</v>
      </c>
      <c r="AB293" s="188">
        <f t="shared" si="96"/>
        <v>0</v>
      </c>
      <c r="AC293" s="188">
        <f t="shared" si="97"/>
        <v>0</v>
      </c>
      <c r="AD293" s="188">
        <f t="shared" si="98"/>
        <v>0</v>
      </c>
      <c r="AE293" s="183">
        <f t="shared" si="99"/>
        <v>0</v>
      </c>
    </row>
    <row r="294" spans="1:31" x14ac:dyDescent="0.25">
      <c r="A294" s="185" t="s">
        <v>211</v>
      </c>
      <c r="B294" s="188" t="s">
        <v>479</v>
      </c>
      <c r="C294" s="188" t="s">
        <v>26</v>
      </c>
      <c r="D294" s="188" t="str">
        <f t="shared" si="82"/>
        <v>101-E331</v>
      </c>
      <c r="E294" s="188">
        <v>0</v>
      </c>
      <c r="F294" s="188">
        <v>0</v>
      </c>
      <c r="G294" s="188">
        <v>25101.18</v>
      </c>
      <c r="H294" s="188">
        <v>50202.36</v>
      </c>
      <c r="I294" s="188">
        <v>0</v>
      </c>
      <c r="J294" s="183">
        <v>0</v>
      </c>
      <c r="L294" s="188" t="str">
        <f t="shared" si="83"/>
        <v>Projected - Electric</v>
      </c>
      <c r="M294" s="188" t="str">
        <f t="shared" si="84"/>
        <v>E331 HYD S/I, UB FishHatchery2010</v>
      </c>
      <c r="N294" s="188" t="str">
        <f t="shared" si="80"/>
        <v>Projected</v>
      </c>
      <c r="O294" s="188" t="str">
        <f t="shared" si="85"/>
        <v>101-E331</v>
      </c>
      <c r="P294" s="188">
        <f t="shared" si="86"/>
        <v>0</v>
      </c>
      <c r="Q294" s="188">
        <f t="shared" si="87"/>
        <v>0</v>
      </c>
      <c r="R294" s="188">
        <f t="shared" si="88"/>
        <v>25101.18</v>
      </c>
      <c r="S294" s="188">
        <f t="shared" si="89"/>
        <v>50202.36</v>
      </c>
      <c r="T294" s="188">
        <f t="shared" si="90"/>
        <v>0</v>
      </c>
      <c r="V294" s="188" t="str">
        <f t="shared" si="91"/>
        <v>Projected - Electric</v>
      </c>
      <c r="W294" s="188" t="str">
        <f t="shared" si="92"/>
        <v>E331 HYD S/I, UB FishHatchery2010</v>
      </c>
      <c r="X294" s="188" t="str">
        <f t="shared" si="81"/>
        <v>Projected</v>
      </c>
      <c r="Y294" s="188" t="str">
        <f t="shared" si="93"/>
        <v>101-E331</v>
      </c>
      <c r="Z294" s="188">
        <f t="shared" si="94"/>
        <v>0</v>
      </c>
      <c r="AA294" s="188">
        <f t="shared" si="95"/>
        <v>0</v>
      </c>
      <c r="AB294" s="188">
        <f t="shared" si="96"/>
        <v>0</v>
      </c>
      <c r="AC294" s="188">
        <f t="shared" si="97"/>
        <v>0</v>
      </c>
      <c r="AD294" s="188">
        <f t="shared" si="98"/>
        <v>0</v>
      </c>
      <c r="AE294" s="183">
        <f t="shared" si="99"/>
        <v>0</v>
      </c>
    </row>
    <row r="295" spans="1:31" x14ac:dyDescent="0.25">
      <c r="A295" s="185" t="s">
        <v>211</v>
      </c>
      <c r="B295" s="188" t="s">
        <v>478</v>
      </c>
      <c r="C295" s="188" t="s">
        <v>26</v>
      </c>
      <c r="D295" s="188" t="str">
        <f t="shared" si="82"/>
        <v>101-E331</v>
      </c>
      <c r="E295" s="188">
        <v>0</v>
      </c>
      <c r="F295" s="188">
        <v>675798.95</v>
      </c>
      <c r="G295" s="188">
        <v>760009.07</v>
      </c>
      <c r="H295" s="188">
        <v>844219.19</v>
      </c>
      <c r="I295" s="188">
        <v>0</v>
      </c>
      <c r="J295" s="183">
        <v>0</v>
      </c>
      <c r="L295" s="188" t="str">
        <f t="shared" si="83"/>
        <v>Projected - Electric</v>
      </c>
      <c r="M295" s="188" t="str">
        <f t="shared" si="84"/>
        <v>E331 HYD Str/Impv, Upper Baker</v>
      </c>
      <c r="N295" s="188" t="str">
        <f t="shared" si="80"/>
        <v>Projected</v>
      </c>
      <c r="O295" s="188" t="str">
        <f t="shared" si="85"/>
        <v>101-E331</v>
      </c>
      <c r="P295" s="188">
        <f t="shared" si="86"/>
        <v>0</v>
      </c>
      <c r="Q295" s="188">
        <f t="shared" si="87"/>
        <v>675798.95</v>
      </c>
      <c r="R295" s="188">
        <f t="shared" si="88"/>
        <v>760009.07</v>
      </c>
      <c r="S295" s="188">
        <f t="shared" si="89"/>
        <v>844219.19</v>
      </c>
      <c r="T295" s="188">
        <f t="shared" si="90"/>
        <v>0</v>
      </c>
      <c r="V295" s="188" t="str">
        <f t="shared" si="91"/>
        <v>Projected - Electric</v>
      </c>
      <c r="W295" s="188" t="str">
        <f t="shared" si="92"/>
        <v>E331 HYD Str/Impv, Upper Baker</v>
      </c>
      <c r="X295" s="188" t="str">
        <f t="shared" si="81"/>
        <v>Projected</v>
      </c>
      <c r="Y295" s="188" t="str">
        <f t="shared" si="93"/>
        <v>101-E331</v>
      </c>
      <c r="Z295" s="188">
        <f t="shared" si="94"/>
        <v>0</v>
      </c>
      <c r="AA295" s="188">
        <f t="shared" si="95"/>
        <v>0</v>
      </c>
      <c r="AB295" s="188">
        <f t="shared" si="96"/>
        <v>0</v>
      </c>
      <c r="AC295" s="188">
        <f t="shared" si="97"/>
        <v>0</v>
      </c>
      <c r="AD295" s="188">
        <f t="shared" si="98"/>
        <v>0</v>
      </c>
      <c r="AE295" s="183">
        <f t="shared" si="99"/>
        <v>0</v>
      </c>
    </row>
    <row r="296" spans="1:31" x14ac:dyDescent="0.25">
      <c r="A296" s="185" t="s">
        <v>211</v>
      </c>
      <c r="B296" s="188" t="s">
        <v>477</v>
      </c>
      <c r="C296" s="188" t="s">
        <v>26</v>
      </c>
      <c r="D296" s="188" t="str">
        <f t="shared" si="82"/>
        <v>101-E332</v>
      </c>
      <c r="E296" s="188">
        <v>0</v>
      </c>
      <c r="F296" s="188">
        <v>238882.8</v>
      </c>
      <c r="G296" s="188">
        <v>238882.8</v>
      </c>
      <c r="H296" s="188">
        <v>238882.8</v>
      </c>
      <c r="I296" s="188">
        <v>0</v>
      </c>
      <c r="J296" s="183">
        <v>0</v>
      </c>
      <c r="L296" s="188" t="str">
        <f t="shared" si="83"/>
        <v>Projected - Electric</v>
      </c>
      <c r="M296" s="188" t="str">
        <f t="shared" si="84"/>
        <v>E332 HYD R/D/W, Snoq 2 - 2013</v>
      </c>
      <c r="N296" s="188" t="str">
        <f t="shared" si="80"/>
        <v>Projected</v>
      </c>
      <c r="O296" s="188" t="str">
        <f t="shared" si="85"/>
        <v>101-E332</v>
      </c>
      <c r="P296" s="188">
        <f t="shared" si="86"/>
        <v>0</v>
      </c>
      <c r="Q296" s="188">
        <f t="shared" si="87"/>
        <v>238882.8</v>
      </c>
      <c r="R296" s="188">
        <f t="shared" si="88"/>
        <v>238882.8</v>
      </c>
      <c r="S296" s="188">
        <f t="shared" si="89"/>
        <v>238882.8</v>
      </c>
      <c r="T296" s="188">
        <f t="shared" si="90"/>
        <v>0</v>
      </c>
      <c r="V296" s="188" t="str">
        <f t="shared" si="91"/>
        <v>Projected - Electric</v>
      </c>
      <c r="W296" s="188" t="str">
        <f t="shared" si="92"/>
        <v>E332 HYD R/D/W, Snoq 2 - 2013</v>
      </c>
      <c r="X296" s="188" t="str">
        <f t="shared" si="81"/>
        <v>Projected</v>
      </c>
      <c r="Y296" s="188" t="str">
        <f t="shared" si="93"/>
        <v>101-E332</v>
      </c>
      <c r="Z296" s="188">
        <f t="shared" si="94"/>
        <v>0</v>
      </c>
      <c r="AA296" s="188">
        <f t="shared" si="95"/>
        <v>0</v>
      </c>
      <c r="AB296" s="188">
        <f t="shared" si="96"/>
        <v>0</v>
      </c>
      <c r="AC296" s="188">
        <f t="shared" si="97"/>
        <v>0</v>
      </c>
      <c r="AD296" s="188">
        <f t="shared" si="98"/>
        <v>0</v>
      </c>
      <c r="AE296" s="183">
        <f t="shared" si="99"/>
        <v>0</v>
      </c>
    </row>
    <row r="297" spans="1:31" x14ac:dyDescent="0.25">
      <c r="A297" s="185" t="s">
        <v>211</v>
      </c>
      <c r="B297" s="188" t="s">
        <v>476</v>
      </c>
      <c r="C297" s="188" t="s">
        <v>26</v>
      </c>
      <c r="D297" s="188" t="str">
        <f t="shared" si="82"/>
        <v>101-E332</v>
      </c>
      <c r="E297" s="188">
        <v>0</v>
      </c>
      <c r="F297" s="188">
        <v>5701.72</v>
      </c>
      <c r="G297" s="188">
        <v>5701.72</v>
      </c>
      <c r="H297" s="188">
        <v>5701.72</v>
      </c>
      <c r="I297" s="188">
        <v>0</v>
      </c>
      <c r="J297" s="183">
        <v>0</v>
      </c>
      <c r="L297" s="188" t="str">
        <f t="shared" si="83"/>
        <v>Projected - Electric</v>
      </c>
      <c r="M297" s="188" t="str">
        <f t="shared" si="84"/>
        <v>E332 HYD R/D/W,LBAdultFishTr2010</v>
      </c>
      <c r="N297" s="188" t="str">
        <f t="shared" si="80"/>
        <v>Projected</v>
      </c>
      <c r="O297" s="188" t="str">
        <f t="shared" si="85"/>
        <v>101-E332</v>
      </c>
      <c r="P297" s="188">
        <f t="shared" si="86"/>
        <v>0</v>
      </c>
      <c r="Q297" s="188">
        <f t="shared" si="87"/>
        <v>5701.72</v>
      </c>
      <c r="R297" s="188">
        <f t="shared" si="88"/>
        <v>5701.72</v>
      </c>
      <c r="S297" s="188">
        <f t="shared" si="89"/>
        <v>5701.72</v>
      </c>
      <c r="T297" s="188">
        <f t="shared" si="90"/>
        <v>0</v>
      </c>
      <c r="V297" s="188" t="str">
        <f t="shared" si="91"/>
        <v>Projected - Electric</v>
      </c>
      <c r="W297" s="188" t="str">
        <f t="shared" si="92"/>
        <v>E332 HYD R/D/W,LBAdultFishTr2010</v>
      </c>
      <c r="X297" s="188" t="str">
        <f t="shared" si="81"/>
        <v>Projected</v>
      </c>
      <c r="Y297" s="188" t="str">
        <f t="shared" si="93"/>
        <v>101-E332</v>
      </c>
      <c r="Z297" s="188">
        <f t="shared" si="94"/>
        <v>0</v>
      </c>
      <c r="AA297" s="188">
        <f t="shared" si="95"/>
        <v>0</v>
      </c>
      <c r="AB297" s="188">
        <f t="shared" si="96"/>
        <v>0</v>
      </c>
      <c r="AC297" s="188">
        <f t="shared" si="97"/>
        <v>0</v>
      </c>
      <c r="AD297" s="188">
        <f t="shared" si="98"/>
        <v>0</v>
      </c>
      <c r="AE297" s="183">
        <f t="shared" si="99"/>
        <v>0</v>
      </c>
    </row>
    <row r="298" spans="1:31" x14ac:dyDescent="0.25">
      <c r="A298" s="185" t="s">
        <v>211</v>
      </c>
      <c r="B298" s="188" t="s">
        <v>475</v>
      </c>
      <c r="C298" s="188" t="s">
        <v>26</v>
      </c>
      <c r="D298" s="188" t="str">
        <f t="shared" si="82"/>
        <v>101-E332</v>
      </c>
      <c r="E298" s="188">
        <v>0</v>
      </c>
      <c r="F298" s="188">
        <v>767038.56</v>
      </c>
      <c r="G298" s="188">
        <v>862850.58</v>
      </c>
      <c r="H298" s="188">
        <v>958662.6</v>
      </c>
      <c r="I298" s="188">
        <v>0</v>
      </c>
      <c r="J298" s="183">
        <v>0</v>
      </c>
      <c r="L298" s="188" t="str">
        <f t="shared" si="83"/>
        <v>Projected - Electric</v>
      </c>
      <c r="M298" s="188" t="str">
        <f t="shared" si="84"/>
        <v>E332 HYD Res/Dam/Wwy, UB FSC</v>
      </c>
      <c r="N298" s="188" t="str">
        <f t="shared" si="80"/>
        <v>Projected</v>
      </c>
      <c r="O298" s="188" t="str">
        <f t="shared" si="85"/>
        <v>101-E332</v>
      </c>
      <c r="P298" s="188">
        <f t="shared" si="86"/>
        <v>0</v>
      </c>
      <c r="Q298" s="188">
        <f t="shared" si="87"/>
        <v>767038.56</v>
      </c>
      <c r="R298" s="188">
        <f t="shared" si="88"/>
        <v>862850.58</v>
      </c>
      <c r="S298" s="188">
        <f t="shared" si="89"/>
        <v>958662.6</v>
      </c>
      <c r="T298" s="188">
        <f t="shared" si="90"/>
        <v>0</v>
      </c>
      <c r="V298" s="188" t="str">
        <f t="shared" si="91"/>
        <v>Projected - Electric</v>
      </c>
      <c r="W298" s="188" t="str">
        <f t="shared" si="92"/>
        <v>E332 HYD Res/Dam/Wwy, UB FSC</v>
      </c>
      <c r="X298" s="188" t="str">
        <f t="shared" si="81"/>
        <v>Projected</v>
      </c>
      <c r="Y298" s="188" t="str">
        <f t="shared" si="93"/>
        <v>101-E332</v>
      </c>
      <c r="Z298" s="188">
        <f t="shared" si="94"/>
        <v>0</v>
      </c>
      <c r="AA298" s="188">
        <f t="shared" si="95"/>
        <v>0</v>
      </c>
      <c r="AB298" s="188">
        <f t="shared" si="96"/>
        <v>0</v>
      </c>
      <c r="AC298" s="188">
        <f t="shared" si="97"/>
        <v>0</v>
      </c>
      <c r="AD298" s="188">
        <f t="shared" si="98"/>
        <v>0</v>
      </c>
      <c r="AE298" s="183">
        <f t="shared" si="99"/>
        <v>0</v>
      </c>
    </row>
    <row r="299" spans="1:31" x14ac:dyDescent="0.25">
      <c r="A299" s="185" t="s">
        <v>211</v>
      </c>
      <c r="B299" s="188" t="s">
        <v>474</v>
      </c>
      <c r="C299" s="188" t="s">
        <v>26</v>
      </c>
      <c r="D299" s="188" t="str">
        <f t="shared" si="82"/>
        <v>101-E332</v>
      </c>
      <c r="E299" s="188">
        <v>0</v>
      </c>
      <c r="F299" s="188">
        <v>9784612.3000000007</v>
      </c>
      <c r="G299" s="188">
        <v>12105936.93</v>
      </c>
      <c r="H299" s="188">
        <v>14427261.58</v>
      </c>
      <c r="I299" s="188">
        <v>0</v>
      </c>
      <c r="J299" s="183">
        <v>0</v>
      </c>
      <c r="L299" s="188" t="str">
        <f t="shared" si="83"/>
        <v>Projected - Electric</v>
      </c>
      <c r="M299" s="188" t="str">
        <f t="shared" si="84"/>
        <v>E332 HYD Res/Dam/Wwy, Upper Baker</v>
      </c>
      <c r="N299" s="188" t="str">
        <f t="shared" si="80"/>
        <v>Projected</v>
      </c>
      <c r="O299" s="188" t="str">
        <f t="shared" si="85"/>
        <v>101-E332</v>
      </c>
      <c r="P299" s="188">
        <f t="shared" si="86"/>
        <v>0</v>
      </c>
      <c r="Q299" s="188">
        <f t="shared" si="87"/>
        <v>9784612.3000000007</v>
      </c>
      <c r="R299" s="188">
        <f t="shared" si="88"/>
        <v>12105936.93</v>
      </c>
      <c r="S299" s="188">
        <f t="shared" si="89"/>
        <v>14427261.58</v>
      </c>
      <c r="T299" s="188">
        <f t="shared" si="90"/>
        <v>0</v>
      </c>
      <c r="V299" s="188" t="str">
        <f t="shared" si="91"/>
        <v>Projected - Electric</v>
      </c>
      <c r="W299" s="188" t="str">
        <f t="shared" si="92"/>
        <v>E332 HYD Res/Dam/Wwy, Upper Baker</v>
      </c>
      <c r="X299" s="188" t="str">
        <f t="shared" si="81"/>
        <v>Projected</v>
      </c>
      <c r="Y299" s="188" t="str">
        <f t="shared" si="93"/>
        <v>101-E332</v>
      </c>
      <c r="Z299" s="188">
        <f t="shared" si="94"/>
        <v>0</v>
      </c>
      <c r="AA299" s="188">
        <f t="shared" si="95"/>
        <v>0</v>
      </c>
      <c r="AB299" s="188">
        <f t="shared" si="96"/>
        <v>0</v>
      </c>
      <c r="AC299" s="188">
        <f t="shared" si="97"/>
        <v>0</v>
      </c>
      <c r="AD299" s="188">
        <f t="shared" si="98"/>
        <v>0</v>
      </c>
      <c r="AE299" s="183">
        <f t="shared" si="99"/>
        <v>0</v>
      </c>
    </row>
    <row r="300" spans="1:31" x14ac:dyDescent="0.25">
      <c r="A300" s="185" t="s">
        <v>211</v>
      </c>
      <c r="B300" s="188" t="s">
        <v>473</v>
      </c>
      <c r="C300" s="188" t="s">
        <v>26</v>
      </c>
      <c r="D300" s="188" t="str">
        <f t="shared" si="82"/>
        <v>101-E333</v>
      </c>
      <c r="E300" s="188">
        <v>0</v>
      </c>
      <c r="F300" s="188">
        <v>12334338.25</v>
      </c>
      <c r="G300" s="188">
        <v>12334338.25</v>
      </c>
      <c r="H300" s="188">
        <v>12334338.25</v>
      </c>
      <c r="I300" s="188">
        <v>0</v>
      </c>
      <c r="J300" s="183">
        <v>0</v>
      </c>
      <c r="L300" s="188" t="str">
        <f t="shared" si="83"/>
        <v>Projected - Electric</v>
      </c>
      <c r="M300" s="188" t="str">
        <f t="shared" si="84"/>
        <v>E333 HYD Wtrwhl/Trbn, Lower Baker</v>
      </c>
      <c r="N300" s="188" t="str">
        <f t="shared" si="80"/>
        <v>Projected</v>
      </c>
      <c r="O300" s="188" t="str">
        <f t="shared" si="85"/>
        <v>101-E333</v>
      </c>
      <c r="P300" s="188">
        <f t="shared" si="86"/>
        <v>0</v>
      </c>
      <c r="Q300" s="188">
        <f t="shared" si="87"/>
        <v>12334338.25</v>
      </c>
      <c r="R300" s="188">
        <f t="shared" si="88"/>
        <v>12334338.25</v>
      </c>
      <c r="S300" s="188">
        <f t="shared" si="89"/>
        <v>12334338.25</v>
      </c>
      <c r="T300" s="188">
        <f t="shared" si="90"/>
        <v>0</v>
      </c>
      <c r="V300" s="188" t="str">
        <f t="shared" si="91"/>
        <v>Projected - Electric</v>
      </c>
      <c r="W300" s="188" t="str">
        <f t="shared" si="92"/>
        <v>E333 HYD Wtrwhl/Trbn, Lower Baker</v>
      </c>
      <c r="X300" s="188" t="str">
        <f t="shared" si="81"/>
        <v>Projected</v>
      </c>
      <c r="Y300" s="188" t="str">
        <f t="shared" si="93"/>
        <v>101-E333</v>
      </c>
      <c r="Z300" s="188">
        <f t="shared" si="94"/>
        <v>0</v>
      </c>
      <c r="AA300" s="188">
        <f t="shared" si="95"/>
        <v>0</v>
      </c>
      <c r="AB300" s="188">
        <f t="shared" si="96"/>
        <v>0</v>
      </c>
      <c r="AC300" s="188">
        <f t="shared" si="97"/>
        <v>0</v>
      </c>
      <c r="AD300" s="188">
        <f t="shared" si="98"/>
        <v>0</v>
      </c>
      <c r="AE300" s="183">
        <f t="shared" si="99"/>
        <v>0</v>
      </c>
    </row>
    <row r="301" spans="1:31" x14ac:dyDescent="0.25">
      <c r="A301" s="185" t="s">
        <v>211</v>
      </c>
      <c r="B301" s="188" t="s">
        <v>472</v>
      </c>
      <c r="C301" s="188" t="s">
        <v>26</v>
      </c>
      <c r="D301" s="188" t="str">
        <f t="shared" si="82"/>
        <v>101-E333</v>
      </c>
      <c r="E301" s="188">
        <v>0</v>
      </c>
      <c r="F301" s="188">
        <v>2396670.94</v>
      </c>
      <c r="G301" s="188">
        <v>2396670.94</v>
      </c>
      <c r="H301" s="188">
        <v>2396670.94</v>
      </c>
      <c r="I301" s="188">
        <v>0</v>
      </c>
      <c r="J301" s="183">
        <v>0</v>
      </c>
      <c r="L301" s="188" t="str">
        <f t="shared" si="83"/>
        <v>Projected - Electric</v>
      </c>
      <c r="M301" s="188" t="str">
        <f t="shared" si="84"/>
        <v>E333 HYD Wtrwhl/Trbn, Snoqualmie 1</v>
      </c>
      <c r="N301" s="188" t="str">
        <f t="shared" si="80"/>
        <v>Projected</v>
      </c>
      <c r="O301" s="188" t="str">
        <f t="shared" si="85"/>
        <v>101-E333</v>
      </c>
      <c r="P301" s="188">
        <f t="shared" si="86"/>
        <v>0</v>
      </c>
      <c r="Q301" s="188">
        <f t="shared" si="87"/>
        <v>2396670.94</v>
      </c>
      <c r="R301" s="188">
        <f t="shared" si="88"/>
        <v>2396670.94</v>
      </c>
      <c r="S301" s="188">
        <f t="shared" si="89"/>
        <v>2396670.94</v>
      </c>
      <c r="T301" s="188">
        <f t="shared" si="90"/>
        <v>0</v>
      </c>
      <c r="V301" s="188" t="str">
        <f t="shared" si="91"/>
        <v>Projected - Electric</v>
      </c>
      <c r="W301" s="188" t="str">
        <f t="shared" si="92"/>
        <v>E333 HYD Wtrwhl/Trbn, Snoqualmie 1</v>
      </c>
      <c r="X301" s="188" t="str">
        <f t="shared" si="81"/>
        <v>Projected</v>
      </c>
      <c r="Y301" s="188" t="str">
        <f t="shared" si="93"/>
        <v>101-E333</v>
      </c>
      <c r="Z301" s="188">
        <f t="shared" si="94"/>
        <v>0</v>
      </c>
      <c r="AA301" s="188">
        <f t="shared" si="95"/>
        <v>0</v>
      </c>
      <c r="AB301" s="188">
        <f t="shared" si="96"/>
        <v>0</v>
      </c>
      <c r="AC301" s="188">
        <f t="shared" si="97"/>
        <v>0</v>
      </c>
      <c r="AD301" s="188">
        <f t="shared" si="98"/>
        <v>0</v>
      </c>
      <c r="AE301" s="183">
        <f t="shared" si="99"/>
        <v>0</v>
      </c>
    </row>
    <row r="302" spans="1:31" x14ac:dyDescent="0.25">
      <c r="A302" s="185" t="s">
        <v>211</v>
      </c>
      <c r="B302" s="188" t="s">
        <v>471</v>
      </c>
      <c r="C302" s="188" t="s">
        <v>26</v>
      </c>
      <c r="D302" s="188" t="str">
        <f t="shared" si="82"/>
        <v>101-E333</v>
      </c>
      <c r="E302" s="188">
        <v>0</v>
      </c>
      <c r="F302" s="188">
        <v>13475.04</v>
      </c>
      <c r="G302" s="188">
        <v>13475.04</v>
      </c>
      <c r="H302" s="188">
        <v>13475.04</v>
      </c>
      <c r="I302" s="188">
        <v>0</v>
      </c>
      <c r="J302" s="183">
        <v>0</v>
      </c>
      <c r="L302" s="188" t="str">
        <f t="shared" si="83"/>
        <v>Projected - Electric</v>
      </c>
      <c r="M302" s="188" t="str">
        <f t="shared" si="84"/>
        <v>E333 HYD Wtrwhl/Trbn, Snoqualmie 2</v>
      </c>
      <c r="N302" s="188" t="str">
        <f t="shared" si="80"/>
        <v>Projected</v>
      </c>
      <c r="O302" s="188" t="str">
        <f t="shared" si="85"/>
        <v>101-E333</v>
      </c>
      <c r="P302" s="188">
        <f t="shared" si="86"/>
        <v>0</v>
      </c>
      <c r="Q302" s="188">
        <f t="shared" si="87"/>
        <v>13475.04</v>
      </c>
      <c r="R302" s="188">
        <f t="shared" si="88"/>
        <v>13475.04</v>
      </c>
      <c r="S302" s="188">
        <f t="shared" si="89"/>
        <v>13475.04</v>
      </c>
      <c r="T302" s="188">
        <f t="shared" si="90"/>
        <v>0</v>
      </c>
      <c r="V302" s="188" t="str">
        <f t="shared" si="91"/>
        <v>Projected - Electric</v>
      </c>
      <c r="W302" s="188" t="str">
        <f t="shared" si="92"/>
        <v>E333 HYD Wtrwhl/Trbn, Snoqualmie 2</v>
      </c>
      <c r="X302" s="188" t="str">
        <f t="shared" si="81"/>
        <v>Projected</v>
      </c>
      <c r="Y302" s="188" t="str">
        <f t="shared" si="93"/>
        <v>101-E333</v>
      </c>
      <c r="Z302" s="188">
        <f t="shared" si="94"/>
        <v>0</v>
      </c>
      <c r="AA302" s="188">
        <f t="shared" si="95"/>
        <v>0</v>
      </c>
      <c r="AB302" s="188">
        <f t="shared" si="96"/>
        <v>0</v>
      </c>
      <c r="AC302" s="188">
        <f t="shared" si="97"/>
        <v>0</v>
      </c>
      <c r="AD302" s="188">
        <f t="shared" si="98"/>
        <v>0</v>
      </c>
      <c r="AE302" s="183">
        <f t="shared" si="99"/>
        <v>0</v>
      </c>
    </row>
    <row r="303" spans="1:31" x14ac:dyDescent="0.25">
      <c r="A303" s="185" t="s">
        <v>211</v>
      </c>
      <c r="B303" s="188" t="s">
        <v>470</v>
      </c>
      <c r="C303" s="188" t="s">
        <v>26</v>
      </c>
      <c r="D303" s="188" t="str">
        <f t="shared" si="82"/>
        <v>101-E335</v>
      </c>
      <c r="E303" s="188">
        <v>0</v>
      </c>
      <c r="F303" s="188">
        <v>7274662.2000000002</v>
      </c>
      <c r="G303" s="188">
        <v>16087233.050000001</v>
      </c>
      <c r="H303" s="188">
        <v>16470388.310000001</v>
      </c>
      <c r="I303" s="188">
        <v>0</v>
      </c>
      <c r="J303" s="183">
        <v>0</v>
      </c>
      <c r="L303" s="188" t="str">
        <f t="shared" si="83"/>
        <v>Projected - Electric</v>
      </c>
      <c r="M303" s="188" t="str">
        <f t="shared" si="84"/>
        <v>E335 HYD Misc, Lower Baker</v>
      </c>
      <c r="N303" s="188" t="str">
        <f t="shared" si="80"/>
        <v>Projected</v>
      </c>
      <c r="O303" s="188" t="str">
        <f t="shared" si="85"/>
        <v>101-E335</v>
      </c>
      <c r="P303" s="188">
        <f t="shared" si="86"/>
        <v>0</v>
      </c>
      <c r="Q303" s="188">
        <f t="shared" si="87"/>
        <v>7274662.2000000002</v>
      </c>
      <c r="R303" s="188">
        <f t="shared" si="88"/>
        <v>16087233.050000001</v>
      </c>
      <c r="S303" s="188">
        <f t="shared" si="89"/>
        <v>16470388.310000001</v>
      </c>
      <c r="T303" s="188">
        <f t="shared" si="90"/>
        <v>0</v>
      </c>
      <c r="V303" s="188" t="str">
        <f t="shared" si="91"/>
        <v>Projected - Electric</v>
      </c>
      <c r="W303" s="188" t="str">
        <f t="shared" si="92"/>
        <v>E335 HYD Misc, Lower Baker</v>
      </c>
      <c r="X303" s="188" t="str">
        <f t="shared" si="81"/>
        <v>Projected</v>
      </c>
      <c r="Y303" s="188" t="str">
        <f t="shared" si="93"/>
        <v>101-E335</v>
      </c>
      <c r="Z303" s="188">
        <f t="shared" si="94"/>
        <v>0</v>
      </c>
      <c r="AA303" s="188">
        <f t="shared" si="95"/>
        <v>0</v>
      </c>
      <c r="AB303" s="188">
        <f t="shared" si="96"/>
        <v>0</v>
      </c>
      <c r="AC303" s="188">
        <f t="shared" si="97"/>
        <v>0</v>
      </c>
      <c r="AD303" s="188">
        <f t="shared" si="98"/>
        <v>0</v>
      </c>
      <c r="AE303" s="183">
        <f t="shared" si="99"/>
        <v>0</v>
      </c>
    </row>
    <row r="304" spans="1:31" x14ac:dyDescent="0.25">
      <c r="A304" s="185" t="s">
        <v>211</v>
      </c>
      <c r="B304" s="188" t="s">
        <v>469</v>
      </c>
      <c r="C304" s="188" t="s">
        <v>26</v>
      </c>
      <c r="D304" s="188" t="str">
        <f t="shared" si="82"/>
        <v>101-E335</v>
      </c>
      <c r="E304" s="188">
        <v>0</v>
      </c>
      <c r="F304" s="188">
        <v>157400.95000000001</v>
      </c>
      <c r="G304" s="188">
        <v>157400.95000000001</v>
      </c>
      <c r="H304" s="188">
        <v>157400.95000000001</v>
      </c>
      <c r="I304" s="188">
        <v>0</v>
      </c>
      <c r="J304" s="183">
        <v>0</v>
      </c>
      <c r="L304" s="188" t="str">
        <f t="shared" si="83"/>
        <v>Projected - Electric</v>
      </c>
      <c r="M304" s="188" t="str">
        <f t="shared" si="84"/>
        <v>E335 HYD Misc, UB Hatchery</v>
      </c>
      <c r="N304" s="188" t="str">
        <f t="shared" si="80"/>
        <v>Projected</v>
      </c>
      <c r="O304" s="188" t="str">
        <f t="shared" si="85"/>
        <v>101-E335</v>
      </c>
      <c r="P304" s="188">
        <f t="shared" si="86"/>
        <v>0</v>
      </c>
      <c r="Q304" s="188">
        <f t="shared" si="87"/>
        <v>157400.95000000001</v>
      </c>
      <c r="R304" s="188">
        <f t="shared" si="88"/>
        <v>157400.95000000001</v>
      </c>
      <c r="S304" s="188">
        <f t="shared" si="89"/>
        <v>157400.95000000001</v>
      </c>
      <c r="T304" s="188">
        <f t="shared" si="90"/>
        <v>0</v>
      </c>
      <c r="V304" s="188" t="str">
        <f t="shared" si="91"/>
        <v>Projected - Electric</v>
      </c>
      <c r="W304" s="188" t="str">
        <f t="shared" si="92"/>
        <v>E335 HYD Misc, UB Hatchery</v>
      </c>
      <c r="X304" s="188" t="str">
        <f t="shared" si="81"/>
        <v>Projected</v>
      </c>
      <c r="Y304" s="188" t="str">
        <f t="shared" si="93"/>
        <v>101-E335</v>
      </c>
      <c r="Z304" s="188">
        <f t="shared" si="94"/>
        <v>0</v>
      </c>
      <c r="AA304" s="188">
        <f t="shared" si="95"/>
        <v>0</v>
      </c>
      <c r="AB304" s="188">
        <f t="shared" si="96"/>
        <v>0</v>
      </c>
      <c r="AC304" s="188">
        <f t="shared" si="97"/>
        <v>0</v>
      </c>
      <c r="AD304" s="188">
        <f t="shared" si="98"/>
        <v>0</v>
      </c>
      <c r="AE304" s="183">
        <f t="shared" si="99"/>
        <v>0</v>
      </c>
    </row>
    <row r="305" spans="1:31" x14ac:dyDescent="0.25">
      <c r="A305" s="185" t="s">
        <v>211</v>
      </c>
      <c r="B305" s="188" t="s">
        <v>468</v>
      </c>
      <c r="C305" s="188" t="s">
        <v>26</v>
      </c>
      <c r="D305" s="188" t="str">
        <f t="shared" si="82"/>
        <v>101-E335</v>
      </c>
      <c r="E305" s="188">
        <v>0</v>
      </c>
      <c r="F305" s="188">
        <v>41384.79</v>
      </c>
      <c r="G305" s="188">
        <v>41384.79</v>
      </c>
      <c r="H305" s="188">
        <v>41384.79</v>
      </c>
      <c r="I305" s="188">
        <v>0</v>
      </c>
      <c r="J305" s="183">
        <v>0</v>
      </c>
      <c r="L305" s="188" t="str">
        <f t="shared" si="83"/>
        <v>Projected - Electric</v>
      </c>
      <c r="M305" s="188" t="str">
        <f t="shared" si="84"/>
        <v>E335 HYD Misc, Upper Baker</v>
      </c>
      <c r="N305" s="188" t="str">
        <f t="shared" si="80"/>
        <v>Projected</v>
      </c>
      <c r="O305" s="188" t="str">
        <f t="shared" si="85"/>
        <v>101-E335</v>
      </c>
      <c r="P305" s="188">
        <f t="shared" si="86"/>
        <v>0</v>
      </c>
      <c r="Q305" s="188">
        <f t="shared" si="87"/>
        <v>41384.79</v>
      </c>
      <c r="R305" s="188">
        <f t="shared" si="88"/>
        <v>41384.79</v>
      </c>
      <c r="S305" s="188">
        <f t="shared" si="89"/>
        <v>41384.79</v>
      </c>
      <c r="T305" s="188">
        <f t="shared" si="90"/>
        <v>0</v>
      </c>
      <c r="V305" s="188" t="str">
        <f t="shared" si="91"/>
        <v>Projected - Electric</v>
      </c>
      <c r="W305" s="188" t="str">
        <f t="shared" si="92"/>
        <v>E335 HYD Misc, Upper Baker</v>
      </c>
      <c r="X305" s="188" t="str">
        <f t="shared" si="81"/>
        <v>Projected</v>
      </c>
      <c r="Y305" s="188" t="str">
        <f t="shared" si="93"/>
        <v>101-E335</v>
      </c>
      <c r="Z305" s="188">
        <f t="shared" si="94"/>
        <v>0</v>
      </c>
      <c r="AA305" s="188">
        <f t="shared" si="95"/>
        <v>0</v>
      </c>
      <c r="AB305" s="188">
        <f t="shared" si="96"/>
        <v>0</v>
      </c>
      <c r="AC305" s="188">
        <f t="shared" si="97"/>
        <v>0</v>
      </c>
      <c r="AD305" s="188">
        <f t="shared" si="98"/>
        <v>0</v>
      </c>
      <c r="AE305" s="183">
        <f t="shared" si="99"/>
        <v>0</v>
      </c>
    </row>
    <row r="306" spans="1:31" x14ac:dyDescent="0.25">
      <c r="A306" s="185" t="s">
        <v>211</v>
      </c>
      <c r="B306" s="188" t="s">
        <v>467</v>
      </c>
      <c r="C306" s="188" t="s">
        <v>26</v>
      </c>
      <c r="D306" s="188" t="str">
        <f t="shared" si="82"/>
        <v>101-E335</v>
      </c>
      <c r="E306" s="188">
        <v>0</v>
      </c>
      <c r="F306" s="188">
        <v>8681</v>
      </c>
      <c r="G306" s="188">
        <v>8681</v>
      </c>
      <c r="H306" s="188">
        <v>8681</v>
      </c>
      <c r="I306" s="188">
        <v>0</v>
      </c>
      <c r="J306" s="183">
        <v>0</v>
      </c>
      <c r="L306" s="188" t="str">
        <f t="shared" si="83"/>
        <v>Projected - Electric</v>
      </c>
      <c r="M306" s="188" t="str">
        <f t="shared" si="84"/>
        <v>E3351 HYD S/M/Tools, Snoq 1-2013</v>
      </c>
      <c r="N306" s="188" t="str">
        <f t="shared" si="80"/>
        <v>Projected</v>
      </c>
      <c r="O306" s="188" t="str">
        <f t="shared" si="85"/>
        <v>101-E335</v>
      </c>
      <c r="P306" s="188">
        <f t="shared" si="86"/>
        <v>0</v>
      </c>
      <c r="Q306" s="188">
        <f t="shared" si="87"/>
        <v>8681</v>
      </c>
      <c r="R306" s="188">
        <f t="shared" si="88"/>
        <v>8681</v>
      </c>
      <c r="S306" s="188">
        <f t="shared" si="89"/>
        <v>8681</v>
      </c>
      <c r="T306" s="188">
        <f t="shared" si="90"/>
        <v>0</v>
      </c>
      <c r="V306" s="188" t="str">
        <f t="shared" si="91"/>
        <v>Projected - Electric</v>
      </c>
      <c r="W306" s="188" t="str">
        <f t="shared" si="92"/>
        <v>E3351 HYD S/M/Tools, Snoq 1-2013</v>
      </c>
      <c r="X306" s="188" t="str">
        <f t="shared" si="81"/>
        <v>Projected</v>
      </c>
      <c r="Y306" s="188" t="str">
        <f t="shared" si="93"/>
        <v>101-E335</v>
      </c>
      <c r="Z306" s="188">
        <f t="shared" si="94"/>
        <v>0</v>
      </c>
      <c r="AA306" s="188">
        <f t="shared" si="95"/>
        <v>0</v>
      </c>
      <c r="AB306" s="188">
        <f t="shared" si="96"/>
        <v>0</v>
      </c>
      <c r="AC306" s="188">
        <f t="shared" si="97"/>
        <v>0</v>
      </c>
      <c r="AD306" s="188">
        <f t="shared" si="98"/>
        <v>0</v>
      </c>
      <c r="AE306" s="183">
        <f t="shared" si="99"/>
        <v>0</v>
      </c>
    </row>
    <row r="307" spans="1:31" x14ac:dyDescent="0.25">
      <c r="A307" s="185" t="s">
        <v>211</v>
      </c>
      <c r="B307" s="188" t="s">
        <v>466</v>
      </c>
      <c r="C307" s="188" t="s">
        <v>26</v>
      </c>
      <c r="D307" s="188" t="str">
        <f t="shared" si="82"/>
        <v>101-E335</v>
      </c>
      <c r="E307" s="188">
        <v>0</v>
      </c>
      <c r="F307" s="188">
        <v>83974.56</v>
      </c>
      <c r="G307" s="188">
        <v>93577.02</v>
      </c>
      <c r="H307" s="188">
        <v>103179.48</v>
      </c>
      <c r="I307" s="188">
        <v>0</v>
      </c>
      <c r="J307" s="183">
        <v>0</v>
      </c>
      <c r="L307" s="188" t="str">
        <f t="shared" si="83"/>
        <v>Projected - Electric</v>
      </c>
      <c r="M307" s="188" t="str">
        <f t="shared" si="84"/>
        <v>E3351 HYD Sta Main Tool, Upper Bker</v>
      </c>
      <c r="N307" s="188" t="str">
        <f t="shared" si="80"/>
        <v>Projected</v>
      </c>
      <c r="O307" s="188" t="str">
        <f t="shared" si="85"/>
        <v>101-E335</v>
      </c>
      <c r="P307" s="188">
        <f t="shared" si="86"/>
        <v>0</v>
      </c>
      <c r="Q307" s="188">
        <f t="shared" si="87"/>
        <v>83974.56</v>
      </c>
      <c r="R307" s="188">
        <f t="shared" si="88"/>
        <v>93577.02</v>
      </c>
      <c r="S307" s="188">
        <f t="shared" si="89"/>
        <v>103179.48</v>
      </c>
      <c r="T307" s="188">
        <f t="shared" si="90"/>
        <v>0</v>
      </c>
      <c r="V307" s="188" t="str">
        <f t="shared" si="91"/>
        <v>Projected - Electric</v>
      </c>
      <c r="W307" s="188" t="str">
        <f t="shared" si="92"/>
        <v>E3351 HYD Sta Main Tool, Upper Bker</v>
      </c>
      <c r="X307" s="188" t="str">
        <f t="shared" si="81"/>
        <v>Projected</v>
      </c>
      <c r="Y307" s="188" t="str">
        <f t="shared" si="93"/>
        <v>101-E335</v>
      </c>
      <c r="Z307" s="188">
        <f t="shared" si="94"/>
        <v>0</v>
      </c>
      <c r="AA307" s="188">
        <f t="shared" si="95"/>
        <v>0</v>
      </c>
      <c r="AB307" s="188">
        <f t="shared" si="96"/>
        <v>0</v>
      </c>
      <c r="AC307" s="188">
        <f t="shared" si="97"/>
        <v>0</v>
      </c>
      <c r="AD307" s="188">
        <f t="shared" si="98"/>
        <v>0</v>
      </c>
      <c r="AE307" s="183">
        <f t="shared" si="99"/>
        <v>0</v>
      </c>
    </row>
    <row r="308" spans="1:31" x14ac:dyDescent="0.25">
      <c r="A308" s="185" t="s">
        <v>211</v>
      </c>
      <c r="B308" s="188" t="s">
        <v>465</v>
      </c>
      <c r="C308" s="188" t="s">
        <v>26</v>
      </c>
      <c r="D308" s="188" t="str">
        <f t="shared" si="82"/>
        <v>101-E335</v>
      </c>
      <c r="E308" s="188">
        <v>0</v>
      </c>
      <c r="F308" s="188">
        <v>1112.72</v>
      </c>
      <c r="G308" s="188">
        <v>1115.3399999999999</v>
      </c>
      <c r="H308" s="188">
        <v>1178.27</v>
      </c>
      <c r="I308" s="188">
        <v>0</v>
      </c>
      <c r="J308" s="183">
        <v>0</v>
      </c>
      <c r="L308" s="188" t="str">
        <f t="shared" si="83"/>
        <v>Projected - Electric</v>
      </c>
      <c r="M308" s="188" t="str">
        <f t="shared" si="84"/>
        <v>E3351 HYD Sta Main Tools, LB-2013</v>
      </c>
      <c r="N308" s="188" t="str">
        <f t="shared" si="80"/>
        <v>Projected</v>
      </c>
      <c r="O308" s="188" t="str">
        <f t="shared" si="85"/>
        <v>101-E335</v>
      </c>
      <c r="P308" s="188">
        <f t="shared" si="86"/>
        <v>0</v>
      </c>
      <c r="Q308" s="188">
        <f t="shared" si="87"/>
        <v>1112.72</v>
      </c>
      <c r="R308" s="188">
        <f t="shared" si="88"/>
        <v>1115.3399999999999</v>
      </c>
      <c r="S308" s="188">
        <f t="shared" si="89"/>
        <v>1178.27</v>
      </c>
      <c r="T308" s="188">
        <f t="shared" si="90"/>
        <v>0</v>
      </c>
      <c r="V308" s="188" t="str">
        <f t="shared" si="91"/>
        <v>Projected - Electric</v>
      </c>
      <c r="W308" s="188" t="str">
        <f t="shared" si="92"/>
        <v>E3351 HYD Sta Main Tools, LB-2013</v>
      </c>
      <c r="X308" s="188" t="str">
        <f t="shared" si="81"/>
        <v>Projected</v>
      </c>
      <c r="Y308" s="188" t="str">
        <f t="shared" si="93"/>
        <v>101-E335</v>
      </c>
      <c r="Z308" s="188">
        <f t="shared" si="94"/>
        <v>0</v>
      </c>
      <c r="AA308" s="188">
        <f t="shared" si="95"/>
        <v>0</v>
      </c>
      <c r="AB308" s="188">
        <f t="shared" si="96"/>
        <v>0</v>
      </c>
      <c r="AC308" s="188">
        <f t="shared" si="97"/>
        <v>0</v>
      </c>
      <c r="AD308" s="188">
        <f t="shared" si="98"/>
        <v>0</v>
      </c>
      <c r="AE308" s="183">
        <f t="shared" si="99"/>
        <v>0</v>
      </c>
    </row>
    <row r="309" spans="1:31" x14ac:dyDescent="0.25">
      <c r="A309" s="185" t="s">
        <v>211</v>
      </c>
      <c r="B309" s="188" t="s">
        <v>464</v>
      </c>
      <c r="C309" s="188" t="s">
        <v>26</v>
      </c>
      <c r="D309" s="188" t="str">
        <f t="shared" si="82"/>
        <v>101-E335</v>
      </c>
      <c r="E309" s="188">
        <v>0</v>
      </c>
      <c r="F309" s="188">
        <v>7966.78</v>
      </c>
      <c r="G309" s="188">
        <v>7985.55</v>
      </c>
      <c r="H309" s="188">
        <v>8436.1</v>
      </c>
      <c r="I309" s="188">
        <v>0</v>
      </c>
      <c r="J309" s="183">
        <v>0</v>
      </c>
      <c r="L309" s="188" t="str">
        <f t="shared" si="83"/>
        <v>Projected - Electric</v>
      </c>
      <c r="M309" s="188" t="str">
        <f t="shared" si="84"/>
        <v>E3351 HYD Sta Main Tools, Lwer Bker</v>
      </c>
      <c r="N309" s="188" t="str">
        <f t="shared" si="80"/>
        <v>Projected</v>
      </c>
      <c r="O309" s="188" t="str">
        <f t="shared" si="85"/>
        <v>101-E335</v>
      </c>
      <c r="P309" s="188">
        <f t="shared" si="86"/>
        <v>0</v>
      </c>
      <c r="Q309" s="188">
        <f t="shared" si="87"/>
        <v>7966.78</v>
      </c>
      <c r="R309" s="188">
        <f t="shared" si="88"/>
        <v>7985.55</v>
      </c>
      <c r="S309" s="188">
        <f t="shared" si="89"/>
        <v>8436.1</v>
      </c>
      <c r="T309" s="188">
        <f t="shared" si="90"/>
        <v>0</v>
      </c>
      <c r="V309" s="188" t="str">
        <f t="shared" si="91"/>
        <v>Projected - Electric</v>
      </c>
      <c r="W309" s="188" t="str">
        <f t="shared" si="92"/>
        <v>E3351 HYD Sta Main Tools, Lwer Bker</v>
      </c>
      <c r="X309" s="188" t="str">
        <f t="shared" si="81"/>
        <v>Projected</v>
      </c>
      <c r="Y309" s="188" t="str">
        <f t="shared" si="93"/>
        <v>101-E335</v>
      </c>
      <c r="Z309" s="188">
        <f t="shared" si="94"/>
        <v>0</v>
      </c>
      <c r="AA309" s="188">
        <f t="shared" si="95"/>
        <v>0</v>
      </c>
      <c r="AB309" s="188">
        <f t="shared" si="96"/>
        <v>0</v>
      </c>
      <c r="AC309" s="188">
        <f t="shared" si="97"/>
        <v>0</v>
      </c>
      <c r="AD309" s="188">
        <f t="shared" si="98"/>
        <v>0</v>
      </c>
      <c r="AE309" s="183">
        <f t="shared" si="99"/>
        <v>0</v>
      </c>
    </row>
    <row r="310" spans="1:31" x14ac:dyDescent="0.25">
      <c r="A310" s="185" t="s">
        <v>211</v>
      </c>
      <c r="B310" s="188" t="s">
        <v>463</v>
      </c>
      <c r="C310" s="188" t="s">
        <v>26</v>
      </c>
      <c r="D310" s="188" t="str">
        <f t="shared" si="82"/>
        <v>101-E341</v>
      </c>
      <c r="E310" s="188">
        <v>0</v>
      </c>
      <c r="F310" s="188">
        <v>0</v>
      </c>
      <c r="G310" s="188">
        <v>1413.96</v>
      </c>
      <c r="H310" s="188">
        <v>2827.92</v>
      </c>
      <c r="I310" s="188">
        <v>0</v>
      </c>
      <c r="J310" s="183">
        <v>0</v>
      </c>
      <c r="L310" s="188" t="str">
        <f t="shared" si="83"/>
        <v>Projected - Electric</v>
      </c>
      <c r="M310" s="188" t="str">
        <f t="shared" si="84"/>
        <v>E3410 PRD Str/Impv, Crystal Mtn</v>
      </c>
      <c r="N310" s="188" t="str">
        <f t="shared" si="80"/>
        <v>Projected</v>
      </c>
      <c r="O310" s="188" t="str">
        <f t="shared" si="85"/>
        <v>101-E341</v>
      </c>
      <c r="P310" s="188">
        <f t="shared" si="86"/>
        <v>0</v>
      </c>
      <c r="Q310" s="188">
        <f t="shared" si="87"/>
        <v>0</v>
      </c>
      <c r="R310" s="188">
        <f t="shared" si="88"/>
        <v>1413.96</v>
      </c>
      <c r="S310" s="188">
        <f t="shared" si="89"/>
        <v>2827.92</v>
      </c>
      <c r="T310" s="188">
        <f t="shared" si="90"/>
        <v>0</v>
      </c>
      <c r="V310" s="188" t="str">
        <f t="shared" si="91"/>
        <v>Projected - Electric</v>
      </c>
      <c r="W310" s="188" t="str">
        <f t="shared" si="92"/>
        <v>E3410 PRD Str/Impv, Crystal Mtn</v>
      </c>
      <c r="X310" s="188" t="str">
        <f t="shared" si="81"/>
        <v>Projected</v>
      </c>
      <c r="Y310" s="188" t="str">
        <f t="shared" si="93"/>
        <v>101-E341</v>
      </c>
      <c r="Z310" s="188">
        <f t="shared" si="94"/>
        <v>0</v>
      </c>
      <c r="AA310" s="188">
        <f t="shared" si="95"/>
        <v>0</v>
      </c>
      <c r="AB310" s="188">
        <f t="shared" si="96"/>
        <v>0</v>
      </c>
      <c r="AC310" s="188">
        <f t="shared" si="97"/>
        <v>0</v>
      </c>
      <c r="AD310" s="188">
        <f t="shared" si="98"/>
        <v>0</v>
      </c>
      <c r="AE310" s="183">
        <f t="shared" si="99"/>
        <v>0</v>
      </c>
    </row>
    <row r="311" spans="1:31" x14ac:dyDescent="0.25">
      <c r="A311" s="185" t="s">
        <v>211</v>
      </c>
      <c r="B311" s="188" t="s">
        <v>462</v>
      </c>
      <c r="C311" s="188" t="s">
        <v>26</v>
      </c>
      <c r="D311" s="188" t="str">
        <f t="shared" si="82"/>
        <v>101-E341</v>
      </c>
      <c r="E311" s="188">
        <v>0</v>
      </c>
      <c r="F311" s="188">
        <v>40818.36</v>
      </c>
      <c r="G311" s="188">
        <v>46174.559999999998</v>
      </c>
      <c r="H311" s="188">
        <v>55101.54</v>
      </c>
      <c r="I311" s="188">
        <v>0</v>
      </c>
      <c r="J311" s="183">
        <v>0</v>
      </c>
      <c r="L311" s="188" t="str">
        <f t="shared" si="83"/>
        <v>Projected - Electric</v>
      </c>
      <c r="M311" s="188" t="str">
        <f t="shared" si="84"/>
        <v>E3410 PRD Str/Impv, Encogen</v>
      </c>
      <c r="N311" s="188" t="str">
        <f t="shared" si="80"/>
        <v>Projected</v>
      </c>
      <c r="O311" s="188" t="str">
        <f t="shared" si="85"/>
        <v>101-E341</v>
      </c>
      <c r="P311" s="188">
        <f t="shared" si="86"/>
        <v>0</v>
      </c>
      <c r="Q311" s="188">
        <f t="shared" si="87"/>
        <v>40818.36</v>
      </c>
      <c r="R311" s="188">
        <f t="shared" si="88"/>
        <v>46174.559999999998</v>
      </c>
      <c r="S311" s="188">
        <f t="shared" si="89"/>
        <v>55101.54</v>
      </c>
      <c r="T311" s="188">
        <f t="shared" si="90"/>
        <v>0</v>
      </c>
      <c r="V311" s="188" t="str">
        <f t="shared" si="91"/>
        <v>Projected - Electric</v>
      </c>
      <c r="W311" s="188" t="str">
        <f t="shared" si="92"/>
        <v>E3410 PRD Str/Impv, Encogen</v>
      </c>
      <c r="X311" s="188" t="str">
        <f t="shared" si="81"/>
        <v>Projected</v>
      </c>
      <c r="Y311" s="188" t="str">
        <f t="shared" si="93"/>
        <v>101-E341</v>
      </c>
      <c r="Z311" s="188">
        <f t="shared" si="94"/>
        <v>0</v>
      </c>
      <c r="AA311" s="188">
        <f t="shared" si="95"/>
        <v>0</v>
      </c>
      <c r="AB311" s="188">
        <f t="shared" si="96"/>
        <v>0</v>
      </c>
      <c r="AC311" s="188">
        <f t="shared" si="97"/>
        <v>0</v>
      </c>
      <c r="AD311" s="188">
        <f t="shared" si="98"/>
        <v>0</v>
      </c>
      <c r="AE311" s="183">
        <f t="shared" si="99"/>
        <v>0</v>
      </c>
    </row>
    <row r="312" spans="1:31" x14ac:dyDescent="0.25">
      <c r="A312" s="185" t="s">
        <v>211</v>
      </c>
      <c r="B312" s="188" t="s">
        <v>461</v>
      </c>
      <c r="C312" s="188" t="s">
        <v>26</v>
      </c>
      <c r="D312" s="188" t="str">
        <f t="shared" si="82"/>
        <v>101-E341</v>
      </c>
      <c r="E312" s="188">
        <v>0</v>
      </c>
      <c r="F312" s="188">
        <v>4894.32</v>
      </c>
      <c r="G312" s="188">
        <v>5689.08</v>
      </c>
      <c r="H312" s="188">
        <v>17854.009999999998</v>
      </c>
      <c r="I312" s="188">
        <v>0</v>
      </c>
      <c r="J312" s="183">
        <v>0</v>
      </c>
      <c r="L312" s="188" t="str">
        <f t="shared" si="83"/>
        <v>Projected - Electric</v>
      </c>
      <c r="M312" s="188" t="str">
        <f t="shared" si="84"/>
        <v>E3410 PRD Str/Impv, Ferndale</v>
      </c>
      <c r="N312" s="188" t="str">
        <f t="shared" si="80"/>
        <v>Projected</v>
      </c>
      <c r="O312" s="188" t="str">
        <f t="shared" si="85"/>
        <v>101-E341</v>
      </c>
      <c r="P312" s="188">
        <f t="shared" si="86"/>
        <v>0</v>
      </c>
      <c r="Q312" s="188">
        <f t="shared" si="87"/>
        <v>4894.32</v>
      </c>
      <c r="R312" s="188">
        <f t="shared" si="88"/>
        <v>5689.08</v>
      </c>
      <c r="S312" s="188">
        <f t="shared" si="89"/>
        <v>17854.009999999998</v>
      </c>
      <c r="T312" s="188">
        <f t="shared" si="90"/>
        <v>0</v>
      </c>
      <c r="V312" s="188" t="str">
        <f t="shared" si="91"/>
        <v>Projected - Electric</v>
      </c>
      <c r="W312" s="188" t="str">
        <f t="shared" si="92"/>
        <v>E3410 PRD Str/Impv, Ferndale</v>
      </c>
      <c r="X312" s="188" t="str">
        <f t="shared" si="81"/>
        <v>Projected</v>
      </c>
      <c r="Y312" s="188" t="str">
        <f t="shared" si="93"/>
        <v>101-E341</v>
      </c>
      <c r="Z312" s="188">
        <f t="shared" si="94"/>
        <v>0</v>
      </c>
      <c r="AA312" s="188">
        <f t="shared" si="95"/>
        <v>0</v>
      </c>
      <c r="AB312" s="188">
        <f t="shared" si="96"/>
        <v>0</v>
      </c>
      <c r="AC312" s="188">
        <f t="shared" si="97"/>
        <v>0</v>
      </c>
      <c r="AD312" s="188">
        <f t="shared" si="98"/>
        <v>0</v>
      </c>
      <c r="AE312" s="183">
        <f t="shared" si="99"/>
        <v>0</v>
      </c>
    </row>
    <row r="313" spans="1:31" x14ac:dyDescent="0.25">
      <c r="A313" s="185" t="s">
        <v>211</v>
      </c>
      <c r="B313" s="188" t="s">
        <v>460</v>
      </c>
      <c r="C313" s="188" t="s">
        <v>26</v>
      </c>
      <c r="D313" s="188" t="str">
        <f t="shared" si="82"/>
        <v>101-E341</v>
      </c>
      <c r="E313" s="188">
        <v>0</v>
      </c>
      <c r="F313" s="188">
        <v>591320.98</v>
      </c>
      <c r="G313" s="188">
        <v>622845.05000000005</v>
      </c>
      <c r="H313" s="188">
        <v>654369.1</v>
      </c>
      <c r="I313" s="188">
        <v>0</v>
      </c>
      <c r="J313" s="183">
        <v>0</v>
      </c>
      <c r="L313" s="188" t="str">
        <f t="shared" si="83"/>
        <v>Projected - Electric</v>
      </c>
      <c r="M313" s="188" t="str">
        <f t="shared" si="84"/>
        <v>E3410 PRD Str/Impv, Frederickson</v>
      </c>
      <c r="N313" s="188" t="str">
        <f t="shared" si="80"/>
        <v>Projected</v>
      </c>
      <c r="O313" s="188" t="str">
        <f t="shared" si="85"/>
        <v>101-E341</v>
      </c>
      <c r="P313" s="188">
        <f t="shared" si="86"/>
        <v>0</v>
      </c>
      <c r="Q313" s="188">
        <f t="shared" si="87"/>
        <v>591320.98</v>
      </c>
      <c r="R313" s="188">
        <f t="shared" si="88"/>
        <v>622845.05000000005</v>
      </c>
      <c r="S313" s="188">
        <f t="shared" si="89"/>
        <v>654369.1</v>
      </c>
      <c r="T313" s="188">
        <f t="shared" si="90"/>
        <v>0</v>
      </c>
      <c r="V313" s="188" t="str">
        <f t="shared" si="91"/>
        <v>Projected - Electric</v>
      </c>
      <c r="W313" s="188" t="str">
        <f t="shared" si="92"/>
        <v>E3410 PRD Str/Impv, Frederickson</v>
      </c>
      <c r="X313" s="188" t="str">
        <f t="shared" si="81"/>
        <v>Projected</v>
      </c>
      <c r="Y313" s="188" t="str">
        <f t="shared" si="93"/>
        <v>101-E341</v>
      </c>
      <c r="Z313" s="188">
        <f t="shared" si="94"/>
        <v>0</v>
      </c>
      <c r="AA313" s="188">
        <f t="shared" si="95"/>
        <v>0</v>
      </c>
      <c r="AB313" s="188">
        <f t="shared" si="96"/>
        <v>0</v>
      </c>
      <c r="AC313" s="188">
        <f t="shared" si="97"/>
        <v>0</v>
      </c>
      <c r="AD313" s="188">
        <f t="shared" si="98"/>
        <v>0</v>
      </c>
      <c r="AE313" s="183">
        <f t="shared" si="99"/>
        <v>0</v>
      </c>
    </row>
    <row r="314" spans="1:31" x14ac:dyDescent="0.25">
      <c r="A314" s="185" t="s">
        <v>211</v>
      </c>
      <c r="B314" s="188" t="s">
        <v>459</v>
      </c>
      <c r="C314" s="188" t="s">
        <v>26</v>
      </c>
      <c r="D314" s="188" t="str">
        <f t="shared" si="82"/>
        <v>101-E341</v>
      </c>
      <c r="E314" s="188">
        <v>0</v>
      </c>
      <c r="F314" s="188">
        <v>138996.84</v>
      </c>
      <c r="G314" s="188">
        <v>138996.84</v>
      </c>
      <c r="H314" s="188">
        <v>138996.84</v>
      </c>
      <c r="I314" s="188">
        <v>0</v>
      </c>
      <c r="J314" s="183">
        <v>0</v>
      </c>
      <c r="L314" s="188" t="str">
        <f t="shared" si="83"/>
        <v>Projected - Electric</v>
      </c>
      <c r="M314" s="188" t="str">
        <f t="shared" si="84"/>
        <v>E3410 PRD Str/Impv, Fredonia</v>
      </c>
      <c r="N314" s="188" t="str">
        <f t="shared" si="80"/>
        <v>Projected</v>
      </c>
      <c r="O314" s="188" t="str">
        <f t="shared" si="85"/>
        <v>101-E341</v>
      </c>
      <c r="P314" s="188">
        <f t="shared" si="86"/>
        <v>0</v>
      </c>
      <c r="Q314" s="188">
        <f t="shared" si="87"/>
        <v>138996.84</v>
      </c>
      <c r="R314" s="188">
        <f t="shared" si="88"/>
        <v>138996.84</v>
      </c>
      <c r="S314" s="188">
        <f t="shared" si="89"/>
        <v>138996.84</v>
      </c>
      <c r="T314" s="188">
        <f t="shared" si="90"/>
        <v>0</v>
      </c>
      <c r="V314" s="188" t="str">
        <f t="shared" si="91"/>
        <v>Projected - Electric</v>
      </c>
      <c r="W314" s="188" t="str">
        <f t="shared" si="92"/>
        <v>E3410 PRD Str/Impv, Fredonia</v>
      </c>
      <c r="X314" s="188" t="str">
        <f t="shared" si="81"/>
        <v>Projected</v>
      </c>
      <c r="Y314" s="188" t="str">
        <f t="shared" si="93"/>
        <v>101-E341</v>
      </c>
      <c r="Z314" s="188">
        <f t="shared" si="94"/>
        <v>0</v>
      </c>
      <c r="AA314" s="188">
        <f t="shared" si="95"/>
        <v>0</v>
      </c>
      <c r="AB314" s="188">
        <f t="shared" si="96"/>
        <v>0</v>
      </c>
      <c r="AC314" s="188">
        <f t="shared" si="97"/>
        <v>0</v>
      </c>
      <c r="AD314" s="188">
        <f t="shared" si="98"/>
        <v>0</v>
      </c>
      <c r="AE314" s="183">
        <f t="shared" si="99"/>
        <v>0</v>
      </c>
    </row>
    <row r="315" spans="1:31" x14ac:dyDescent="0.25">
      <c r="A315" s="185" t="s">
        <v>211</v>
      </c>
      <c r="B315" s="188" t="s">
        <v>458</v>
      </c>
      <c r="C315" s="188" t="s">
        <v>26</v>
      </c>
      <c r="D315" s="188" t="str">
        <f t="shared" si="82"/>
        <v>101-E341</v>
      </c>
      <c r="E315" s="188">
        <v>0</v>
      </c>
      <c r="F315" s="188">
        <v>149657.64000000001</v>
      </c>
      <c r="G315" s="188">
        <v>238193.38</v>
      </c>
      <c r="H315" s="188">
        <v>326729.15999999997</v>
      </c>
      <c r="I315" s="188">
        <v>0</v>
      </c>
      <c r="J315" s="183">
        <v>0</v>
      </c>
      <c r="L315" s="188" t="str">
        <f t="shared" si="83"/>
        <v>Projected - Electric</v>
      </c>
      <c r="M315" s="188" t="str">
        <f t="shared" si="84"/>
        <v>E3410 PRD Str/Impv, Mint Farm</v>
      </c>
      <c r="N315" s="188" t="str">
        <f t="shared" si="80"/>
        <v>Projected</v>
      </c>
      <c r="O315" s="188" t="str">
        <f t="shared" si="85"/>
        <v>101-E341</v>
      </c>
      <c r="P315" s="188">
        <f t="shared" si="86"/>
        <v>0</v>
      </c>
      <c r="Q315" s="188">
        <f t="shared" si="87"/>
        <v>149657.64000000001</v>
      </c>
      <c r="R315" s="188">
        <f t="shared" si="88"/>
        <v>238193.38</v>
      </c>
      <c r="S315" s="188">
        <f t="shared" si="89"/>
        <v>326729.15999999997</v>
      </c>
      <c r="T315" s="188">
        <f t="shared" si="90"/>
        <v>0</v>
      </c>
      <c r="V315" s="188" t="str">
        <f t="shared" si="91"/>
        <v>Projected - Electric</v>
      </c>
      <c r="W315" s="188" t="str">
        <f t="shared" si="92"/>
        <v>E3410 PRD Str/Impv, Mint Farm</v>
      </c>
      <c r="X315" s="188" t="str">
        <f t="shared" si="81"/>
        <v>Projected</v>
      </c>
      <c r="Y315" s="188" t="str">
        <f t="shared" si="93"/>
        <v>101-E341</v>
      </c>
      <c r="Z315" s="188">
        <f t="shared" si="94"/>
        <v>0</v>
      </c>
      <c r="AA315" s="188">
        <f t="shared" si="95"/>
        <v>0</v>
      </c>
      <c r="AB315" s="188">
        <f t="shared" si="96"/>
        <v>0</v>
      </c>
      <c r="AC315" s="188">
        <f t="shared" si="97"/>
        <v>0</v>
      </c>
      <c r="AD315" s="188">
        <f t="shared" si="98"/>
        <v>0</v>
      </c>
      <c r="AE315" s="183">
        <f t="shared" si="99"/>
        <v>0</v>
      </c>
    </row>
    <row r="316" spans="1:31" x14ac:dyDescent="0.25">
      <c r="A316" s="185" t="s">
        <v>211</v>
      </c>
      <c r="B316" s="188" t="s">
        <v>457</v>
      </c>
      <c r="C316" s="188" t="s">
        <v>26</v>
      </c>
      <c r="D316" s="188" t="str">
        <f t="shared" si="82"/>
        <v>101-E341</v>
      </c>
      <c r="E316" s="188">
        <v>0</v>
      </c>
      <c r="F316" s="188">
        <v>10411.92</v>
      </c>
      <c r="G316" s="188">
        <v>10411.92</v>
      </c>
      <c r="H316" s="188">
        <v>15614.21</v>
      </c>
      <c r="I316" s="188">
        <v>0</v>
      </c>
      <c r="J316" s="183">
        <v>0</v>
      </c>
      <c r="L316" s="188" t="str">
        <f t="shared" si="83"/>
        <v>Projected - Electric</v>
      </c>
      <c r="M316" s="188" t="str">
        <f t="shared" si="84"/>
        <v>E3410 PRD Str/Impv, Whitehorn 2-3Cm</v>
      </c>
      <c r="N316" s="188" t="str">
        <f t="shared" si="80"/>
        <v>Projected</v>
      </c>
      <c r="O316" s="188" t="str">
        <f t="shared" si="85"/>
        <v>101-E341</v>
      </c>
      <c r="P316" s="188">
        <f t="shared" si="86"/>
        <v>0</v>
      </c>
      <c r="Q316" s="188">
        <f t="shared" si="87"/>
        <v>10411.92</v>
      </c>
      <c r="R316" s="188">
        <f t="shared" si="88"/>
        <v>10411.92</v>
      </c>
      <c r="S316" s="188">
        <f t="shared" si="89"/>
        <v>15614.21</v>
      </c>
      <c r="T316" s="188">
        <f t="shared" si="90"/>
        <v>0</v>
      </c>
      <c r="V316" s="188" t="str">
        <f t="shared" si="91"/>
        <v>Projected - Electric</v>
      </c>
      <c r="W316" s="188" t="str">
        <f t="shared" si="92"/>
        <v>E3410 PRD Str/Impv, Whitehorn 2-3Cm</v>
      </c>
      <c r="X316" s="188" t="str">
        <f t="shared" si="81"/>
        <v>Projected</v>
      </c>
      <c r="Y316" s="188" t="str">
        <f t="shared" si="93"/>
        <v>101-E341</v>
      </c>
      <c r="Z316" s="188">
        <f t="shared" si="94"/>
        <v>0</v>
      </c>
      <c r="AA316" s="188">
        <f t="shared" si="95"/>
        <v>0</v>
      </c>
      <c r="AB316" s="188">
        <f t="shared" si="96"/>
        <v>0</v>
      </c>
      <c r="AC316" s="188">
        <f t="shared" si="97"/>
        <v>0</v>
      </c>
      <c r="AD316" s="188">
        <f t="shared" si="98"/>
        <v>0</v>
      </c>
      <c r="AE316" s="183">
        <f t="shared" si="99"/>
        <v>0</v>
      </c>
    </row>
    <row r="317" spans="1:31" x14ac:dyDescent="0.25">
      <c r="A317" s="185" t="s">
        <v>211</v>
      </c>
      <c r="B317" s="188" t="s">
        <v>456</v>
      </c>
      <c r="C317" s="188" t="s">
        <v>26</v>
      </c>
      <c r="D317" s="188" t="str">
        <f t="shared" si="82"/>
        <v>101-E341</v>
      </c>
      <c r="E317" s="188">
        <v>0</v>
      </c>
      <c r="F317" s="188">
        <v>0</v>
      </c>
      <c r="G317" s="188">
        <v>0</v>
      </c>
      <c r="H317" s="188">
        <v>0</v>
      </c>
      <c r="I317" s="188">
        <v>0</v>
      </c>
      <c r="J317" s="183">
        <v>0</v>
      </c>
      <c r="L317" s="188" t="str">
        <f t="shared" si="83"/>
        <v>Projected - Electric</v>
      </c>
      <c r="M317" s="188" t="str">
        <f t="shared" si="84"/>
        <v>E34101 PRD Str/Impv, LSR</v>
      </c>
      <c r="N317" s="188" t="str">
        <f t="shared" si="80"/>
        <v>Projected</v>
      </c>
      <c r="O317" s="188" t="str">
        <f t="shared" si="85"/>
        <v>101-E341</v>
      </c>
      <c r="P317" s="188">
        <f t="shared" si="86"/>
        <v>0</v>
      </c>
      <c r="Q317" s="188">
        <f t="shared" si="87"/>
        <v>0</v>
      </c>
      <c r="R317" s="188">
        <f t="shared" si="88"/>
        <v>0</v>
      </c>
      <c r="S317" s="188">
        <f t="shared" si="89"/>
        <v>0</v>
      </c>
      <c r="T317" s="188">
        <f t="shared" si="90"/>
        <v>0</v>
      </c>
      <c r="V317" s="188" t="str">
        <f t="shared" si="91"/>
        <v>Projected - Electric</v>
      </c>
      <c r="W317" s="188" t="str">
        <f t="shared" si="92"/>
        <v>E34101 PRD Str/Impv, LSR</v>
      </c>
      <c r="X317" s="188" t="str">
        <f t="shared" si="81"/>
        <v>Projected</v>
      </c>
      <c r="Y317" s="188" t="str">
        <f t="shared" si="93"/>
        <v>101-E341</v>
      </c>
      <c r="Z317" s="188">
        <f t="shared" si="94"/>
        <v>0</v>
      </c>
      <c r="AA317" s="188">
        <f t="shared" si="95"/>
        <v>0</v>
      </c>
      <c r="AB317" s="188">
        <f t="shared" si="96"/>
        <v>0</v>
      </c>
      <c r="AC317" s="188">
        <f t="shared" si="97"/>
        <v>0</v>
      </c>
      <c r="AD317" s="188">
        <f t="shared" si="98"/>
        <v>0</v>
      </c>
      <c r="AE317" s="183">
        <f t="shared" si="99"/>
        <v>0</v>
      </c>
    </row>
    <row r="318" spans="1:31" x14ac:dyDescent="0.25">
      <c r="A318" s="185" t="s">
        <v>211</v>
      </c>
      <c r="B318" s="188" t="s">
        <v>455</v>
      </c>
      <c r="C318" s="188" t="s">
        <v>26</v>
      </c>
      <c r="D318" s="188" t="str">
        <f t="shared" si="82"/>
        <v>101-E342</v>
      </c>
      <c r="E318" s="188">
        <v>0</v>
      </c>
      <c r="F318" s="188">
        <v>29871.360000000001</v>
      </c>
      <c r="G318" s="188">
        <v>33791.089999999997</v>
      </c>
      <c r="H318" s="188">
        <v>40324.01</v>
      </c>
      <c r="I318" s="188">
        <v>0</v>
      </c>
      <c r="J318" s="183">
        <v>0</v>
      </c>
      <c r="L318" s="188" t="str">
        <f t="shared" si="83"/>
        <v>Projected - Electric</v>
      </c>
      <c r="M318" s="188" t="str">
        <f t="shared" si="84"/>
        <v>E342 PRD Fuel Holder, Encogen</v>
      </c>
      <c r="N318" s="188" t="str">
        <f t="shared" si="80"/>
        <v>Projected</v>
      </c>
      <c r="O318" s="188" t="str">
        <f t="shared" si="85"/>
        <v>101-E342</v>
      </c>
      <c r="P318" s="188">
        <f t="shared" si="86"/>
        <v>0</v>
      </c>
      <c r="Q318" s="188">
        <f t="shared" si="87"/>
        <v>29871.360000000001</v>
      </c>
      <c r="R318" s="188">
        <f t="shared" si="88"/>
        <v>33791.089999999997</v>
      </c>
      <c r="S318" s="188">
        <f t="shared" si="89"/>
        <v>40324.01</v>
      </c>
      <c r="T318" s="188">
        <f t="shared" si="90"/>
        <v>0</v>
      </c>
      <c r="V318" s="188" t="str">
        <f t="shared" si="91"/>
        <v>Projected - Electric</v>
      </c>
      <c r="W318" s="188" t="str">
        <f t="shared" si="92"/>
        <v>E342 PRD Fuel Holder, Encogen</v>
      </c>
      <c r="X318" s="188" t="str">
        <f t="shared" si="81"/>
        <v>Projected</v>
      </c>
      <c r="Y318" s="188" t="str">
        <f t="shared" si="93"/>
        <v>101-E342</v>
      </c>
      <c r="Z318" s="188">
        <f t="shared" si="94"/>
        <v>0</v>
      </c>
      <c r="AA318" s="188">
        <f t="shared" si="95"/>
        <v>0</v>
      </c>
      <c r="AB318" s="188">
        <f t="shared" si="96"/>
        <v>0</v>
      </c>
      <c r="AC318" s="188">
        <f t="shared" si="97"/>
        <v>0</v>
      </c>
      <c r="AD318" s="188">
        <f t="shared" si="98"/>
        <v>0</v>
      </c>
      <c r="AE318" s="183">
        <f t="shared" si="99"/>
        <v>0</v>
      </c>
    </row>
    <row r="319" spans="1:31" x14ac:dyDescent="0.25">
      <c r="A319" s="185" t="s">
        <v>211</v>
      </c>
      <c r="B319" s="188" t="s">
        <v>454</v>
      </c>
      <c r="C319" s="188" t="s">
        <v>26</v>
      </c>
      <c r="D319" s="188" t="str">
        <f t="shared" si="82"/>
        <v>101-E342</v>
      </c>
      <c r="E319" s="188">
        <v>0</v>
      </c>
      <c r="F319" s="188">
        <v>26682.12</v>
      </c>
      <c r="G319" s="188">
        <v>31014.9</v>
      </c>
      <c r="H319" s="188">
        <v>97333.86</v>
      </c>
      <c r="I319" s="188">
        <v>0</v>
      </c>
      <c r="J319" s="183">
        <v>0</v>
      </c>
      <c r="L319" s="188" t="str">
        <f t="shared" si="83"/>
        <v>Projected - Electric</v>
      </c>
      <c r="M319" s="188" t="str">
        <f t="shared" si="84"/>
        <v>E342 PRD Fuel Holder, Ferndale</v>
      </c>
      <c r="N319" s="188" t="str">
        <f t="shared" si="80"/>
        <v>Projected</v>
      </c>
      <c r="O319" s="188" t="str">
        <f t="shared" si="85"/>
        <v>101-E342</v>
      </c>
      <c r="P319" s="188">
        <f t="shared" si="86"/>
        <v>0</v>
      </c>
      <c r="Q319" s="188">
        <f t="shared" si="87"/>
        <v>26682.12</v>
      </c>
      <c r="R319" s="188">
        <f t="shared" si="88"/>
        <v>31014.9</v>
      </c>
      <c r="S319" s="188">
        <f t="shared" si="89"/>
        <v>97333.86</v>
      </c>
      <c r="T319" s="188">
        <f t="shared" si="90"/>
        <v>0</v>
      </c>
      <c r="V319" s="188" t="str">
        <f t="shared" si="91"/>
        <v>Projected - Electric</v>
      </c>
      <c r="W319" s="188" t="str">
        <f t="shared" si="92"/>
        <v>E342 PRD Fuel Holder, Ferndale</v>
      </c>
      <c r="X319" s="188" t="str">
        <f t="shared" si="81"/>
        <v>Projected</v>
      </c>
      <c r="Y319" s="188" t="str">
        <f t="shared" si="93"/>
        <v>101-E342</v>
      </c>
      <c r="Z319" s="188">
        <f t="shared" si="94"/>
        <v>0</v>
      </c>
      <c r="AA319" s="188">
        <f t="shared" si="95"/>
        <v>0</v>
      </c>
      <c r="AB319" s="188">
        <f t="shared" si="96"/>
        <v>0</v>
      </c>
      <c r="AC319" s="188">
        <f t="shared" si="97"/>
        <v>0</v>
      </c>
      <c r="AD319" s="188">
        <f t="shared" si="98"/>
        <v>0</v>
      </c>
      <c r="AE319" s="183">
        <f t="shared" si="99"/>
        <v>0</v>
      </c>
    </row>
    <row r="320" spans="1:31" x14ac:dyDescent="0.25">
      <c r="A320" s="185" t="s">
        <v>211</v>
      </c>
      <c r="B320" s="188" t="s">
        <v>453</v>
      </c>
      <c r="C320" s="188" t="s">
        <v>26</v>
      </c>
      <c r="D320" s="188" t="str">
        <f t="shared" si="82"/>
        <v>101-E342</v>
      </c>
      <c r="E320" s="188">
        <v>0</v>
      </c>
      <c r="F320" s="188">
        <v>40098.720000000001</v>
      </c>
      <c r="G320" s="188">
        <v>63820.63</v>
      </c>
      <c r="H320" s="188">
        <v>87542.52</v>
      </c>
      <c r="I320" s="188">
        <v>0</v>
      </c>
      <c r="J320" s="183">
        <v>0</v>
      </c>
      <c r="L320" s="188" t="str">
        <f t="shared" si="83"/>
        <v>Projected - Electric</v>
      </c>
      <c r="M320" s="188" t="str">
        <f t="shared" si="84"/>
        <v>E342 PRD Fuel Holder, Mint Farm</v>
      </c>
      <c r="N320" s="188" t="str">
        <f t="shared" si="80"/>
        <v>Projected</v>
      </c>
      <c r="O320" s="188" t="str">
        <f t="shared" si="85"/>
        <v>101-E342</v>
      </c>
      <c r="P320" s="188">
        <f t="shared" si="86"/>
        <v>0</v>
      </c>
      <c r="Q320" s="188">
        <f t="shared" si="87"/>
        <v>40098.720000000001</v>
      </c>
      <c r="R320" s="188">
        <f t="shared" si="88"/>
        <v>63820.63</v>
      </c>
      <c r="S320" s="188">
        <f t="shared" si="89"/>
        <v>87542.52</v>
      </c>
      <c r="T320" s="188">
        <f t="shared" si="90"/>
        <v>0</v>
      </c>
      <c r="V320" s="188" t="str">
        <f t="shared" si="91"/>
        <v>Projected - Electric</v>
      </c>
      <c r="W320" s="188" t="str">
        <f t="shared" si="92"/>
        <v>E342 PRD Fuel Holder, Mint Farm</v>
      </c>
      <c r="X320" s="188" t="str">
        <f t="shared" si="81"/>
        <v>Projected</v>
      </c>
      <c r="Y320" s="188" t="str">
        <f t="shared" si="93"/>
        <v>101-E342</v>
      </c>
      <c r="Z320" s="188">
        <f t="shared" si="94"/>
        <v>0</v>
      </c>
      <c r="AA320" s="188">
        <f t="shared" si="95"/>
        <v>0</v>
      </c>
      <c r="AB320" s="188">
        <f t="shared" si="96"/>
        <v>0</v>
      </c>
      <c r="AC320" s="188">
        <f t="shared" si="97"/>
        <v>0</v>
      </c>
      <c r="AD320" s="188">
        <f t="shared" si="98"/>
        <v>0</v>
      </c>
      <c r="AE320" s="183">
        <f t="shared" si="99"/>
        <v>0</v>
      </c>
    </row>
    <row r="321" spans="1:31" x14ac:dyDescent="0.25">
      <c r="A321" s="185" t="s">
        <v>211</v>
      </c>
      <c r="B321" s="188" t="s">
        <v>452</v>
      </c>
      <c r="C321" s="188" t="s">
        <v>26</v>
      </c>
      <c r="D321" s="188" t="str">
        <f t="shared" si="82"/>
        <v>101-E344</v>
      </c>
      <c r="E321" s="188">
        <v>0</v>
      </c>
      <c r="F321" s="188">
        <v>0</v>
      </c>
      <c r="G321" s="188">
        <v>4713.3</v>
      </c>
      <c r="H321" s="188">
        <v>9426.6</v>
      </c>
      <c r="I321" s="188">
        <v>0</v>
      </c>
      <c r="J321" s="183">
        <v>0</v>
      </c>
      <c r="L321" s="188" t="str">
        <f t="shared" si="83"/>
        <v>Projected - Electric</v>
      </c>
      <c r="M321" s="188" t="str">
        <f t="shared" si="84"/>
        <v>E3440 PRD Gen, Crystal Mtn</v>
      </c>
      <c r="N321" s="188" t="str">
        <f t="shared" si="80"/>
        <v>Projected</v>
      </c>
      <c r="O321" s="188" t="str">
        <f t="shared" si="85"/>
        <v>101-E344</v>
      </c>
      <c r="P321" s="188">
        <f t="shared" si="86"/>
        <v>0</v>
      </c>
      <c r="Q321" s="188">
        <f t="shared" si="87"/>
        <v>0</v>
      </c>
      <c r="R321" s="188">
        <f t="shared" si="88"/>
        <v>4713.3</v>
      </c>
      <c r="S321" s="188">
        <f t="shared" si="89"/>
        <v>9426.6</v>
      </c>
      <c r="T321" s="188">
        <f t="shared" si="90"/>
        <v>0</v>
      </c>
      <c r="V321" s="188" t="str">
        <f t="shared" si="91"/>
        <v>Projected - Electric</v>
      </c>
      <c r="W321" s="188" t="str">
        <f t="shared" si="92"/>
        <v>E3440 PRD Gen, Crystal Mtn</v>
      </c>
      <c r="X321" s="188" t="str">
        <f t="shared" si="81"/>
        <v>Projected</v>
      </c>
      <c r="Y321" s="188" t="str">
        <f t="shared" si="93"/>
        <v>101-E344</v>
      </c>
      <c r="Z321" s="188">
        <f t="shared" si="94"/>
        <v>0</v>
      </c>
      <c r="AA321" s="188">
        <f t="shared" si="95"/>
        <v>0</v>
      </c>
      <c r="AB321" s="188">
        <f t="shared" si="96"/>
        <v>0</v>
      </c>
      <c r="AC321" s="188">
        <f t="shared" si="97"/>
        <v>0</v>
      </c>
      <c r="AD321" s="188">
        <f t="shared" si="98"/>
        <v>0</v>
      </c>
      <c r="AE321" s="183">
        <f t="shared" si="99"/>
        <v>0</v>
      </c>
    </row>
    <row r="322" spans="1:31" x14ac:dyDescent="0.25">
      <c r="A322" s="185" t="s">
        <v>211</v>
      </c>
      <c r="B322" s="188" t="s">
        <v>451</v>
      </c>
      <c r="C322" s="188" t="s">
        <v>26</v>
      </c>
      <c r="D322" s="188" t="str">
        <f t="shared" si="82"/>
        <v>101-E344</v>
      </c>
      <c r="E322" s="188">
        <v>0</v>
      </c>
      <c r="F322" s="188">
        <v>2872762.91</v>
      </c>
      <c r="G322" s="188">
        <v>2942868.89</v>
      </c>
      <c r="H322" s="188">
        <v>3012974.87</v>
      </c>
      <c r="I322" s="188">
        <v>0</v>
      </c>
      <c r="J322" s="183">
        <v>0</v>
      </c>
      <c r="L322" s="188" t="str">
        <f t="shared" si="83"/>
        <v>Projected - Electric</v>
      </c>
      <c r="M322" s="188" t="str">
        <f t="shared" si="84"/>
        <v>E3440 PRD Gen, Frederickson</v>
      </c>
      <c r="N322" s="188" t="str">
        <f t="shared" si="80"/>
        <v>Projected</v>
      </c>
      <c r="O322" s="188" t="str">
        <f t="shared" si="85"/>
        <v>101-E344</v>
      </c>
      <c r="P322" s="188">
        <f t="shared" si="86"/>
        <v>0</v>
      </c>
      <c r="Q322" s="188">
        <f t="shared" si="87"/>
        <v>2872762.91</v>
      </c>
      <c r="R322" s="188">
        <f t="shared" si="88"/>
        <v>2942868.89</v>
      </c>
      <c r="S322" s="188">
        <f t="shared" si="89"/>
        <v>3012974.87</v>
      </c>
      <c r="T322" s="188">
        <f t="shared" si="90"/>
        <v>0</v>
      </c>
      <c r="V322" s="188" t="str">
        <f t="shared" si="91"/>
        <v>Projected - Electric</v>
      </c>
      <c r="W322" s="188" t="str">
        <f t="shared" si="92"/>
        <v>E3440 PRD Gen, Frederickson</v>
      </c>
      <c r="X322" s="188" t="str">
        <f t="shared" si="81"/>
        <v>Projected</v>
      </c>
      <c r="Y322" s="188" t="str">
        <f t="shared" si="93"/>
        <v>101-E344</v>
      </c>
      <c r="Z322" s="188">
        <f t="shared" si="94"/>
        <v>0</v>
      </c>
      <c r="AA322" s="188">
        <f t="shared" si="95"/>
        <v>0</v>
      </c>
      <c r="AB322" s="188">
        <f t="shared" si="96"/>
        <v>0</v>
      </c>
      <c r="AC322" s="188">
        <f t="shared" si="97"/>
        <v>0</v>
      </c>
      <c r="AD322" s="188">
        <f t="shared" si="98"/>
        <v>0</v>
      </c>
      <c r="AE322" s="183">
        <f t="shared" si="99"/>
        <v>0</v>
      </c>
    </row>
    <row r="323" spans="1:31" x14ac:dyDescent="0.25">
      <c r="A323" s="185" t="s">
        <v>211</v>
      </c>
      <c r="B323" s="188" t="s">
        <v>450</v>
      </c>
      <c r="C323" s="188" t="s">
        <v>26</v>
      </c>
      <c r="D323" s="188" t="str">
        <f t="shared" si="82"/>
        <v>101-E344</v>
      </c>
      <c r="E323" s="188">
        <v>0</v>
      </c>
      <c r="F323" s="188">
        <v>1937214.8</v>
      </c>
      <c r="G323" s="188">
        <v>1937214.8</v>
      </c>
      <c r="H323" s="188">
        <v>1937214.8</v>
      </c>
      <c r="I323" s="188">
        <v>0</v>
      </c>
      <c r="J323" s="183">
        <v>0</v>
      </c>
      <c r="L323" s="188" t="str">
        <f t="shared" si="83"/>
        <v>Projected - Electric</v>
      </c>
      <c r="M323" s="188" t="str">
        <f t="shared" si="84"/>
        <v>E3440 PRD Gen, Fredonia</v>
      </c>
      <c r="N323" s="188" t="str">
        <f t="shared" si="80"/>
        <v>Projected</v>
      </c>
      <c r="O323" s="188" t="str">
        <f t="shared" si="85"/>
        <v>101-E344</v>
      </c>
      <c r="P323" s="188">
        <f t="shared" si="86"/>
        <v>0</v>
      </c>
      <c r="Q323" s="188">
        <f t="shared" si="87"/>
        <v>1937214.8</v>
      </c>
      <c r="R323" s="188">
        <f t="shared" si="88"/>
        <v>1937214.8</v>
      </c>
      <c r="S323" s="188">
        <f t="shared" si="89"/>
        <v>1937214.8</v>
      </c>
      <c r="T323" s="188">
        <f t="shared" si="90"/>
        <v>0</v>
      </c>
      <c r="V323" s="188" t="str">
        <f t="shared" si="91"/>
        <v>Projected - Electric</v>
      </c>
      <c r="W323" s="188" t="str">
        <f t="shared" si="92"/>
        <v>E3440 PRD Gen, Fredonia</v>
      </c>
      <c r="X323" s="188" t="str">
        <f t="shared" si="81"/>
        <v>Projected</v>
      </c>
      <c r="Y323" s="188" t="str">
        <f t="shared" si="93"/>
        <v>101-E344</v>
      </c>
      <c r="Z323" s="188">
        <f t="shared" si="94"/>
        <v>0</v>
      </c>
      <c r="AA323" s="188">
        <f t="shared" si="95"/>
        <v>0</v>
      </c>
      <c r="AB323" s="188">
        <f t="shared" si="96"/>
        <v>0</v>
      </c>
      <c r="AC323" s="188">
        <f t="shared" si="97"/>
        <v>0</v>
      </c>
      <c r="AD323" s="188">
        <f t="shared" si="98"/>
        <v>0</v>
      </c>
      <c r="AE323" s="183">
        <f t="shared" si="99"/>
        <v>0</v>
      </c>
    </row>
    <row r="324" spans="1:31" x14ac:dyDescent="0.25">
      <c r="A324" s="185" t="s">
        <v>211</v>
      </c>
      <c r="B324" s="188" t="s">
        <v>449</v>
      </c>
      <c r="C324" s="188" t="s">
        <v>26</v>
      </c>
      <c r="D324" s="188" t="str">
        <f t="shared" si="82"/>
        <v>101-E344</v>
      </c>
      <c r="E324" s="188">
        <v>0</v>
      </c>
      <c r="F324" s="188">
        <v>488124.96</v>
      </c>
      <c r="G324" s="188">
        <v>488124.96</v>
      </c>
      <c r="H324" s="188">
        <v>488124.96</v>
      </c>
      <c r="I324" s="188">
        <v>0</v>
      </c>
      <c r="J324" s="183">
        <v>0</v>
      </c>
      <c r="L324" s="188" t="str">
        <f t="shared" si="83"/>
        <v>Projected - Electric</v>
      </c>
      <c r="M324" s="188" t="str">
        <f t="shared" si="84"/>
        <v>E3440 PRD Gen, Fredonia 3&amp;4 OP</v>
      </c>
      <c r="N324" s="188" t="str">
        <f t="shared" ref="N324:N387" si="100">C324</f>
        <v>Projected</v>
      </c>
      <c r="O324" s="188" t="str">
        <f t="shared" si="85"/>
        <v>101-E344</v>
      </c>
      <c r="P324" s="188">
        <f t="shared" si="86"/>
        <v>0</v>
      </c>
      <c r="Q324" s="188">
        <f t="shared" si="87"/>
        <v>488124.96</v>
      </c>
      <c r="R324" s="188">
        <f t="shared" si="88"/>
        <v>488124.96</v>
      </c>
      <c r="S324" s="188">
        <f t="shared" si="89"/>
        <v>488124.96</v>
      </c>
      <c r="T324" s="188">
        <f t="shared" si="90"/>
        <v>0</v>
      </c>
      <c r="V324" s="188" t="str">
        <f t="shared" si="91"/>
        <v>Projected - Electric</v>
      </c>
      <c r="W324" s="188" t="str">
        <f t="shared" si="92"/>
        <v>E3440 PRD Gen, Fredonia 3&amp;4 OP</v>
      </c>
      <c r="X324" s="188" t="str">
        <f t="shared" ref="X324:X387" si="101">C324</f>
        <v>Projected</v>
      </c>
      <c r="Y324" s="188" t="str">
        <f t="shared" si="93"/>
        <v>101-E344</v>
      </c>
      <c r="Z324" s="188">
        <f t="shared" si="94"/>
        <v>0</v>
      </c>
      <c r="AA324" s="188">
        <f t="shared" si="95"/>
        <v>0</v>
      </c>
      <c r="AB324" s="188">
        <f t="shared" si="96"/>
        <v>0</v>
      </c>
      <c r="AC324" s="188">
        <f t="shared" si="97"/>
        <v>0</v>
      </c>
      <c r="AD324" s="188">
        <f t="shared" si="98"/>
        <v>0</v>
      </c>
      <c r="AE324" s="183">
        <f t="shared" si="99"/>
        <v>0</v>
      </c>
    </row>
    <row r="325" spans="1:31" x14ac:dyDescent="0.25">
      <c r="A325" s="185" t="s">
        <v>211</v>
      </c>
      <c r="B325" s="188" t="s">
        <v>448</v>
      </c>
      <c r="C325" s="188" t="s">
        <v>26</v>
      </c>
      <c r="D325" s="188" t="str">
        <f t="shared" ref="D325:D388" si="102">"101-"&amp; LEFT(B325,4)</f>
        <v>101-E344</v>
      </c>
      <c r="E325" s="188">
        <v>0</v>
      </c>
      <c r="F325" s="188">
        <v>25353.119999999999</v>
      </c>
      <c r="G325" s="188">
        <v>25353.119999999999</v>
      </c>
      <c r="H325" s="188">
        <v>38020.74</v>
      </c>
      <c r="I325" s="188">
        <v>0</v>
      </c>
      <c r="J325" s="183">
        <v>0</v>
      </c>
      <c r="L325" s="188" t="str">
        <f t="shared" ref="L325:L388" si="103">A325</f>
        <v>Projected - Electric</v>
      </c>
      <c r="M325" s="188" t="str">
        <f t="shared" ref="M325:M388" si="104">B325</f>
        <v>E3440 PRD Gen, Whitehorn 2-3 Com</v>
      </c>
      <c r="N325" s="188" t="str">
        <f t="shared" si="100"/>
        <v>Projected</v>
      </c>
      <c r="O325" s="188" t="str">
        <f t="shared" ref="O325:O388" si="105">D325</f>
        <v>101-E344</v>
      </c>
      <c r="P325" s="188">
        <f t="shared" ref="P325:P388" si="106">IF(MID($O325,5,1)="C",E325*$F$1,IF(MID($O325,5,1)="G",0,E325))</f>
        <v>0</v>
      </c>
      <c r="Q325" s="188">
        <f t="shared" ref="Q325:Q388" si="107">IF(MID($O325,5,1)="C",F325*$F$1,IF(MID($O325,5,1)="G",0,F325))</f>
        <v>25353.119999999999</v>
      </c>
      <c r="R325" s="188">
        <f t="shared" ref="R325:R388" si="108">IF(MID($O325,5,1)="C",G325*$F$1,IF(MID($O325,5,1)="G",0,G325))</f>
        <v>25353.119999999999</v>
      </c>
      <c r="S325" s="188">
        <f t="shared" ref="S325:S388" si="109">IF(MID($O325,5,1)="C",H325*$F$1,IF(MID($O325,5,1)="G",0,H325))</f>
        <v>38020.74</v>
      </c>
      <c r="T325" s="188">
        <f t="shared" ref="T325:T388" si="110">IF(MID($O325,5,1)="C",I325*$F$1,IF(MID($O325,5,1)="G",0,I325))</f>
        <v>0</v>
      </c>
      <c r="V325" s="188" t="str">
        <f t="shared" ref="V325:V388" si="111">A325</f>
        <v>Projected - Electric</v>
      </c>
      <c r="W325" s="188" t="str">
        <f t="shared" ref="W325:W388" si="112">B325</f>
        <v>E3440 PRD Gen, Whitehorn 2-3 Com</v>
      </c>
      <c r="X325" s="188" t="str">
        <f t="shared" si="101"/>
        <v>Projected</v>
      </c>
      <c r="Y325" s="188" t="str">
        <f t="shared" ref="Y325:Y388" si="113">D325</f>
        <v>101-E344</v>
      </c>
      <c r="Z325" s="188">
        <f t="shared" ref="Z325:Z388" si="114">IF(MID($O325,5,1)="C",E325*$D$1,IF(MID($O325,5,1)="E",0,E325))</f>
        <v>0</v>
      </c>
      <c r="AA325" s="188">
        <f t="shared" ref="AA325:AA388" si="115">IF(MID($O325,5,1)="C",F325*$D$1,IF(MID($O325,5,1)="E",0,F325))</f>
        <v>0</v>
      </c>
      <c r="AB325" s="188">
        <f t="shared" ref="AB325:AB388" si="116">IF(MID($O325,5,1)="C",G325*$D$1,IF(MID($O325,5,1)="E",0,G325))</f>
        <v>0</v>
      </c>
      <c r="AC325" s="188">
        <f t="shared" ref="AC325:AC388" si="117">IF(MID($O325,5,1)="C",H325*$D$1,IF(MID($O325,5,1)="E",0,H325))</f>
        <v>0</v>
      </c>
      <c r="AD325" s="188">
        <f t="shared" ref="AD325:AD388" si="118">IF(MID($O325,5,1)="C",I325*$D$1,IF(MID($O325,5,1)="E",0,I325))</f>
        <v>0</v>
      </c>
      <c r="AE325" s="183">
        <f t="shared" ref="AE325:AE388" si="119">SUM(E325:I325)-SUM(P325:T325)-SUM(Z325:AD325)</f>
        <v>0</v>
      </c>
    </row>
    <row r="326" spans="1:31" x14ac:dyDescent="0.25">
      <c r="A326" s="185" t="s">
        <v>211</v>
      </c>
      <c r="B326" s="188" t="s">
        <v>447</v>
      </c>
      <c r="C326" s="188" t="s">
        <v>26</v>
      </c>
      <c r="D326" s="188" t="str">
        <f t="shared" si="102"/>
        <v>101-E344</v>
      </c>
      <c r="E326" s="188">
        <v>0</v>
      </c>
      <c r="F326" s="188">
        <v>88731.16</v>
      </c>
      <c r="G326" s="188">
        <v>92554.86</v>
      </c>
      <c r="H326" s="188">
        <v>184419.23</v>
      </c>
      <c r="I326" s="188">
        <v>0</v>
      </c>
      <c r="J326" s="183">
        <v>0</v>
      </c>
      <c r="L326" s="188" t="str">
        <f t="shared" si="103"/>
        <v>Projected - Electric</v>
      </c>
      <c r="M326" s="188" t="str">
        <f t="shared" si="104"/>
        <v>E34401 PRD Gen, Hopkins Expansion</v>
      </c>
      <c r="N326" s="188" t="str">
        <f t="shared" si="100"/>
        <v>Projected</v>
      </c>
      <c r="O326" s="188" t="str">
        <f t="shared" si="105"/>
        <v>101-E344</v>
      </c>
      <c r="P326" s="188">
        <f t="shared" si="106"/>
        <v>0</v>
      </c>
      <c r="Q326" s="188">
        <f t="shared" si="107"/>
        <v>88731.16</v>
      </c>
      <c r="R326" s="188">
        <f t="shared" si="108"/>
        <v>92554.86</v>
      </c>
      <c r="S326" s="188">
        <f t="shared" si="109"/>
        <v>184419.23</v>
      </c>
      <c r="T326" s="188">
        <f t="shared" si="110"/>
        <v>0</v>
      </c>
      <c r="V326" s="188" t="str">
        <f t="shared" si="111"/>
        <v>Projected - Electric</v>
      </c>
      <c r="W326" s="188" t="str">
        <f t="shared" si="112"/>
        <v>E34401 PRD Gen, Hopkins Expansion</v>
      </c>
      <c r="X326" s="188" t="str">
        <f t="shared" si="101"/>
        <v>Projected</v>
      </c>
      <c r="Y326" s="188" t="str">
        <f t="shared" si="113"/>
        <v>101-E344</v>
      </c>
      <c r="Z326" s="188">
        <f t="shared" si="114"/>
        <v>0</v>
      </c>
      <c r="AA326" s="188">
        <f t="shared" si="115"/>
        <v>0</v>
      </c>
      <c r="AB326" s="188">
        <f t="shared" si="116"/>
        <v>0</v>
      </c>
      <c r="AC326" s="188">
        <f t="shared" si="117"/>
        <v>0</v>
      </c>
      <c r="AD326" s="188">
        <f t="shared" si="118"/>
        <v>0</v>
      </c>
      <c r="AE326" s="183">
        <f t="shared" si="119"/>
        <v>0</v>
      </c>
    </row>
    <row r="327" spans="1:31" x14ac:dyDescent="0.25">
      <c r="A327" s="185" t="s">
        <v>211</v>
      </c>
      <c r="B327" s="188" t="s">
        <v>446</v>
      </c>
      <c r="C327" s="188" t="s">
        <v>26</v>
      </c>
      <c r="D327" s="188" t="str">
        <f t="shared" si="102"/>
        <v>101-E344</v>
      </c>
      <c r="E327" s="188">
        <v>0</v>
      </c>
      <c r="F327" s="188">
        <v>1504739.63</v>
      </c>
      <c r="G327" s="188">
        <v>1569583.49</v>
      </c>
      <c r="H327" s="188">
        <v>3127457.32</v>
      </c>
      <c r="I327" s="188">
        <v>0</v>
      </c>
      <c r="J327" s="183">
        <v>0</v>
      </c>
      <c r="L327" s="188" t="str">
        <f t="shared" si="103"/>
        <v>Projected - Electric</v>
      </c>
      <c r="M327" s="188" t="str">
        <f t="shared" si="104"/>
        <v>E34401 PRD Gen, Hopkins Ridge</v>
      </c>
      <c r="N327" s="188" t="str">
        <f t="shared" si="100"/>
        <v>Projected</v>
      </c>
      <c r="O327" s="188" t="str">
        <f t="shared" si="105"/>
        <v>101-E344</v>
      </c>
      <c r="P327" s="188">
        <f t="shared" si="106"/>
        <v>0</v>
      </c>
      <c r="Q327" s="188">
        <f t="shared" si="107"/>
        <v>1504739.63</v>
      </c>
      <c r="R327" s="188">
        <f t="shared" si="108"/>
        <v>1569583.49</v>
      </c>
      <c r="S327" s="188">
        <f t="shared" si="109"/>
        <v>3127457.32</v>
      </c>
      <c r="T327" s="188">
        <f t="shared" si="110"/>
        <v>0</v>
      </c>
      <c r="V327" s="188" t="str">
        <f t="shared" si="111"/>
        <v>Projected - Electric</v>
      </c>
      <c r="W327" s="188" t="str">
        <f t="shared" si="112"/>
        <v>E34401 PRD Gen, Hopkins Ridge</v>
      </c>
      <c r="X327" s="188" t="str">
        <f t="shared" si="101"/>
        <v>Projected</v>
      </c>
      <c r="Y327" s="188" t="str">
        <f t="shared" si="113"/>
        <v>101-E344</v>
      </c>
      <c r="Z327" s="188">
        <f t="shared" si="114"/>
        <v>0</v>
      </c>
      <c r="AA327" s="188">
        <f t="shared" si="115"/>
        <v>0</v>
      </c>
      <c r="AB327" s="188">
        <f t="shared" si="116"/>
        <v>0</v>
      </c>
      <c r="AC327" s="188">
        <f t="shared" si="117"/>
        <v>0</v>
      </c>
      <c r="AD327" s="188">
        <f t="shared" si="118"/>
        <v>0</v>
      </c>
      <c r="AE327" s="183">
        <f t="shared" si="119"/>
        <v>0</v>
      </c>
    </row>
    <row r="328" spans="1:31" x14ac:dyDescent="0.25">
      <c r="A328" s="185" t="s">
        <v>211</v>
      </c>
      <c r="B328" s="188" t="s">
        <v>445</v>
      </c>
      <c r="C328" s="188" t="s">
        <v>26</v>
      </c>
      <c r="D328" s="188" t="str">
        <f t="shared" si="102"/>
        <v>101-E344</v>
      </c>
      <c r="E328" s="188">
        <v>0</v>
      </c>
      <c r="F328" s="188">
        <v>3139887.72</v>
      </c>
      <c r="G328" s="188">
        <v>4932245.82</v>
      </c>
      <c r="H328" s="188">
        <v>8795523.4199999999</v>
      </c>
      <c r="I328" s="188">
        <v>0</v>
      </c>
      <c r="J328" s="183">
        <v>0</v>
      </c>
      <c r="L328" s="188" t="str">
        <f t="shared" si="103"/>
        <v>Projected - Electric</v>
      </c>
      <c r="M328" s="188" t="str">
        <f t="shared" si="104"/>
        <v>E34401 PRD Gen, LSR</v>
      </c>
      <c r="N328" s="188" t="str">
        <f t="shared" si="100"/>
        <v>Projected</v>
      </c>
      <c r="O328" s="188" t="str">
        <f t="shared" si="105"/>
        <v>101-E344</v>
      </c>
      <c r="P328" s="188">
        <f t="shared" si="106"/>
        <v>0</v>
      </c>
      <c r="Q328" s="188">
        <f t="shared" si="107"/>
        <v>3139887.72</v>
      </c>
      <c r="R328" s="188">
        <f t="shared" si="108"/>
        <v>4932245.82</v>
      </c>
      <c r="S328" s="188">
        <f t="shared" si="109"/>
        <v>8795523.4199999999</v>
      </c>
      <c r="T328" s="188">
        <f t="shared" si="110"/>
        <v>0</v>
      </c>
      <c r="V328" s="188" t="str">
        <f t="shared" si="111"/>
        <v>Projected - Electric</v>
      </c>
      <c r="W328" s="188" t="str">
        <f t="shared" si="112"/>
        <v>E34401 PRD Gen, LSR</v>
      </c>
      <c r="X328" s="188" t="str">
        <f t="shared" si="101"/>
        <v>Projected</v>
      </c>
      <c r="Y328" s="188" t="str">
        <f t="shared" si="113"/>
        <v>101-E344</v>
      </c>
      <c r="Z328" s="188">
        <f t="shared" si="114"/>
        <v>0</v>
      </c>
      <c r="AA328" s="188">
        <f t="shared" si="115"/>
        <v>0</v>
      </c>
      <c r="AB328" s="188">
        <f t="shared" si="116"/>
        <v>0</v>
      </c>
      <c r="AC328" s="188">
        <f t="shared" si="117"/>
        <v>0</v>
      </c>
      <c r="AD328" s="188">
        <f t="shared" si="118"/>
        <v>0</v>
      </c>
      <c r="AE328" s="183">
        <f t="shared" si="119"/>
        <v>0</v>
      </c>
    </row>
    <row r="329" spans="1:31" x14ac:dyDescent="0.25">
      <c r="A329" s="185" t="s">
        <v>211</v>
      </c>
      <c r="B329" s="188" t="s">
        <v>444</v>
      </c>
      <c r="C329" s="188" t="s">
        <v>26</v>
      </c>
      <c r="D329" s="188" t="str">
        <f t="shared" si="102"/>
        <v>101-E344</v>
      </c>
      <c r="E329" s="188">
        <v>0</v>
      </c>
      <c r="F329" s="188">
        <v>4111402.44</v>
      </c>
      <c r="G329" s="188">
        <v>5571039.4900000002</v>
      </c>
      <c r="H329" s="188">
        <v>8490313.5700000003</v>
      </c>
      <c r="I329" s="188">
        <v>0</v>
      </c>
      <c r="J329" s="183">
        <v>0</v>
      </c>
      <c r="L329" s="188" t="str">
        <f t="shared" si="103"/>
        <v>Projected - Electric</v>
      </c>
      <c r="M329" s="188" t="str">
        <f t="shared" si="104"/>
        <v>E34401 PRD Gen, Wild Horse Wind</v>
      </c>
      <c r="N329" s="188" t="str">
        <f t="shared" si="100"/>
        <v>Projected</v>
      </c>
      <c r="O329" s="188" t="str">
        <f t="shared" si="105"/>
        <v>101-E344</v>
      </c>
      <c r="P329" s="188">
        <f t="shared" si="106"/>
        <v>0</v>
      </c>
      <c r="Q329" s="188">
        <f t="shared" si="107"/>
        <v>4111402.44</v>
      </c>
      <c r="R329" s="188">
        <f t="shared" si="108"/>
        <v>5571039.4900000002</v>
      </c>
      <c r="S329" s="188">
        <f t="shared" si="109"/>
        <v>8490313.5700000003</v>
      </c>
      <c r="T329" s="188">
        <f t="shared" si="110"/>
        <v>0</v>
      </c>
      <c r="V329" s="188" t="str">
        <f t="shared" si="111"/>
        <v>Projected - Electric</v>
      </c>
      <c r="W329" s="188" t="str">
        <f t="shared" si="112"/>
        <v>E34401 PRD Gen, Wild Horse Wind</v>
      </c>
      <c r="X329" s="188" t="str">
        <f t="shared" si="101"/>
        <v>Projected</v>
      </c>
      <c r="Y329" s="188" t="str">
        <f t="shared" si="113"/>
        <v>101-E344</v>
      </c>
      <c r="Z329" s="188">
        <f t="shared" si="114"/>
        <v>0</v>
      </c>
      <c r="AA329" s="188">
        <f t="shared" si="115"/>
        <v>0</v>
      </c>
      <c r="AB329" s="188">
        <f t="shared" si="116"/>
        <v>0</v>
      </c>
      <c r="AC329" s="188">
        <f t="shared" si="117"/>
        <v>0</v>
      </c>
      <c r="AD329" s="188">
        <f t="shared" si="118"/>
        <v>0</v>
      </c>
      <c r="AE329" s="183">
        <f t="shared" si="119"/>
        <v>0</v>
      </c>
    </row>
    <row r="330" spans="1:31" x14ac:dyDescent="0.25">
      <c r="A330" s="185" t="s">
        <v>211</v>
      </c>
      <c r="B330" s="188" t="s">
        <v>443</v>
      </c>
      <c r="C330" s="188" t="s">
        <v>26</v>
      </c>
      <c r="D330" s="188" t="str">
        <f t="shared" si="102"/>
        <v>101-E344</v>
      </c>
      <c r="E330" s="188">
        <v>0</v>
      </c>
      <c r="F330" s="188">
        <v>166484.4</v>
      </c>
      <c r="G330" s="188">
        <v>225589.98</v>
      </c>
      <c r="H330" s="188">
        <v>343801.14</v>
      </c>
      <c r="I330" s="188">
        <v>0</v>
      </c>
      <c r="J330" s="183">
        <v>0</v>
      </c>
      <c r="L330" s="188" t="str">
        <f t="shared" si="103"/>
        <v>Projected - Electric</v>
      </c>
      <c r="M330" s="188" t="str">
        <f t="shared" si="104"/>
        <v>E34401 PRD Gen,Wild Horse Expansion</v>
      </c>
      <c r="N330" s="188" t="str">
        <f t="shared" si="100"/>
        <v>Projected</v>
      </c>
      <c r="O330" s="188" t="str">
        <f t="shared" si="105"/>
        <v>101-E344</v>
      </c>
      <c r="P330" s="188">
        <f t="shared" si="106"/>
        <v>0</v>
      </c>
      <c r="Q330" s="188">
        <f t="shared" si="107"/>
        <v>166484.4</v>
      </c>
      <c r="R330" s="188">
        <f t="shared" si="108"/>
        <v>225589.98</v>
      </c>
      <c r="S330" s="188">
        <f t="shared" si="109"/>
        <v>343801.14</v>
      </c>
      <c r="T330" s="188">
        <f t="shared" si="110"/>
        <v>0</v>
      </c>
      <c r="V330" s="188" t="str">
        <f t="shared" si="111"/>
        <v>Projected - Electric</v>
      </c>
      <c r="W330" s="188" t="str">
        <f t="shared" si="112"/>
        <v>E34401 PRD Gen,Wild Horse Expansion</v>
      </c>
      <c r="X330" s="188" t="str">
        <f t="shared" si="101"/>
        <v>Projected</v>
      </c>
      <c r="Y330" s="188" t="str">
        <f t="shared" si="113"/>
        <v>101-E344</v>
      </c>
      <c r="Z330" s="188">
        <f t="shared" si="114"/>
        <v>0</v>
      </c>
      <c r="AA330" s="188">
        <f t="shared" si="115"/>
        <v>0</v>
      </c>
      <c r="AB330" s="188">
        <f t="shared" si="116"/>
        <v>0</v>
      </c>
      <c r="AC330" s="188">
        <f t="shared" si="117"/>
        <v>0</v>
      </c>
      <c r="AD330" s="188">
        <f t="shared" si="118"/>
        <v>0</v>
      </c>
      <c r="AE330" s="183">
        <f t="shared" si="119"/>
        <v>0</v>
      </c>
    </row>
    <row r="331" spans="1:31" x14ac:dyDescent="0.25">
      <c r="A331" s="185" t="s">
        <v>211</v>
      </c>
      <c r="B331" s="188" t="s">
        <v>325</v>
      </c>
      <c r="C331" s="188" t="s">
        <v>26</v>
      </c>
      <c r="D331" s="188" t="str">
        <f t="shared" si="102"/>
        <v>101-E344</v>
      </c>
      <c r="E331" s="188">
        <v>0</v>
      </c>
      <c r="F331" s="188">
        <v>0</v>
      </c>
      <c r="G331" s="188">
        <v>393878.49</v>
      </c>
      <c r="H331" s="188">
        <v>11708396.99</v>
      </c>
      <c r="I331" s="188">
        <v>0</v>
      </c>
      <c r="J331" s="183">
        <v>0</v>
      </c>
      <c r="L331" s="188" t="str">
        <f t="shared" si="103"/>
        <v>Projected - Electric</v>
      </c>
      <c r="M331" s="188" t="str">
        <f t="shared" si="104"/>
        <v>E34402 PRD Gen, Com Solar</v>
      </c>
      <c r="N331" s="188" t="str">
        <f t="shared" si="100"/>
        <v>Projected</v>
      </c>
      <c r="O331" s="188" t="str">
        <f t="shared" si="105"/>
        <v>101-E344</v>
      </c>
      <c r="P331" s="188">
        <f t="shared" si="106"/>
        <v>0</v>
      </c>
      <c r="Q331" s="188">
        <f t="shared" si="107"/>
        <v>0</v>
      </c>
      <c r="R331" s="188">
        <f t="shared" si="108"/>
        <v>393878.49</v>
      </c>
      <c r="S331" s="188">
        <f t="shared" si="109"/>
        <v>11708396.99</v>
      </c>
      <c r="T331" s="188">
        <f t="shared" si="110"/>
        <v>0</v>
      </c>
      <c r="V331" s="188" t="str">
        <f t="shared" si="111"/>
        <v>Projected - Electric</v>
      </c>
      <c r="W331" s="188" t="str">
        <f t="shared" si="112"/>
        <v>E34402 PRD Gen, Com Solar</v>
      </c>
      <c r="X331" s="188" t="str">
        <f t="shared" si="101"/>
        <v>Projected</v>
      </c>
      <c r="Y331" s="188" t="str">
        <f t="shared" si="113"/>
        <v>101-E344</v>
      </c>
      <c r="Z331" s="188">
        <f t="shared" si="114"/>
        <v>0</v>
      </c>
      <c r="AA331" s="188">
        <f t="shared" si="115"/>
        <v>0</v>
      </c>
      <c r="AB331" s="188">
        <f t="shared" si="116"/>
        <v>0</v>
      </c>
      <c r="AC331" s="188">
        <f t="shared" si="117"/>
        <v>0</v>
      </c>
      <c r="AD331" s="188">
        <f t="shared" si="118"/>
        <v>0</v>
      </c>
      <c r="AE331" s="183">
        <f t="shared" si="119"/>
        <v>0</v>
      </c>
    </row>
    <row r="332" spans="1:31" x14ac:dyDescent="0.25">
      <c r="A332" s="185" t="s">
        <v>211</v>
      </c>
      <c r="B332" s="188" t="s">
        <v>442</v>
      </c>
      <c r="C332" s="188" t="s">
        <v>26</v>
      </c>
      <c r="D332" s="188" t="str">
        <f t="shared" si="102"/>
        <v>101-E344</v>
      </c>
      <c r="E332" s="188">
        <v>0</v>
      </c>
      <c r="F332" s="188">
        <v>118158.72</v>
      </c>
      <c r="G332" s="188">
        <v>133663.5</v>
      </c>
      <c r="H332" s="188">
        <v>159504.82999999999</v>
      </c>
      <c r="I332" s="188">
        <v>0</v>
      </c>
      <c r="J332" s="183">
        <v>0</v>
      </c>
      <c r="L332" s="188" t="str">
        <f t="shared" si="103"/>
        <v>Projected - Electric</v>
      </c>
      <c r="M332" s="188" t="str">
        <f t="shared" si="104"/>
        <v>E34420 PRD Gen, Encogen</v>
      </c>
      <c r="N332" s="188" t="str">
        <f t="shared" si="100"/>
        <v>Projected</v>
      </c>
      <c r="O332" s="188" t="str">
        <f t="shared" si="105"/>
        <v>101-E344</v>
      </c>
      <c r="P332" s="188">
        <f t="shared" si="106"/>
        <v>0</v>
      </c>
      <c r="Q332" s="188">
        <f t="shared" si="107"/>
        <v>118158.72</v>
      </c>
      <c r="R332" s="188">
        <f t="shared" si="108"/>
        <v>133663.5</v>
      </c>
      <c r="S332" s="188">
        <f t="shared" si="109"/>
        <v>159504.82999999999</v>
      </c>
      <c r="T332" s="188">
        <f t="shared" si="110"/>
        <v>0</v>
      </c>
      <c r="V332" s="188" t="str">
        <f t="shared" si="111"/>
        <v>Projected - Electric</v>
      </c>
      <c r="W332" s="188" t="str">
        <f t="shared" si="112"/>
        <v>E34420 PRD Gen, Encogen</v>
      </c>
      <c r="X332" s="188" t="str">
        <f t="shared" si="101"/>
        <v>Projected</v>
      </c>
      <c r="Y332" s="188" t="str">
        <f t="shared" si="113"/>
        <v>101-E344</v>
      </c>
      <c r="Z332" s="188">
        <f t="shared" si="114"/>
        <v>0</v>
      </c>
      <c r="AA332" s="188">
        <f t="shared" si="115"/>
        <v>0</v>
      </c>
      <c r="AB332" s="188">
        <f t="shared" si="116"/>
        <v>0</v>
      </c>
      <c r="AC332" s="188">
        <f t="shared" si="117"/>
        <v>0</v>
      </c>
      <c r="AD332" s="188">
        <f t="shared" si="118"/>
        <v>0</v>
      </c>
      <c r="AE332" s="183">
        <f t="shared" si="119"/>
        <v>0</v>
      </c>
    </row>
    <row r="333" spans="1:31" x14ac:dyDescent="0.25">
      <c r="A333" s="185" t="s">
        <v>211</v>
      </c>
      <c r="B333" s="188" t="s">
        <v>441</v>
      </c>
      <c r="C333" s="188" t="s">
        <v>26</v>
      </c>
      <c r="D333" s="188" t="str">
        <f t="shared" si="102"/>
        <v>101-E344</v>
      </c>
      <c r="E333" s="188">
        <v>0</v>
      </c>
      <c r="F333" s="188">
        <v>908100</v>
      </c>
      <c r="G333" s="188">
        <v>1055562.17</v>
      </c>
      <c r="H333" s="188">
        <v>3312660.58</v>
      </c>
      <c r="I333" s="188">
        <v>0</v>
      </c>
      <c r="J333" s="183">
        <v>0</v>
      </c>
      <c r="L333" s="188" t="str">
        <f t="shared" si="103"/>
        <v>Projected - Electric</v>
      </c>
      <c r="M333" s="188" t="str">
        <f t="shared" si="104"/>
        <v>E34420 PRD Gen, Ferndale</v>
      </c>
      <c r="N333" s="188" t="str">
        <f t="shared" si="100"/>
        <v>Projected</v>
      </c>
      <c r="O333" s="188" t="str">
        <f t="shared" si="105"/>
        <v>101-E344</v>
      </c>
      <c r="P333" s="188">
        <f t="shared" si="106"/>
        <v>0</v>
      </c>
      <c r="Q333" s="188">
        <f t="shared" si="107"/>
        <v>908100</v>
      </c>
      <c r="R333" s="188">
        <f t="shared" si="108"/>
        <v>1055562.17</v>
      </c>
      <c r="S333" s="188">
        <f t="shared" si="109"/>
        <v>3312660.58</v>
      </c>
      <c r="T333" s="188">
        <f t="shared" si="110"/>
        <v>0</v>
      </c>
      <c r="V333" s="188" t="str">
        <f t="shared" si="111"/>
        <v>Projected - Electric</v>
      </c>
      <c r="W333" s="188" t="str">
        <f t="shared" si="112"/>
        <v>E34420 PRD Gen, Ferndale</v>
      </c>
      <c r="X333" s="188" t="str">
        <f t="shared" si="101"/>
        <v>Projected</v>
      </c>
      <c r="Y333" s="188" t="str">
        <f t="shared" si="113"/>
        <v>101-E344</v>
      </c>
      <c r="Z333" s="188">
        <f t="shared" si="114"/>
        <v>0</v>
      </c>
      <c r="AA333" s="188">
        <f t="shared" si="115"/>
        <v>0</v>
      </c>
      <c r="AB333" s="188">
        <f t="shared" si="116"/>
        <v>0</v>
      </c>
      <c r="AC333" s="188">
        <f t="shared" si="117"/>
        <v>0</v>
      </c>
      <c r="AD333" s="188">
        <f t="shared" si="118"/>
        <v>0</v>
      </c>
      <c r="AE333" s="183">
        <f t="shared" si="119"/>
        <v>0</v>
      </c>
    </row>
    <row r="334" spans="1:31" x14ac:dyDescent="0.25">
      <c r="A334" s="185" t="s">
        <v>211</v>
      </c>
      <c r="B334" s="188" t="s">
        <v>440</v>
      </c>
      <c r="C334" s="188" t="s">
        <v>26</v>
      </c>
      <c r="D334" s="188" t="str">
        <f t="shared" si="102"/>
        <v>101-E344</v>
      </c>
      <c r="E334" s="188">
        <v>0</v>
      </c>
      <c r="F334" s="188">
        <v>58866.36</v>
      </c>
      <c r="G334" s="188">
        <v>2083681.86</v>
      </c>
      <c r="H334" s="188">
        <v>4108497.36</v>
      </c>
      <c r="I334" s="188">
        <v>0</v>
      </c>
      <c r="J334" s="183">
        <v>0</v>
      </c>
      <c r="L334" s="188" t="str">
        <f t="shared" si="103"/>
        <v>Projected - Electric</v>
      </c>
      <c r="M334" s="188" t="str">
        <f t="shared" si="104"/>
        <v>E34420 PRD Gen, Fred 1/APC</v>
      </c>
      <c r="N334" s="188" t="str">
        <f t="shared" si="100"/>
        <v>Projected</v>
      </c>
      <c r="O334" s="188" t="str">
        <f t="shared" si="105"/>
        <v>101-E344</v>
      </c>
      <c r="P334" s="188">
        <f t="shared" si="106"/>
        <v>0</v>
      </c>
      <c r="Q334" s="188">
        <f t="shared" si="107"/>
        <v>58866.36</v>
      </c>
      <c r="R334" s="188">
        <f t="shared" si="108"/>
        <v>2083681.86</v>
      </c>
      <c r="S334" s="188">
        <f t="shared" si="109"/>
        <v>4108497.36</v>
      </c>
      <c r="T334" s="188">
        <f t="shared" si="110"/>
        <v>0</v>
      </c>
      <c r="V334" s="188" t="str">
        <f t="shared" si="111"/>
        <v>Projected - Electric</v>
      </c>
      <c r="W334" s="188" t="str">
        <f t="shared" si="112"/>
        <v>E34420 PRD Gen, Fred 1/APC</v>
      </c>
      <c r="X334" s="188" t="str">
        <f t="shared" si="101"/>
        <v>Projected</v>
      </c>
      <c r="Y334" s="188" t="str">
        <f t="shared" si="113"/>
        <v>101-E344</v>
      </c>
      <c r="Z334" s="188">
        <f t="shared" si="114"/>
        <v>0</v>
      </c>
      <c r="AA334" s="188">
        <f t="shared" si="115"/>
        <v>0</v>
      </c>
      <c r="AB334" s="188">
        <f t="shared" si="116"/>
        <v>0</v>
      </c>
      <c r="AC334" s="188">
        <f t="shared" si="117"/>
        <v>0</v>
      </c>
      <c r="AD334" s="188">
        <f t="shared" si="118"/>
        <v>0</v>
      </c>
      <c r="AE334" s="183">
        <f t="shared" si="119"/>
        <v>0</v>
      </c>
    </row>
    <row r="335" spans="1:31" x14ac:dyDescent="0.25">
      <c r="A335" s="185" t="s">
        <v>211</v>
      </c>
      <c r="B335" s="188" t="s">
        <v>439</v>
      </c>
      <c r="C335" s="188" t="s">
        <v>26</v>
      </c>
      <c r="D335" s="188" t="str">
        <f t="shared" si="102"/>
        <v>101-E344</v>
      </c>
      <c r="E335" s="188">
        <v>0</v>
      </c>
      <c r="F335" s="188">
        <v>478009.92</v>
      </c>
      <c r="G335" s="188">
        <v>478009.92</v>
      </c>
      <c r="H335" s="188">
        <v>478009.92</v>
      </c>
      <c r="I335" s="188">
        <v>0</v>
      </c>
      <c r="J335" s="183">
        <v>0</v>
      </c>
      <c r="L335" s="188" t="str">
        <f t="shared" si="103"/>
        <v>Projected - Electric</v>
      </c>
      <c r="M335" s="188" t="str">
        <f t="shared" si="104"/>
        <v>E34420 PRD Gen, Goldendale</v>
      </c>
      <c r="N335" s="188" t="str">
        <f t="shared" si="100"/>
        <v>Projected</v>
      </c>
      <c r="O335" s="188" t="str">
        <f t="shared" si="105"/>
        <v>101-E344</v>
      </c>
      <c r="P335" s="188">
        <f t="shared" si="106"/>
        <v>0</v>
      </c>
      <c r="Q335" s="188">
        <f t="shared" si="107"/>
        <v>478009.92</v>
      </c>
      <c r="R335" s="188">
        <f t="shared" si="108"/>
        <v>478009.92</v>
      </c>
      <c r="S335" s="188">
        <f t="shared" si="109"/>
        <v>478009.92</v>
      </c>
      <c r="T335" s="188">
        <f t="shared" si="110"/>
        <v>0</v>
      </c>
      <c r="V335" s="188" t="str">
        <f t="shared" si="111"/>
        <v>Projected - Electric</v>
      </c>
      <c r="W335" s="188" t="str">
        <f t="shared" si="112"/>
        <v>E34420 PRD Gen, Goldendale</v>
      </c>
      <c r="X335" s="188" t="str">
        <f t="shared" si="101"/>
        <v>Projected</v>
      </c>
      <c r="Y335" s="188" t="str">
        <f t="shared" si="113"/>
        <v>101-E344</v>
      </c>
      <c r="Z335" s="188">
        <f t="shared" si="114"/>
        <v>0</v>
      </c>
      <c r="AA335" s="188">
        <f t="shared" si="115"/>
        <v>0</v>
      </c>
      <c r="AB335" s="188">
        <f t="shared" si="116"/>
        <v>0</v>
      </c>
      <c r="AC335" s="188">
        <f t="shared" si="117"/>
        <v>0</v>
      </c>
      <c r="AD335" s="188">
        <f t="shared" si="118"/>
        <v>0</v>
      </c>
      <c r="AE335" s="183">
        <f t="shared" si="119"/>
        <v>0</v>
      </c>
    </row>
    <row r="336" spans="1:31" x14ac:dyDescent="0.25">
      <c r="A336" s="185" t="s">
        <v>211</v>
      </c>
      <c r="B336" s="188" t="s">
        <v>438</v>
      </c>
      <c r="C336" s="188" t="s">
        <v>26</v>
      </c>
      <c r="D336" s="188" t="str">
        <f t="shared" si="102"/>
        <v>101-E344</v>
      </c>
      <c r="E336" s="188">
        <v>0</v>
      </c>
      <c r="F336" s="188">
        <v>118427.4</v>
      </c>
      <c r="G336" s="188">
        <v>188487.65</v>
      </c>
      <c r="H336" s="188">
        <v>258547.92</v>
      </c>
      <c r="I336" s="188">
        <v>0</v>
      </c>
      <c r="J336" s="183">
        <v>0</v>
      </c>
      <c r="L336" s="188" t="str">
        <f t="shared" si="103"/>
        <v>Projected - Electric</v>
      </c>
      <c r="M336" s="188" t="str">
        <f t="shared" si="104"/>
        <v>E34420 PRD Gen, Mint Farm</v>
      </c>
      <c r="N336" s="188" t="str">
        <f t="shared" si="100"/>
        <v>Projected</v>
      </c>
      <c r="O336" s="188" t="str">
        <f t="shared" si="105"/>
        <v>101-E344</v>
      </c>
      <c r="P336" s="188">
        <f t="shared" si="106"/>
        <v>0</v>
      </c>
      <c r="Q336" s="188">
        <f t="shared" si="107"/>
        <v>118427.4</v>
      </c>
      <c r="R336" s="188">
        <f t="shared" si="108"/>
        <v>188487.65</v>
      </c>
      <c r="S336" s="188">
        <f t="shared" si="109"/>
        <v>258547.92</v>
      </c>
      <c r="T336" s="188">
        <f t="shared" si="110"/>
        <v>0</v>
      </c>
      <c r="V336" s="188" t="str">
        <f t="shared" si="111"/>
        <v>Projected - Electric</v>
      </c>
      <c r="W336" s="188" t="str">
        <f t="shared" si="112"/>
        <v>E34420 PRD Gen, Mint Farm</v>
      </c>
      <c r="X336" s="188" t="str">
        <f t="shared" si="101"/>
        <v>Projected</v>
      </c>
      <c r="Y336" s="188" t="str">
        <f t="shared" si="113"/>
        <v>101-E344</v>
      </c>
      <c r="Z336" s="188">
        <f t="shared" si="114"/>
        <v>0</v>
      </c>
      <c r="AA336" s="188">
        <f t="shared" si="115"/>
        <v>0</v>
      </c>
      <c r="AB336" s="188">
        <f t="shared" si="116"/>
        <v>0</v>
      </c>
      <c r="AC336" s="188">
        <f t="shared" si="117"/>
        <v>0</v>
      </c>
      <c r="AD336" s="188">
        <f t="shared" si="118"/>
        <v>0</v>
      </c>
      <c r="AE336" s="183">
        <f t="shared" si="119"/>
        <v>0</v>
      </c>
    </row>
    <row r="337" spans="1:31" x14ac:dyDescent="0.25">
      <c r="A337" s="185" t="s">
        <v>211</v>
      </c>
      <c r="B337" s="188" t="s">
        <v>437</v>
      </c>
      <c r="C337" s="188" t="s">
        <v>26</v>
      </c>
      <c r="D337" s="188" t="str">
        <f t="shared" si="102"/>
        <v>101-E345</v>
      </c>
      <c r="E337" s="188">
        <v>0</v>
      </c>
      <c r="F337" s="188">
        <v>57960.12</v>
      </c>
      <c r="G337" s="188">
        <v>58352.88</v>
      </c>
      <c r="H337" s="188">
        <v>58745.64</v>
      </c>
      <c r="I337" s="188">
        <v>0</v>
      </c>
      <c r="J337" s="183">
        <v>0</v>
      </c>
      <c r="L337" s="188" t="str">
        <f t="shared" si="103"/>
        <v>Projected - Electric</v>
      </c>
      <c r="M337" s="188" t="str">
        <f t="shared" si="104"/>
        <v>E345 PRD Accessory, Cystal Mtn</v>
      </c>
      <c r="N337" s="188" t="str">
        <f t="shared" si="100"/>
        <v>Projected</v>
      </c>
      <c r="O337" s="188" t="str">
        <f t="shared" si="105"/>
        <v>101-E345</v>
      </c>
      <c r="P337" s="188">
        <f t="shared" si="106"/>
        <v>0</v>
      </c>
      <c r="Q337" s="188">
        <f t="shared" si="107"/>
        <v>57960.12</v>
      </c>
      <c r="R337" s="188">
        <f t="shared" si="108"/>
        <v>58352.88</v>
      </c>
      <c r="S337" s="188">
        <f t="shared" si="109"/>
        <v>58745.64</v>
      </c>
      <c r="T337" s="188">
        <f t="shared" si="110"/>
        <v>0</v>
      </c>
      <c r="V337" s="188" t="str">
        <f t="shared" si="111"/>
        <v>Projected - Electric</v>
      </c>
      <c r="W337" s="188" t="str">
        <f t="shared" si="112"/>
        <v>E345 PRD Accessory, Cystal Mtn</v>
      </c>
      <c r="X337" s="188" t="str">
        <f t="shared" si="101"/>
        <v>Projected</v>
      </c>
      <c r="Y337" s="188" t="str">
        <f t="shared" si="113"/>
        <v>101-E345</v>
      </c>
      <c r="Z337" s="188">
        <f t="shared" si="114"/>
        <v>0</v>
      </c>
      <c r="AA337" s="188">
        <f t="shared" si="115"/>
        <v>0</v>
      </c>
      <c r="AB337" s="188">
        <f t="shared" si="116"/>
        <v>0</v>
      </c>
      <c r="AC337" s="188">
        <f t="shared" si="117"/>
        <v>0</v>
      </c>
      <c r="AD337" s="188">
        <f t="shared" si="118"/>
        <v>0</v>
      </c>
      <c r="AE337" s="183">
        <f t="shared" si="119"/>
        <v>0</v>
      </c>
    </row>
    <row r="338" spans="1:31" x14ac:dyDescent="0.25">
      <c r="A338" s="185" t="s">
        <v>211</v>
      </c>
      <c r="B338" s="188" t="s">
        <v>436</v>
      </c>
      <c r="C338" s="188" t="s">
        <v>26</v>
      </c>
      <c r="D338" s="188" t="str">
        <f t="shared" si="102"/>
        <v>101-E345</v>
      </c>
      <c r="E338" s="188">
        <v>0</v>
      </c>
      <c r="F338" s="188">
        <v>4414.68</v>
      </c>
      <c r="G338" s="188">
        <v>4993.97</v>
      </c>
      <c r="H338" s="188">
        <v>5959.51</v>
      </c>
      <c r="I338" s="188">
        <v>0</v>
      </c>
      <c r="J338" s="183">
        <v>0</v>
      </c>
      <c r="L338" s="188" t="str">
        <f t="shared" si="103"/>
        <v>Projected - Electric</v>
      </c>
      <c r="M338" s="188" t="str">
        <f t="shared" si="104"/>
        <v>E345 PRD Accessory, Encogen</v>
      </c>
      <c r="N338" s="188" t="str">
        <f t="shared" si="100"/>
        <v>Projected</v>
      </c>
      <c r="O338" s="188" t="str">
        <f t="shared" si="105"/>
        <v>101-E345</v>
      </c>
      <c r="P338" s="188">
        <f t="shared" si="106"/>
        <v>0</v>
      </c>
      <c r="Q338" s="188">
        <f t="shared" si="107"/>
        <v>4414.68</v>
      </c>
      <c r="R338" s="188">
        <f t="shared" si="108"/>
        <v>4993.97</v>
      </c>
      <c r="S338" s="188">
        <f t="shared" si="109"/>
        <v>5959.51</v>
      </c>
      <c r="T338" s="188">
        <f t="shared" si="110"/>
        <v>0</v>
      </c>
      <c r="V338" s="188" t="str">
        <f t="shared" si="111"/>
        <v>Projected - Electric</v>
      </c>
      <c r="W338" s="188" t="str">
        <f t="shared" si="112"/>
        <v>E345 PRD Accessory, Encogen</v>
      </c>
      <c r="X338" s="188" t="str">
        <f t="shared" si="101"/>
        <v>Projected</v>
      </c>
      <c r="Y338" s="188" t="str">
        <f t="shared" si="113"/>
        <v>101-E345</v>
      </c>
      <c r="Z338" s="188">
        <f t="shared" si="114"/>
        <v>0</v>
      </c>
      <c r="AA338" s="188">
        <f t="shared" si="115"/>
        <v>0</v>
      </c>
      <c r="AB338" s="188">
        <f t="shared" si="116"/>
        <v>0</v>
      </c>
      <c r="AC338" s="188">
        <f t="shared" si="117"/>
        <v>0</v>
      </c>
      <c r="AD338" s="188">
        <f t="shared" si="118"/>
        <v>0</v>
      </c>
      <c r="AE338" s="183">
        <f t="shared" si="119"/>
        <v>0</v>
      </c>
    </row>
    <row r="339" spans="1:31" x14ac:dyDescent="0.25">
      <c r="A339" s="185" t="s">
        <v>211</v>
      </c>
      <c r="B339" s="188" t="s">
        <v>435</v>
      </c>
      <c r="C339" s="188" t="s">
        <v>26</v>
      </c>
      <c r="D339" s="188" t="str">
        <f t="shared" si="102"/>
        <v>101-E345</v>
      </c>
      <c r="E339" s="188">
        <v>0</v>
      </c>
      <c r="F339" s="188">
        <v>19593.84</v>
      </c>
      <c r="G339" s="188">
        <v>22775.57</v>
      </c>
      <c r="H339" s="188">
        <v>71476.320000000007</v>
      </c>
      <c r="I339" s="188">
        <v>0</v>
      </c>
      <c r="J339" s="183">
        <v>0</v>
      </c>
      <c r="L339" s="188" t="str">
        <f t="shared" si="103"/>
        <v>Projected - Electric</v>
      </c>
      <c r="M339" s="188" t="str">
        <f t="shared" si="104"/>
        <v>E345 PRD Accessory, Ferndale</v>
      </c>
      <c r="N339" s="188" t="str">
        <f t="shared" si="100"/>
        <v>Projected</v>
      </c>
      <c r="O339" s="188" t="str">
        <f t="shared" si="105"/>
        <v>101-E345</v>
      </c>
      <c r="P339" s="188">
        <f t="shared" si="106"/>
        <v>0</v>
      </c>
      <c r="Q339" s="188">
        <f t="shared" si="107"/>
        <v>19593.84</v>
      </c>
      <c r="R339" s="188">
        <f t="shared" si="108"/>
        <v>22775.57</v>
      </c>
      <c r="S339" s="188">
        <f t="shared" si="109"/>
        <v>71476.320000000007</v>
      </c>
      <c r="T339" s="188">
        <f t="shared" si="110"/>
        <v>0</v>
      </c>
      <c r="V339" s="188" t="str">
        <f t="shared" si="111"/>
        <v>Projected - Electric</v>
      </c>
      <c r="W339" s="188" t="str">
        <f t="shared" si="112"/>
        <v>E345 PRD Accessory, Ferndale</v>
      </c>
      <c r="X339" s="188" t="str">
        <f t="shared" si="101"/>
        <v>Projected</v>
      </c>
      <c r="Y339" s="188" t="str">
        <f t="shared" si="113"/>
        <v>101-E345</v>
      </c>
      <c r="Z339" s="188">
        <f t="shared" si="114"/>
        <v>0</v>
      </c>
      <c r="AA339" s="188">
        <f t="shared" si="115"/>
        <v>0</v>
      </c>
      <c r="AB339" s="188">
        <f t="shared" si="116"/>
        <v>0</v>
      </c>
      <c r="AC339" s="188">
        <f t="shared" si="117"/>
        <v>0</v>
      </c>
      <c r="AD339" s="188">
        <f t="shared" si="118"/>
        <v>0</v>
      </c>
      <c r="AE339" s="183">
        <f t="shared" si="119"/>
        <v>0</v>
      </c>
    </row>
    <row r="340" spans="1:31" x14ac:dyDescent="0.25">
      <c r="A340" s="185" t="s">
        <v>211</v>
      </c>
      <c r="B340" s="188" t="s">
        <v>434</v>
      </c>
      <c r="C340" s="188" t="s">
        <v>26</v>
      </c>
      <c r="D340" s="188" t="str">
        <f t="shared" si="102"/>
        <v>101-E345</v>
      </c>
      <c r="E340" s="188">
        <v>0</v>
      </c>
      <c r="F340" s="188">
        <v>42864.6</v>
      </c>
      <c r="G340" s="188">
        <v>42864.6</v>
      </c>
      <c r="H340" s="188">
        <v>42864.6</v>
      </c>
      <c r="I340" s="188">
        <v>0</v>
      </c>
      <c r="J340" s="183">
        <v>0</v>
      </c>
      <c r="L340" s="188" t="str">
        <f t="shared" si="103"/>
        <v>Projected - Electric</v>
      </c>
      <c r="M340" s="188" t="str">
        <f t="shared" si="104"/>
        <v>E345 PRD Accessory, Frederickson</v>
      </c>
      <c r="N340" s="188" t="str">
        <f t="shared" si="100"/>
        <v>Projected</v>
      </c>
      <c r="O340" s="188" t="str">
        <f t="shared" si="105"/>
        <v>101-E345</v>
      </c>
      <c r="P340" s="188">
        <f t="shared" si="106"/>
        <v>0</v>
      </c>
      <c r="Q340" s="188">
        <f t="shared" si="107"/>
        <v>42864.6</v>
      </c>
      <c r="R340" s="188">
        <f t="shared" si="108"/>
        <v>42864.6</v>
      </c>
      <c r="S340" s="188">
        <f t="shared" si="109"/>
        <v>42864.6</v>
      </c>
      <c r="T340" s="188">
        <f t="shared" si="110"/>
        <v>0</v>
      </c>
      <c r="V340" s="188" t="str">
        <f t="shared" si="111"/>
        <v>Projected - Electric</v>
      </c>
      <c r="W340" s="188" t="str">
        <f t="shared" si="112"/>
        <v>E345 PRD Accessory, Frederickson</v>
      </c>
      <c r="X340" s="188" t="str">
        <f t="shared" si="101"/>
        <v>Projected</v>
      </c>
      <c r="Y340" s="188" t="str">
        <f t="shared" si="113"/>
        <v>101-E345</v>
      </c>
      <c r="Z340" s="188">
        <f t="shared" si="114"/>
        <v>0</v>
      </c>
      <c r="AA340" s="188">
        <f t="shared" si="115"/>
        <v>0</v>
      </c>
      <c r="AB340" s="188">
        <f t="shared" si="116"/>
        <v>0</v>
      </c>
      <c r="AC340" s="188">
        <f t="shared" si="117"/>
        <v>0</v>
      </c>
      <c r="AD340" s="188">
        <f t="shared" si="118"/>
        <v>0</v>
      </c>
      <c r="AE340" s="183">
        <f t="shared" si="119"/>
        <v>0</v>
      </c>
    </row>
    <row r="341" spans="1:31" x14ac:dyDescent="0.25">
      <c r="A341" s="185" t="s">
        <v>211</v>
      </c>
      <c r="B341" s="188" t="s">
        <v>433</v>
      </c>
      <c r="C341" s="188" t="s">
        <v>26</v>
      </c>
      <c r="D341" s="188" t="str">
        <f t="shared" si="102"/>
        <v>101-E345</v>
      </c>
      <c r="E341" s="188">
        <v>0</v>
      </c>
      <c r="F341" s="188">
        <v>397809.47</v>
      </c>
      <c r="G341" s="188">
        <v>397809.47</v>
      </c>
      <c r="H341" s="188">
        <v>397809.47</v>
      </c>
      <c r="I341" s="188">
        <v>0</v>
      </c>
      <c r="J341" s="183">
        <v>0</v>
      </c>
      <c r="L341" s="188" t="str">
        <f t="shared" si="103"/>
        <v>Projected - Electric</v>
      </c>
      <c r="M341" s="188" t="str">
        <f t="shared" si="104"/>
        <v>E345 PRD Accessory, Fredonia</v>
      </c>
      <c r="N341" s="188" t="str">
        <f t="shared" si="100"/>
        <v>Projected</v>
      </c>
      <c r="O341" s="188" t="str">
        <f t="shared" si="105"/>
        <v>101-E345</v>
      </c>
      <c r="P341" s="188">
        <f t="shared" si="106"/>
        <v>0</v>
      </c>
      <c r="Q341" s="188">
        <f t="shared" si="107"/>
        <v>397809.47</v>
      </c>
      <c r="R341" s="188">
        <f t="shared" si="108"/>
        <v>397809.47</v>
      </c>
      <c r="S341" s="188">
        <f t="shared" si="109"/>
        <v>397809.47</v>
      </c>
      <c r="T341" s="188">
        <f t="shared" si="110"/>
        <v>0</v>
      </c>
      <c r="V341" s="188" t="str">
        <f t="shared" si="111"/>
        <v>Projected - Electric</v>
      </c>
      <c r="W341" s="188" t="str">
        <f t="shared" si="112"/>
        <v>E345 PRD Accessory, Fredonia</v>
      </c>
      <c r="X341" s="188" t="str">
        <f t="shared" si="101"/>
        <v>Projected</v>
      </c>
      <c r="Y341" s="188" t="str">
        <f t="shared" si="113"/>
        <v>101-E345</v>
      </c>
      <c r="Z341" s="188">
        <f t="shared" si="114"/>
        <v>0</v>
      </c>
      <c r="AA341" s="188">
        <f t="shared" si="115"/>
        <v>0</v>
      </c>
      <c r="AB341" s="188">
        <f t="shared" si="116"/>
        <v>0</v>
      </c>
      <c r="AC341" s="188">
        <f t="shared" si="117"/>
        <v>0</v>
      </c>
      <c r="AD341" s="188">
        <f t="shared" si="118"/>
        <v>0</v>
      </c>
      <c r="AE341" s="183">
        <f t="shared" si="119"/>
        <v>0</v>
      </c>
    </row>
    <row r="342" spans="1:31" x14ac:dyDescent="0.25">
      <c r="A342" s="185" t="s">
        <v>211</v>
      </c>
      <c r="B342" s="188" t="s">
        <v>432</v>
      </c>
      <c r="C342" s="188" t="s">
        <v>26</v>
      </c>
      <c r="D342" s="188" t="str">
        <f t="shared" si="102"/>
        <v>101-E345</v>
      </c>
      <c r="E342" s="188">
        <v>0</v>
      </c>
      <c r="F342" s="188">
        <v>139561.32999999999</v>
      </c>
      <c r="G342" s="188">
        <v>139561.32999999999</v>
      </c>
      <c r="H342" s="188">
        <v>139561.32999999999</v>
      </c>
      <c r="I342" s="188">
        <v>0</v>
      </c>
      <c r="J342" s="183">
        <v>0</v>
      </c>
      <c r="L342" s="188" t="str">
        <f t="shared" si="103"/>
        <v>Projected - Electric</v>
      </c>
      <c r="M342" s="188" t="str">
        <f t="shared" si="104"/>
        <v>E345 PRD Accessory, Fredonia 3&amp;4 OP</v>
      </c>
      <c r="N342" s="188" t="str">
        <f t="shared" si="100"/>
        <v>Projected</v>
      </c>
      <c r="O342" s="188" t="str">
        <f t="shared" si="105"/>
        <v>101-E345</v>
      </c>
      <c r="P342" s="188">
        <f t="shared" si="106"/>
        <v>0</v>
      </c>
      <c r="Q342" s="188">
        <f t="shared" si="107"/>
        <v>139561.32999999999</v>
      </c>
      <c r="R342" s="188">
        <f t="shared" si="108"/>
        <v>139561.32999999999</v>
      </c>
      <c r="S342" s="188">
        <f t="shared" si="109"/>
        <v>139561.32999999999</v>
      </c>
      <c r="T342" s="188">
        <f t="shared" si="110"/>
        <v>0</v>
      </c>
      <c r="V342" s="188" t="str">
        <f t="shared" si="111"/>
        <v>Projected - Electric</v>
      </c>
      <c r="W342" s="188" t="str">
        <f t="shared" si="112"/>
        <v>E345 PRD Accessory, Fredonia 3&amp;4 OP</v>
      </c>
      <c r="X342" s="188" t="str">
        <f t="shared" si="101"/>
        <v>Projected</v>
      </c>
      <c r="Y342" s="188" t="str">
        <f t="shared" si="113"/>
        <v>101-E345</v>
      </c>
      <c r="Z342" s="188">
        <f t="shared" si="114"/>
        <v>0</v>
      </c>
      <c r="AA342" s="188">
        <f t="shared" si="115"/>
        <v>0</v>
      </c>
      <c r="AB342" s="188">
        <f t="shared" si="116"/>
        <v>0</v>
      </c>
      <c r="AC342" s="188">
        <f t="shared" si="117"/>
        <v>0</v>
      </c>
      <c r="AD342" s="188">
        <f t="shared" si="118"/>
        <v>0</v>
      </c>
      <c r="AE342" s="183">
        <f t="shared" si="119"/>
        <v>0</v>
      </c>
    </row>
    <row r="343" spans="1:31" x14ac:dyDescent="0.25">
      <c r="A343" s="185" t="s">
        <v>211</v>
      </c>
      <c r="B343" s="188" t="s">
        <v>431</v>
      </c>
      <c r="C343" s="188" t="s">
        <v>26</v>
      </c>
      <c r="D343" s="188" t="str">
        <f t="shared" si="102"/>
        <v>101-E345</v>
      </c>
      <c r="E343" s="188">
        <v>0</v>
      </c>
      <c r="F343" s="188">
        <v>97789.440000000002</v>
      </c>
      <c r="G343" s="188">
        <v>155640.54</v>
      </c>
      <c r="H343" s="188">
        <v>213491.64</v>
      </c>
      <c r="I343" s="188">
        <v>0</v>
      </c>
      <c r="J343" s="183">
        <v>0</v>
      </c>
      <c r="L343" s="188" t="str">
        <f t="shared" si="103"/>
        <v>Projected - Electric</v>
      </c>
      <c r="M343" s="188" t="str">
        <f t="shared" si="104"/>
        <v>E345 PRD Accessory, Mint Farm</v>
      </c>
      <c r="N343" s="188" t="str">
        <f t="shared" si="100"/>
        <v>Projected</v>
      </c>
      <c r="O343" s="188" t="str">
        <f t="shared" si="105"/>
        <v>101-E345</v>
      </c>
      <c r="P343" s="188">
        <f t="shared" si="106"/>
        <v>0</v>
      </c>
      <c r="Q343" s="188">
        <f t="shared" si="107"/>
        <v>97789.440000000002</v>
      </c>
      <c r="R343" s="188">
        <f t="shared" si="108"/>
        <v>155640.54</v>
      </c>
      <c r="S343" s="188">
        <f t="shared" si="109"/>
        <v>213491.64</v>
      </c>
      <c r="T343" s="188">
        <f t="shared" si="110"/>
        <v>0</v>
      </c>
      <c r="V343" s="188" t="str">
        <f t="shared" si="111"/>
        <v>Projected - Electric</v>
      </c>
      <c r="W343" s="188" t="str">
        <f t="shared" si="112"/>
        <v>E345 PRD Accessory, Mint Farm</v>
      </c>
      <c r="X343" s="188" t="str">
        <f t="shared" si="101"/>
        <v>Projected</v>
      </c>
      <c r="Y343" s="188" t="str">
        <f t="shared" si="113"/>
        <v>101-E345</v>
      </c>
      <c r="Z343" s="188">
        <f t="shared" si="114"/>
        <v>0</v>
      </c>
      <c r="AA343" s="188">
        <f t="shared" si="115"/>
        <v>0</v>
      </c>
      <c r="AB343" s="188">
        <f t="shared" si="116"/>
        <v>0</v>
      </c>
      <c r="AC343" s="188">
        <f t="shared" si="117"/>
        <v>0</v>
      </c>
      <c r="AD343" s="188">
        <f t="shared" si="118"/>
        <v>0</v>
      </c>
      <c r="AE343" s="183">
        <f t="shared" si="119"/>
        <v>0</v>
      </c>
    </row>
    <row r="344" spans="1:31" x14ac:dyDescent="0.25">
      <c r="A344" s="185" t="s">
        <v>211</v>
      </c>
      <c r="B344" s="188" t="s">
        <v>430</v>
      </c>
      <c r="C344" s="188" t="s">
        <v>26</v>
      </c>
      <c r="D344" s="188" t="str">
        <f t="shared" si="102"/>
        <v>101-E345</v>
      </c>
      <c r="E344" s="188">
        <v>0</v>
      </c>
      <c r="F344" s="188">
        <v>3354.96</v>
      </c>
      <c r="G344" s="188">
        <v>3354.96</v>
      </c>
      <c r="H344" s="188">
        <v>5031.24</v>
      </c>
      <c r="I344" s="188">
        <v>0</v>
      </c>
      <c r="J344" s="183">
        <v>0</v>
      </c>
      <c r="L344" s="188" t="str">
        <f t="shared" si="103"/>
        <v>Projected - Electric</v>
      </c>
      <c r="M344" s="188" t="str">
        <f t="shared" si="104"/>
        <v>E345 PRD Accessory, Whitehorn 2-3 C</v>
      </c>
      <c r="N344" s="188" t="str">
        <f t="shared" si="100"/>
        <v>Projected</v>
      </c>
      <c r="O344" s="188" t="str">
        <f t="shared" si="105"/>
        <v>101-E345</v>
      </c>
      <c r="P344" s="188">
        <f t="shared" si="106"/>
        <v>0</v>
      </c>
      <c r="Q344" s="188">
        <f t="shared" si="107"/>
        <v>3354.96</v>
      </c>
      <c r="R344" s="188">
        <f t="shared" si="108"/>
        <v>3354.96</v>
      </c>
      <c r="S344" s="188">
        <f t="shared" si="109"/>
        <v>5031.24</v>
      </c>
      <c r="T344" s="188">
        <f t="shared" si="110"/>
        <v>0</v>
      </c>
      <c r="V344" s="188" t="str">
        <f t="shared" si="111"/>
        <v>Projected - Electric</v>
      </c>
      <c r="W344" s="188" t="str">
        <f t="shared" si="112"/>
        <v>E345 PRD Accessory, Whitehorn 2-3 C</v>
      </c>
      <c r="X344" s="188" t="str">
        <f t="shared" si="101"/>
        <v>Projected</v>
      </c>
      <c r="Y344" s="188" t="str">
        <f t="shared" si="113"/>
        <v>101-E345</v>
      </c>
      <c r="Z344" s="188">
        <f t="shared" si="114"/>
        <v>0</v>
      </c>
      <c r="AA344" s="188">
        <f t="shared" si="115"/>
        <v>0</v>
      </c>
      <c r="AB344" s="188">
        <f t="shared" si="116"/>
        <v>0</v>
      </c>
      <c r="AC344" s="188">
        <f t="shared" si="117"/>
        <v>0</v>
      </c>
      <c r="AD344" s="188">
        <f t="shared" si="118"/>
        <v>0</v>
      </c>
      <c r="AE344" s="183">
        <f t="shared" si="119"/>
        <v>0</v>
      </c>
    </row>
    <row r="345" spans="1:31" x14ac:dyDescent="0.25">
      <c r="A345" s="185" t="s">
        <v>211</v>
      </c>
      <c r="B345" s="188" t="s">
        <v>429</v>
      </c>
      <c r="C345" s="188" t="s">
        <v>26</v>
      </c>
      <c r="D345" s="188" t="str">
        <f t="shared" si="102"/>
        <v>101-E345</v>
      </c>
      <c r="E345" s="188">
        <v>0</v>
      </c>
      <c r="F345" s="188">
        <v>349297.72</v>
      </c>
      <c r="G345" s="188">
        <v>364350.03</v>
      </c>
      <c r="H345" s="188">
        <v>725981.88</v>
      </c>
      <c r="I345" s="188">
        <v>0</v>
      </c>
      <c r="J345" s="183">
        <v>0</v>
      </c>
      <c r="L345" s="188" t="str">
        <f t="shared" si="103"/>
        <v>Projected - Electric</v>
      </c>
      <c r="M345" s="188" t="str">
        <f t="shared" si="104"/>
        <v>E34501 PRD Accessory, Hopkins Ridge</v>
      </c>
      <c r="N345" s="188" t="str">
        <f t="shared" si="100"/>
        <v>Projected</v>
      </c>
      <c r="O345" s="188" t="str">
        <f t="shared" si="105"/>
        <v>101-E345</v>
      </c>
      <c r="P345" s="188">
        <f t="shared" si="106"/>
        <v>0</v>
      </c>
      <c r="Q345" s="188">
        <f t="shared" si="107"/>
        <v>349297.72</v>
      </c>
      <c r="R345" s="188">
        <f t="shared" si="108"/>
        <v>364350.03</v>
      </c>
      <c r="S345" s="188">
        <f t="shared" si="109"/>
        <v>725981.88</v>
      </c>
      <c r="T345" s="188">
        <f t="shared" si="110"/>
        <v>0</v>
      </c>
      <c r="V345" s="188" t="str">
        <f t="shared" si="111"/>
        <v>Projected - Electric</v>
      </c>
      <c r="W345" s="188" t="str">
        <f t="shared" si="112"/>
        <v>E34501 PRD Accessory, Hopkins Ridge</v>
      </c>
      <c r="X345" s="188" t="str">
        <f t="shared" si="101"/>
        <v>Projected</v>
      </c>
      <c r="Y345" s="188" t="str">
        <f t="shared" si="113"/>
        <v>101-E345</v>
      </c>
      <c r="Z345" s="188">
        <f t="shared" si="114"/>
        <v>0</v>
      </c>
      <c r="AA345" s="188">
        <f t="shared" si="115"/>
        <v>0</v>
      </c>
      <c r="AB345" s="188">
        <f t="shared" si="116"/>
        <v>0</v>
      </c>
      <c r="AC345" s="188">
        <f t="shared" si="117"/>
        <v>0</v>
      </c>
      <c r="AD345" s="188">
        <f t="shared" si="118"/>
        <v>0</v>
      </c>
      <c r="AE345" s="183">
        <f t="shared" si="119"/>
        <v>0</v>
      </c>
    </row>
    <row r="346" spans="1:31" x14ac:dyDescent="0.25">
      <c r="A346" s="185" t="s">
        <v>211</v>
      </c>
      <c r="B346" s="188" t="s">
        <v>428</v>
      </c>
      <c r="C346" s="188" t="s">
        <v>26</v>
      </c>
      <c r="D346" s="188" t="str">
        <f t="shared" si="102"/>
        <v>101-E345</v>
      </c>
      <c r="E346" s="188">
        <v>0</v>
      </c>
      <c r="F346" s="188">
        <v>930123.84</v>
      </c>
      <c r="G346" s="188">
        <v>1461071.16</v>
      </c>
      <c r="H346" s="188">
        <v>2605483.56</v>
      </c>
      <c r="I346" s="188">
        <v>0</v>
      </c>
      <c r="J346" s="183">
        <v>0</v>
      </c>
      <c r="L346" s="188" t="str">
        <f t="shared" si="103"/>
        <v>Projected - Electric</v>
      </c>
      <c r="M346" s="188" t="str">
        <f t="shared" si="104"/>
        <v>E34501 PRD Accessory, LSR</v>
      </c>
      <c r="N346" s="188" t="str">
        <f t="shared" si="100"/>
        <v>Projected</v>
      </c>
      <c r="O346" s="188" t="str">
        <f t="shared" si="105"/>
        <v>101-E345</v>
      </c>
      <c r="P346" s="188">
        <f t="shared" si="106"/>
        <v>0</v>
      </c>
      <c r="Q346" s="188">
        <f t="shared" si="107"/>
        <v>930123.84</v>
      </c>
      <c r="R346" s="188">
        <f t="shared" si="108"/>
        <v>1461071.16</v>
      </c>
      <c r="S346" s="188">
        <f t="shared" si="109"/>
        <v>2605483.56</v>
      </c>
      <c r="T346" s="188">
        <f t="shared" si="110"/>
        <v>0</v>
      </c>
      <c r="V346" s="188" t="str">
        <f t="shared" si="111"/>
        <v>Projected - Electric</v>
      </c>
      <c r="W346" s="188" t="str">
        <f t="shared" si="112"/>
        <v>E34501 PRD Accessory, LSR</v>
      </c>
      <c r="X346" s="188" t="str">
        <f t="shared" si="101"/>
        <v>Projected</v>
      </c>
      <c r="Y346" s="188" t="str">
        <f t="shared" si="113"/>
        <v>101-E345</v>
      </c>
      <c r="Z346" s="188">
        <f t="shared" si="114"/>
        <v>0</v>
      </c>
      <c r="AA346" s="188">
        <f t="shared" si="115"/>
        <v>0</v>
      </c>
      <c r="AB346" s="188">
        <f t="shared" si="116"/>
        <v>0</v>
      </c>
      <c r="AC346" s="188">
        <f t="shared" si="117"/>
        <v>0</v>
      </c>
      <c r="AD346" s="188">
        <f t="shared" si="118"/>
        <v>0</v>
      </c>
      <c r="AE346" s="183">
        <f t="shared" si="119"/>
        <v>0</v>
      </c>
    </row>
    <row r="347" spans="1:31" x14ac:dyDescent="0.25">
      <c r="A347" s="185" t="s">
        <v>211</v>
      </c>
      <c r="B347" s="188" t="s">
        <v>427</v>
      </c>
      <c r="C347" s="188" t="s">
        <v>26</v>
      </c>
      <c r="D347" s="188" t="str">
        <f t="shared" si="102"/>
        <v>101-E345</v>
      </c>
      <c r="E347" s="188">
        <v>0</v>
      </c>
      <c r="F347" s="188">
        <v>1307.76</v>
      </c>
      <c r="G347" s="188">
        <v>1772.04</v>
      </c>
      <c r="H347" s="188">
        <v>2700.6</v>
      </c>
      <c r="I347" s="188">
        <v>0</v>
      </c>
      <c r="J347" s="183">
        <v>0</v>
      </c>
      <c r="L347" s="188" t="str">
        <f t="shared" si="103"/>
        <v>Projected - Electric</v>
      </c>
      <c r="M347" s="188" t="str">
        <f t="shared" si="104"/>
        <v>E34501 PRD Accessory,Wild Horse Exp</v>
      </c>
      <c r="N347" s="188" t="str">
        <f t="shared" si="100"/>
        <v>Projected</v>
      </c>
      <c r="O347" s="188" t="str">
        <f t="shared" si="105"/>
        <v>101-E345</v>
      </c>
      <c r="P347" s="188">
        <f t="shared" si="106"/>
        <v>0</v>
      </c>
      <c r="Q347" s="188">
        <f t="shared" si="107"/>
        <v>1307.76</v>
      </c>
      <c r="R347" s="188">
        <f t="shared" si="108"/>
        <v>1772.04</v>
      </c>
      <c r="S347" s="188">
        <f t="shared" si="109"/>
        <v>2700.6</v>
      </c>
      <c r="T347" s="188">
        <f t="shared" si="110"/>
        <v>0</v>
      </c>
      <c r="V347" s="188" t="str">
        <f t="shared" si="111"/>
        <v>Projected - Electric</v>
      </c>
      <c r="W347" s="188" t="str">
        <f t="shared" si="112"/>
        <v>E34501 PRD Accessory,Wild Horse Exp</v>
      </c>
      <c r="X347" s="188" t="str">
        <f t="shared" si="101"/>
        <v>Projected</v>
      </c>
      <c r="Y347" s="188" t="str">
        <f t="shared" si="113"/>
        <v>101-E345</v>
      </c>
      <c r="Z347" s="188">
        <f t="shared" si="114"/>
        <v>0</v>
      </c>
      <c r="AA347" s="188">
        <f t="shared" si="115"/>
        <v>0</v>
      </c>
      <c r="AB347" s="188">
        <f t="shared" si="116"/>
        <v>0</v>
      </c>
      <c r="AC347" s="188">
        <f t="shared" si="117"/>
        <v>0</v>
      </c>
      <c r="AD347" s="188">
        <f t="shared" si="118"/>
        <v>0</v>
      </c>
      <c r="AE347" s="183">
        <f t="shared" si="119"/>
        <v>0</v>
      </c>
    </row>
    <row r="348" spans="1:31" x14ac:dyDescent="0.25">
      <c r="A348" s="185" t="s">
        <v>211</v>
      </c>
      <c r="B348" s="188" t="s">
        <v>426</v>
      </c>
      <c r="C348" s="188" t="s">
        <v>26</v>
      </c>
      <c r="D348" s="188" t="str">
        <f t="shared" si="102"/>
        <v>101-E345</v>
      </c>
      <c r="E348" s="188">
        <v>0</v>
      </c>
      <c r="F348" s="188">
        <v>79835.64</v>
      </c>
      <c r="G348" s="188">
        <v>108179.04</v>
      </c>
      <c r="H348" s="188">
        <v>164865.84</v>
      </c>
      <c r="I348" s="188">
        <v>0</v>
      </c>
      <c r="J348" s="183">
        <v>0</v>
      </c>
      <c r="L348" s="188" t="str">
        <f t="shared" si="103"/>
        <v>Projected - Electric</v>
      </c>
      <c r="M348" s="188" t="str">
        <f t="shared" si="104"/>
        <v>E34501 PRD Accessory,Wild HorseWind</v>
      </c>
      <c r="N348" s="188" t="str">
        <f t="shared" si="100"/>
        <v>Projected</v>
      </c>
      <c r="O348" s="188" t="str">
        <f t="shared" si="105"/>
        <v>101-E345</v>
      </c>
      <c r="P348" s="188">
        <f t="shared" si="106"/>
        <v>0</v>
      </c>
      <c r="Q348" s="188">
        <f t="shared" si="107"/>
        <v>79835.64</v>
      </c>
      <c r="R348" s="188">
        <f t="shared" si="108"/>
        <v>108179.04</v>
      </c>
      <c r="S348" s="188">
        <f t="shared" si="109"/>
        <v>164865.84</v>
      </c>
      <c r="T348" s="188">
        <f t="shared" si="110"/>
        <v>0</v>
      </c>
      <c r="V348" s="188" t="str">
        <f t="shared" si="111"/>
        <v>Projected - Electric</v>
      </c>
      <c r="W348" s="188" t="str">
        <f t="shared" si="112"/>
        <v>E34501 PRD Accessory,Wild HorseWind</v>
      </c>
      <c r="X348" s="188" t="str">
        <f t="shared" si="101"/>
        <v>Projected</v>
      </c>
      <c r="Y348" s="188" t="str">
        <f t="shared" si="113"/>
        <v>101-E345</v>
      </c>
      <c r="Z348" s="188">
        <f t="shared" si="114"/>
        <v>0</v>
      </c>
      <c r="AA348" s="188">
        <f t="shared" si="115"/>
        <v>0</v>
      </c>
      <c r="AB348" s="188">
        <f t="shared" si="116"/>
        <v>0</v>
      </c>
      <c r="AC348" s="188">
        <f t="shared" si="117"/>
        <v>0</v>
      </c>
      <c r="AD348" s="188">
        <f t="shared" si="118"/>
        <v>0</v>
      </c>
      <c r="AE348" s="183">
        <f t="shared" si="119"/>
        <v>0</v>
      </c>
    </row>
    <row r="349" spans="1:31" x14ac:dyDescent="0.25">
      <c r="A349" s="185" t="s">
        <v>211</v>
      </c>
      <c r="B349" s="188" t="s">
        <v>425</v>
      </c>
      <c r="C349" s="188" t="s">
        <v>26</v>
      </c>
      <c r="D349" s="188" t="str">
        <f t="shared" si="102"/>
        <v>101-E346</v>
      </c>
      <c r="E349" s="188">
        <v>0</v>
      </c>
      <c r="F349" s="188">
        <v>78452.160000000003</v>
      </c>
      <c r="G349" s="188">
        <v>78452.160000000003</v>
      </c>
      <c r="H349" s="188">
        <v>78452.160000000003</v>
      </c>
      <c r="I349" s="188">
        <v>0</v>
      </c>
      <c r="J349" s="183">
        <v>0</v>
      </c>
      <c r="L349" s="188" t="str">
        <f t="shared" si="103"/>
        <v>Projected - Electric</v>
      </c>
      <c r="M349" s="188" t="str">
        <f t="shared" si="104"/>
        <v>E346 PRD Other, Goldendale</v>
      </c>
      <c r="N349" s="188" t="str">
        <f t="shared" si="100"/>
        <v>Projected</v>
      </c>
      <c r="O349" s="188" t="str">
        <f t="shared" si="105"/>
        <v>101-E346</v>
      </c>
      <c r="P349" s="188">
        <f t="shared" si="106"/>
        <v>0</v>
      </c>
      <c r="Q349" s="188">
        <f t="shared" si="107"/>
        <v>78452.160000000003</v>
      </c>
      <c r="R349" s="188">
        <f t="shared" si="108"/>
        <v>78452.160000000003</v>
      </c>
      <c r="S349" s="188">
        <f t="shared" si="109"/>
        <v>78452.160000000003</v>
      </c>
      <c r="T349" s="188">
        <f t="shared" si="110"/>
        <v>0</v>
      </c>
      <c r="V349" s="188" t="str">
        <f t="shared" si="111"/>
        <v>Projected - Electric</v>
      </c>
      <c r="W349" s="188" t="str">
        <f t="shared" si="112"/>
        <v>E346 PRD Other, Goldendale</v>
      </c>
      <c r="X349" s="188" t="str">
        <f t="shared" si="101"/>
        <v>Projected</v>
      </c>
      <c r="Y349" s="188" t="str">
        <f t="shared" si="113"/>
        <v>101-E346</v>
      </c>
      <c r="Z349" s="188">
        <f t="shared" si="114"/>
        <v>0</v>
      </c>
      <c r="AA349" s="188">
        <f t="shared" si="115"/>
        <v>0</v>
      </c>
      <c r="AB349" s="188">
        <f t="shared" si="116"/>
        <v>0</v>
      </c>
      <c r="AC349" s="188">
        <f t="shared" si="117"/>
        <v>0</v>
      </c>
      <c r="AD349" s="188">
        <f t="shared" si="118"/>
        <v>0</v>
      </c>
      <c r="AE349" s="183">
        <f t="shared" si="119"/>
        <v>0</v>
      </c>
    </row>
    <row r="350" spans="1:31" x14ac:dyDescent="0.25">
      <c r="A350" s="185" t="s">
        <v>211</v>
      </c>
      <c r="B350" s="188" t="s">
        <v>424</v>
      </c>
      <c r="C350" s="188" t="s">
        <v>26</v>
      </c>
      <c r="D350" s="188" t="str">
        <f t="shared" si="102"/>
        <v>101-E346</v>
      </c>
      <c r="E350" s="188">
        <v>0</v>
      </c>
      <c r="F350" s="188">
        <v>86980.56</v>
      </c>
      <c r="G350" s="188">
        <v>138437.29999999999</v>
      </c>
      <c r="H350" s="188">
        <v>189894</v>
      </c>
      <c r="I350" s="188">
        <v>0</v>
      </c>
      <c r="J350" s="183">
        <v>0</v>
      </c>
      <c r="L350" s="188" t="str">
        <f t="shared" si="103"/>
        <v>Projected - Electric</v>
      </c>
      <c r="M350" s="188" t="str">
        <f t="shared" si="104"/>
        <v>E346 PRD Other, Mint Farm</v>
      </c>
      <c r="N350" s="188" t="str">
        <f t="shared" si="100"/>
        <v>Projected</v>
      </c>
      <c r="O350" s="188" t="str">
        <f t="shared" si="105"/>
        <v>101-E346</v>
      </c>
      <c r="P350" s="188">
        <f t="shared" si="106"/>
        <v>0</v>
      </c>
      <c r="Q350" s="188">
        <f t="shared" si="107"/>
        <v>86980.56</v>
      </c>
      <c r="R350" s="188">
        <f t="shared" si="108"/>
        <v>138437.29999999999</v>
      </c>
      <c r="S350" s="188">
        <f t="shared" si="109"/>
        <v>189894</v>
      </c>
      <c r="T350" s="188">
        <f t="shared" si="110"/>
        <v>0</v>
      </c>
      <c r="V350" s="188" t="str">
        <f t="shared" si="111"/>
        <v>Projected - Electric</v>
      </c>
      <c r="W350" s="188" t="str">
        <f t="shared" si="112"/>
        <v>E346 PRD Other, Mint Farm</v>
      </c>
      <c r="X350" s="188" t="str">
        <f t="shared" si="101"/>
        <v>Projected</v>
      </c>
      <c r="Y350" s="188" t="str">
        <f t="shared" si="113"/>
        <v>101-E346</v>
      </c>
      <c r="Z350" s="188">
        <f t="shared" si="114"/>
        <v>0</v>
      </c>
      <c r="AA350" s="188">
        <f t="shared" si="115"/>
        <v>0</v>
      </c>
      <c r="AB350" s="188">
        <f t="shared" si="116"/>
        <v>0</v>
      </c>
      <c r="AC350" s="188">
        <f t="shared" si="117"/>
        <v>0</v>
      </c>
      <c r="AD350" s="188">
        <f t="shared" si="118"/>
        <v>0</v>
      </c>
      <c r="AE350" s="183">
        <f t="shared" si="119"/>
        <v>0</v>
      </c>
    </row>
    <row r="351" spans="1:31" x14ac:dyDescent="0.25">
      <c r="A351" s="185" t="s">
        <v>211</v>
      </c>
      <c r="B351" s="188" t="s">
        <v>423</v>
      </c>
      <c r="C351" s="188" t="s">
        <v>26</v>
      </c>
      <c r="D351" s="188" t="str">
        <f t="shared" si="102"/>
        <v>101-E346</v>
      </c>
      <c r="E351" s="188">
        <v>0</v>
      </c>
      <c r="F351" s="188">
        <v>0</v>
      </c>
      <c r="G351" s="188">
        <v>0</v>
      </c>
      <c r="H351" s="188">
        <v>0</v>
      </c>
      <c r="I351" s="188">
        <v>0</v>
      </c>
      <c r="J351" s="183">
        <v>0</v>
      </c>
      <c r="L351" s="188" t="str">
        <f t="shared" si="103"/>
        <v>Projected - Electric</v>
      </c>
      <c r="M351" s="188" t="str">
        <f t="shared" si="104"/>
        <v>E34601 PRD Other, LSR</v>
      </c>
      <c r="N351" s="188" t="str">
        <f t="shared" si="100"/>
        <v>Projected</v>
      </c>
      <c r="O351" s="188" t="str">
        <f t="shared" si="105"/>
        <v>101-E346</v>
      </c>
      <c r="P351" s="188">
        <f t="shared" si="106"/>
        <v>0</v>
      </c>
      <c r="Q351" s="188">
        <f t="shared" si="107"/>
        <v>0</v>
      </c>
      <c r="R351" s="188">
        <f t="shared" si="108"/>
        <v>0</v>
      </c>
      <c r="S351" s="188">
        <f t="shared" si="109"/>
        <v>0</v>
      </c>
      <c r="T351" s="188">
        <f t="shared" si="110"/>
        <v>0</v>
      </c>
      <c r="V351" s="188" t="str">
        <f t="shared" si="111"/>
        <v>Projected - Electric</v>
      </c>
      <c r="W351" s="188" t="str">
        <f t="shared" si="112"/>
        <v>E34601 PRD Other, LSR</v>
      </c>
      <c r="X351" s="188" t="str">
        <f t="shared" si="101"/>
        <v>Projected</v>
      </c>
      <c r="Y351" s="188" t="str">
        <f t="shared" si="113"/>
        <v>101-E346</v>
      </c>
      <c r="Z351" s="188">
        <f t="shared" si="114"/>
        <v>0</v>
      </c>
      <c r="AA351" s="188">
        <f t="shared" si="115"/>
        <v>0</v>
      </c>
      <c r="AB351" s="188">
        <f t="shared" si="116"/>
        <v>0</v>
      </c>
      <c r="AC351" s="188">
        <f t="shared" si="117"/>
        <v>0</v>
      </c>
      <c r="AD351" s="188">
        <f t="shared" si="118"/>
        <v>0</v>
      </c>
      <c r="AE351" s="183">
        <f t="shared" si="119"/>
        <v>0</v>
      </c>
    </row>
    <row r="352" spans="1:31" x14ac:dyDescent="0.25">
      <c r="A352" s="185" t="s">
        <v>211</v>
      </c>
      <c r="B352" s="188" t="s">
        <v>422</v>
      </c>
      <c r="C352" s="188" t="s">
        <v>26</v>
      </c>
      <c r="D352" s="188" t="str">
        <f t="shared" si="102"/>
        <v>101-E346</v>
      </c>
      <c r="E352" s="188">
        <v>0</v>
      </c>
      <c r="F352" s="188">
        <v>8907.73</v>
      </c>
      <c r="G352" s="188">
        <v>8918.02</v>
      </c>
      <c r="H352" s="188">
        <v>9165.0300000000007</v>
      </c>
      <c r="I352" s="188">
        <v>0</v>
      </c>
      <c r="J352" s="183">
        <v>0</v>
      </c>
      <c r="L352" s="188" t="str">
        <f t="shared" si="103"/>
        <v>Projected - Electric</v>
      </c>
      <c r="M352" s="188" t="str">
        <f t="shared" si="104"/>
        <v>E3461 PRD Sta Main Tools, Encogen</v>
      </c>
      <c r="N352" s="188" t="str">
        <f t="shared" si="100"/>
        <v>Projected</v>
      </c>
      <c r="O352" s="188" t="str">
        <f t="shared" si="105"/>
        <v>101-E346</v>
      </c>
      <c r="P352" s="188">
        <f t="shared" si="106"/>
        <v>0</v>
      </c>
      <c r="Q352" s="188">
        <f t="shared" si="107"/>
        <v>8907.73</v>
      </c>
      <c r="R352" s="188">
        <f t="shared" si="108"/>
        <v>8918.02</v>
      </c>
      <c r="S352" s="188">
        <f t="shared" si="109"/>
        <v>9165.0300000000007</v>
      </c>
      <c r="T352" s="188">
        <f t="shared" si="110"/>
        <v>0</v>
      </c>
      <c r="V352" s="188" t="str">
        <f t="shared" si="111"/>
        <v>Projected - Electric</v>
      </c>
      <c r="W352" s="188" t="str">
        <f t="shared" si="112"/>
        <v>E3461 PRD Sta Main Tools, Encogen</v>
      </c>
      <c r="X352" s="188" t="str">
        <f t="shared" si="101"/>
        <v>Projected</v>
      </c>
      <c r="Y352" s="188" t="str">
        <f t="shared" si="113"/>
        <v>101-E346</v>
      </c>
      <c r="Z352" s="188">
        <f t="shared" si="114"/>
        <v>0</v>
      </c>
      <c r="AA352" s="188">
        <f t="shared" si="115"/>
        <v>0</v>
      </c>
      <c r="AB352" s="188">
        <f t="shared" si="116"/>
        <v>0</v>
      </c>
      <c r="AC352" s="188">
        <f t="shared" si="117"/>
        <v>0</v>
      </c>
      <c r="AD352" s="188">
        <f t="shared" si="118"/>
        <v>0</v>
      </c>
      <c r="AE352" s="183">
        <f t="shared" si="119"/>
        <v>0</v>
      </c>
    </row>
    <row r="353" spans="1:31" x14ac:dyDescent="0.25">
      <c r="A353" s="185" t="s">
        <v>211</v>
      </c>
      <c r="B353" s="188" t="s">
        <v>421</v>
      </c>
      <c r="C353" s="188" t="s">
        <v>26</v>
      </c>
      <c r="D353" s="188" t="str">
        <f t="shared" si="102"/>
        <v>101-E346</v>
      </c>
      <c r="E353" s="188">
        <v>0</v>
      </c>
      <c r="F353" s="188">
        <v>8750.11</v>
      </c>
      <c r="G353" s="188">
        <v>8751.2800000000007</v>
      </c>
      <c r="H353" s="188">
        <v>8779.27</v>
      </c>
      <c r="I353" s="188">
        <v>0</v>
      </c>
      <c r="J353" s="183">
        <v>0</v>
      </c>
      <c r="L353" s="188" t="str">
        <f t="shared" si="103"/>
        <v>Projected - Electric</v>
      </c>
      <c r="M353" s="188" t="str">
        <f t="shared" si="104"/>
        <v>E3461 PRD Sta Main Tools, Fredonia</v>
      </c>
      <c r="N353" s="188" t="str">
        <f t="shared" si="100"/>
        <v>Projected</v>
      </c>
      <c r="O353" s="188" t="str">
        <f t="shared" si="105"/>
        <v>101-E346</v>
      </c>
      <c r="P353" s="188">
        <f t="shared" si="106"/>
        <v>0</v>
      </c>
      <c r="Q353" s="188">
        <f t="shared" si="107"/>
        <v>8750.11</v>
      </c>
      <c r="R353" s="188">
        <f t="shared" si="108"/>
        <v>8751.2800000000007</v>
      </c>
      <c r="S353" s="188">
        <f t="shared" si="109"/>
        <v>8779.27</v>
      </c>
      <c r="T353" s="188">
        <f t="shared" si="110"/>
        <v>0</v>
      </c>
      <c r="V353" s="188" t="str">
        <f t="shared" si="111"/>
        <v>Projected - Electric</v>
      </c>
      <c r="W353" s="188" t="str">
        <f t="shared" si="112"/>
        <v>E3461 PRD Sta Main Tools, Fredonia</v>
      </c>
      <c r="X353" s="188" t="str">
        <f t="shared" si="101"/>
        <v>Projected</v>
      </c>
      <c r="Y353" s="188" t="str">
        <f t="shared" si="113"/>
        <v>101-E346</v>
      </c>
      <c r="Z353" s="188">
        <f t="shared" si="114"/>
        <v>0</v>
      </c>
      <c r="AA353" s="188">
        <f t="shared" si="115"/>
        <v>0</v>
      </c>
      <c r="AB353" s="188">
        <f t="shared" si="116"/>
        <v>0</v>
      </c>
      <c r="AC353" s="188">
        <f t="shared" si="117"/>
        <v>0</v>
      </c>
      <c r="AD353" s="188">
        <f t="shared" si="118"/>
        <v>0</v>
      </c>
      <c r="AE353" s="183">
        <f t="shared" si="119"/>
        <v>0</v>
      </c>
    </row>
    <row r="354" spans="1:31" x14ac:dyDescent="0.25">
      <c r="A354" s="185" t="s">
        <v>211</v>
      </c>
      <c r="B354" s="188" t="s">
        <v>420</v>
      </c>
      <c r="C354" s="188" t="s">
        <v>26</v>
      </c>
      <c r="D354" s="188" t="str">
        <f t="shared" si="102"/>
        <v>101-E346</v>
      </c>
      <c r="E354" s="188">
        <v>0</v>
      </c>
      <c r="F354" s="188">
        <v>8786.36</v>
      </c>
      <c r="G354" s="188">
        <v>8800.94</v>
      </c>
      <c r="H354" s="188">
        <v>9150.7800000000007</v>
      </c>
      <c r="I354" s="188">
        <v>0</v>
      </c>
      <c r="J354" s="183">
        <v>0</v>
      </c>
      <c r="L354" s="188" t="str">
        <f t="shared" si="103"/>
        <v>Projected - Electric</v>
      </c>
      <c r="M354" s="188" t="str">
        <f t="shared" si="104"/>
        <v>E3461 PRD Sta Main Tools, Mint Farm</v>
      </c>
      <c r="N354" s="188" t="str">
        <f t="shared" si="100"/>
        <v>Projected</v>
      </c>
      <c r="O354" s="188" t="str">
        <f t="shared" si="105"/>
        <v>101-E346</v>
      </c>
      <c r="P354" s="188">
        <f t="shared" si="106"/>
        <v>0</v>
      </c>
      <c r="Q354" s="188">
        <f t="shared" si="107"/>
        <v>8786.36</v>
      </c>
      <c r="R354" s="188">
        <f t="shared" si="108"/>
        <v>8800.94</v>
      </c>
      <c r="S354" s="188">
        <f t="shared" si="109"/>
        <v>9150.7800000000007</v>
      </c>
      <c r="T354" s="188">
        <f t="shared" si="110"/>
        <v>0</v>
      </c>
      <c r="V354" s="188" t="str">
        <f t="shared" si="111"/>
        <v>Projected - Electric</v>
      </c>
      <c r="W354" s="188" t="str">
        <f t="shared" si="112"/>
        <v>E3461 PRD Sta Main Tools, Mint Farm</v>
      </c>
      <c r="X354" s="188" t="str">
        <f t="shared" si="101"/>
        <v>Projected</v>
      </c>
      <c r="Y354" s="188" t="str">
        <f t="shared" si="113"/>
        <v>101-E346</v>
      </c>
      <c r="Z354" s="188">
        <f t="shared" si="114"/>
        <v>0</v>
      </c>
      <c r="AA354" s="188">
        <f t="shared" si="115"/>
        <v>0</v>
      </c>
      <c r="AB354" s="188">
        <f t="shared" si="116"/>
        <v>0</v>
      </c>
      <c r="AC354" s="188">
        <f t="shared" si="117"/>
        <v>0</v>
      </c>
      <c r="AD354" s="188">
        <f t="shared" si="118"/>
        <v>0</v>
      </c>
      <c r="AE354" s="183">
        <f t="shared" si="119"/>
        <v>0</v>
      </c>
    </row>
    <row r="355" spans="1:31" x14ac:dyDescent="0.25">
      <c r="A355" s="185" t="s">
        <v>211</v>
      </c>
      <c r="B355" s="188" t="s">
        <v>419</v>
      </c>
      <c r="C355" s="188" t="s">
        <v>26</v>
      </c>
      <c r="D355" s="188" t="str">
        <f t="shared" si="102"/>
        <v>101-E346</v>
      </c>
      <c r="E355" s="188">
        <v>0</v>
      </c>
      <c r="F355" s="188">
        <v>9799.76</v>
      </c>
      <c r="G355" s="188">
        <v>9843.84</v>
      </c>
      <c r="H355" s="188">
        <v>10901.73</v>
      </c>
      <c r="I355" s="188">
        <v>0</v>
      </c>
      <c r="J355" s="183">
        <v>0</v>
      </c>
      <c r="L355" s="188" t="str">
        <f t="shared" si="103"/>
        <v>Projected - Electric</v>
      </c>
      <c r="M355" s="188" t="str">
        <f t="shared" si="104"/>
        <v>E3461 PRD Sta Main Tools, Sumas</v>
      </c>
      <c r="N355" s="188" t="str">
        <f t="shared" si="100"/>
        <v>Projected</v>
      </c>
      <c r="O355" s="188" t="str">
        <f t="shared" si="105"/>
        <v>101-E346</v>
      </c>
      <c r="P355" s="188">
        <f t="shared" si="106"/>
        <v>0</v>
      </c>
      <c r="Q355" s="188">
        <f t="shared" si="107"/>
        <v>9799.76</v>
      </c>
      <c r="R355" s="188">
        <f t="shared" si="108"/>
        <v>9843.84</v>
      </c>
      <c r="S355" s="188">
        <f t="shared" si="109"/>
        <v>10901.73</v>
      </c>
      <c r="T355" s="188">
        <f t="shared" si="110"/>
        <v>0</v>
      </c>
      <c r="V355" s="188" t="str">
        <f t="shared" si="111"/>
        <v>Projected - Electric</v>
      </c>
      <c r="W355" s="188" t="str">
        <f t="shared" si="112"/>
        <v>E3461 PRD Sta Main Tools, Sumas</v>
      </c>
      <c r="X355" s="188" t="str">
        <f t="shared" si="101"/>
        <v>Projected</v>
      </c>
      <c r="Y355" s="188" t="str">
        <f t="shared" si="113"/>
        <v>101-E346</v>
      </c>
      <c r="Z355" s="188">
        <f t="shared" si="114"/>
        <v>0</v>
      </c>
      <c r="AA355" s="188">
        <f t="shared" si="115"/>
        <v>0</v>
      </c>
      <c r="AB355" s="188">
        <f t="shared" si="116"/>
        <v>0</v>
      </c>
      <c r="AC355" s="188">
        <f t="shared" si="117"/>
        <v>0</v>
      </c>
      <c r="AD355" s="188">
        <f t="shared" si="118"/>
        <v>0</v>
      </c>
      <c r="AE355" s="183">
        <f t="shared" si="119"/>
        <v>0</v>
      </c>
    </row>
    <row r="356" spans="1:31" x14ac:dyDescent="0.25">
      <c r="A356" s="185" t="s">
        <v>211</v>
      </c>
      <c r="B356" s="188" t="s">
        <v>418</v>
      </c>
      <c r="C356" s="188" t="s">
        <v>26</v>
      </c>
      <c r="D356" s="188" t="str">
        <f t="shared" si="102"/>
        <v>101-E346</v>
      </c>
      <c r="E356" s="188">
        <v>0</v>
      </c>
      <c r="F356" s="188">
        <v>8742.2000000000007</v>
      </c>
      <c r="G356" s="188">
        <v>8742.2000000000007</v>
      </c>
      <c r="H356" s="188">
        <v>8742.2000000000007</v>
      </c>
      <c r="I356" s="188">
        <v>0</v>
      </c>
      <c r="J356" s="183">
        <v>0</v>
      </c>
      <c r="L356" s="188" t="str">
        <f t="shared" si="103"/>
        <v>Projected - Electric</v>
      </c>
      <c r="M356" s="188" t="str">
        <f t="shared" si="104"/>
        <v>E3461 PRD Sta Main Tools,Goldendale</v>
      </c>
      <c r="N356" s="188" t="str">
        <f t="shared" si="100"/>
        <v>Projected</v>
      </c>
      <c r="O356" s="188" t="str">
        <f t="shared" si="105"/>
        <v>101-E346</v>
      </c>
      <c r="P356" s="188">
        <f t="shared" si="106"/>
        <v>0</v>
      </c>
      <c r="Q356" s="188">
        <f t="shared" si="107"/>
        <v>8742.2000000000007</v>
      </c>
      <c r="R356" s="188">
        <f t="shared" si="108"/>
        <v>8742.2000000000007</v>
      </c>
      <c r="S356" s="188">
        <f t="shared" si="109"/>
        <v>8742.2000000000007</v>
      </c>
      <c r="T356" s="188">
        <f t="shared" si="110"/>
        <v>0</v>
      </c>
      <c r="V356" s="188" t="str">
        <f t="shared" si="111"/>
        <v>Projected - Electric</v>
      </c>
      <c r="W356" s="188" t="str">
        <f t="shared" si="112"/>
        <v>E3461 PRD Sta Main Tools,Goldendale</v>
      </c>
      <c r="X356" s="188" t="str">
        <f t="shared" si="101"/>
        <v>Projected</v>
      </c>
      <c r="Y356" s="188" t="str">
        <f t="shared" si="113"/>
        <v>101-E346</v>
      </c>
      <c r="Z356" s="188">
        <f t="shared" si="114"/>
        <v>0</v>
      </c>
      <c r="AA356" s="188">
        <f t="shared" si="115"/>
        <v>0</v>
      </c>
      <c r="AB356" s="188">
        <f t="shared" si="116"/>
        <v>0</v>
      </c>
      <c r="AC356" s="188">
        <f t="shared" si="117"/>
        <v>0</v>
      </c>
      <c r="AD356" s="188">
        <f t="shared" si="118"/>
        <v>0</v>
      </c>
      <c r="AE356" s="183">
        <f t="shared" si="119"/>
        <v>0</v>
      </c>
    </row>
    <row r="357" spans="1:31" x14ac:dyDescent="0.25">
      <c r="A357" s="185" t="s">
        <v>211</v>
      </c>
      <c r="B357" s="188" t="s">
        <v>417</v>
      </c>
      <c r="C357" s="188" t="s">
        <v>26</v>
      </c>
      <c r="D357" s="188" t="str">
        <f t="shared" si="102"/>
        <v>101-E346</v>
      </c>
      <c r="E357" s="188">
        <v>0</v>
      </c>
      <c r="F357" s="188">
        <v>8969.99</v>
      </c>
      <c r="G357" s="188">
        <v>8982.1299999999992</v>
      </c>
      <c r="H357" s="188">
        <v>9273.4699999999993</v>
      </c>
      <c r="I357" s="188">
        <v>0</v>
      </c>
      <c r="J357" s="183">
        <v>0</v>
      </c>
      <c r="L357" s="188" t="str">
        <f t="shared" si="103"/>
        <v>Projected - Electric</v>
      </c>
      <c r="M357" s="188" t="str">
        <f t="shared" si="104"/>
        <v>E3461 PRD Sta MainTools, Whitehorn</v>
      </c>
      <c r="N357" s="188" t="str">
        <f t="shared" si="100"/>
        <v>Projected</v>
      </c>
      <c r="O357" s="188" t="str">
        <f t="shared" si="105"/>
        <v>101-E346</v>
      </c>
      <c r="P357" s="188">
        <f t="shared" si="106"/>
        <v>0</v>
      </c>
      <c r="Q357" s="188">
        <f t="shared" si="107"/>
        <v>8969.99</v>
      </c>
      <c r="R357" s="188">
        <f t="shared" si="108"/>
        <v>8982.1299999999992</v>
      </c>
      <c r="S357" s="188">
        <f t="shared" si="109"/>
        <v>9273.4699999999993</v>
      </c>
      <c r="T357" s="188">
        <f t="shared" si="110"/>
        <v>0</v>
      </c>
      <c r="V357" s="188" t="str">
        <f t="shared" si="111"/>
        <v>Projected - Electric</v>
      </c>
      <c r="W357" s="188" t="str">
        <f t="shared" si="112"/>
        <v>E3461 PRD Sta MainTools, Whitehorn</v>
      </c>
      <c r="X357" s="188" t="str">
        <f t="shared" si="101"/>
        <v>Projected</v>
      </c>
      <c r="Y357" s="188" t="str">
        <f t="shared" si="113"/>
        <v>101-E346</v>
      </c>
      <c r="Z357" s="188">
        <f t="shared" si="114"/>
        <v>0</v>
      </c>
      <c r="AA357" s="188">
        <f t="shared" si="115"/>
        <v>0</v>
      </c>
      <c r="AB357" s="188">
        <f t="shared" si="116"/>
        <v>0</v>
      </c>
      <c r="AC357" s="188">
        <f t="shared" si="117"/>
        <v>0</v>
      </c>
      <c r="AD357" s="188">
        <f t="shared" si="118"/>
        <v>0</v>
      </c>
      <c r="AE357" s="183">
        <f t="shared" si="119"/>
        <v>0</v>
      </c>
    </row>
    <row r="358" spans="1:31" x14ac:dyDescent="0.25">
      <c r="A358" s="185" t="s">
        <v>211</v>
      </c>
      <c r="B358" s="188" t="s">
        <v>416</v>
      </c>
      <c r="C358" s="188" t="s">
        <v>26</v>
      </c>
      <c r="D358" s="188" t="str">
        <f t="shared" si="102"/>
        <v>101-E346</v>
      </c>
      <c r="E358" s="188">
        <v>0</v>
      </c>
      <c r="F358" s="188">
        <v>9740.0300000000007</v>
      </c>
      <c r="G358" s="188">
        <v>9782.98</v>
      </c>
      <c r="H358" s="188">
        <v>10813.78</v>
      </c>
      <c r="I358" s="188">
        <v>0</v>
      </c>
      <c r="J358" s="183">
        <v>0</v>
      </c>
      <c r="L358" s="188" t="str">
        <f t="shared" si="103"/>
        <v>Projected - Electric</v>
      </c>
      <c r="M358" s="188" t="str">
        <f t="shared" si="104"/>
        <v>E3461 PRD Sta MainTools,Frederickso</v>
      </c>
      <c r="N358" s="188" t="str">
        <f t="shared" si="100"/>
        <v>Projected</v>
      </c>
      <c r="O358" s="188" t="str">
        <f t="shared" si="105"/>
        <v>101-E346</v>
      </c>
      <c r="P358" s="188">
        <f t="shared" si="106"/>
        <v>0</v>
      </c>
      <c r="Q358" s="188">
        <f t="shared" si="107"/>
        <v>9740.0300000000007</v>
      </c>
      <c r="R358" s="188">
        <f t="shared" si="108"/>
        <v>9782.98</v>
      </c>
      <c r="S358" s="188">
        <f t="shared" si="109"/>
        <v>10813.78</v>
      </c>
      <c r="T358" s="188">
        <f t="shared" si="110"/>
        <v>0</v>
      </c>
      <c r="V358" s="188" t="str">
        <f t="shared" si="111"/>
        <v>Projected - Electric</v>
      </c>
      <c r="W358" s="188" t="str">
        <f t="shared" si="112"/>
        <v>E3461 PRD Sta MainTools,Frederickso</v>
      </c>
      <c r="X358" s="188" t="str">
        <f t="shared" si="101"/>
        <v>Projected</v>
      </c>
      <c r="Y358" s="188" t="str">
        <f t="shared" si="113"/>
        <v>101-E346</v>
      </c>
      <c r="Z358" s="188">
        <f t="shared" si="114"/>
        <v>0</v>
      </c>
      <c r="AA358" s="188">
        <f t="shared" si="115"/>
        <v>0</v>
      </c>
      <c r="AB358" s="188">
        <f t="shared" si="116"/>
        <v>0</v>
      </c>
      <c r="AC358" s="188">
        <f t="shared" si="117"/>
        <v>0</v>
      </c>
      <c r="AD358" s="188">
        <f t="shared" si="118"/>
        <v>0</v>
      </c>
      <c r="AE358" s="183">
        <f t="shared" si="119"/>
        <v>0</v>
      </c>
    </row>
    <row r="359" spans="1:31" x14ac:dyDescent="0.25">
      <c r="A359" s="185" t="s">
        <v>211</v>
      </c>
      <c r="B359" s="188" t="s">
        <v>415</v>
      </c>
      <c r="C359" s="188" t="s">
        <v>26</v>
      </c>
      <c r="D359" s="188" t="str">
        <f t="shared" si="102"/>
        <v>101-E346</v>
      </c>
      <c r="E359" s="188">
        <v>0</v>
      </c>
      <c r="F359" s="188">
        <v>34133.43</v>
      </c>
      <c r="G359" s="188">
        <v>34135.39</v>
      </c>
      <c r="H359" s="188">
        <v>34182.54</v>
      </c>
      <c r="I359" s="188">
        <v>0</v>
      </c>
      <c r="J359" s="183">
        <v>0</v>
      </c>
      <c r="L359" s="188" t="str">
        <f t="shared" si="103"/>
        <v>Projected - Electric</v>
      </c>
      <c r="M359" s="188" t="str">
        <f t="shared" si="104"/>
        <v>E34611 PRD Sta Main Tools, Hopkins</v>
      </c>
      <c r="N359" s="188" t="str">
        <f t="shared" si="100"/>
        <v>Projected</v>
      </c>
      <c r="O359" s="188" t="str">
        <f t="shared" si="105"/>
        <v>101-E346</v>
      </c>
      <c r="P359" s="188">
        <f t="shared" si="106"/>
        <v>0</v>
      </c>
      <c r="Q359" s="188">
        <f t="shared" si="107"/>
        <v>34133.43</v>
      </c>
      <c r="R359" s="188">
        <f t="shared" si="108"/>
        <v>34135.39</v>
      </c>
      <c r="S359" s="188">
        <f t="shared" si="109"/>
        <v>34182.54</v>
      </c>
      <c r="T359" s="188">
        <f t="shared" si="110"/>
        <v>0</v>
      </c>
      <c r="V359" s="188" t="str">
        <f t="shared" si="111"/>
        <v>Projected - Electric</v>
      </c>
      <c r="W359" s="188" t="str">
        <f t="shared" si="112"/>
        <v>E34611 PRD Sta Main Tools, Hopkins</v>
      </c>
      <c r="X359" s="188" t="str">
        <f t="shared" si="101"/>
        <v>Projected</v>
      </c>
      <c r="Y359" s="188" t="str">
        <f t="shared" si="113"/>
        <v>101-E346</v>
      </c>
      <c r="Z359" s="188">
        <f t="shared" si="114"/>
        <v>0</v>
      </c>
      <c r="AA359" s="188">
        <f t="shared" si="115"/>
        <v>0</v>
      </c>
      <c r="AB359" s="188">
        <f t="shared" si="116"/>
        <v>0</v>
      </c>
      <c r="AC359" s="188">
        <f t="shared" si="117"/>
        <v>0</v>
      </c>
      <c r="AD359" s="188">
        <f t="shared" si="118"/>
        <v>0</v>
      </c>
      <c r="AE359" s="183">
        <f t="shared" si="119"/>
        <v>0</v>
      </c>
    </row>
    <row r="360" spans="1:31" x14ac:dyDescent="0.25">
      <c r="A360" s="185" t="s">
        <v>211</v>
      </c>
      <c r="B360" s="188" t="s">
        <v>414</v>
      </c>
      <c r="C360" s="188" t="s">
        <v>26</v>
      </c>
      <c r="D360" s="188" t="str">
        <f t="shared" si="102"/>
        <v>101-E346</v>
      </c>
      <c r="E360" s="188">
        <v>0</v>
      </c>
      <c r="F360" s="188">
        <v>34661.629999999997</v>
      </c>
      <c r="G360" s="188">
        <v>34661.870000000003</v>
      </c>
      <c r="H360" s="188">
        <v>34667.699999999997</v>
      </c>
      <c r="I360" s="188">
        <v>0</v>
      </c>
      <c r="J360" s="183">
        <v>0</v>
      </c>
      <c r="L360" s="188" t="str">
        <f t="shared" si="103"/>
        <v>Projected - Electric</v>
      </c>
      <c r="M360" s="188" t="str">
        <f t="shared" si="104"/>
        <v>E34611 PRD Sta Main Tools, LSR</v>
      </c>
      <c r="N360" s="188" t="str">
        <f t="shared" si="100"/>
        <v>Projected</v>
      </c>
      <c r="O360" s="188" t="str">
        <f t="shared" si="105"/>
        <v>101-E346</v>
      </c>
      <c r="P360" s="188">
        <f t="shared" si="106"/>
        <v>0</v>
      </c>
      <c r="Q360" s="188">
        <f t="shared" si="107"/>
        <v>34661.629999999997</v>
      </c>
      <c r="R360" s="188">
        <f t="shared" si="108"/>
        <v>34661.870000000003</v>
      </c>
      <c r="S360" s="188">
        <f t="shared" si="109"/>
        <v>34667.699999999997</v>
      </c>
      <c r="T360" s="188">
        <f t="shared" si="110"/>
        <v>0</v>
      </c>
      <c r="V360" s="188" t="str">
        <f t="shared" si="111"/>
        <v>Projected - Electric</v>
      </c>
      <c r="W360" s="188" t="str">
        <f t="shared" si="112"/>
        <v>E34611 PRD Sta Main Tools, LSR</v>
      </c>
      <c r="X360" s="188" t="str">
        <f t="shared" si="101"/>
        <v>Projected</v>
      </c>
      <c r="Y360" s="188" t="str">
        <f t="shared" si="113"/>
        <v>101-E346</v>
      </c>
      <c r="Z360" s="188">
        <f t="shared" si="114"/>
        <v>0</v>
      </c>
      <c r="AA360" s="188">
        <f t="shared" si="115"/>
        <v>0</v>
      </c>
      <c r="AB360" s="188">
        <f t="shared" si="116"/>
        <v>0</v>
      </c>
      <c r="AC360" s="188">
        <f t="shared" si="117"/>
        <v>0</v>
      </c>
      <c r="AD360" s="188">
        <f t="shared" si="118"/>
        <v>0</v>
      </c>
      <c r="AE360" s="183">
        <f t="shared" si="119"/>
        <v>0</v>
      </c>
    </row>
    <row r="361" spans="1:31" x14ac:dyDescent="0.25">
      <c r="A361" s="185" t="s">
        <v>211</v>
      </c>
      <c r="B361" s="188" t="s">
        <v>413</v>
      </c>
      <c r="C361" s="188" t="s">
        <v>26</v>
      </c>
      <c r="D361" s="188" t="str">
        <f t="shared" si="102"/>
        <v>101-E346</v>
      </c>
      <c r="E361" s="188">
        <v>0</v>
      </c>
      <c r="F361" s="188">
        <v>12690.48</v>
      </c>
      <c r="G361" s="188">
        <v>13223.57</v>
      </c>
      <c r="H361" s="188">
        <v>25533.55</v>
      </c>
      <c r="I361" s="188">
        <v>0</v>
      </c>
      <c r="J361" s="183">
        <v>0</v>
      </c>
      <c r="L361" s="188" t="str">
        <f t="shared" si="103"/>
        <v>Projected - Electric</v>
      </c>
      <c r="M361" s="188" t="str">
        <f t="shared" si="104"/>
        <v>E34611 PRD Sta Main Tools,WildHorse</v>
      </c>
      <c r="N361" s="188" t="str">
        <f t="shared" si="100"/>
        <v>Projected</v>
      </c>
      <c r="O361" s="188" t="str">
        <f t="shared" si="105"/>
        <v>101-E346</v>
      </c>
      <c r="P361" s="188">
        <f t="shared" si="106"/>
        <v>0</v>
      </c>
      <c r="Q361" s="188">
        <f t="shared" si="107"/>
        <v>12690.48</v>
      </c>
      <c r="R361" s="188">
        <f t="shared" si="108"/>
        <v>13223.57</v>
      </c>
      <c r="S361" s="188">
        <f t="shared" si="109"/>
        <v>25533.55</v>
      </c>
      <c r="T361" s="188">
        <f t="shared" si="110"/>
        <v>0</v>
      </c>
      <c r="V361" s="188" t="str">
        <f t="shared" si="111"/>
        <v>Projected - Electric</v>
      </c>
      <c r="W361" s="188" t="str">
        <f t="shared" si="112"/>
        <v>E34611 PRD Sta Main Tools,WildHorse</v>
      </c>
      <c r="X361" s="188" t="str">
        <f t="shared" si="101"/>
        <v>Projected</v>
      </c>
      <c r="Y361" s="188" t="str">
        <f t="shared" si="113"/>
        <v>101-E346</v>
      </c>
      <c r="Z361" s="188">
        <f t="shared" si="114"/>
        <v>0</v>
      </c>
      <c r="AA361" s="188">
        <f t="shared" si="115"/>
        <v>0</v>
      </c>
      <c r="AB361" s="188">
        <f t="shared" si="116"/>
        <v>0</v>
      </c>
      <c r="AC361" s="188">
        <f t="shared" si="117"/>
        <v>0</v>
      </c>
      <c r="AD361" s="188">
        <f t="shared" si="118"/>
        <v>0</v>
      </c>
      <c r="AE361" s="183">
        <f t="shared" si="119"/>
        <v>0</v>
      </c>
    </row>
    <row r="362" spans="1:31" x14ac:dyDescent="0.25">
      <c r="A362" s="185" t="s">
        <v>211</v>
      </c>
      <c r="B362" s="188" t="s">
        <v>412</v>
      </c>
      <c r="C362" s="188" t="s">
        <v>26</v>
      </c>
      <c r="D362" s="188" t="str">
        <f t="shared" si="102"/>
        <v>101-E350</v>
      </c>
      <c r="E362" s="188">
        <v>0</v>
      </c>
      <c r="F362" s="188">
        <v>1222.6300000000001</v>
      </c>
      <c r="G362" s="188">
        <v>1348.68</v>
      </c>
      <c r="H362" s="188">
        <v>4366.22</v>
      </c>
      <c r="I362" s="188">
        <v>0</v>
      </c>
      <c r="J362" s="183">
        <v>0</v>
      </c>
      <c r="L362" s="188" t="str">
        <f t="shared" si="103"/>
        <v>Projected - Electric</v>
      </c>
      <c r="M362" s="188" t="str">
        <f t="shared" si="104"/>
        <v>E3500 TSM Land, 3rd AC</v>
      </c>
      <c r="N362" s="188" t="str">
        <f t="shared" si="100"/>
        <v>Projected</v>
      </c>
      <c r="O362" s="188" t="str">
        <f t="shared" si="105"/>
        <v>101-E350</v>
      </c>
      <c r="P362" s="188">
        <f t="shared" si="106"/>
        <v>0</v>
      </c>
      <c r="Q362" s="188">
        <f t="shared" si="107"/>
        <v>1222.6300000000001</v>
      </c>
      <c r="R362" s="188">
        <f t="shared" si="108"/>
        <v>1348.68</v>
      </c>
      <c r="S362" s="188">
        <f t="shared" si="109"/>
        <v>4366.22</v>
      </c>
      <c r="T362" s="188">
        <f t="shared" si="110"/>
        <v>0</v>
      </c>
      <c r="V362" s="188" t="str">
        <f t="shared" si="111"/>
        <v>Projected - Electric</v>
      </c>
      <c r="W362" s="188" t="str">
        <f t="shared" si="112"/>
        <v>E3500 TSM Land, 3rd AC</v>
      </c>
      <c r="X362" s="188" t="str">
        <f t="shared" si="101"/>
        <v>Projected</v>
      </c>
      <c r="Y362" s="188" t="str">
        <f t="shared" si="113"/>
        <v>101-E350</v>
      </c>
      <c r="Z362" s="188">
        <f t="shared" si="114"/>
        <v>0</v>
      </c>
      <c r="AA362" s="188">
        <f t="shared" si="115"/>
        <v>0</v>
      </c>
      <c r="AB362" s="188">
        <f t="shared" si="116"/>
        <v>0</v>
      </c>
      <c r="AC362" s="188">
        <f t="shared" si="117"/>
        <v>0</v>
      </c>
      <c r="AD362" s="188">
        <f t="shared" si="118"/>
        <v>0</v>
      </c>
      <c r="AE362" s="183">
        <f t="shared" si="119"/>
        <v>0</v>
      </c>
    </row>
    <row r="363" spans="1:31" x14ac:dyDescent="0.25">
      <c r="A363" s="185" t="s">
        <v>211</v>
      </c>
      <c r="B363" s="188" t="s">
        <v>411</v>
      </c>
      <c r="C363" s="188" t="s">
        <v>26</v>
      </c>
      <c r="D363" s="188" t="str">
        <f t="shared" si="102"/>
        <v>101-E350</v>
      </c>
      <c r="E363" s="188">
        <v>0</v>
      </c>
      <c r="F363" s="188">
        <v>1168.2</v>
      </c>
      <c r="G363" s="188">
        <v>1752.3</v>
      </c>
      <c r="H363" s="188">
        <v>2920.5</v>
      </c>
      <c r="I363" s="188">
        <v>0</v>
      </c>
      <c r="J363" s="183">
        <v>0</v>
      </c>
      <c r="L363" s="188" t="str">
        <f t="shared" si="103"/>
        <v>Projected - Electric</v>
      </c>
      <c r="M363" s="188" t="str">
        <f t="shared" si="104"/>
        <v>E35010 TSM Easement</v>
      </c>
      <c r="N363" s="188" t="str">
        <f t="shared" si="100"/>
        <v>Projected</v>
      </c>
      <c r="O363" s="188" t="str">
        <f t="shared" si="105"/>
        <v>101-E350</v>
      </c>
      <c r="P363" s="188">
        <f t="shared" si="106"/>
        <v>0</v>
      </c>
      <c r="Q363" s="188">
        <f t="shared" si="107"/>
        <v>1168.2</v>
      </c>
      <c r="R363" s="188">
        <f t="shared" si="108"/>
        <v>1752.3</v>
      </c>
      <c r="S363" s="188">
        <f t="shared" si="109"/>
        <v>2920.5</v>
      </c>
      <c r="T363" s="188">
        <f t="shared" si="110"/>
        <v>0</v>
      </c>
      <c r="V363" s="188" t="str">
        <f t="shared" si="111"/>
        <v>Projected - Electric</v>
      </c>
      <c r="W363" s="188" t="str">
        <f t="shared" si="112"/>
        <v>E35010 TSM Easement</v>
      </c>
      <c r="X363" s="188" t="str">
        <f t="shared" si="101"/>
        <v>Projected</v>
      </c>
      <c r="Y363" s="188" t="str">
        <f t="shared" si="113"/>
        <v>101-E350</v>
      </c>
      <c r="Z363" s="188">
        <f t="shared" si="114"/>
        <v>0</v>
      </c>
      <c r="AA363" s="188">
        <f t="shared" si="115"/>
        <v>0</v>
      </c>
      <c r="AB363" s="188">
        <f t="shared" si="116"/>
        <v>0</v>
      </c>
      <c r="AC363" s="188">
        <f t="shared" si="117"/>
        <v>0</v>
      </c>
      <c r="AD363" s="188">
        <f t="shared" si="118"/>
        <v>0</v>
      </c>
      <c r="AE363" s="183">
        <f t="shared" si="119"/>
        <v>0</v>
      </c>
    </row>
    <row r="364" spans="1:31" x14ac:dyDescent="0.25">
      <c r="A364" s="185" t="s">
        <v>211</v>
      </c>
      <c r="B364" s="188" t="s">
        <v>410</v>
      </c>
      <c r="C364" s="188" t="s">
        <v>26</v>
      </c>
      <c r="D364" s="188" t="str">
        <f t="shared" si="102"/>
        <v>101-E350</v>
      </c>
      <c r="E364" s="188">
        <v>0</v>
      </c>
      <c r="F364" s="188">
        <v>0.48</v>
      </c>
      <c r="G364" s="188">
        <v>814897.37</v>
      </c>
      <c r="H364" s="188">
        <v>2366167.0499999998</v>
      </c>
      <c r="I364" s="188">
        <v>0</v>
      </c>
      <c r="J364" s="183">
        <v>0</v>
      </c>
      <c r="L364" s="188" t="str">
        <f t="shared" si="103"/>
        <v>Projected - Electric</v>
      </c>
      <c r="M364" s="188" t="str">
        <f t="shared" si="104"/>
        <v>E35016 TSM Easements</v>
      </c>
      <c r="N364" s="188" t="str">
        <f t="shared" si="100"/>
        <v>Projected</v>
      </c>
      <c r="O364" s="188" t="str">
        <f t="shared" si="105"/>
        <v>101-E350</v>
      </c>
      <c r="P364" s="188">
        <f t="shared" si="106"/>
        <v>0</v>
      </c>
      <c r="Q364" s="188">
        <f t="shared" si="107"/>
        <v>0.48</v>
      </c>
      <c r="R364" s="188">
        <f t="shared" si="108"/>
        <v>814897.37</v>
      </c>
      <c r="S364" s="188">
        <f t="shared" si="109"/>
        <v>2366167.0499999998</v>
      </c>
      <c r="T364" s="188">
        <f t="shared" si="110"/>
        <v>0</v>
      </c>
      <c r="V364" s="188" t="str">
        <f t="shared" si="111"/>
        <v>Projected - Electric</v>
      </c>
      <c r="W364" s="188" t="str">
        <f t="shared" si="112"/>
        <v>E35016 TSM Easements</v>
      </c>
      <c r="X364" s="188" t="str">
        <f t="shared" si="101"/>
        <v>Projected</v>
      </c>
      <c r="Y364" s="188" t="str">
        <f t="shared" si="113"/>
        <v>101-E350</v>
      </c>
      <c r="Z364" s="188">
        <f t="shared" si="114"/>
        <v>0</v>
      </c>
      <c r="AA364" s="188">
        <f t="shared" si="115"/>
        <v>0</v>
      </c>
      <c r="AB364" s="188">
        <f t="shared" si="116"/>
        <v>0</v>
      </c>
      <c r="AC364" s="188">
        <f t="shared" si="117"/>
        <v>0</v>
      </c>
      <c r="AD364" s="188">
        <f t="shared" si="118"/>
        <v>0</v>
      </c>
      <c r="AE364" s="183">
        <f t="shared" si="119"/>
        <v>0</v>
      </c>
    </row>
    <row r="365" spans="1:31" x14ac:dyDescent="0.25">
      <c r="A365" s="185" t="s">
        <v>211</v>
      </c>
      <c r="B365" s="188" t="s">
        <v>409</v>
      </c>
      <c r="C365" s="188" t="s">
        <v>26</v>
      </c>
      <c r="D365" s="188" t="str">
        <f t="shared" si="102"/>
        <v>101-E352</v>
      </c>
      <c r="E365" s="188">
        <v>0</v>
      </c>
      <c r="F365" s="188">
        <v>0</v>
      </c>
      <c r="G365" s="188">
        <v>57325.01</v>
      </c>
      <c r="H365" s="188">
        <v>91720.01</v>
      </c>
      <c r="I365" s="188">
        <v>0</v>
      </c>
      <c r="J365" s="183">
        <v>0</v>
      </c>
      <c r="L365" s="188" t="str">
        <f t="shared" si="103"/>
        <v>Projected - Electric</v>
      </c>
      <c r="M365" s="188" t="str">
        <f t="shared" si="104"/>
        <v>E352 TSM Structures &amp; Improvement</v>
      </c>
      <c r="N365" s="188" t="str">
        <f t="shared" si="100"/>
        <v>Projected</v>
      </c>
      <c r="O365" s="188" t="str">
        <f t="shared" si="105"/>
        <v>101-E352</v>
      </c>
      <c r="P365" s="188">
        <f t="shared" si="106"/>
        <v>0</v>
      </c>
      <c r="Q365" s="188">
        <f t="shared" si="107"/>
        <v>0</v>
      </c>
      <c r="R365" s="188">
        <f t="shared" si="108"/>
        <v>57325.01</v>
      </c>
      <c r="S365" s="188">
        <f t="shared" si="109"/>
        <v>91720.01</v>
      </c>
      <c r="T365" s="188">
        <f t="shared" si="110"/>
        <v>0</v>
      </c>
      <c r="V365" s="188" t="str">
        <f t="shared" si="111"/>
        <v>Projected - Electric</v>
      </c>
      <c r="W365" s="188" t="str">
        <f t="shared" si="112"/>
        <v>E352 TSM Structures &amp; Improvement</v>
      </c>
      <c r="X365" s="188" t="str">
        <f t="shared" si="101"/>
        <v>Projected</v>
      </c>
      <c r="Y365" s="188" t="str">
        <f t="shared" si="113"/>
        <v>101-E352</v>
      </c>
      <c r="Z365" s="188">
        <f t="shared" si="114"/>
        <v>0</v>
      </c>
      <c r="AA365" s="188">
        <f t="shared" si="115"/>
        <v>0</v>
      </c>
      <c r="AB365" s="188">
        <f t="shared" si="116"/>
        <v>0</v>
      </c>
      <c r="AC365" s="188">
        <f t="shared" si="117"/>
        <v>0</v>
      </c>
      <c r="AD365" s="188">
        <f t="shared" si="118"/>
        <v>0</v>
      </c>
      <c r="AE365" s="183">
        <f t="shared" si="119"/>
        <v>0</v>
      </c>
    </row>
    <row r="366" spans="1:31" x14ac:dyDescent="0.25">
      <c r="A366" s="185" t="s">
        <v>211</v>
      </c>
      <c r="B366" s="188" t="s">
        <v>408</v>
      </c>
      <c r="C366" s="188" t="s">
        <v>26</v>
      </c>
      <c r="D366" s="188" t="str">
        <f t="shared" si="102"/>
        <v>101-E352</v>
      </c>
      <c r="E366" s="188">
        <v>0</v>
      </c>
      <c r="F366" s="188">
        <v>0</v>
      </c>
      <c r="G366" s="188">
        <v>0</v>
      </c>
      <c r="H366" s="188">
        <v>0</v>
      </c>
      <c r="I366" s="188">
        <v>0</v>
      </c>
      <c r="J366" s="183">
        <v>0</v>
      </c>
      <c r="L366" s="188" t="str">
        <f t="shared" si="103"/>
        <v>Projected - Electric</v>
      </c>
      <c r="M366" s="188" t="str">
        <f t="shared" si="104"/>
        <v>E3529 (GIF) Struc/Improv, LSR</v>
      </c>
      <c r="N366" s="188" t="str">
        <f t="shared" si="100"/>
        <v>Projected</v>
      </c>
      <c r="O366" s="188" t="str">
        <f t="shared" si="105"/>
        <v>101-E352</v>
      </c>
      <c r="P366" s="188">
        <f t="shared" si="106"/>
        <v>0</v>
      </c>
      <c r="Q366" s="188">
        <f t="shared" si="107"/>
        <v>0</v>
      </c>
      <c r="R366" s="188">
        <f t="shared" si="108"/>
        <v>0</v>
      </c>
      <c r="S366" s="188">
        <f t="shared" si="109"/>
        <v>0</v>
      </c>
      <c r="T366" s="188">
        <f t="shared" si="110"/>
        <v>0</v>
      </c>
      <c r="V366" s="188" t="str">
        <f t="shared" si="111"/>
        <v>Projected - Electric</v>
      </c>
      <c r="W366" s="188" t="str">
        <f t="shared" si="112"/>
        <v>E3529 (GIF) Struc/Improv, LSR</v>
      </c>
      <c r="X366" s="188" t="str">
        <f t="shared" si="101"/>
        <v>Projected</v>
      </c>
      <c r="Y366" s="188" t="str">
        <f t="shared" si="113"/>
        <v>101-E352</v>
      </c>
      <c r="Z366" s="188">
        <f t="shared" si="114"/>
        <v>0</v>
      </c>
      <c r="AA366" s="188">
        <f t="shared" si="115"/>
        <v>0</v>
      </c>
      <c r="AB366" s="188">
        <f t="shared" si="116"/>
        <v>0</v>
      </c>
      <c r="AC366" s="188">
        <f t="shared" si="117"/>
        <v>0</v>
      </c>
      <c r="AD366" s="188">
        <f t="shared" si="118"/>
        <v>0</v>
      </c>
      <c r="AE366" s="183">
        <f t="shared" si="119"/>
        <v>0</v>
      </c>
    </row>
    <row r="367" spans="1:31" x14ac:dyDescent="0.25">
      <c r="A367" s="185" t="s">
        <v>211</v>
      </c>
      <c r="B367" s="188" t="s">
        <v>407</v>
      </c>
      <c r="C367" s="188" t="s">
        <v>26</v>
      </c>
      <c r="D367" s="188" t="str">
        <f t="shared" si="102"/>
        <v>101-E353</v>
      </c>
      <c r="E367" s="188">
        <v>0</v>
      </c>
      <c r="F367" s="188">
        <v>405624.15</v>
      </c>
      <c r="G367" s="188">
        <v>447441.78</v>
      </c>
      <c r="H367" s="188">
        <v>1448547.23</v>
      </c>
      <c r="I367" s="188">
        <v>0</v>
      </c>
      <c r="J367" s="183">
        <v>0</v>
      </c>
      <c r="L367" s="188" t="str">
        <f t="shared" si="103"/>
        <v>Projected - Electric</v>
      </c>
      <c r="M367" s="188" t="str">
        <f t="shared" si="104"/>
        <v>E353 TSM Sta Eq, 3rd AC Line</v>
      </c>
      <c r="N367" s="188" t="str">
        <f t="shared" si="100"/>
        <v>Projected</v>
      </c>
      <c r="O367" s="188" t="str">
        <f t="shared" si="105"/>
        <v>101-E353</v>
      </c>
      <c r="P367" s="188">
        <f t="shared" si="106"/>
        <v>0</v>
      </c>
      <c r="Q367" s="188">
        <f t="shared" si="107"/>
        <v>405624.15</v>
      </c>
      <c r="R367" s="188">
        <f t="shared" si="108"/>
        <v>447441.78</v>
      </c>
      <c r="S367" s="188">
        <f t="shared" si="109"/>
        <v>1448547.23</v>
      </c>
      <c r="T367" s="188">
        <f t="shared" si="110"/>
        <v>0</v>
      </c>
      <c r="V367" s="188" t="str">
        <f t="shared" si="111"/>
        <v>Projected - Electric</v>
      </c>
      <c r="W367" s="188" t="str">
        <f t="shared" si="112"/>
        <v>E353 TSM Sta Eq, 3rd AC Line</v>
      </c>
      <c r="X367" s="188" t="str">
        <f t="shared" si="101"/>
        <v>Projected</v>
      </c>
      <c r="Y367" s="188" t="str">
        <f t="shared" si="113"/>
        <v>101-E353</v>
      </c>
      <c r="Z367" s="188">
        <f t="shared" si="114"/>
        <v>0</v>
      </c>
      <c r="AA367" s="188">
        <f t="shared" si="115"/>
        <v>0</v>
      </c>
      <c r="AB367" s="188">
        <f t="shared" si="116"/>
        <v>0</v>
      </c>
      <c r="AC367" s="188">
        <f t="shared" si="117"/>
        <v>0</v>
      </c>
      <c r="AD367" s="188">
        <f t="shared" si="118"/>
        <v>0</v>
      </c>
      <c r="AE367" s="183">
        <f t="shared" si="119"/>
        <v>0</v>
      </c>
    </row>
    <row r="368" spans="1:31" x14ac:dyDescent="0.25">
      <c r="A368" s="185" t="s">
        <v>211</v>
      </c>
      <c r="B368" s="188" t="s">
        <v>406</v>
      </c>
      <c r="C368" s="188" t="s">
        <v>26</v>
      </c>
      <c r="D368" s="188" t="str">
        <f t="shared" si="102"/>
        <v>101-E353</v>
      </c>
      <c r="E368" s="188">
        <v>0</v>
      </c>
      <c r="F368" s="188">
        <v>770414.28</v>
      </c>
      <c r="G368" s="188">
        <v>1222001.58</v>
      </c>
      <c r="H368" s="188">
        <v>2736023.71</v>
      </c>
      <c r="I368" s="188">
        <v>0</v>
      </c>
      <c r="J368" s="183">
        <v>0</v>
      </c>
      <c r="L368" s="188" t="str">
        <f t="shared" si="103"/>
        <v>Projected - Electric</v>
      </c>
      <c r="M368" s="188" t="str">
        <f t="shared" si="104"/>
        <v>E353 TSM Sta Eq, Colstrip 3-4</v>
      </c>
      <c r="N368" s="188" t="str">
        <f t="shared" si="100"/>
        <v>Projected</v>
      </c>
      <c r="O368" s="188" t="str">
        <f t="shared" si="105"/>
        <v>101-E353</v>
      </c>
      <c r="P368" s="188">
        <f t="shared" si="106"/>
        <v>0</v>
      </c>
      <c r="Q368" s="188">
        <f t="shared" si="107"/>
        <v>770414.28</v>
      </c>
      <c r="R368" s="188">
        <f t="shared" si="108"/>
        <v>1222001.58</v>
      </c>
      <c r="S368" s="188">
        <f t="shared" si="109"/>
        <v>2736023.71</v>
      </c>
      <c r="T368" s="188">
        <f t="shared" si="110"/>
        <v>0</v>
      </c>
      <c r="V368" s="188" t="str">
        <f t="shared" si="111"/>
        <v>Projected - Electric</v>
      </c>
      <c r="W368" s="188" t="str">
        <f t="shared" si="112"/>
        <v>E353 TSM Sta Eq, Colstrip 3-4</v>
      </c>
      <c r="X368" s="188" t="str">
        <f t="shared" si="101"/>
        <v>Projected</v>
      </c>
      <c r="Y368" s="188" t="str">
        <f t="shared" si="113"/>
        <v>101-E353</v>
      </c>
      <c r="Z368" s="188">
        <f t="shared" si="114"/>
        <v>0</v>
      </c>
      <c r="AA368" s="188">
        <f t="shared" si="115"/>
        <v>0</v>
      </c>
      <c r="AB368" s="188">
        <f t="shared" si="116"/>
        <v>0</v>
      </c>
      <c r="AC368" s="188">
        <f t="shared" si="117"/>
        <v>0</v>
      </c>
      <c r="AD368" s="188">
        <f t="shared" si="118"/>
        <v>0</v>
      </c>
      <c r="AE368" s="183">
        <f t="shared" si="119"/>
        <v>0</v>
      </c>
    </row>
    <row r="369" spans="1:31" x14ac:dyDescent="0.25">
      <c r="A369" s="185" t="s">
        <v>211</v>
      </c>
      <c r="B369" s="188" t="s">
        <v>405</v>
      </c>
      <c r="C369" s="188" t="s">
        <v>26</v>
      </c>
      <c r="D369" s="188" t="str">
        <f t="shared" si="102"/>
        <v>101-E353</v>
      </c>
      <c r="E369" s="188">
        <v>0</v>
      </c>
      <c r="F369" s="188">
        <v>951735.67</v>
      </c>
      <c r="G369" s="188">
        <v>3516437.86</v>
      </c>
      <c r="H369" s="188">
        <v>6456571.3899999997</v>
      </c>
      <c r="I369" s="188">
        <v>0</v>
      </c>
      <c r="J369" s="183">
        <v>0</v>
      </c>
      <c r="L369" s="188" t="str">
        <f t="shared" si="103"/>
        <v>Projected - Electric</v>
      </c>
      <c r="M369" s="188" t="str">
        <f t="shared" si="104"/>
        <v>E353 TSM Station Equipment</v>
      </c>
      <c r="N369" s="188" t="str">
        <f t="shared" si="100"/>
        <v>Projected</v>
      </c>
      <c r="O369" s="188" t="str">
        <f t="shared" si="105"/>
        <v>101-E353</v>
      </c>
      <c r="P369" s="188">
        <f t="shared" si="106"/>
        <v>0</v>
      </c>
      <c r="Q369" s="188">
        <f t="shared" si="107"/>
        <v>951735.67</v>
      </c>
      <c r="R369" s="188">
        <f t="shared" si="108"/>
        <v>3516437.86</v>
      </c>
      <c r="S369" s="188">
        <f t="shared" si="109"/>
        <v>6456571.3899999997</v>
      </c>
      <c r="T369" s="188">
        <f t="shared" si="110"/>
        <v>0</v>
      </c>
      <c r="V369" s="188" t="str">
        <f t="shared" si="111"/>
        <v>Projected - Electric</v>
      </c>
      <c r="W369" s="188" t="str">
        <f t="shared" si="112"/>
        <v>E353 TSM Station Equipment</v>
      </c>
      <c r="X369" s="188" t="str">
        <f t="shared" si="101"/>
        <v>Projected</v>
      </c>
      <c r="Y369" s="188" t="str">
        <f t="shared" si="113"/>
        <v>101-E353</v>
      </c>
      <c r="Z369" s="188">
        <f t="shared" si="114"/>
        <v>0</v>
      </c>
      <c r="AA369" s="188">
        <f t="shared" si="115"/>
        <v>0</v>
      </c>
      <c r="AB369" s="188">
        <f t="shared" si="116"/>
        <v>0</v>
      </c>
      <c r="AC369" s="188">
        <f t="shared" si="117"/>
        <v>0</v>
      </c>
      <c r="AD369" s="188">
        <f t="shared" si="118"/>
        <v>0</v>
      </c>
      <c r="AE369" s="183">
        <f t="shared" si="119"/>
        <v>0</v>
      </c>
    </row>
    <row r="370" spans="1:31" x14ac:dyDescent="0.25">
      <c r="A370" s="185" t="s">
        <v>211</v>
      </c>
      <c r="B370" s="188" t="s">
        <v>322</v>
      </c>
      <c r="C370" s="188" t="s">
        <v>26</v>
      </c>
      <c r="D370" s="188" t="str">
        <f t="shared" si="102"/>
        <v>101-E353</v>
      </c>
      <c r="E370" s="188">
        <v>0</v>
      </c>
      <c r="F370" s="188">
        <v>22848524.810000002</v>
      </c>
      <c r="G370" s="188">
        <v>21009861.32</v>
      </c>
      <c r="H370" s="188">
        <v>10644951.27</v>
      </c>
      <c r="I370" s="188">
        <v>0</v>
      </c>
      <c r="J370" s="183">
        <v>0</v>
      </c>
      <c r="L370" s="188" t="str">
        <f t="shared" si="103"/>
        <v>Projected - Electric</v>
      </c>
      <c r="M370" s="188" t="str">
        <f t="shared" si="104"/>
        <v>E3536 TSM Substation Equipment</v>
      </c>
      <c r="N370" s="188" t="str">
        <f t="shared" si="100"/>
        <v>Projected</v>
      </c>
      <c r="O370" s="188" t="str">
        <f t="shared" si="105"/>
        <v>101-E353</v>
      </c>
      <c r="P370" s="188">
        <f t="shared" si="106"/>
        <v>0</v>
      </c>
      <c r="Q370" s="188">
        <f t="shared" si="107"/>
        <v>22848524.810000002</v>
      </c>
      <c r="R370" s="188">
        <f t="shared" si="108"/>
        <v>21009861.32</v>
      </c>
      <c r="S370" s="188">
        <f t="shared" si="109"/>
        <v>10644951.27</v>
      </c>
      <c r="T370" s="188">
        <f t="shared" si="110"/>
        <v>0</v>
      </c>
      <c r="V370" s="188" t="str">
        <f t="shared" si="111"/>
        <v>Projected - Electric</v>
      </c>
      <c r="W370" s="188" t="str">
        <f t="shared" si="112"/>
        <v>E3536 TSM Substation Equipment</v>
      </c>
      <c r="X370" s="188" t="str">
        <f t="shared" si="101"/>
        <v>Projected</v>
      </c>
      <c r="Y370" s="188" t="str">
        <f t="shared" si="113"/>
        <v>101-E353</v>
      </c>
      <c r="Z370" s="188">
        <f t="shared" si="114"/>
        <v>0</v>
      </c>
      <c r="AA370" s="188">
        <f t="shared" si="115"/>
        <v>0</v>
      </c>
      <c r="AB370" s="188">
        <f t="shared" si="116"/>
        <v>0</v>
      </c>
      <c r="AC370" s="188">
        <f t="shared" si="117"/>
        <v>0</v>
      </c>
      <c r="AD370" s="188">
        <f t="shared" si="118"/>
        <v>0</v>
      </c>
      <c r="AE370" s="183">
        <f t="shared" si="119"/>
        <v>0</v>
      </c>
    </row>
    <row r="371" spans="1:31" x14ac:dyDescent="0.25">
      <c r="A371" s="185" t="s">
        <v>211</v>
      </c>
      <c r="B371" s="188" t="s">
        <v>404</v>
      </c>
      <c r="C371" s="188" t="s">
        <v>26</v>
      </c>
      <c r="D371" s="188" t="str">
        <f t="shared" si="102"/>
        <v>101-E353</v>
      </c>
      <c r="E371" s="188">
        <v>0</v>
      </c>
      <c r="F371" s="188">
        <v>7.08</v>
      </c>
      <c r="G371" s="188">
        <v>10.61</v>
      </c>
      <c r="H371" s="188">
        <v>17.690000000000001</v>
      </c>
      <c r="I371" s="188">
        <v>0</v>
      </c>
      <c r="J371" s="183">
        <v>0</v>
      </c>
      <c r="L371" s="188" t="str">
        <f t="shared" si="103"/>
        <v>Projected - Electric</v>
      </c>
      <c r="M371" s="188" t="str">
        <f t="shared" si="104"/>
        <v>E3537 TSM Substation Equipment</v>
      </c>
      <c r="N371" s="188" t="str">
        <f t="shared" si="100"/>
        <v>Projected</v>
      </c>
      <c r="O371" s="188" t="str">
        <f t="shared" si="105"/>
        <v>101-E353</v>
      </c>
      <c r="P371" s="188">
        <f t="shared" si="106"/>
        <v>0</v>
      </c>
      <c r="Q371" s="188">
        <f t="shared" si="107"/>
        <v>7.08</v>
      </c>
      <c r="R371" s="188">
        <f t="shared" si="108"/>
        <v>10.61</v>
      </c>
      <c r="S371" s="188">
        <f t="shared" si="109"/>
        <v>17.690000000000001</v>
      </c>
      <c r="T371" s="188">
        <f t="shared" si="110"/>
        <v>0</v>
      </c>
      <c r="V371" s="188" t="str">
        <f t="shared" si="111"/>
        <v>Projected - Electric</v>
      </c>
      <c r="W371" s="188" t="str">
        <f t="shared" si="112"/>
        <v>E3537 TSM Substation Equipment</v>
      </c>
      <c r="X371" s="188" t="str">
        <f t="shared" si="101"/>
        <v>Projected</v>
      </c>
      <c r="Y371" s="188" t="str">
        <f t="shared" si="113"/>
        <v>101-E353</v>
      </c>
      <c r="Z371" s="188">
        <f t="shared" si="114"/>
        <v>0</v>
      </c>
      <c r="AA371" s="188">
        <f t="shared" si="115"/>
        <v>0</v>
      </c>
      <c r="AB371" s="188">
        <f t="shared" si="116"/>
        <v>0</v>
      </c>
      <c r="AC371" s="188">
        <f t="shared" si="117"/>
        <v>0</v>
      </c>
      <c r="AD371" s="188">
        <f t="shared" si="118"/>
        <v>0</v>
      </c>
      <c r="AE371" s="183">
        <f t="shared" si="119"/>
        <v>0</v>
      </c>
    </row>
    <row r="372" spans="1:31" x14ac:dyDescent="0.25">
      <c r="A372" s="185" t="s">
        <v>211</v>
      </c>
      <c r="B372" s="188" t="s">
        <v>403</v>
      </c>
      <c r="C372" s="188" t="s">
        <v>26</v>
      </c>
      <c r="D372" s="188" t="str">
        <f t="shared" si="102"/>
        <v>101-E353</v>
      </c>
      <c r="E372" s="188">
        <v>0</v>
      </c>
      <c r="F372" s="188">
        <v>2.88</v>
      </c>
      <c r="G372" s="188">
        <v>4.32</v>
      </c>
      <c r="H372" s="188">
        <v>7.2</v>
      </c>
      <c r="I372" s="188">
        <v>0</v>
      </c>
      <c r="J372" s="183">
        <v>0</v>
      </c>
      <c r="L372" s="188" t="str">
        <f t="shared" si="103"/>
        <v>Projected - Electric</v>
      </c>
      <c r="M372" s="188" t="str">
        <f t="shared" si="104"/>
        <v>E3539 (GIF) Sta Eq, Hopkins Ridge</v>
      </c>
      <c r="N372" s="188" t="str">
        <f t="shared" si="100"/>
        <v>Projected</v>
      </c>
      <c r="O372" s="188" t="str">
        <f t="shared" si="105"/>
        <v>101-E353</v>
      </c>
      <c r="P372" s="188">
        <f t="shared" si="106"/>
        <v>0</v>
      </c>
      <c r="Q372" s="188">
        <f t="shared" si="107"/>
        <v>2.88</v>
      </c>
      <c r="R372" s="188">
        <f t="shared" si="108"/>
        <v>4.32</v>
      </c>
      <c r="S372" s="188">
        <f t="shared" si="109"/>
        <v>7.2</v>
      </c>
      <c r="T372" s="188">
        <f t="shared" si="110"/>
        <v>0</v>
      </c>
      <c r="V372" s="188" t="str">
        <f t="shared" si="111"/>
        <v>Projected - Electric</v>
      </c>
      <c r="W372" s="188" t="str">
        <f t="shared" si="112"/>
        <v>E3539 (GIF) Sta Eq, Hopkins Ridge</v>
      </c>
      <c r="X372" s="188" t="str">
        <f t="shared" si="101"/>
        <v>Projected</v>
      </c>
      <c r="Y372" s="188" t="str">
        <f t="shared" si="113"/>
        <v>101-E353</v>
      </c>
      <c r="Z372" s="188">
        <f t="shared" si="114"/>
        <v>0</v>
      </c>
      <c r="AA372" s="188">
        <f t="shared" si="115"/>
        <v>0</v>
      </c>
      <c r="AB372" s="188">
        <f t="shared" si="116"/>
        <v>0</v>
      </c>
      <c r="AC372" s="188">
        <f t="shared" si="117"/>
        <v>0</v>
      </c>
      <c r="AD372" s="188">
        <f t="shared" si="118"/>
        <v>0</v>
      </c>
      <c r="AE372" s="183">
        <f t="shared" si="119"/>
        <v>0</v>
      </c>
    </row>
    <row r="373" spans="1:31" x14ac:dyDescent="0.25">
      <c r="A373" s="185" t="s">
        <v>211</v>
      </c>
      <c r="B373" s="188" t="s">
        <v>402</v>
      </c>
      <c r="C373" s="188" t="s">
        <v>26</v>
      </c>
      <c r="D373" s="188" t="str">
        <f t="shared" si="102"/>
        <v>101-E353</v>
      </c>
      <c r="E373" s="188">
        <v>0</v>
      </c>
      <c r="F373" s="188">
        <v>14907.92</v>
      </c>
      <c r="G373" s="188">
        <v>15551.9</v>
      </c>
      <c r="H373" s="188">
        <v>30986.12</v>
      </c>
      <c r="I373" s="188">
        <v>0</v>
      </c>
      <c r="J373" s="183">
        <v>0</v>
      </c>
      <c r="L373" s="188" t="str">
        <f t="shared" si="103"/>
        <v>Projected - Electric</v>
      </c>
      <c r="M373" s="188" t="str">
        <f t="shared" si="104"/>
        <v>E3539 (GIF) Sta Eq, HPK sub@plant</v>
      </c>
      <c r="N373" s="188" t="str">
        <f t="shared" si="100"/>
        <v>Projected</v>
      </c>
      <c r="O373" s="188" t="str">
        <f t="shared" si="105"/>
        <v>101-E353</v>
      </c>
      <c r="P373" s="188">
        <f t="shared" si="106"/>
        <v>0</v>
      </c>
      <c r="Q373" s="188">
        <f t="shared" si="107"/>
        <v>14907.92</v>
      </c>
      <c r="R373" s="188">
        <f t="shared" si="108"/>
        <v>15551.9</v>
      </c>
      <c r="S373" s="188">
        <f t="shared" si="109"/>
        <v>30986.12</v>
      </c>
      <c r="T373" s="188">
        <f t="shared" si="110"/>
        <v>0</v>
      </c>
      <c r="V373" s="188" t="str">
        <f t="shared" si="111"/>
        <v>Projected - Electric</v>
      </c>
      <c r="W373" s="188" t="str">
        <f t="shared" si="112"/>
        <v>E3539 (GIF) Sta Eq, HPK sub@plant</v>
      </c>
      <c r="X373" s="188" t="str">
        <f t="shared" si="101"/>
        <v>Projected</v>
      </c>
      <c r="Y373" s="188" t="str">
        <f t="shared" si="113"/>
        <v>101-E353</v>
      </c>
      <c r="Z373" s="188">
        <f t="shared" si="114"/>
        <v>0</v>
      </c>
      <c r="AA373" s="188">
        <f t="shared" si="115"/>
        <v>0</v>
      </c>
      <c r="AB373" s="188">
        <f t="shared" si="116"/>
        <v>0</v>
      </c>
      <c r="AC373" s="188">
        <f t="shared" si="117"/>
        <v>0</v>
      </c>
      <c r="AD373" s="188">
        <f t="shared" si="118"/>
        <v>0</v>
      </c>
      <c r="AE373" s="183">
        <f t="shared" si="119"/>
        <v>0</v>
      </c>
    </row>
    <row r="374" spans="1:31" x14ac:dyDescent="0.25">
      <c r="A374" s="185" t="s">
        <v>211</v>
      </c>
      <c r="B374" s="188" t="s">
        <v>401</v>
      </c>
      <c r="C374" s="188" t="s">
        <v>26</v>
      </c>
      <c r="D374" s="188" t="str">
        <f t="shared" si="102"/>
        <v>101-E353</v>
      </c>
      <c r="E374" s="188">
        <v>0</v>
      </c>
      <c r="F374" s="188">
        <v>0</v>
      </c>
      <c r="G374" s="188">
        <v>0</v>
      </c>
      <c r="H374" s="188">
        <v>0</v>
      </c>
      <c r="I374" s="188">
        <v>0</v>
      </c>
      <c r="J374" s="183">
        <v>0</v>
      </c>
      <c r="L374" s="188" t="str">
        <f t="shared" si="103"/>
        <v>Projected - Electric</v>
      </c>
      <c r="M374" s="188" t="str">
        <f t="shared" si="104"/>
        <v>E3539 (GIF) Sta Eq, LSR</v>
      </c>
      <c r="N374" s="188" t="str">
        <f t="shared" si="100"/>
        <v>Projected</v>
      </c>
      <c r="O374" s="188" t="str">
        <f t="shared" si="105"/>
        <v>101-E353</v>
      </c>
      <c r="P374" s="188">
        <f t="shared" si="106"/>
        <v>0</v>
      </c>
      <c r="Q374" s="188">
        <f t="shared" si="107"/>
        <v>0</v>
      </c>
      <c r="R374" s="188">
        <f t="shared" si="108"/>
        <v>0</v>
      </c>
      <c r="S374" s="188">
        <f t="shared" si="109"/>
        <v>0</v>
      </c>
      <c r="T374" s="188">
        <f t="shared" si="110"/>
        <v>0</v>
      </c>
      <c r="V374" s="188" t="str">
        <f t="shared" si="111"/>
        <v>Projected - Electric</v>
      </c>
      <c r="W374" s="188" t="str">
        <f t="shared" si="112"/>
        <v>E3539 (GIF) Sta Eq, LSR</v>
      </c>
      <c r="X374" s="188" t="str">
        <f t="shared" si="101"/>
        <v>Projected</v>
      </c>
      <c r="Y374" s="188" t="str">
        <f t="shared" si="113"/>
        <v>101-E353</v>
      </c>
      <c r="Z374" s="188">
        <f t="shared" si="114"/>
        <v>0</v>
      </c>
      <c r="AA374" s="188">
        <f t="shared" si="115"/>
        <v>0</v>
      </c>
      <c r="AB374" s="188">
        <f t="shared" si="116"/>
        <v>0</v>
      </c>
      <c r="AC374" s="188">
        <f t="shared" si="117"/>
        <v>0</v>
      </c>
      <c r="AD374" s="188">
        <f t="shared" si="118"/>
        <v>0</v>
      </c>
      <c r="AE374" s="183">
        <f t="shared" si="119"/>
        <v>0</v>
      </c>
    </row>
    <row r="375" spans="1:31" x14ac:dyDescent="0.25">
      <c r="A375" s="185" t="s">
        <v>211</v>
      </c>
      <c r="B375" s="188" t="s">
        <v>400</v>
      </c>
      <c r="C375" s="188" t="s">
        <v>26</v>
      </c>
      <c r="D375" s="188" t="str">
        <f t="shared" si="102"/>
        <v>101-E355</v>
      </c>
      <c r="E375" s="188">
        <v>0</v>
      </c>
      <c r="F375" s="188">
        <v>2413891.7399999998</v>
      </c>
      <c r="G375" s="188">
        <v>1985786.96</v>
      </c>
      <c r="H375" s="188">
        <v>16170645.75</v>
      </c>
      <c r="I375" s="188">
        <v>0</v>
      </c>
      <c r="J375" s="183">
        <v>0</v>
      </c>
      <c r="L375" s="188" t="str">
        <f t="shared" si="103"/>
        <v>Projected - Electric</v>
      </c>
      <c r="M375" s="188" t="str">
        <f t="shared" si="104"/>
        <v>E355 TSM Poles &amp; Fixtures</v>
      </c>
      <c r="N375" s="188" t="str">
        <f t="shared" si="100"/>
        <v>Projected</v>
      </c>
      <c r="O375" s="188" t="str">
        <f t="shared" si="105"/>
        <v>101-E355</v>
      </c>
      <c r="P375" s="188">
        <f t="shared" si="106"/>
        <v>0</v>
      </c>
      <c r="Q375" s="188">
        <f t="shared" si="107"/>
        <v>2413891.7399999998</v>
      </c>
      <c r="R375" s="188">
        <f t="shared" si="108"/>
        <v>1985786.96</v>
      </c>
      <c r="S375" s="188">
        <f t="shared" si="109"/>
        <v>16170645.75</v>
      </c>
      <c r="T375" s="188">
        <f t="shared" si="110"/>
        <v>0</v>
      </c>
      <c r="V375" s="188" t="str">
        <f t="shared" si="111"/>
        <v>Projected - Electric</v>
      </c>
      <c r="W375" s="188" t="str">
        <f t="shared" si="112"/>
        <v>E355 TSM Poles &amp; Fixtures</v>
      </c>
      <c r="X375" s="188" t="str">
        <f t="shared" si="101"/>
        <v>Projected</v>
      </c>
      <c r="Y375" s="188" t="str">
        <f t="shared" si="113"/>
        <v>101-E355</v>
      </c>
      <c r="Z375" s="188">
        <f t="shared" si="114"/>
        <v>0</v>
      </c>
      <c r="AA375" s="188">
        <f t="shared" si="115"/>
        <v>0</v>
      </c>
      <c r="AB375" s="188">
        <f t="shared" si="116"/>
        <v>0</v>
      </c>
      <c r="AC375" s="188">
        <f t="shared" si="117"/>
        <v>0</v>
      </c>
      <c r="AD375" s="188">
        <f t="shared" si="118"/>
        <v>0</v>
      </c>
      <c r="AE375" s="183">
        <f t="shared" si="119"/>
        <v>0</v>
      </c>
    </row>
    <row r="376" spans="1:31" x14ac:dyDescent="0.25">
      <c r="A376" s="185" t="s">
        <v>211</v>
      </c>
      <c r="B376" s="188" t="s">
        <v>324</v>
      </c>
      <c r="C376" s="188" t="s">
        <v>26</v>
      </c>
      <c r="D376" s="188" t="str">
        <f t="shared" si="102"/>
        <v>101-E355</v>
      </c>
      <c r="E376" s="188">
        <v>0</v>
      </c>
      <c r="F376" s="188">
        <v>5833629.8099999996</v>
      </c>
      <c r="G376" s="188">
        <v>11781988.6</v>
      </c>
      <c r="H376" s="188">
        <v>20152191.009999998</v>
      </c>
      <c r="I376" s="188">
        <v>0</v>
      </c>
      <c r="J376" s="183">
        <v>0</v>
      </c>
      <c r="L376" s="188" t="str">
        <f t="shared" si="103"/>
        <v>Projected - Electric</v>
      </c>
      <c r="M376" s="188" t="str">
        <f t="shared" si="104"/>
        <v>E3556 TSM Poles</v>
      </c>
      <c r="N376" s="188" t="str">
        <f t="shared" si="100"/>
        <v>Projected</v>
      </c>
      <c r="O376" s="188" t="str">
        <f t="shared" si="105"/>
        <v>101-E355</v>
      </c>
      <c r="P376" s="188">
        <f t="shared" si="106"/>
        <v>0</v>
      </c>
      <c r="Q376" s="188">
        <f t="shared" si="107"/>
        <v>5833629.8099999996</v>
      </c>
      <c r="R376" s="188">
        <f t="shared" si="108"/>
        <v>11781988.6</v>
      </c>
      <c r="S376" s="188">
        <f t="shared" si="109"/>
        <v>20152191.009999998</v>
      </c>
      <c r="T376" s="188">
        <f t="shared" si="110"/>
        <v>0</v>
      </c>
      <c r="V376" s="188" t="str">
        <f t="shared" si="111"/>
        <v>Projected - Electric</v>
      </c>
      <c r="W376" s="188" t="str">
        <f t="shared" si="112"/>
        <v>E3556 TSM Poles</v>
      </c>
      <c r="X376" s="188" t="str">
        <f t="shared" si="101"/>
        <v>Projected</v>
      </c>
      <c r="Y376" s="188" t="str">
        <f t="shared" si="113"/>
        <v>101-E355</v>
      </c>
      <c r="Z376" s="188">
        <f t="shared" si="114"/>
        <v>0</v>
      </c>
      <c r="AA376" s="188">
        <f t="shared" si="115"/>
        <v>0</v>
      </c>
      <c r="AB376" s="188">
        <f t="shared" si="116"/>
        <v>0</v>
      </c>
      <c r="AC376" s="188">
        <f t="shared" si="117"/>
        <v>0</v>
      </c>
      <c r="AD376" s="188">
        <f t="shared" si="118"/>
        <v>0</v>
      </c>
      <c r="AE376" s="183">
        <f t="shared" si="119"/>
        <v>0</v>
      </c>
    </row>
    <row r="377" spans="1:31" x14ac:dyDescent="0.25">
      <c r="A377" s="185" t="s">
        <v>211</v>
      </c>
      <c r="B377" s="188" t="s">
        <v>399</v>
      </c>
      <c r="C377" s="188" t="s">
        <v>26</v>
      </c>
      <c r="D377" s="188" t="str">
        <f t="shared" si="102"/>
        <v>101-E355</v>
      </c>
      <c r="E377" s="188">
        <v>0</v>
      </c>
      <c r="F377" s="188">
        <v>744.33</v>
      </c>
      <c r="G377" s="188">
        <v>1115.33</v>
      </c>
      <c r="H377" s="188">
        <v>1856.2</v>
      </c>
      <c r="I377" s="188">
        <v>0</v>
      </c>
      <c r="J377" s="183">
        <v>0</v>
      </c>
      <c r="L377" s="188" t="str">
        <f t="shared" si="103"/>
        <v>Projected - Electric</v>
      </c>
      <c r="M377" s="188" t="str">
        <f t="shared" si="104"/>
        <v>E3557 TSM Poles</v>
      </c>
      <c r="N377" s="188" t="str">
        <f t="shared" si="100"/>
        <v>Projected</v>
      </c>
      <c r="O377" s="188" t="str">
        <f t="shared" si="105"/>
        <v>101-E355</v>
      </c>
      <c r="P377" s="188">
        <f t="shared" si="106"/>
        <v>0</v>
      </c>
      <c r="Q377" s="188">
        <f t="shared" si="107"/>
        <v>744.33</v>
      </c>
      <c r="R377" s="188">
        <f t="shared" si="108"/>
        <v>1115.33</v>
      </c>
      <c r="S377" s="188">
        <f t="shared" si="109"/>
        <v>1856.2</v>
      </c>
      <c r="T377" s="188">
        <f t="shared" si="110"/>
        <v>0</v>
      </c>
      <c r="V377" s="188" t="str">
        <f t="shared" si="111"/>
        <v>Projected - Electric</v>
      </c>
      <c r="W377" s="188" t="str">
        <f t="shared" si="112"/>
        <v>E3557 TSM Poles</v>
      </c>
      <c r="X377" s="188" t="str">
        <f t="shared" si="101"/>
        <v>Projected</v>
      </c>
      <c r="Y377" s="188" t="str">
        <f t="shared" si="113"/>
        <v>101-E355</v>
      </c>
      <c r="Z377" s="188">
        <f t="shared" si="114"/>
        <v>0</v>
      </c>
      <c r="AA377" s="188">
        <f t="shared" si="115"/>
        <v>0</v>
      </c>
      <c r="AB377" s="188">
        <f t="shared" si="116"/>
        <v>0</v>
      </c>
      <c r="AC377" s="188">
        <f t="shared" si="117"/>
        <v>0</v>
      </c>
      <c r="AD377" s="188">
        <f t="shared" si="118"/>
        <v>0</v>
      </c>
      <c r="AE377" s="183">
        <f t="shared" si="119"/>
        <v>0</v>
      </c>
    </row>
    <row r="378" spans="1:31" x14ac:dyDescent="0.25">
      <c r="A378" s="185" t="s">
        <v>211</v>
      </c>
      <c r="B378" s="188" t="s">
        <v>398</v>
      </c>
      <c r="C378" s="188" t="s">
        <v>26</v>
      </c>
      <c r="D378" s="188" t="str">
        <f t="shared" si="102"/>
        <v>101-E355</v>
      </c>
      <c r="E378" s="188">
        <v>0</v>
      </c>
      <c r="F378" s="188">
        <v>0</v>
      </c>
      <c r="G378" s="188">
        <v>0</v>
      </c>
      <c r="H378" s="188">
        <v>0</v>
      </c>
      <c r="I378" s="188">
        <v>0</v>
      </c>
      <c r="J378" s="183">
        <v>0</v>
      </c>
      <c r="L378" s="188" t="str">
        <f t="shared" si="103"/>
        <v>Projected - Electric</v>
      </c>
      <c r="M378" s="188" t="str">
        <f t="shared" si="104"/>
        <v>E3559 (GIF) TSM Poles, LSR</v>
      </c>
      <c r="N378" s="188" t="str">
        <f t="shared" si="100"/>
        <v>Projected</v>
      </c>
      <c r="O378" s="188" t="str">
        <f t="shared" si="105"/>
        <v>101-E355</v>
      </c>
      <c r="P378" s="188">
        <f t="shared" si="106"/>
        <v>0</v>
      </c>
      <c r="Q378" s="188">
        <f t="shared" si="107"/>
        <v>0</v>
      </c>
      <c r="R378" s="188">
        <f t="shared" si="108"/>
        <v>0</v>
      </c>
      <c r="S378" s="188">
        <f t="shared" si="109"/>
        <v>0</v>
      </c>
      <c r="T378" s="188">
        <f t="shared" si="110"/>
        <v>0</v>
      </c>
      <c r="V378" s="188" t="str">
        <f t="shared" si="111"/>
        <v>Projected - Electric</v>
      </c>
      <c r="W378" s="188" t="str">
        <f t="shared" si="112"/>
        <v>E3559 (GIF) TSM Poles, LSR</v>
      </c>
      <c r="X378" s="188" t="str">
        <f t="shared" si="101"/>
        <v>Projected</v>
      </c>
      <c r="Y378" s="188" t="str">
        <f t="shared" si="113"/>
        <v>101-E355</v>
      </c>
      <c r="Z378" s="188">
        <f t="shared" si="114"/>
        <v>0</v>
      </c>
      <c r="AA378" s="188">
        <f t="shared" si="115"/>
        <v>0</v>
      </c>
      <c r="AB378" s="188">
        <f t="shared" si="116"/>
        <v>0</v>
      </c>
      <c r="AC378" s="188">
        <f t="shared" si="117"/>
        <v>0</v>
      </c>
      <c r="AD378" s="188">
        <f t="shared" si="118"/>
        <v>0</v>
      </c>
      <c r="AE378" s="183">
        <f t="shared" si="119"/>
        <v>0</v>
      </c>
    </row>
    <row r="379" spans="1:31" x14ac:dyDescent="0.25">
      <c r="A379" s="185" t="s">
        <v>211</v>
      </c>
      <c r="B379" s="188" t="s">
        <v>397</v>
      </c>
      <c r="C379" s="188" t="s">
        <v>26</v>
      </c>
      <c r="D379" s="188" t="str">
        <f t="shared" si="102"/>
        <v>101-E356</v>
      </c>
      <c r="E379" s="188">
        <v>0</v>
      </c>
      <c r="F379" s="188">
        <v>37265.57</v>
      </c>
      <c r="G379" s="188">
        <v>41107.449999999997</v>
      </c>
      <c r="H379" s="188">
        <v>133081.17000000001</v>
      </c>
      <c r="I379" s="188">
        <v>0</v>
      </c>
      <c r="J379" s="183">
        <v>0</v>
      </c>
      <c r="L379" s="188" t="str">
        <f t="shared" si="103"/>
        <v>Projected - Electric</v>
      </c>
      <c r="M379" s="188" t="str">
        <f t="shared" si="104"/>
        <v>E356 TSM O/H Cond, 3rd AC Line</v>
      </c>
      <c r="N379" s="188" t="str">
        <f t="shared" si="100"/>
        <v>Projected</v>
      </c>
      <c r="O379" s="188" t="str">
        <f t="shared" si="105"/>
        <v>101-E356</v>
      </c>
      <c r="P379" s="188">
        <f t="shared" si="106"/>
        <v>0</v>
      </c>
      <c r="Q379" s="188">
        <f t="shared" si="107"/>
        <v>37265.57</v>
      </c>
      <c r="R379" s="188">
        <f t="shared" si="108"/>
        <v>41107.449999999997</v>
      </c>
      <c r="S379" s="188">
        <f t="shared" si="109"/>
        <v>133081.17000000001</v>
      </c>
      <c r="T379" s="188">
        <f t="shared" si="110"/>
        <v>0</v>
      </c>
      <c r="V379" s="188" t="str">
        <f t="shared" si="111"/>
        <v>Projected - Electric</v>
      </c>
      <c r="W379" s="188" t="str">
        <f t="shared" si="112"/>
        <v>E356 TSM O/H Cond, 3rd AC Line</v>
      </c>
      <c r="X379" s="188" t="str">
        <f t="shared" si="101"/>
        <v>Projected</v>
      </c>
      <c r="Y379" s="188" t="str">
        <f t="shared" si="113"/>
        <v>101-E356</v>
      </c>
      <c r="Z379" s="188">
        <f t="shared" si="114"/>
        <v>0</v>
      </c>
      <c r="AA379" s="188">
        <f t="shared" si="115"/>
        <v>0</v>
      </c>
      <c r="AB379" s="188">
        <f t="shared" si="116"/>
        <v>0</v>
      </c>
      <c r="AC379" s="188">
        <f t="shared" si="117"/>
        <v>0</v>
      </c>
      <c r="AD379" s="188">
        <f t="shared" si="118"/>
        <v>0</v>
      </c>
      <c r="AE379" s="183">
        <f t="shared" si="119"/>
        <v>0</v>
      </c>
    </row>
    <row r="380" spans="1:31" x14ac:dyDescent="0.25">
      <c r="A380" s="185" t="s">
        <v>211</v>
      </c>
      <c r="B380" s="188" t="s">
        <v>396</v>
      </c>
      <c r="C380" s="188" t="s">
        <v>26</v>
      </c>
      <c r="D380" s="188" t="str">
        <f t="shared" si="102"/>
        <v>101-E356</v>
      </c>
      <c r="E380" s="188">
        <v>0</v>
      </c>
      <c r="F380" s="188">
        <v>2318688.71</v>
      </c>
      <c r="G380" s="188">
        <v>3281785.08</v>
      </c>
      <c r="H380" s="188">
        <v>8038487.7299999986</v>
      </c>
      <c r="I380" s="188">
        <v>0</v>
      </c>
      <c r="J380" s="183">
        <v>0</v>
      </c>
      <c r="L380" s="188" t="str">
        <f t="shared" si="103"/>
        <v>Projected - Electric</v>
      </c>
      <c r="M380" s="188" t="str">
        <f t="shared" si="104"/>
        <v>E356 TSM O/H Conductor &amp; Devices</v>
      </c>
      <c r="N380" s="188" t="str">
        <f t="shared" si="100"/>
        <v>Projected</v>
      </c>
      <c r="O380" s="188" t="str">
        <f t="shared" si="105"/>
        <v>101-E356</v>
      </c>
      <c r="P380" s="188">
        <f t="shared" si="106"/>
        <v>0</v>
      </c>
      <c r="Q380" s="188">
        <f t="shared" si="107"/>
        <v>2318688.71</v>
      </c>
      <c r="R380" s="188">
        <f t="shared" si="108"/>
        <v>3281785.08</v>
      </c>
      <c r="S380" s="188">
        <f t="shared" si="109"/>
        <v>8038487.7299999986</v>
      </c>
      <c r="T380" s="188">
        <f t="shared" si="110"/>
        <v>0</v>
      </c>
      <c r="V380" s="188" t="str">
        <f t="shared" si="111"/>
        <v>Projected - Electric</v>
      </c>
      <c r="W380" s="188" t="str">
        <f t="shared" si="112"/>
        <v>E356 TSM O/H Conductor &amp; Devices</v>
      </c>
      <c r="X380" s="188" t="str">
        <f t="shared" si="101"/>
        <v>Projected</v>
      </c>
      <c r="Y380" s="188" t="str">
        <f t="shared" si="113"/>
        <v>101-E356</v>
      </c>
      <c r="Z380" s="188">
        <f t="shared" si="114"/>
        <v>0</v>
      </c>
      <c r="AA380" s="188">
        <f t="shared" si="115"/>
        <v>0</v>
      </c>
      <c r="AB380" s="188">
        <f t="shared" si="116"/>
        <v>0</v>
      </c>
      <c r="AC380" s="188">
        <f t="shared" si="117"/>
        <v>0</v>
      </c>
      <c r="AD380" s="188">
        <f t="shared" si="118"/>
        <v>0</v>
      </c>
      <c r="AE380" s="183">
        <f t="shared" si="119"/>
        <v>0</v>
      </c>
    </row>
    <row r="381" spans="1:31" x14ac:dyDescent="0.25">
      <c r="A381" s="185" t="s">
        <v>211</v>
      </c>
      <c r="B381" s="188" t="s">
        <v>395</v>
      </c>
      <c r="C381" s="188" t="s">
        <v>26</v>
      </c>
      <c r="D381" s="188" t="str">
        <f t="shared" si="102"/>
        <v>101-E356</v>
      </c>
      <c r="E381" s="188">
        <v>0</v>
      </c>
      <c r="F381" s="188">
        <v>54301.97</v>
      </c>
      <c r="G381" s="188">
        <v>47297.090000000004</v>
      </c>
      <c r="H381" s="188">
        <v>347491.03999999992</v>
      </c>
      <c r="I381" s="188">
        <v>0</v>
      </c>
      <c r="J381" s="183">
        <v>0</v>
      </c>
      <c r="L381" s="188" t="str">
        <f t="shared" si="103"/>
        <v>Projected - Electric</v>
      </c>
      <c r="M381" s="188" t="str">
        <f t="shared" si="104"/>
        <v>E3566 TSM O/H Conductor/Devices</v>
      </c>
      <c r="N381" s="188" t="str">
        <f t="shared" si="100"/>
        <v>Projected</v>
      </c>
      <c r="O381" s="188" t="str">
        <f t="shared" si="105"/>
        <v>101-E356</v>
      </c>
      <c r="P381" s="188">
        <f t="shared" si="106"/>
        <v>0</v>
      </c>
      <c r="Q381" s="188">
        <f t="shared" si="107"/>
        <v>54301.97</v>
      </c>
      <c r="R381" s="188">
        <f t="shared" si="108"/>
        <v>47297.090000000004</v>
      </c>
      <c r="S381" s="188">
        <f t="shared" si="109"/>
        <v>347491.03999999992</v>
      </c>
      <c r="T381" s="188">
        <f t="shared" si="110"/>
        <v>0</v>
      </c>
      <c r="V381" s="188" t="str">
        <f t="shared" si="111"/>
        <v>Projected - Electric</v>
      </c>
      <c r="W381" s="188" t="str">
        <f t="shared" si="112"/>
        <v>E3566 TSM O/H Conductor/Devices</v>
      </c>
      <c r="X381" s="188" t="str">
        <f t="shared" si="101"/>
        <v>Projected</v>
      </c>
      <c r="Y381" s="188" t="str">
        <f t="shared" si="113"/>
        <v>101-E356</v>
      </c>
      <c r="Z381" s="188">
        <f t="shared" si="114"/>
        <v>0</v>
      </c>
      <c r="AA381" s="188">
        <f t="shared" si="115"/>
        <v>0</v>
      </c>
      <c r="AB381" s="188">
        <f t="shared" si="116"/>
        <v>0</v>
      </c>
      <c r="AC381" s="188">
        <f t="shared" si="117"/>
        <v>0</v>
      </c>
      <c r="AD381" s="188">
        <f t="shared" si="118"/>
        <v>0</v>
      </c>
      <c r="AE381" s="183">
        <f t="shared" si="119"/>
        <v>0</v>
      </c>
    </row>
    <row r="382" spans="1:31" x14ac:dyDescent="0.25">
      <c r="A382" s="185" t="s">
        <v>211</v>
      </c>
      <c r="B382" s="188" t="s">
        <v>394</v>
      </c>
      <c r="C382" s="188" t="s">
        <v>26</v>
      </c>
      <c r="D382" s="188" t="str">
        <f t="shared" si="102"/>
        <v>101-E356</v>
      </c>
      <c r="E382" s="188">
        <v>0</v>
      </c>
      <c r="F382" s="188">
        <v>265.68</v>
      </c>
      <c r="G382" s="188">
        <v>398.53</v>
      </c>
      <c r="H382" s="188">
        <v>664.21</v>
      </c>
      <c r="I382" s="188">
        <v>0</v>
      </c>
      <c r="J382" s="183">
        <v>0</v>
      </c>
      <c r="L382" s="188" t="str">
        <f t="shared" si="103"/>
        <v>Projected - Electric</v>
      </c>
      <c r="M382" s="188" t="str">
        <f t="shared" si="104"/>
        <v>E3567 TSM O/H Conductor/Devices</v>
      </c>
      <c r="N382" s="188" t="str">
        <f t="shared" si="100"/>
        <v>Projected</v>
      </c>
      <c r="O382" s="188" t="str">
        <f t="shared" si="105"/>
        <v>101-E356</v>
      </c>
      <c r="P382" s="188">
        <f t="shared" si="106"/>
        <v>0</v>
      </c>
      <c r="Q382" s="188">
        <f t="shared" si="107"/>
        <v>265.68</v>
      </c>
      <c r="R382" s="188">
        <f t="shared" si="108"/>
        <v>398.53</v>
      </c>
      <c r="S382" s="188">
        <f t="shared" si="109"/>
        <v>664.21</v>
      </c>
      <c r="T382" s="188">
        <f t="shared" si="110"/>
        <v>0</v>
      </c>
      <c r="V382" s="188" t="str">
        <f t="shared" si="111"/>
        <v>Projected - Electric</v>
      </c>
      <c r="W382" s="188" t="str">
        <f t="shared" si="112"/>
        <v>E3567 TSM O/H Conductor/Devices</v>
      </c>
      <c r="X382" s="188" t="str">
        <f t="shared" si="101"/>
        <v>Projected</v>
      </c>
      <c r="Y382" s="188" t="str">
        <f t="shared" si="113"/>
        <v>101-E356</v>
      </c>
      <c r="Z382" s="188">
        <f t="shared" si="114"/>
        <v>0</v>
      </c>
      <c r="AA382" s="188">
        <f t="shared" si="115"/>
        <v>0</v>
      </c>
      <c r="AB382" s="188">
        <f t="shared" si="116"/>
        <v>0</v>
      </c>
      <c r="AC382" s="188">
        <f t="shared" si="117"/>
        <v>0</v>
      </c>
      <c r="AD382" s="188">
        <f t="shared" si="118"/>
        <v>0</v>
      </c>
      <c r="AE382" s="183">
        <f t="shared" si="119"/>
        <v>0</v>
      </c>
    </row>
    <row r="383" spans="1:31" x14ac:dyDescent="0.25">
      <c r="A383" s="185" t="s">
        <v>211</v>
      </c>
      <c r="B383" s="188" t="s">
        <v>393</v>
      </c>
      <c r="C383" s="188" t="s">
        <v>26</v>
      </c>
      <c r="D383" s="188" t="str">
        <f t="shared" si="102"/>
        <v>101-E356</v>
      </c>
      <c r="E383" s="188">
        <v>0</v>
      </c>
      <c r="F383" s="188">
        <v>14612.67</v>
      </c>
      <c r="G383" s="188">
        <v>15242.37</v>
      </c>
      <c r="H383" s="188">
        <v>30371.03</v>
      </c>
      <c r="I383" s="188">
        <v>0</v>
      </c>
      <c r="J383" s="183">
        <v>0</v>
      </c>
      <c r="L383" s="188" t="str">
        <f t="shared" si="103"/>
        <v>Projected - Electric</v>
      </c>
      <c r="M383" s="188" t="str">
        <f t="shared" si="104"/>
        <v>E3569 (GIF) O/H Cond, TLN-HPK@plant</v>
      </c>
      <c r="N383" s="188" t="str">
        <f t="shared" si="100"/>
        <v>Projected</v>
      </c>
      <c r="O383" s="188" t="str">
        <f t="shared" si="105"/>
        <v>101-E356</v>
      </c>
      <c r="P383" s="188">
        <f t="shared" si="106"/>
        <v>0</v>
      </c>
      <c r="Q383" s="188">
        <f t="shared" si="107"/>
        <v>14612.67</v>
      </c>
      <c r="R383" s="188">
        <f t="shared" si="108"/>
        <v>15242.37</v>
      </c>
      <c r="S383" s="188">
        <f t="shared" si="109"/>
        <v>30371.03</v>
      </c>
      <c r="T383" s="188">
        <f t="shared" si="110"/>
        <v>0</v>
      </c>
      <c r="V383" s="188" t="str">
        <f t="shared" si="111"/>
        <v>Projected - Electric</v>
      </c>
      <c r="W383" s="188" t="str">
        <f t="shared" si="112"/>
        <v>E3569 (GIF) O/H Cond, TLN-HPK@plant</v>
      </c>
      <c r="X383" s="188" t="str">
        <f t="shared" si="101"/>
        <v>Projected</v>
      </c>
      <c r="Y383" s="188" t="str">
        <f t="shared" si="113"/>
        <v>101-E356</v>
      </c>
      <c r="Z383" s="188">
        <f t="shared" si="114"/>
        <v>0</v>
      </c>
      <c r="AA383" s="188">
        <f t="shared" si="115"/>
        <v>0</v>
      </c>
      <c r="AB383" s="188">
        <f t="shared" si="116"/>
        <v>0</v>
      </c>
      <c r="AC383" s="188">
        <f t="shared" si="117"/>
        <v>0</v>
      </c>
      <c r="AD383" s="188">
        <f t="shared" si="118"/>
        <v>0</v>
      </c>
      <c r="AE383" s="183">
        <f t="shared" si="119"/>
        <v>0</v>
      </c>
    </row>
    <row r="384" spans="1:31" x14ac:dyDescent="0.25">
      <c r="A384" s="185" t="s">
        <v>211</v>
      </c>
      <c r="B384" s="188" t="s">
        <v>392</v>
      </c>
      <c r="C384" s="188" t="s">
        <v>26</v>
      </c>
      <c r="D384" s="188" t="str">
        <f t="shared" si="102"/>
        <v>101-E356</v>
      </c>
      <c r="E384" s="188">
        <v>0</v>
      </c>
      <c r="F384" s="188">
        <v>0</v>
      </c>
      <c r="G384" s="188">
        <v>0</v>
      </c>
      <c r="H384" s="188">
        <v>0</v>
      </c>
      <c r="I384" s="188">
        <v>0</v>
      </c>
      <c r="J384" s="183">
        <v>0</v>
      </c>
      <c r="L384" s="188" t="str">
        <f t="shared" si="103"/>
        <v>Projected - Electric</v>
      </c>
      <c r="M384" s="188" t="str">
        <f t="shared" si="104"/>
        <v>E3569 (GIF) O/H Conductor, LSR</v>
      </c>
      <c r="N384" s="188" t="str">
        <f t="shared" si="100"/>
        <v>Projected</v>
      </c>
      <c r="O384" s="188" t="str">
        <f t="shared" si="105"/>
        <v>101-E356</v>
      </c>
      <c r="P384" s="188">
        <f t="shared" si="106"/>
        <v>0</v>
      </c>
      <c r="Q384" s="188">
        <f t="shared" si="107"/>
        <v>0</v>
      </c>
      <c r="R384" s="188">
        <f t="shared" si="108"/>
        <v>0</v>
      </c>
      <c r="S384" s="188">
        <f t="shared" si="109"/>
        <v>0</v>
      </c>
      <c r="T384" s="188">
        <f t="shared" si="110"/>
        <v>0</v>
      </c>
      <c r="V384" s="188" t="str">
        <f t="shared" si="111"/>
        <v>Projected - Electric</v>
      </c>
      <c r="W384" s="188" t="str">
        <f t="shared" si="112"/>
        <v>E3569 (GIF) O/H Conductor, LSR</v>
      </c>
      <c r="X384" s="188" t="str">
        <f t="shared" si="101"/>
        <v>Projected</v>
      </c>
      <c r="Y384" s="188" t="str">
        <f t="shared" si="113"/>
        <v>101-E356</v>
      </c>
      <c r="Z384" s="188">
        <f t="shared" si="114"/>
        <v>0</v>
      </c>
      <c r="AA384" s="188">
        <f t="shared" si="115"/>
        <v>0</v>
      </c>
      <c r="AB384" s="188">
        <f t="shared" si="116"/>
        <v>0</v>
      </c>
      <c r="AC384" s="188">
        <f t="shared" si="117"/>
        <v>0</v>
      </c>
      <c r="AD384" s="188">
        <f t="shared" si="118"/>
        <v>0</v>
      </c>
      <c r="AE384" s="183">
        <f t="shared" si="119"/>
        <v>0</v>
      </c>
    </row>
    <row r="385" spans="1:31" x14ac:dyDescent="0.25">
      <c r="A385" s="185" t="s">
        <v>211</v>
      </c>
      <c r="B385" s="188" t="s">
        <v>391</v>
      </c>
      <c r="C385" s="188" t="s">
        <v>26</v>
      </c>
      <c r="D385" s="188" t="str">
        <f t="shared" si="102"/>
        <v>101-E358</v>
      </c>
      <c r="E385" s="188">
        <v>0</v>
      </c>
      <c r="F385" s="188">
        <v>0</v>
      </c>
      <c r="G385" s="188">
        <v>0</v>
      </c>
      <c r="H385" s="188">
        <v>0</v>
      </c>
      <c r="I385" s="188">
        <v>0</v>
      </c>
      <c r="J385" s="183">
        <v>0</v>
      </c>
      <c r="L385" s="188" t="str">
        <f t="shared" si="103"/>
        <v>Projected - Electric</v>
      </c>
      <c r="M385" s="188" t="str">
        <f t="shared" si="104"/>
        <v>E3589 (GIF) UG Conductor, LSR</v>
      </c>
      <c r="N385" s="188" t="str">
        <f t="shared" si="100"/>
        <v>Projected</v>
      </c>
      <c r="O385" s="188" t="str">
        <f t="shared" si="105"/>
        <v>101-E358</v>
      </c>
      <c r="P385" s="188">
        <f t="shared" si="106"/>
        <v>0</v>
      </c>
      <c r="Q385" s="188">
        <f t="shared" si="107"/>
        <v>0</v>
      </c>
      <c r="R385" s="188">
        <f t="shared" si="108"/>
        <v>0</v>
      </c>
      <c r="S385" s="188">
        <f t="shared" si="109"/>
        <v>0</v>
      </c>
      <c r="T385" s="188">
        <f t="shared" si="110"/>
        <v>0</v>
      </c>
      <c r="V385" s="188" t="str">
        <f t="shared" si="111"/>
        <v>Projected - Electric</v>
      </c>
      <c r="W385" s="188" t="str">
        <f t="shared" si="112"/>
        <v>E3589 (GIF) UG Conductor, LSR</v>
      </c>
      <c r="X385" s="188" t="str">
        <f t="shared" si="101"/>
        <v>Projected</v>
      </c>
      <c r="Y385" s="188" t="str">
        <f t="shared" si="113"/>
        <v>101-E358</v>
      </c>
      <c r="Z385" s="188">
        <f t="shared" si="114"/>
        <v>0</v>
      </c>
      <c r="AA385" s="188">
        <f t="shared" si="115"/>
        <v>0</v>
      </c>
      <c r="AB385" s="188">
        <f t="shared" si="116"/>
        <v>0</v>
      </c>
      <c r="AC385" s="188">
        <f t="shared" si="117"/>
        <v>0</v>
      </c>
      <c r="AD385" s="188">
        <f t="shared" si="118"/>
        <v>0</v>
      </c>
      <c r="AE385" s="183">
        <f t="shared" si="119"/>
        <v>0</v>
      </c>
    </row>
    <row r="386" spans="1:31" x14ac:dyDescent="0.25">
      <c r="A386" s="185" t="s">
        <v>211</v>
      </c>
      <c r="B386" s="188" t="s">
        <v>390</v>
      </c>
      <c r="C386" s="188" t="s">
        <v>26</v>
      </c>
      <c r="D386" s="188" t="str">
        <f t="shared" si="102"/>
        <v>101-E359</v>
      </c>
      <c r="E386" s="188">
        <v>0</v>
      </c>
      <c r="F386" s="188">
        <v>41627.53</v>
      </c>
      <c r="G386" s="188">
        <v>45919.1</v>
      </c>
      <c r="H386" s="188">
        <v>148658.41</v>
      </c>
      <c r="I386" s="188">
        <v>0</v>
      </c>
      <c r="J386" s="183">
        <v>0</v>
      </c>
      <c r="L386" s="188" t="str">
        <f t="shared" si="103"/>
        <v>Projected - Electric</v>
      </c>
      <c r="M386" s="188" t="str">
        <f t="shared" si="104"/>
        <v>E3590 TSM Roads, 3rd AC Line</v>
      </c>
      <c r="N386" s="188" t="str">
        <f t="shared" si="100"/>
        <v>Projected</v>
      </c>
      <c r="O386" s="188" t="str">
        <f t="shared" si="105"/>
        <v>101-E359</v>
      </c>
      <c r="P386" s="188">
        <f t="shared" si="106"/>
        <v>0</v>
      </c>
      <c r="Q386" s="188">
        <f t="shared" si="107"/>
        <v>41627.53</v>
      </c>
      <c r="R386" s="188">
        <f t="shared" si="108"/>
        <v>45919.1</v>
      </c>
      <c r="S386" s="188">
        <f t="shared" si="109"/>
        <v>148658.41</v>
      </c>
      <c r="T386" s="188">
        <f t="shared" si="110"/>
        <v>0</v>
      </c>
      <c r="V386" s="188" t="str">
        <f t="shared" si="111"/>
        <v>Projected - Electric</v>
      </c>
      <c r="W386" s="188" t="str">
        <f t="shared" si="112"/>
        <v>E3590 TSM Roads, 3rd AC Line</v>
      </c>
      <c r="X386" s="188" t="str">
        <f t="shared" si="101"/>
        <v>Projected</v>
      </c>
      <c r="Y386" s="188" t="str">
        <f t="shared" si="113"/>
        <v>101-E359</v>
      </c>
      <c r="Z386" s="188">
        <f t="shared" si="114"/>
        <v>0</v>
      </c>
      <c r="AA386" s="188">
        <f t="shared" si="115"/>
        <v>0</v>
      </c>
      <c r="AB386" s="188">
        <f t="shared" si="116"/>
        <v>0</v>
      </c>
      <c r="AC386" s="188">
        <f t="shared" si="117"/>
        <v>0</v>
      </c>
      <c r="AD386" s="188">
        <f t="shared" si="118"/>
        <v>0</v>
      </c>
      <c r="AE386" s="183">
        <f t="shared" si="119"/>
        <v>0</v>
      </c>
    </row>
    <row r="387" spans="1:31" x14ac:dyDescent="0.25">
      <c r="A387" s="185" t="s">
        <v>211</v>
      </c>
      <c r="B387" s="188" t="s">
        <v>389</v>
      </c>
      <c r="C387" s="188" t="s">
        <v>26</v>
      </c>
      <c r="D387" s="188" t="str">
        <f t="shared" si="102"/>
        <v>101-E360</v>
      </c>
      <c r="E387" s="188">
        <v>0</v>
      </c>
      <c r="F387" s="188">
        <v>849999.96</v>
      </c>
      <c r="G387" s="188">
        <v>1024999.97</v>
      </c>
      <c r="H387" s="188">
        <v>1200000</v>
      </c>
      <c r="I387" s="188">
        <v>0</v>
      </c>
      <c r="J387" s="183">
        <v>0</v>
      </c>
      <c r="L387" s="188" t="str">
        <f t="shared" si="103"/>
        <v>Projected - Electric</v>
      </c>
      <c r="M387" s="188" t="str">
        <f t="shared" si="104"/>
        <v>E3600 DST Land &amp; Land Rights</v>
      </c>
      <c r="N387" s="188" t="str">
        <f t="shared" si="100"/>
        <v>Projected</v>
      </c>
      <c r="O387" s="188" t="str">
        <f t="shared" si="105"/>
        <v>101-E360</v>
      </c>
      <c r="P387" s="188">
        <f t="shared" si="106"/>
        <v>0</v>
      </c>
      <c r="Q387" s="188">
        <f t="shared" si="107"/>
        <v>849999.96</v>
      </c>
      <c r="R387" s="188">
        <f t="shared" si="108"/>
        <v>1024999.97</v>
      </c>
      <c r="S387" s="188">
        <f t="shared" si="109"/>
        <v>1200000</v>
      </c>
      <c r="T387" s="188">
        <f t="shared" si="110"/>
        <v>0</v>
      </c>
      <c r="V387" s="188" t="str">
        <f t="shared" si="111"/>
        <v>Projected - Electric</v>
      </c>
      <c r="W387" s="188" t="str">
        <f t="shared" si="112"/>
        <v>E3600 DST Land &amp; Land Rights</v>
      </c>
      <c r="X387" s="188" t="str">
        <f t="shared" si="101"/>
        <v>Projected</v>
      </c>
      <c r="Y387" s="188" t="str">
        <f t="shared" si="113"/>
        <v>101-E360</v>
      </c>
      <c r="Z387" s="188">
        <f t="shared" si="114"/>
        <v>0</v>
      </c>
      <c r="AA387" s="188">
        <f t="shared" si="115"/>
        <v>0</v>
      </c>
      <c r="AB387" s="188">
        <f t="shared" si="116"/>
        <v>0</v>
      </c>
      <c r="AC387" s="188">
        <f t="shared" si="117"/>
        <v>0</v>
      </c>
      <c r="AD387" s="188">
        <f t="shared" si="118"/>
        <v>0</v>
      </c>
      <c r="AE387" s="183">
        <f t="shared" si="119"/>
        <v>0</v>
      </c>
    </row>
    <row r="388" spans="1:31" x14ac:dyDescent="0.25">
      <c r="A388" s="185" t="s">
        <v>211</v>
      </c>
      <c r="B388" s="188" t="s">
        <v>329</v>
      </c>
      <c r="C388" s="188" t="s">
        <v>26</v>
      </c>
      <c r="D388" s="188" t="str">
        <f t="shared" si="102"/>
        <v>101-E361</v>
      </c>
      <c r="E388" s="188">
        <v>0</v>
      </c>
      <c r="F388" s="188">
        <v>831258.52</v>
      </c>
      <c r="G388" s="188">
        <v>1187365.54</v>
      </c>
      <c r="H388" s="188">
        <v>1901182.67</v>
      </c>
      <c r="I388" s="188">
        <v>0</v>
      </c>
      <c r="J388" s="183">
        <v>0</v>
      </c>
      <c r="L388" s="188" t="str">
        <f t="shared" si="103"/>
        <v>Projected - Electric</v>
      </c>
      <c r="M388" s="188" t="str">
        <f t="shared" si="104"/>
        <v>E3610 DST Structures &amp; Improvement</v>
      </c>
      <c r="N388" s="188" t="str">
        <f t="shared" ref="N388:N451" si="120">C388</f>
        <v>Projected</v>
      </c>
      <c r="O388" s="188" t="str">
        <f t="shared" si="105"/>
        <v>101-E361</v>
      </c>
      <c r="P388" s="188">
        <f t="shared" si="106"/>
        <v>0</v>
      </c>
      <c r="Q388" s="188">
        <f t="shared" si="107"/>
        <v>831258.52</v>
      </c>
      <c r="R388" s="188">
        <f t="shared" si="108"/>
        <v>1187365.54</v>
      </c>
      <c r="S388" s="188">
        <f t="shared" si="109"/>
        <v>1901182.67</v>
      </c>
      <c r="T388" s="188">
        <f t="shared" si="110"/>
        <v>0</v>
      </c>
      <c r="V388" s="188" t="str">
        <f t="shared" si="111"/>
        <v>Projected - Electric</v>
      </c>
      <c r="W388" s="188" t="str">
        <f t="shared" si="112"/>
        <v>E3610 DST Structures &amp; Improvement</v>
      </c>
      <c r="X388" s="188" t="str">
        <f t="shared" ref="X388:X451" si="121">C388</f>
        <v>Projected</v>
      </c>
      <c r="Y388" s="188" t="str">
        <f t="shared" si="113"/>
        <v>101-E361</v>
      </c>
      <c r="Z388" s="188">
        <f t="shared" si="114"/>
        <v>0</v>
      </c>
      <c r="AA388" s="188">
        <f t="shared" si="115"/>
        <v>0</v>
      </c>
      <c r="AB388" s="188">
        <f t="shared" si="116"/>
        <v>0</v>
      </c>
      <c r="AC388" s="188">
        <f t="shared" si="117"/>
        <v>0</v>
      </c>
      <c r="AD388" s="188">
        <f t="shared" si="118"/>
        <v>0</v>
      </c>
      <c r="AE388" s="183">
        <f t="shared" si="119"/>
        <v>0</v>
      </c>
    </row>
    <row r="389" spans="1:31" x14ac:dyDescent="0.25">
      <c r="A389" s="185" t="s">
        <v>211</v>
      </c>
      <c r="B389" s="188" t="s">
        <v>388</v>
      </c>
      <c r="C389" s="188" t="s">
        <v>26</v>
      </c>
      <c r="D389" s="188" t="str">
        <f t="shared" ref="D389:D452" si="122">"101-"&amp; LEFT(B389,4)</f>
        <v>101-E362</v>
      </c>
      <c r="E389" s="188">
        <v>0</v>
      </c>
      <c r="F389" s="188">
        <v>96155.3</v>
      </c>
      <c r="G389" s="188">
        <v>526929.09</v>
      </c>
      <c r="H389" s="188">
        <v>1500276.8</v>
      </c>
      <c r="I389" s="188">
        <v>0</v>
      </c>
      <c r="J389" s="183">
        <v>0</v>
      </c>
      <c r="L389" s="188" t="str">
        <f t="shared" ref="L389:L452" si="123">A389</f>
        <v>Projected - Electric</v>
      </c>
      <c r="M389" s="188" t="str">
        <f t="shared" ref="M389:M452" si="124">B389</f>
        <v>E3620 DST Substation Equipment</v>
      </c>
      <c r="N389" s="188" t="str">
        <f t="shared" si="120"/>
        <v>Projected</v>
      </c>
      <c r="O389" s="188" t="str">
        <f t="shared" ref="O389:O452" si="125">D389</f>
        <v>101-E362</v>
      </c>
      <c r="P389" s="188">
        <f t="shared" ref="P389:P452" si="126">IF(MID($O389,5,1)="C",E389*$F$1,IF(MID($O389,5,1)="G",0,E389))</f>
        <v>0</v>
      </c>
      <c r="Q389" s="188">
        <f t="shared" ref="Q389:Q452" si="127">IF(MID($O389,5,1)="C",F389*$F$1,IF(MID($O389,5,1)="G",0,F389))</f>
        <v>96155.3</v>
      </c>
      <c r="R389" s="188">
        <f t="shared" ref="R389:R452" si="128">IF(MID($O389,5,1)="C",G389*$F$1,IF(MID($O389,5,1)="G",0,G389))</f>
        <v>526929.09</v>
      </c>
      <c r="S389" s="188">
        <f t="shared" ref="S389:S452" si="129">IF(MID($O389,5,1)="C",H389*$F$1,IF(MID($O389,5,1)="G",0,H389))</f>
        <v>1500276.8</v>
      </c>
      <c r="T389" s="188">
        <f t="shared" ref="T389:T452" si="130">IF(MID($O389,5,1)="C",I389*$F$1,IF(MID($O389,5,1)="G",0,I389))</f>
        <v>0</v>
      </c>
      <c r="V389" s="188" t="str">
        <f t="shared" ref="V389:V452" si="131">A389</f>
        <v>Projected - Electric</v>
      </c>
      <c r="W389" s="188" t="str">
        <f t="shared" ref="W389:W452" si="132">B389</f>
        <v>E3620 DST Substation Equipment</v>
      </c>
      <c r="X389" s="188" t="str">
        <f t="shared" si="121"/>
        <v>Projected</v>
      </c>
      <c r="Y389" s="188" t="str">
        <f t="shared" ref="Y389:Y452" si="133">D389</f>
        <v>101-E362</v>
      </c>
      <c r="Z389" s="188">
        <f t="shared" ref="Z389:Z452" si="134">IF(MID($O389,5,1)="C",E389*$D$1,IF(MID($O389,5,1)="E",0,E389))</f>
        <v>0</v>
      </c>
      <c r="AA389" s="188">
        <f t="shared" ref="AA389:AA452" si="135">IF(MID($O389,5,1)="C",F389*$D$1,IF(MID($O389,5,1)="E",0,F389))</f>
        <v>0</v>
      </c>
      <c r="AB389" s="188">
        <f t="shared" ref="AB389:AB452" si="136">IF(MID($O389,5,1)="C",G389*$D$1,IF(MID($O389,5,1)="E",0,G389))</f>
        <v>0</v>
      </c>
      <c r="AC389" s="188">
        <f t="shared" ref="AC389:AC452" si="137">IF(MID($O389,5,1)="C",H389*$D$1,IF(MID($O389,5,1)="E",0,H389))</f>
        <v>0</v>
      </c>
      <c r="AD389" s="188">
        <f t="shared" ref="AD389:AD452" si="138">IF(MID($O389,5,1)="C",I389*$D$1,IF(MID($O389,5,1)="E",0,I389))</f>
        <v>0</v>
      </c>
      <c r="AE389" s="183">
        <f t="shared" ref="AE389:AE452" si="139">SUM(E389:I389)-SUM(P389:T389)-SUM(Z389:AD389)</f>
        <v>0</v>
      </c>
    </row>
    <row r="390" spans="1:31" x14ac:dyDescent="0.25">
      <c r="A390" s="185" t="s">
        <v>211</v>
      </c>
      <c r="B390" s="188" t="s">
        <v>318</v>
      </c>
      <c r="C390" s="188" t="s">
        <v>26</v>
      </c>
      <c r="D390" s="188" t="str">
        <f t="shared" si="122"/>
        <v>101-E364</v>
      </c>
      <c r="E390" s="188">
        <v>0</v>
      </c>
      <c r="F390" s="188">
        <v>2941992.86</v>
      </c>
      <c r="G390" s="188">
        <v>5390965.0700000003</v>
      </c>
      <c r="H390" s="188">
        <v>10784374.1</v>
      </c>
      <c r="I390" s="188">
        <v>0</v>
      </c>
      <c r="J390" s="183">
        <v>0</v>
      </c>
      <c r="L390" s="188" t="str">
        <f t="shared" si="123"/>
        <v>Projected - Electric</v>
      </c>
      <c r="M390" s="188" t="str">
        <f t="shared" si="124"/>
        <v>E3640 DST Poles/Towers/Fixtures</v>
      </c>
      <c r="N390" s="188" t="str">
        <f t="shared" si="120"/>
        <v>Projected</v>
      </c>
      <c r="O390" s="188" t="str">
        <f t="shared" si="125"/>
        <v>101-E364</v>
      </c>
      <c r="P390" s="188">
        <f t="shared" si="126"/>
        <v>0</v>
      </c>
      <c r="Q390" s="188">
        <f t="shared" si="127"/>
        <v>2941992.86</v>
      </c>
      <c r="R390" s="188">
        <f t="shared" si="128"/>
        <v>5390965.0700000003</v>
      </c>
      <c r="S390" s="188">
        <f t="shared" si="129"/>
        <v>10784374.1</v>
      </c>
      <c r="T390" s="188">
        <f t="shared" si="130"/>
        <v>0</v>
      </c>
      <c r="V390" s="188" t="str">
        <f t="shared" si="131"/>
        <v>Projected - Electric</v>
      </c>
      <c r="W390" s="188" t="str">
        <f t="shared" si="132"/>
        <v>E3640 DST Poles/Towers/Fixtures</v>
      </c>
      <c r="X390" s="188" t="str">
        <f t="shared" si="121"/>
        <v>Projected</v>
      </c>
      <c r="Y390" s="188" t="str">
        <f t="shared" si="133"/>
        <v>101-E364</v>
      </c>
      <c r="Z390" s="188">
        <f t="shared" si="134"/>
        <v>0</v>
      </c>
      <c r="AA390" s="188">
        <f t="shared" si="135"/>
        <v>0</v>
      </c>
      <c r="AB390" s="188">
        <f t="shared" si="136"/>
        <v>0</v>
      </c>
      <c r="AC390" s="188">
        <f t="shared" si="137"/>
        <v>0</v>
      </c>
      <c r="AD390" s="188">
        <f t="shared" si="138"/>
        <v>0</v>
      </c>
      <c r="AE390" s="183">
        <f t="shared" si="139"/>
        <v>0</v>
      </c>
    </row>
    <row r="391" spans="1:31" x14ac:dyDescent="0.25">
      <c r="A391" s="185" t="s">
        <v>211</v>
      </c>
      <c r="B391" s="188" t="s">
        <v>327</v>
      </c>
      <c r="C391" s="188" t="s">
        <v>26</v>
      </c>
      <c r="D391" s="188" t="str">
        <f t="shared" si="122"/>
        <v>101-E365</v>
      </c>
      <c r="E391" s="188">
        <v>0</v>
      </c>
      <c r="F391" s="188">
        <v>2674503.88</v>
      </c>
      <c r="G391" s="188">
        <v>4437613.72</v>
      </c>
      <c r="H391" s="188">
        <v>8427872.8399999999</v>
      </c>
      <c r="I391" s="188">
        <v>0</v>
      </c>
      <c r="J391" s="183">
        <v>0</v>
      </c>
      <c r="L391" s="188" t="str">
        <f t="shared" si="123"/>
        <v>Projected - Electric</v>
      </c>
      <c r="M391" s="188" t="str">
        <f t="shared" si="124"/>
        <v>E3650 DST O/H Conductor/Devices</v>
      </c>
      <c r="N391" s="188" t="str">
        <f t="shared" si="120"/>
        <v>Projected</v>
      </c>
      <c r="O391" s="188" t="str">
        <f t="shared" si="125"/>
        <v>101-E365</v>
      </c>
      <c r="P391" s="188">
        <f t="shared" si="126"/>
        <v>0</v>
      </c>
      <c r="Q391" s="188">
        <f t="shared" si="127"/>
        <v>2674503.88</v>
      </c>
      <c r="R391" s="188">
        <f t="shared" si="128"/>
        <v>4437613.72</v>
      </c>
      <c r="S391" s="188">
        <f t="shared" si="129"/>
        <v>8427872.8399999999</v>
      </c>
      <c r="T391" s="188">
        <f t="shared" si="130"/>
        <v>0</v>
      </c>
      <c r="V391" s="188" t="str">
        <f t="shared" si="131"/>
        <v>Projected - Electric</v>
      </c>
      <c r="W391" s="188" t="str">
        <f t="shared" si="132"/>
        <v>E3650 DST O/H Conductor/Devices</v>
      </c>
      <c r="X391" s="188" t="str">
        <f t="shared" si="121"/>
        <v>Projected</v>
      </c>
      <c r="Y391" s="188" t="str">
        <f t="shared" si="133"/>
        <v>101-E365</v>
      </c>
      <c r="Z391" s="188">
        <f t="shared" si="134"/>
        <v>0</v>
      </c>
      <c r="AA391" s="188">
        <f t="shared" si="135"/>
        <v>0</v>
      </c>
      <c r="AB391" s="188">
        <f t="shared" si="136"/>
        <v>0</v>
      </c>
      <c r="AC391" s="188">
        <f t="shared" si="137"/>
        <v>0</v>
      </c>
      <c r="AD391" s="188">
        <f t="shared" si="138"/>
        <v>0</v>
      </c>
      <c r="AE391" s="183">
        <f t="shared" si="139"/>
        <v>0</v>
      </c>
    </row>
    <row r="392" spans="1:31" x14ac:dyDescent="0.25">
      <c r="A392" s="185" t="s">
        <v>211</v>
      </c>
      <c r="B392" s="188" t="s">
        <v>317</v>
      </c>
      <c r="C392" s="188" t="s">
        <v>26</v>
      </c>
      <c r="D392" s="188" t="str">
        <f t="shared" si="122"/>
        <v>101-E366</v>
      </c>
      <c r="E392" s="188">
        <v>0</v>
      </c>
      <c r="F392" s="188">
        <v>1464551.72</v>
      </c>
      <c r="G392" s="188">
        <v>1960358.23</v>
      </c>
      <c r="H392" s="188">
        <v>3155025.3</v>
      </c>
      <c r="I392" s="188">
        <v>0</v>
      </c>
      <c r="J392" s="183">
        <v>0</v>
      </c>
      <c r="L392" s="188" t="str">
        <f t="shared" si="123"/>
        <v>Projected - Electric</v>
      </c>
      <c r="M392" s="188" t="str">
        <f t="shared" si="124"/>
        <v>E3660 DST U/G Conduit</v>
      </c>
      <c r="N392" s="188" t="str">
        <f t="shared" si="120"/>
        <v>Projected</v>
      </c>
      <c r="O392" s="188" t="str">
        <f t="shared" si="125"/>
        <v>101-E366</v>
      </c>
      <c r="P392" s="188">
        <f t="shared" si="126"/>
        <v>0</v>
      </c>
      <c r="Q392" s="188">
        <f t="shared" si="127"/>
        <v>1464551.72</v>
      </c>
      <c r="R392" s="188">
        <f t="shared" si="128"/>
        <v>1960358.23</v>
      </c>
      <c r="S392" s="188">
        <f t="shared" si="129"/>
        <v>3155025.3</v>
      </c>
      <c r="T392" s="188">
        <f t="shared" si="130"/>
        <v>0</v>
      </c>
      <c r="V392" s="188" t="str">
        <f t="shared" si="131"/>
        <v>Projected - Electric</v>
      </c>
      <c r="W392" s="188" t="str">
        <f t="shared" si="132"/>
        <v>E3660 DST U/G Conduit</v>
      </c>
      <c r="X392" s="188" t="str">
        <f t="shared" si="121"/>
        <v>Projected</v>
      </c>
      <c r="Y392" s="188" t="str">
        <f t="shared" si="133"/>
        <v>101-E366</v>
      </c>
      <c r="Z392" s="188">
        <f t="shared" si="134"/>
        <v>0</v>
      </c>
      <c r="AA392" s="188">
        <f t="shared" si="135"/>
        <v>0</v>
      </c>
      <c r="AB392" s="188">
        <f t="shared" si="136"/>
        <v>0</v>
      </c>
      <c r="AC392" s="188">
        <f t="shared" si="137"/>
        <v>0</v>
      </c>
      <c r="AD392" s="188">
        <f t="shared" si="138"/>
        <v>0</v>
      </c>
      <c r="AE392" s="183">
        <f t="shared" si="139"/>
        <v>0</v>
      </c>
    </row>
    <row r="393" spans="1:31" x14ac:dyDescent="0.25">
      <c r="A393" s="185" t="s">
        <v>211</v>
      </c>
      <c r="B393" s="188" t="s">
        <v>316</v>
      </c>
      <c r="C393" s="188" t="s">
        <v>26</v>
      </c>
      <c r="D393" s="188" t="str">
        <f t="shared" si="122"/>
        <v>101-E367</v>
      </c>
      <c r="E393" s="188">
        <v>0</v>
      </c>
      <c r="F393" s="188">
        <v>133492.53</v>
      </c>
      <c r="G393" s="188">
        <v>201132.78</v>
      </c>
      <c r="H393" s="188">
        <v>376191.77</v>
      </c>
      <c r="I393" s="188">
        <v>0</v>
      </c>
      <c r="J393" s="183">
        <v>0</v>
      </c>
      <c r="L393" s="188" t="str">
        <f t="shared" si="123"/>
        <v>Projected - Electric</v>
      </c>
      <c r="M393" s="188" t="str">
        <f t="shared" si="124"/>
        <v>E3670 DST U/G Conductor/Devices</v>
      </c>
      <c r="N393" s="188" t="str">
        <f t="shared" si="120"/>
        <v>Projected</v>
      </c>
      <c r="O393" s="188" t="str">
        <f t="shared" si="125"/>
        <v>101-E367</v>
      </c>
      <c r="P393" s="188">
        <f t="shared" si="126"/>
        <v>0</v>
      </c>
      <c r="Q393" s="188">
        <f t="shared" si="127"/>
        <v>133492.53</v>
      </c>
      <c r="R393" s="188">
        <f t="shared" si="128"/>
        <v>201132.78</v>
      </c>
      <c r="S393" s="188">
        <f t="shared" si="129"/>
        <v>376191.77</v>
      </c>
      <c r="T393" s="188">
        <f t="shared" si="130"/>
        <v>0</v>
      </c>
      <c r="V393" s="188" t="str">
        <f t="shared" si="131"/>
        <v>Projected - Electric</v>
      </c>
      <c r="W393" s="188" t="str">
        <f t="shared" si="132"/>
        <v>E3670 DST U/G Conductor/Devices</v>
      </c>
      <c r="X393" s="188" t="str">
        <f t="shared" si="121"/>
        <v>Projected</v>
      </c>
      <c r="Y393" s="188" t="str">
        <f t="shared" si="133"/>
        <v>101-E367</v>
      </c>
      <c r="Z393" s="188">
        <f t="shared" si="134"/>
        <v>0</v>
      </c>
      <c r="AA393" s="188">
        <f t="shared" si="135"/>
        <v>0</v>
      </c>
      <c r="AB393" s="188">
        <f t="shared" si="136"/>
        <v>0</v>
      </c>
      <c r="AC393" s="188">
        <f t="shared" si="137"/>
        <v>0</v>
      </c>
      <c r="AD393" s="188">
        <f t="shared" si="138"/>
        <v>0</v>
      </c>
      <c r="AE393" s="183">
        <f t="shared" si="139"/>
        <v>0</v>
      </c>
    </row>
    <row r="394" spans="1:31" x14ac:dyDescent="0.25">
      <c r="A394" s="185" t="s">
        <v>211</v>
      </c>
      <c r="B394" s="188" t="s">
        <v>387</v>
      </c>
      <c r="C394" s="188" t="s">
        <v>26</v>
      </c>
      <c r="D394" s="188" t="str">
        <f t="shared" si="122"/>
        <v>101-E368</v>
      </c>
      <c r="E394" s="188">
        <v>0</v>
      </c>
      <c r="F394" s="188">
        <v>825661.94</v>
      </c>
      <c r="G394" s="188">
        <v>2061447.69</v>
      </c>
      <c r="H394" s="188">
        <v>4925690.79</v>
      </c>
      <c r="I394" s="188">
        <v>0</v>
      </c>
      <c r="J394" s="183">
        <v>0</v>
      </c>
      <c r="L394" s="188" t="str">
        <f t="shared" si="123"/>
        <v>Projected - Electric</v>
      </c>
      <c r="M394" s="188" t="str">
        <f t="shared" si="124"/>
        <v>E368 DST Line Transformers</v>
      </c>
      <c r="N394" s="188" t="str">
        <f t="shared" si="120"/>
        <v>Projected</v>
      </c>
      <c r="O394" s="188" t="str">
        <f t="shared" si="125"/>
        <v>101-E368</v>
      </c>
      <c r="P394" s="188">
        <f t="shared" si="126"/>
        <v>0</v>
      </c>
      <c r="Q394" s="188">
        <f t="shared" si="127"/>
        <v>825661.94</v>
      </c>
      <c r="R394" s="188">
        <f t="shared" si="128"/>
        <v>2061447.69</v>
      </c>
      <c r="S394" s="188">
        <f t="shared" si="129"/>
        <v>4925690.79</v>
      </c>
      <c r="T394" s="188">
        <f t="shared" si="130"/>
        <v>0</v>
      </c>
      <c r="V394" s="188" t="str">
        <f t="shared" si="131"/>
        <v>Projected - Electric</v>
      </c>
      <c r="W394" s="188" t="str">
        <f t="shared" si="132"/>
        <v>E368 DST Line Transformers</v>
      </c>
      <c r="X394" s="188" t="str">
        <f t="shared" si="121"/>
        <v>Projected</v>
      </c>
      <c r="Y394" s="188" t="str">
        <f t="shared" si="133"/>
        <v>101-E368</v>
      </c>
      <c r="Z394" s="188">
        <f t="shared" si="134"/>
        <v>0</v>
      </c>
      <c r="AA394" s="188">
        <f t="shared" si="135"/>
        <v>0</v>
      </c>
      <c r="AB394" s="188">
        <f t="shared" si="136"/>
        <v>0</v>
      </c>
      <c r="AC394" s="188">
        <f t="shared" si="137"/>
        <v>0</v>
      </c>
      <c r="AD394" s="188">
        <f t="shared" si="138"/>
        <v>0</v>
      </c>
      <c r="AE394" s="183">
        <f t="shared" si="139"/>
        <v>0</v>
      </c>
    </row>
    <row r="395" spans="1:31" x14ac:dyDescent="0.25">
      <c r="A395" s="185" t="s">
        <v>211</v>
      </c>
      <c r="B395" s="188" t="s">
        <v>386</v>
      </c>
      <c r="C395" s="188" t="s">
        <v>26</v>
      </c>
      <c r="D395" s="188" t="str">
        <f t="shared" si="122"/>
        <v>101-E369</v>
      </c>
      <c r="E395" s="188">
        <v>0</v>
      </c>
      <c r="F395" s="188">
        <v>4465.8</v>
      </c>
      <c r="G395" s="188">
        <v>7210.52</v>
      </c>
      <c r="H395" s="188">
        <v>13138.93</v>
      </c>
      <c r="I395" s="188">
        <v>0</v>
      </c>
      <c r="J395" s="183">
        <v>0</v>
      </c>
      <c r="L395" s="188" t="str">
        <f t="shared" si="123"/>
        <v>Projected - Electric</v>
      </c>
      <c r="M395" s="188" t="str">
        <f t="shared" si="124"/>
        <v>E369 DST Services</v>
      </c>
      <c r="N395" s="188" t="str">
        <f t="shared" si="120"/>
        <v>Projected</v>
      </c>
      <c r="O395" s="188" t="str">
        <f t="shared" si="125"/>
        <v>101-E369</v>
      </c>
      <c r="P395" s="188">
        <f t="shared" si="126"/>
        <v>0</v>
      </c>
      <c r="Q395" s="188">
        <f t="shared" si="127"/>
        <v>4465.8</v>
      </c>
      <c r="R395" s="188">
        <f t="shared" si="128"/>
        <v>7210.52</v>
      </c>
      <c r="S395" s="188">
        <f t="shared" si="129"/>
        <v>13138.93</v>
      </c>
      <c r="T395" s="188">
        <f t="shared" si="130"/>
        <v>0</v>
      </c>
      <c r="V395" s="188" t="str">
        <f t="shared" si="131"/>
        <v>Projected - Electric</v>
      </c>
      <c r="W395" s="188" t="str">
        <f t="shared" si="132"/>
        <v>E369 DST Services</v>
      </c>
      <c r="X395" s="188" t="str">
        <f t="shared" si="121"/>
        <v>Projected</v>
      </c>
      <c r="Y395" s="188" t="str">
        <f t="shared" si="133"/>
        <v>101-E369</v>
      </c>
      <c r="Z395" s="188">
        <f t="shared" si="134"/>
        <v>0</v>
      </c>
      <c r="AA395" s="188">
        <f t="shared" si="135"/>
        <v>0</v>
      </c>
      <c r="AB395" s="188">
        <f t="shared" si="136"/>
        <v>0</v>
      </c>
      <c r="AC395" s="188">
        <f t="shared" si="137"/>
        <v>0</v>
      </c>
      <c r="AD395" s="188">
        <f t="shared" si="138"/>
        <v>0</v>
      </c>
      <c r="AE395" s="183">
        <f t="shared" si="139"/>
        <v>0</v>
      </c>
    </row>
    <row r="396" spans="1:31" x14ac:dyDescent="0.25">
      <c r="A396" s="185" t="s">
        <v>211</v>
      </c>
      <c r="B396" s="188" t="s">
        <v>385</v>
      </c>
      <c r="C396" s="188" t="s">
        <v>26</v>
      </c>
      <c r="D396" s="188" t="str">
        <f t="shared" si="122"/>
        <v>101-E370</v>
      </c>
      <c r="E396" s="188">
        <v>0</v>
      </c>
      <c r="F396" s="188">
        <v>36669.160000000003</v>
      </c>
      <c r="G396" s="188">
        <v>60627.11</v>
      </c>
      <c r="H396" s="188">
        <v>144322.29999999999</v>
      </c>
      <c r="I396" s="188">
        <v>0</v>
      </c>
      <c r="J396" s="183">
        <v>0</v>
      </c>
      <c r="L396" s="188" t="str">
        <f t="shared" si="123"/>
        <v>Projected - Electric</v>
      </c>
      <c r="M396" s="188" t="str">
        <f t="shared" si="124"/>
        <v>E3701 DST Meters AMI</v>
      </c>
      <c r="N396" s="188" t="str">
        <f t="shared" si="120"/>
        <v>Projected</v>
      </c>
      <c r="O396" s="188" t="str">
        <f t="shared" si="125"/>
        <v>101-E370</v>
      </c>
      <c r="P396" s="188">
        <f t="shared" si="126"/>
        <v>0</v>
      </c>
      <c r="Q396" s="188">
        <f t="shared" si="127"/>
        <v>36669.160000000003</v>
      </c>
      <c r="R396" s="188">
        <f t="shared" si="128"/>
        <v>60627.11</v>
      </c>
      <c r="S396" s="188">
        <f t="shared" si="129"/>
        <v>144322.29999999999</v>
      </c>
      <c r="T396" s="188">
        <f t="shared" si="130"/>
        <v>0</v>
      </c>
      <c r="V396" s="188" t="str">
        <f t="shared" si="131"/>
        <v>Projected - Electric</v>
      </c>
      <c r="W396" s="188" t="str">
        <f t="shared" si="132"/>
        <v>E3701 DST Meters AMI</v>
      </c>
      <c r="X396" s="188" t="str">
        <f t="shared" si="121"/>
        <v>Projected</v>
      </c>
      <c r="Y396" s="188" t="str">
        <f t="shared" si="133"/>
        <v>101-E370</v>
      </c>
      <c r="Z396" s="188">
        <f t="shared" si="134"/>
        <v>0</v>
      </c>
      <c r="AA396" s="188">
        <f t="shared" si="135"/>
        <v>0</v>
      </c>
      <c r="AB396" s="188">
        <f t="shared" si="136"/>
        <v>0</v>
      </c>
      <c r="AC396" s="188">
        <f t="shared" si="137"/>
        <v>0</v>
      </c>
      <c r="AD396" s="188">
        <f t="shared" si="138"/>
        <v>0</v>
      </c>
      <c r="AE396" s="183">
        <f t="shared" si="139"/>
        <v>0</v>
      </c>
    </row>
    <row r="397" spans="1:31" x14ac:dyDescent="0.25">
      <c r="A397" s="185" t="s">
        <v>211</v>
      </c>
      <c r="B397" s="188" t="s">
        <v>384</v>
      </c>
      <c r="C397" s="188" t="s">
        <v>26</v>
      </c>
      <c r="D397" s="188" t="str">
        <f t="shared" si="122"/>
        <v>101-E371</v>
      </c>
      <c r="E397" s="188">
        <v>0</v>
      </c>
      <c r="F397" s="188">
        <v>0</v>
      </c>
      <c r="G397" s="188">
        <v>117070.31</v>
      </c>
      <c r="H397" s="188">
        <v>2809687.47</v>
      </c>
      <c r="I397" s="188">
        <v>0</v>
      </c>
      <c r="J397" s="183">
        <v>0</v>
      </c>
      <c r="L397" s="188" t="str">
        <f t="shared" si="123"/>
        <v>Projected - Electric</v>
      </c>
      <c r="M397" s="188" t="str">
        <f t="shared" si="124"/>
        <v>E3711 DST EV Charger Cust Premises</v>
      </c>
      <c r="N397" s="188" t="str">
        <f t="shared" si="120"/>
        <v>Projected</v>
      </c>
      <c r="O397" s="188" t="str">
        <f t="shared" si="125"/>
        <v>101-E371</v>
      </c>
      <c r="P397" s="188">
        <f t="shared" si="126"/>
        <v>0</v>
      </c>
      <c r="Q397" s="188">
        <f t="shared" si="127"/>
        <v>0</v>
      </c>
      <c r="R397" s="188">
        <f t="shared" si="128"/>
        <v>117070.31</v>
      </c>
      <c r="S397" s="188">
        <f t="shared" si="129"/>
        <v>2809687.47</v>
      </c>
      <c r="T397" s="188">
        <f t="shared" si="130"/>
        <v>0</v>
      </c>
      <c r="V397" s="188" t="str">
        <f t="shared" si="131"/>
        <v>Projected - Electric</v>
      </c>
      <c r="W397" s="188" t="str">
        <f t="shared" si="132"/>
        <v>E3711 DST EV Charger Cust Premises</v>
      </c>
      <c r="X397" s="188" t="str">
        <f t="shared" si="121"/>
        <v>Projected</v>
      </c>
      <c r="Y397" s="188" t="str">
        <f t="shared" si="133"/>
        <v>101-E371</v>
      </c>
      <c r="Z397" s="188">
        <f t="shared" si="134"/>
        <v>0</v>
      </c>
      <c r="AA397" s="188">
        <f t="shared" si="135"/>
        <v>0</v>
      </c>
      <c r="AB397" s="188">
        <f t="shared" si="136"/>
        <v>0</v>
      </c>
      <c r="AC397" s="188">
        <f t="shared" si="137"/>
        <v>0</v>
      </c>
      <c r="AD397" s="188">
        <f t="shared" si="138"/>
        <v>0</v>
      </c>
      <c r="AE397" s="183">
        <f t="shared" si="139"/>
        <v>0</v>
      </c>
    </row>
    <row r="398" spans="1:31" x14ac:dyDescent="0.25">
      <c r="A398" s="185" t="s">
        <v>211</v>
      </c>
      <c r="B398" s="188" t="s">
        <v>383</v>
      </c>
      <c r="C398" s="188" t="s">
        <v>26</v>
      </c>
      <c r="D398" s="188" t="str">
        <f t="shared" si="122"/>
        <v>101-E373</v>
      </c>
      <c r="E398" s="188">
        <v>0</v>
      </c>
      <c r="F398" s="188">
        <v>3662806.99</v>
      </c>
      <c r="G398" s="188">
        <v>5721046.4800000004</v>
      </c>
      <c r="H398" s="188">
        <v>11110355.91</v>
      </c>
      <c r="I398" s="188">
        <v>0</v>
      </c>
      <c r="J398" s="183">
        <v>0</v>
      </c>
      <c r="L398" s="188" t="str">
        <f t="shared" si="123"/>
        <v>Projected - Electric</v>
      </c>
      <c r="M398" s="188" t="str">
        <f t="shared" si="124"/>
        <v>E373 DST Street Lighting &amp; Signal</v>
      </c>
      <c r="N398" s="188" t="str">
        <f t="shared" si="120"/>
        <v>Projected</v>
      </c>
      <c r="O398" s="188" t="str">
        <f t="shared" si="125"/>
        <v>101-E373</v>
      </c>
      <c r="P398" s="188">
        <f t="shared" si="126"/>
        <v>0</v>
      </c>
      <c r="Q398" s="188">
        <f t="shared" si="127"/>
        <v>3662806.99</v>
      </c>
      <c r="R398" s="188">
        <f t="shared" si="128"/>
        <v>5721046.4800000004</v>
      </c>
      <c r="S398" s="188">
        <f t="shared" si="129"/>
        <v>11110355.91</v>
      </c>
      <c r="T398" s="188">
        <f t="shared" si="130"/>
        <v>0</v>
      </c>
      <c r="V398" s="188" t="str">
        <f t="shared" si="131"/>
        <v>Projected - Electric</v>
      </c>
      <c r="W398" s="188" t="str">
        <f t="shared" si="132"/>
        <v>E373 DST Street Lighting &amp; Signal</v>
      </c>
      <c r="X398" s="188" t="str">
        <f t="shared" si="121"/>
        <v>Projected</v>
      </c>
      <c r="Y398" s="188" t="str">
        <f t="shared" si="133"/>
        <v>101-E373</v>
      </c>
      <c r="Z398" s="188">
        <f t="shared" si="134"/>
        <v>0</v>
      </c>
      <c r="AA398" s="188">
        <f t="shared" si="135"/>
        <v>0</v>
      </c>
      <c r="AB398" s="188">
        <f t="shared" si="136"/>
        <v>0</v>
      </c>
      <c r="AC398" s="188">
        <f t="shared" si="137"/>
        <v>0</v>
      </c>
      <c r="AD398" s="188">
        <f t="shared" si="138"/>
        <v>0</v>
      </c>
      <c r="AE398" s="183">
        <f t="shared" si="139"/>
        <v>0</v>
      </c>
    </row>
    <row r="399" spans="1:31" x14ac:dyDescent="0.25">
      <c r="A399" s="185" t="s">
        <v>211</v>
      </c>
      <c r="B399" s="188" t="s">
        <v>382</v>
      </c>
      <c r="C399" s="188" t="s">
        <v>26</v>
      </c>
      <c r="D399" s="188" t="str">
        <f t="shared" si="122"/>
        <v>101-E390</v>
      </c>
      <c r="E399" s="188">
        <v>0</v>
      </c>
      <c r="F399" s="188">
        <v>25255.32</v>
      </c>
      <c r="G399" s="188">
        <v>25255.32</v>
      </c>
      <c r="H399" s="188">
        <v>25255.32</v>
      </c>
      <c r="I399" s="188">
        <v>0</v>
      </c>
      <c r="J399" s="183">
        <v>0</v>
      </c>
      <c r="L399" s="188" t="str">
        <f t="shared" si="123"/>
        <v>Projected - Electric</v>
      </c>
      <c r="M399" s="188" t="str">
        <f t="shared" si="124"/>
        <v>E3900 GEN Str&amp;Impv, Burlington/Skag</v>
      </c>
      <c r="N399" s="188" t="str">
        <f t="shared" si="120"/>
        <v>Projected</v>
      </c>
      <c r="O399" s="188" t="str">
        <f t="shared" si="125"/>
        <v>101-E390</v>
      </c>
      <c r="P399" s="188">
        <f t="shared" si="126"/>
        <v>0</v>
      </c>
      <c r="Q399" s="188">
        <f t="shared" si="127"/>
        <v>25255.32</v>
      </c>
      <c r="R399" s="188">
        <f t="shared" si="128"/>
        <v>25255.32</v>
      </c>
      <c r="S399" s="188">
        <f t="shared" si="129"/>
        <v>25255.32</v>
      </c>
      <c r="T399" s="188">
        <f t="shared" si="130"/>
        <v>0</v>
      </c>
      <c r="V399" s="188" t="str">
        <f t="shared" si="131"/>
        <v>Projected - Electric</v>
      </c>
      <c r="W399" s="188" t="str">
        <f t="shared" si="132"/>
        <v>E3900 GEN Str&amp;Impv, Burlington/Skag</v>
      </c>
      <c r="X399" s="188" t="str">
        <f t="shared" si="121"/>
        <v>Projected</v>
      </c>
      <c r="Y399" s="188" t="str">
        <f t="shared" si="133"/>
        <v>101-E390</v>
      </c>
      <c r="Z399" s="188">
        <f t="shared" si="134"/>
        <v>0</v>
      </c>
      <c r="AA399" s="188">
        <f t="shared" si="135"/>
        <v>0</v>
      </c>
      <c r="AB399" s="188">
        <f t="shared" si="136"/>
        <v>0</v>
      </c>
      <c r="AC399" s="188">
        <f t="shared" si="137"/>
        <v>0</v>
      </c>
      <c r="AD399" s="188">
        <f t="shared" si="138"/>
        <v>0</v>
      </c>
      <c r="AE399" s="183">
        <f t="shared" si="139"/>
        <v>0</v>
      </c>
    </row>
    <row r="400" spans="1:31" x14ac:dyDescent="0.25">
      <c r="A400" s="185" t="s">
        <v>211</v>
      </c>
      <c r="B400" s="188" t="s">
        <v>381</v>
      </c>
      <c r="C400" s="188" t="s">
        <v>26</v>
      </c>
      <c r="D400" s="188" t="str">
        <f t="shared" si="122"/>
        <v>101-E390</v>
      </c>
      <c r="E400" s="188">
        <v>0</v>
      </c>
      <c r="F400" s="188">
        <v>18831234.890000001</v>
      </c>
      <c r="G400" s="188">
        <v>15613075.310000001</v>
      </c>
      <c r="H400" s="188">
        <v>4058378.2599999993</v>
      </c>
      <c r="I400" s="188">
        <v>0</v>
      </c>
      <c r="J400" s="183">
        <v>0</v>
      </c>
      <c r="L400" s="188" t="str">
        <f t="shared" si="123"/>
        <v>Projected - Electric</v>
      </c>
      <c r="M400" s="188" t="str">
        <f t="shared" si="124"/>
        <v>E3900 GEN Structures &amp; Improvement</v>
      </c>
      <c r="N400" s="188" t="str">
        <f t="shared" si="120"/>
        <v>Projected</v>
      </c>
      <c r="O400" s="188" t="str">
        <f t="shared" si="125"/>
        <v>101-E390</v>
      </c>
      <c r="P400" s="188">
        <f t="shared" si="126"/>
        <v>0</v>
      </c>
      <c r="Q400" s="188">
        <f t="shared" si="127"/>
        <v>18831234.890000001</v>
      </c>
      <c r="R400" s="188">
        <f t="shared" si="128"/>
        <v>15613075.310000001</v>
      </c>
      <c r="S400" s="188">
        <f t="shared" si="129"/>
        <v>4058378.2599999993</v>
      </c>
      <c r="T400" s="188">
        <f t="shared" si="130"/>
        <v>0</v>
      </c>
      <c r="V400" s="188" t="str">
        <f t="shared" si="131"/>
        <v>Projected - Electric</v>
      </c>
      <c r="W400" s="188" t="str">
        <f t="shared" si="132"/>
        <v>E3900 GEN Structures &amp; Improvement</v>
      </c>
      <c r="X400" s="188" t="str">
        <f t="shared" si="121"/>
        <v>Projected</v>
      </c>
      <c r="Y400" s="188" t="str">
        <f t="shared" si="133"/>
        <v>101-E390</v>
      </c>
      <c r="Z400" s="188">
        <f t="shared" si="134"/>
        <v>0</v>
      </c>
      <c r="AA400" s="188">
        <f t="shared" si="135"/>
        <v>0</v>
      </c>
      <c r="AB400" s="188">
        <f t="shared" si="136"/>
        <v>0</v>
      </c>
      <c r="AC400" s="188">
        <f t="shared" si="137"/>
        <v>0</v>
      </c>
      <c r="AD400" s="188">
        <f t="shared" si="138"/>
        <v>0</v>
      </c>
      <c r="AE400" s="183">
        <f t="shared" si="139"/>
        <v>0</v>
      </c>
    </row>
    <row r="401" spans="1:31" x14ac:dyDescent="0.25">
      <c r="A401" s="185" t="s">
        <v>211</v>
      </c>
      <c r="B401" s="188" t="s">
        <v>380</v>
      </c>
      <c r="C401" s="188" t="s">
        <v>26</v>
      </c>
      <c r="D401" s="188" t="str">
        <f t="shared" si="122"/>
        <v>101-E391</v>
      </c>
      <c r="E401" s="188">
        <v>0</v>
      </c>
      <c r="F401" s="188">
        <v>0</v>
      </c>
      <c r="G401" s="188">
        <v>0</v>
      </c>
      <c r="H401" s="188">
        <v>0</v>
      </c>
      <c r="I401" s="188">
        <v>0</v>
      </c>
      <c r="J401" s="183">
        <v>0</v>
      </c>
      <c r="L401" s="188" t="str">
        <f t="shared" si="123"/>
        <v>Projected - Electric</v>
      </c>
      <c r="M401" s="188" t="str">
        <f t="shared" si="124"/>
        <v>E3911 GEN Off Furn &amp; Eq, LSR</v>
      </c>
      <c r="N401" s="188" t="str">
        <f t="shared" si="120"/>
        <v>Projected</v>
      </c>
      <c r="O401" s="188" t="str">
        <f t="shared" si="125"/>
        <v>101-E391</v>
      </c>
      <c r="P401" s="188">
        <f t="shared" si="126"/>
        <v>0</v>
      </c>
      <c r="Q401" s="188">
        <f t="shared" si="127"/>
        <v>0</v>
      </c>
      <c r="R401" s="188">
        <f t="shared" si="128"/>
        <v>0</v>
      </c>
      <c r="S401" s="188">
        <f t="shared" si="129"/>
        <v>0</v>
      </c>
      <c r="T401" s="188">
        <f t="shared" si="130"/>
        <v>0</v>
      </c>
      <c r="V401" s="188" t="str">
        <f t="shared" si="131"/>
        <v>Projected - Electric</v>
      </c>
      <c r="W401" s="188" t="str">
        <f t="shared" si="132"/>
        <v>E3911 GEN Off Furn &amp; Eq, LSR</v>
      </c>
      <c r="X401" s="188" t="str">
        <f t="shared" si="121"/>
        <v>Projected</v>
      </c>
      <c r="Y401" s="188" t="str">
        <f t="shared" si="133"/>
        <v>101-E391</v>
      </c>
      <c r="Z401" s="188">
        <f t="shared" si="134"/>
        <v>0</v>
      </c>
      <c r="AA401" s="188">
        <f t="shared" si="135"/>
        <v>0</v>
      </c>
      <c r="AB401" s="188">
        <f t="shared" si="136"/>
        <v>0</v>
      </c>
      <c r="AC401" s="188">
        <f t="shared" si="137"/>
        <v>0</v>
      </c>
      <c r="AD401" s="188">
        <f t="shared" si="138"/>
        <v>0</v>
      </c>
      <c r="AE401" s="183">
        <f t="shared" si="139"/>
        <v>0</v>
      </c>
    </row>
    <row r="402" spans="1:31" x14ac:dyDescent="0.25">
      <c r="A402" s="185" t="s">
        <v>211</v>
      </c>
      <c r="B402" s="188" t="s">
        <v>379</v>
      </c>
      <c r="C402" s="188" t="s">
        <v>26</v>
      </c>
      <c r="D402" s="188" t="str">
        <f t="shared" si="122"/>
        <v>101-E391</v>
      </c>
      <c r="E402" s="188">
        <v>0</v>
      </c>
      <c r="F402" s="188">
        <v>545306.66</v>
      </c>
      <c r="G402" s="188">
        <v>645000.12</v>
      </c>
      <c r="H402" s="188">
        <v>934755.02</v>
      </c>
      <c r="I402" s="188">
        <v>0</v>
      </c>
      <c r="J402" s="183">
        <v>0</v>
      </c>
      <c r="L402" s="188" t="str">
        <f t="shared" si="123"/>
        <v>Projected - Electric</v>
      </c>
      <c r="M402" s="188" t="str">
        <f t="shared" si="124"/>
        <v>E3912 GEN Computer Eq, new</v>
      </c>
      <c r="N402" s="188" t="str">
        <f t="shared" si="120"/>
        <v>Projected</v>
      </c>
      <c r="O402" s="188" t="str">
        <f t="shared" si="125"/>
        <v>101-E391</v>
      </c>
      <c r="P402" s="188">
        <f t="shared" si="126"/>
        <v>0</v>
      </c>
      <c r="Q402" s="188">
        <f t="shared" si="127"/>
        <v>545306.66</v>
      </c>
      <c r="R402" s="188">
        <f t="shared" si="128"/>
        <v>645000.12</v>
      </c>
      <c r="S402" s="188">
        <f t="shared" si="129"/>
        <v>934755.02</v>
      </c>
      <c r="T402" s="188">
        <f t="shared" si="130"/>
        <v>0</v>
      </c>
      <c r="V402" s="188" t="str">
        <f t="shared" si="131"/>
        <v>Projected - Electric</v>
      </c>
      <c r="W402" s="188" t="str">
        <f t="shared" si="132"/>
        <v>E3912 GEN Computer Eq, new</v>
      </c>
      <c r="X402" s="188" t="str">
        <f t="shared" si="121"/>
        <v>Projected</v>
      </c>
      <c r="Y402" s="188" t="str">
        <f t="shared" si="133"/>
        <v>101-E391</v>
      </c>
      <c r="Z402" s="188">
        <f t="shared" si="134"/>
        <v>0</v>
      </c>
      <c r="AA402" s="188">
        <f t="shared" si="135"/>
        <v>0</v>
      </c>
      <c r="AB402" s="188">
        <f t="shared" si="136"/>
        <v>0</v>
      </c>
      <c r="AC402" s="188">
        <f t="shared" si="137"/>
        <v>0</v>
      </c>
      <c r="AD402" s="188">
        <f t="shared" si="138"/>
        <v>0</v>
      </c>
      <c r="AE402" s="183">
        <f t="shared" si="139"/>
        <v>0</v>
      </c>
    </row>
    <row r="403" spans="1:31" x14ac:dyDescent="0.25">
      <c r="A403" s="185" t="s">
        <v>211</v>
      </c>
      <c r="B403" s="188" t="s">
        <v>378</v>
      </c>
      <c r="C403" s="188" t="s">
        <v>26</v>
      </c>
      <c r="D403" s="188" t="str">
        <f t="shared" si="122"/>
        <v>101-E392</v>
      </c>
      <c r="E403" s="188">
        <v>0</v>
      </c>
      <c r="F403" s="188">
        <v>330915.67</v>
      </c>
      <c r="G403" s="188">
        <v>345414.25</v>
      </c>
      <c r="H403" s="188">
        <v>698976.71</v>
      </c>
      <c r="I403" s="188">
        <v>0</v>
      </c>
      <c r="J403" s="183">
        <v>0</v>
      </c>
      <c r="L403" s="188" t="str">
        <f t="shared" si="123"/>
        <v>Projected - Electric</v>
      </c>
      <c r="M403" s="188" t="str">
        <f t="shared" si="124"/>
        <v>E392 GEN Trans Equip, new</v>
      </c>
      <c r="N403" s="188" t="str">
        <f t="shared" si="120"/>
        <v>Projected</v>
      </c>
      <c r="O403" s="188" t="str">
        <f t="shared" si="125"/>
        <v>101-E392</v>
      </c>
      <c r="P403" s="188">
        <f t="shared" si="126"/>
        <v>0</v>
      </c>
      <c r="Q403" s="188">
        <f t="shared" si="127"/>
        <v>330915.67</v>
      </c>
      <c r="R403" s="188">
        <f t="shared" si="128"/>
        <v>345414.25</v>
      </c>
      <c r="S403" s="188">
        <f t="shared" si="129"/>
        <v>698976.71</v>
      </c>
      <c r="T403" s="188">
        <f t="shared" si="130"/>
        <v>0</v>
      </c>
      <c r="V403" s="188" t="str">
        <f t="shared" si="131"/>
        <v>Projected - Electric</v>
      </c>
      <c r="W403" s="188" t="str">
        <f t="shared" si="132"/>
        <v>E392 GEN Trans Equip, new</v>
      </c>
      <c r="X403" s="188" t="str">
        <f t="shared" si="121"/>
        <v>Projected</v>
      </c>
      <c r="Y403" s="188" t="str">
        <f t="shared" si="133"/>
        <v>101-E392</v>
      </c>
      <c r="Z403" s="188">
        <f t="shared" si="134"/>
        <v>0</v>
      </c>
      <c r="AA403" s="188">
        <f t="shared" si="135"/>
        <v>0</v>
      </c>
      <c r="AB403" s="188">
        <f t="shared" si="136"/>
        <v>0</v>
      </c>
      <c r="AC403" s="188">
        <f t="shared" si="137"/>
        <v>0</v>
      </c>
      <c r="AD403" s="188">
        <f t="shared" si="138"/>
        <v>0</v>
      </c>
      <c r="AE403" s="183">
        <f t="shared" si="139"/>
        <v>0</v>
      </c>
    </row>
    <row r="404" spans="1:31" x14ac:dyDescent="0.25">
      <c r="A404" s="185" t="s">
        <v>211</v>
      </c>
      <c r="B404" s="188" t="s">
        <v>377</v>
      </c>
      <c r="C404" s="188" t="s">
        <v>26</v>
      </c>
      <c r="D404" s="188" t="str">
        <f t="shared" si="122"/>
        <v>101-E393</v>
      </c>
      <c r="E404" s="188">
        <v>0</v>
      </c>
      <c r="F404" s="188">
        <v>83.36</v>
      </c>
      <c r="G404" s="188">
        <v>86.94</v>
      </c>
      <c r="H404" s="188">
        <v>172.91</v>
      </c>
      <c r="I404" s="188">
        <v>0</v>
      </c>
      <c r="J404" s="183">
        <v>0</v>
      </c>
      <c r="L404" s="188" t="str">
        <f t="shared" si="123"/>
        <v>Projected - Electric</v>
      </c>
      <c r="M404" s="188" t="str">
        <f t="shared" si="124"/>
        <v>E3930 GEN Stores Equip, new</v>
      </c>
      <c r="N404" s="188" t="str">
        <f t="shared" si="120"/>
        <v>Projected</v>
      </c>
      <c r="O404" s="188" t="str">
        <f t="shared" si="125"/>
        <v>101-E393</v>
      </c>
      <c r="P404" s="188">
        <f t="shared" si="126"/>
        <v>0</v>
      </c>
      <c r="Q404" s="188">
        <f t="shared" si="127"/>
        <v>83.36</v>
      </c>
      <c r="R404" s="188">
        <f t="shared" si="128"/>
        <v>86.94</v>
      </c>
      <c r="S404" s="188">
        <f t="shared" si="129"/>
        <v>172.91</v>
      </c>
      <c r="T404" s="188">
        <f t="shared" si="130"/>
        <v>0</v>
      </c>
      <c r="V404" s="188" t="str">
        <f t="shared" si="131"/>
        <v>Projected - Electric</v>
      </c>
      <c r="W404" s="188" t="str">
        <f t="shared" si="132"/>
        <v>E3930 GEN Stores Equip, new</v>
      </c>
      <c r="X404" s="188" t="str">
        <f t="shared" si="121"/>
        <v>Projected</v>
      </c>
      <c r="Y404" s="188" t="str">
        <f t="shared" si="133"/>
        <v>101-E393</v>
      </c>
      <c r="Z404" s="188">
        <f t="shared" si="134"/>
        <v>0</v>
      </c>
      <c r="AA404" s="188">
        <f t="shared" si="135"/>
        <v>0</v>
      </c>
      <c r="AB404" s="188">
        <f t="shared" si="136"/>
        <v>0</v>
      </c>
      <c r="AC404" s="188">
        <f t="shared" si="137"/>
        <v>0</v>
      </c>
      <c r="AD404" s="188">
        <f t="shared" si="138"/>
        <v>0</v>
      </c>
      <c r="AE404" s="183">
        <f t="shared" si="139"/>
        <v>0</v>
      </c>
    </row>
    <row r="405" spans="1:31" x14ac:dyDescent="0.25">
      <c r="A405" s="185" t="s">
        <v>211</v>
      </c>
      <c r="B405" s="188" t="s">
        <v>376</v>
      </c>
      <c r="C405" s="188" t="s">
        <v>26</v>
      </c>
      <c r="D405" s="188" t="str">
        <f t="shared" si="122"/>
        <v>101-E394</v>
      </c>
      <c r="E405" s="188">
        <v>0</v>
      </c>
      <c r="F405" s="188">
        <v>0</v>
      </c>
      <c r="G405" s="188">
        <v>0</v>
      </c>
      <c r="H405" s="188">
        <v>0</v>
      </c>
      <c r="I405" s="188">
        <v>0</v>
      </c>
      <c r="J405" s="183">
        <v>0</v>
      </c>
      <c r="L405" s="188" t="str">
        <f t="shared" si="123"/>
        <v>Projected - Electric</v>
      </c>
      <c r="M405" s="188" t="str">
        <f t="shared" si="124"/>
        <v>E3940 GEN Tools LSR</v>
      </c>
      <c r="N405" s="188" t="str">
        <f t="shared" si="120"/>
        <v>Projected</v>
      </c>
      <c r="O405" s="188" t="str">
        <f t="shared" si="125"/>
        <v>101-E394</v>
      </c>
      <c r="P405" s="188">
        <f t="shared" si="126"/>
        <v>0</v>
      </c>
      <c r="Q405" s="188">
        <f t="shared" si="127"/>
        <v>0</v>
      </c>
      <c r="R405" s="188">
        <f t="shared" si="128"/>
        <v>0</v>
      </c>
      <c r="S405" s="188">
        <f t="shared" si="129"/>
        <v>0</v>
      </c>
      <c r="T405" s="188">
        <f t="shared" si="130"/>
        <v>0</v>
      </c>
      <c r="V405" s="188" t="str">
        <f t="shared" si="131"/>
        <v>Projected - Electric</v>
      </c>
      <c r="W405" s="188" t="str">
        <f t="shared" si="132"/>
        <v>E3940 GEN Tools LSR</v>
      </c>
      <c r="X405" s="188" t="str">
        <f t="shared" si="121"/>
        <v>Projected</v>
      </c>
      <c r="Y405" s="188" t="str">
        <f t="shared" si="133"/>
        <v>101-E394</v>
      </c>
      <c r="Z405" s="188">
        <f t="shared" si="134"/>
        <v>0</v>
      </c>
      <c r="AA405" s="188">
        <f t="shared" si="135"/>
        <v>0</v>
      </c>
      <c r="AB405" s="188">
        <f t="shared" si="136"/>
        <v>0</v>
      </c>
      <c r="AC405" s="188">
        <f t="shared" si="137"/>
        <v>0</v>
      </c>
      <c r="AD405" s="188">
        <f t="shared" si="138"/>
        <v>0</v>
      </c>
      <c r="AE405" s="183">
        <f t="shared" si="139"/>
        <v>0</v>
      </c>
    </row>
    <row r="406" spans="1:31" x14ac:dyDescent="0.25">
      <c r="A406" s="185" t="s">
        <v>211</v>
      </c>
      <c r="B406" s="188" t="s">
        <v>375</v>
      </c>
      <c r="C406" s="188" t="s">
        <v>26</v>
      </c>
      <c r="D406" s="188" t="str">
        <f t="shared" si="122"/>
        <v>101-E394</v>
      </c>
      <c r="E406" s="188">
        <v>0</v>
      </c>
      <c r="F406" s="188">
        <v>2186547.77</v>
      </c>
      <c r="G406" s="188">
        <v>2327891.9700000002</v>
      </c>
      <c r="H406" s="188">
        <v>5655800.3899999997</v>
      </c>
      <c r="I406" s="188">
        <v>0</v>
      </c>
      <c r="J406" s="183">
        <v>0</v>
      </c>
      <c r="L406" s="188" t="str">
        <f t="shared" si="123"/>
        <v>Projected - Electric</v>
      </c>
      <c r="M406" s="188" t="str">
        <f t="shared" si="124"/>
        <v>E3940 GEN Tools/Garage/Shop, new</v>
      </c>
      <c r="N406" s="188" t="str">
        <f t="shared" si="120"/>
        <v>Projected</v>
      </c>
      <c r="O406" s="188" t="str">
        <f t="shared" si="125"/>
        <v>101-E394</v>
      </c>
      <c r="P406" s="188">
        <f t="shared" si="126"/>
        <v>0</v>
      </c>
      <c r="Q406" s="188">
        <f t="shared" si="127"/>
        <v>2186547.77</v>
      </c>
      <c r="R406" s="188">
        <f t="shared" si="128"/>
        <v>2327891.9700000002</v>
      </c>
      <c r="S406" s="188">
        <f t="shared" si="129"/>
        <v>5655800.3899999997</v>
      </c>
      <c r="T406" s="188">
        <f t="shared" si="130"/>
        <v>0</v>
      </c>
      <c r="V406" s="188" t="str">
        <f t="shared" si="131"/>
        <v>Projected - Electric</v>
      </c>
      <c r="W406" s="188" t="str">
        <f t="shared" si="132"/>
        <v>E3940 GEN Tools/Garage/Shop, new</v>
      </c>
      <c r="X406" s="188" t="str">
        <f t="shared" si="121"/>
        <v>Projected</v>
      </c>
      <c r="Y406" s="188" t="str">
        <f t="shared" si="133"/>
        <v>101-E394</v>
      </c>
      <c r="Z406" s="188">
        <f t="shared" si="134"/>
        <v>0</v>
      </c>
      <c r="AA406" s="188">
        <f t="shared" si="135"/>
        <v>0</v>
      </c>
      <c r="AB406" s="188">
        <f t="shared" si="136"/>
        <v>0</v>
      </c>
      <c r="AC406" s="188">
        <f t="shared" si="137"/>
        <v>0</v>
      </c>
      <c r="AD406" s="188">
        <f t="shared" si="138"/>
        <v>0</v>
      </c>
      <c r="AE406" s="183">
        <f t="shared" si="139"/>
        <v>0</v>
      </c>
    </row>
    <row r="407" spans="1:31" x14ac:dyDescent="0.25">
      <c r="A407" s="185" t="s">
        <v>211</v>
      </c>
      <c r="B407" s="188" t="s">
        <v>374</v>
      </c>
      <c r="C407" s="188" t="s">
        <v>26</v>
      </c>
      <c r="D407" s="188" t="str">
        <f t="shared" si="122"/>
        <v>101-E395</v>
      </c>
      <c r="E407" s="188">
        <v>0</v>
      </c>
      <c r="F407" s="188">
        <v>206488.62</v>
      </c>
      <c r="G407" s="188">
        <v>215350.43</v>
      </c>
      <c r="H407" s="188">
        <v>428299.66</v>
      </c>
      <c r="I407" s="188">
        <v>0</v>
      </c>
      <c r="J407" s="183">
        <v>0</v>
      </c>
      <c r="L407" s="188" t="str">
        <f t="shared" si="123"/>
        <v>Projected - Electric</v>
      </c>
      <c r="M407" s="188" t="str">
        <f t="shared" si="124"/>
        <v>E3950 GEN Laboratory Equip, new</v>
      </c>
      <c r="N407" s="188" t="str">
        <f t="shared" si="120"/>
        <v>Projected</v>
      </c>
      <c r="O407" s="188" t="str">
        <f t="shared" si="125"/>
        <v>101-E395</v>
      </c>
      <c r="P407" s="188">
        <f t="shared" si="126"/>
        <v>0</v>
      </c>
      <c r="Q407" s="188">
        <f t="shared" si="127"/>
        <v>206488.62</v>
      </c>
      <c r="R407" s="188">
        <f t="shared" si="128"/>
        <v>215350.43</v>
      </c>
      <c r="S407" s="188">
        <f t="shared" si="129"/>
        <v>428299.66</v>
      </c>
      <c r="T407" s="188">
        <f t="shared" si="130"/>
        <v>0</v>
      </c>
      <c r="V407" s="188" t="str">
        <f t="shared" si="131"/>
        <v>Projected - Electric</v>
      </c>
      <c r="W407" s="188" t="str">
        <f t="shared" si="132"/>
        <v>E3950 GEN Laboratory Equip, new</v>
      </c>
      <c r="X407" s="188" t="str">
        <f t="shared" si="121"/>
        <v>Projected</v>
      </c>
      <c r="Y407" s="188" t="str">
        <f t="shared" si="133"/>
        <v>101-E395</v>
      </c>
      <c r="Z407" s="188">
        <f t="shared" si="134"/>
        <v>0</v>
      </c>
      <c r="AA407" s="188">
        <f t="shared" si="135"/>
        <v>0</v>
      </c>
      <c r="AB407" s="188">
        <f t="shared" si="136"/>
        <v>0</v>
      </c>
      <c r="AC407" s="188">
        <f t="shared" si="137"/>
        <v>0</v>
      </c>
      <c r="AD407" s="188">
        <f t="shared" si="138"/>
        <v>0</v>
      </c>
      <c r="AE407" s="183">
        <f t="shared" si="139"/>
        <v>0</v>
      </c>
    </row>
    <row r="408" spans="1:31" x14ac:dyDescent="0.25">
      <c r="A408" s="185" t="s">
        <v>211</v>
      </c>
      <c r="B408" s="188" t="s">
        <v>373</v>
      </c>
      <c r="C408" s="188" t="s">
        <v>26</v>
      </c>
      <c r="D408" s="188" t="str">
        <f t="shared" si="122"/>
        <v>101-E396</v>
      </c>
      <c r="E408" s="188">
        <v>0</v>
      </c>
      <c r="F408" s="188">
        <v>170699.74</v>
      </c>
      <c r="G408" s="188">
        <v>178178.7</v>
      </c>
      <c r="H408" s="188">
        <v>360560.58</v>
      </c>
      <c r="I408" s="188">
        <v>0</v>
      </c>
      <c r="J408" s="183">
        <v>0</v>
      </c>
      <c r="L408" s="188" t="str">
        <f t="shared" si="123"/>
        <v>Projected - Electric</v>
      </c>
      <c r="M408" s="188" t="str">
        <f t="shared" si="124"/>
        <v>E396 GEN Power-Op Equip, new</v>
      </c>
      <c r="N408" s="188" t="str">
        <f t="shared" si="120"/>
        <v>Projected</v>
      </c>
      <c r="O408" s="188" t="str">
        <f t="shared" si="125"/>
        <v>101-E396</v>
      </c>
      <c r="P408" s="188">
        <f t="shared" si="126"/>
        <v>0</v>
      </c>
      <c r="Q408" s="188">
        <f t="shared" si="127"/>
        <v>170699.74</v>
      </c>
      <c r="R408" s="188">
        <f t="shared" si="128"/>
        <v>178178.7</v>
      </c>
      <c r="S408" s="188">
        <f t="shared" si="129"/>
        <v>360560.58</v>
      </c>
      <c r="T408" s="188">
        <f t="shared" si="130"/>
        <v>0</v>
      </c>
      <c r="V408" s="188" t="str">
        <f t="shared" si="131"/>
        <v>Projected - Electric</v>
      </c>
      <c r="W408" s="188" t="str">
        <f t="shared" si="132"/>
        <v>E396 GEN Power-Op Equip, new</v>
      </c>
      <c r="X408" s="188" t="str">
        <f t="shared" si="121"/>
        <v>Projected</v>
      </c>
      <c r="Y408" s="188" t="str">
        <f t="shared" si="133"/>
        <v>101-E396</v>
      </c>
      <c r="Z408" s="188">
        <f t="shared" si="134"/>
        <v>0</v>
      </c>
      <c r="AA408" s="188">
        <f t="shared" si="135"/>
        <v>0</v>
      </c>
      <c r="AB408" s="188">
        <f t="shared" si="136"/>
        <v>0</v>
      </c>
      <c r="AC408" s="188">
        <f t="shared" si="137"/>
        <v>0</v>
      </c>
      <c r="AD408" s="188">
        <f t="shared" si="138"/>
        <v>0</v>
      </c>
      <c r="AE408" s="183">
        <f t="shared" si="139"/>
        <v>0</v>
      </c>
    </row>
    <row r="409" spans="1:31" x14ac:dyDescent="0.25">
      <c r="A409" s="185" t="s">
        <v>211</v>
      </c>
      <c r="B409" s="188" t="s">
        <v>372</v>
      </c>
      <c r="C409" s="188" t="s">
        <v>26</v>
      </c>
      <c r="D409" s="188" t="str">
        <f t="shared" si="122"/>
        <v>101-E397</v>
      </c>
      <c r="E409" s="188">
        <v>0</v>
      </c>
      <c r="F409" s="188">
        <v>317506.51</v>
      </c>
      <c r="G409" s="188">
        <v>432616.89</v>
      </c>
      <c r="H409" s="188">
        <v>909393.23</v>
      </c>
      <c r="I409" s="188">
        <v>0</v>
      </c>
      <c r="J409" s="183">
        <v>0</v>
      </c>
      <c r="L409" s="188" t="str">
        <f t="shared" si="123"/>
        <v>Projected - Electric</v>
      </c>
      <c r="M409" s="188" t="str">
        <f t="shared" si="124"/>
        <v>E3970 GEN Comm Equip, new</v>
      </c>
      <c r="N409" s="188" t="str">
        <f t="shared" si="120"/>
        <v>Projected</v>
      </c>
      <c r="O409" s="188" t="str">
        <f t="shared" si="125"/>
        <v>101-E397</v>
      </c>
      <c r="P409" s="188">
        <f t="shared" si="126"/>
        <v>0</v>
      </c>
      <c r="Q409" s="188">
        <f t="shared" si="127"/>
        <v>317506.51</v>
      </c>
      <c r="R409" s="188">
        <f t="shared" si="128"/>
        <v>432616.89</v>
      </c>
      <c r="S409" s="188">
        <f t="shared" si="129"/>
        <v>909393.23</v>
      </c>
      <c r="T409" s="188">
        <f t="shared" si="130"/>
        <v>0</v>
      </c>
      <c r="V409" s="188" t="str">
        <f t="shared" si="131"/>
        <v>Projected - Electric</v>
      </c>
      <c r="W409" s="188" t="str">
        <f t="shared" si="132"/>
        <v>E3970 GEN Comm Equip, new</v>
      </c>
      <c r="X409" s="188" t="str">
        <f t="shared" si="121"/>
        <v>Projected</v>
      </c>
      <c r="Y409" s="188" t="str">
        <f t="shared" si="133"/>
        <v>101-E397</v>
      </c>
      <c r="Z409" s="188">
        <f t="shared" si="134"/>
        <v>0</v>
      </c>
      <c r="AA409" s="188">
        <f t="shared" si="135"/>
        <v>0</v>
      </c>
      <c r="AB409" s="188">
        <f t="shared" si="136"/>
        <v>0</v>
      </c>
      <c r="AC409" s="188">
        <f t="shared" si="137"/>
        <v>0</v>
      </c>
      <c r="AD409" s="188">
        <f t="shared" si="138"/>
        <v>0</v>
      </c>
      <c r="AE409" s="183">
        <f t="shared" si="139"/>
        <v>0</v>
      </c>
    </row>
    <row r="410" spans="1:31" x14ac:dyDescent="0.25">
      <c r="A410" s="185" t="s">
        <v>211</v>
      </c>
      <c r="B410" s="188" t="s">
        <v>371</v>
      </c>
      <c r="C410" s="188" t="s">
        <v>26</v>
      </c>
      <c r="D410" s="188" t="str">
        <f t="shared" si="122"/>
        <v>101-E397</v>
      </c>
      <c r="E410" s="188">
        <v>0</v>
      </c>
      <c r="F410" s="188">
        <v>8745.52</v>
      </c>
      <c r="G410" s="188">
        <v>9647.14</v>
      </c>
      <c r="H410" s="188">
        <v>31231.63</v>
      </c>
      <c r="I410" s="188">
        <v>0</v>
      </c>
      <c r="J410" s="183">
        <v>0</v>
      </c>
      <c r="L410" s="188" t="str">
        <f t="shared" si="123"/>
        <v>Projected - Electric</v>
      </c>
      <c r="M410" s="188" t="str">
        <f t="shared" si="124"/>
        <v>E3970 GEN CommEq, 3rd AC new</v>
      </c>
      <c r="N410" s="188" t="str">
        <f t="shared" si="120"/>
        <v>Projected</v>
      </c>
      <c r="O410" s="188" t="str">
        <f t="shared" si="125"/>
        <v>101-E397</v>
      </c>
      <c r="P410" s="188">
        <f t="shared" si="126"/>
        <v>0</v>
      </c>
      <c r="Q410" s="188">
        <f t="shared" si="127"/>
        <v>8745.52</v>
      </c>
      <c r="R410" s="188">
        <f t="shared" si="128"/>
        <v>9647.14</v>
      </c>
      <c r="S410" s="188">
        <f t="shared" si="129"/>
        <v>31231.63</v>
      </c>
      <c r="T410" s="188">
        <f t="shared" si="130"/>
        <v>0</v>
      </c>
      <c r="V410" s="188" t="str">
        <f t="shared" si="131"/>
        <v>Projected - Electric</v>
      </c>
      <c r="W410" s="188" t="str">
        <f t="shared" si="132"/>
        <v>E3970 GEN CommEq, 3rd AC new</v>
      </c>
      <c r="X410" s="188" t="str">
        <f t="shared" si="121"/>
        <v>Projected</v>
      </c>
      <c r="Y410" s="188" t="str">
        <f t="shared" si="133"/>
        <v>101-E397</v>
      </c>
      <c r="Z410" s="188">
        <f t="shared" si="134"/>
        <v>0</v>
      </c>
      <c r="AA410" s="188">
        <f t="shared" si="135"/>
        <v>0</v>
      </c>
      <c r="AB410" s="188">
        <f t="shared" si="136"/>
        <v>0</v>
      </c>
      <c r="AC410" s="188">
        <f t="shared" si="137"/>
        <v>0</v>
      </c>
      <c r="AD410" s="188">
        <f t="shared" si="138"/>
        <v>0</v>
      </c>
      <c r="AE410" s="183">
        <f t="shared" si="139"/>
        <v>0</v>
      </c>
    </row>
    <row r="411" spans="1:31" x14ac:dyDescent="0.25">
      <c r="A411" s="185" t="s">
        <v>211</v>
      </c>
      <c r="B411" s="188" t="s">
        <v>370</v>
      </c>
      <c r="C411" s="188" t="s">
        <v>26</v>
      </c>
      <c r="D411" s="188" t="str">
        <f t="shared" si="122"/>
        <v>101-E397</v>
      </c>
      <c r="E411" s="188">
        <v>0</v>
      </c>
      <c r="F411" s="188">
        <v>37717.919999999998</v>
      </c>
      <c r="G411" s="188">
        <v>59826.720000000001</v>
      </c>
      <c r="H411" s="188">
        <v>133950.19</v>
      </c>
      <c r="I411" s="188">
        <v>0</v>
      </c>
      <c r="J411" s="183">
        <v>0</v>
      </c>
      <c r="L411" s="188" t="str">
        <f t="shared" si="123"/>
        <v>Projected - Electric</v>
      </c>
      <c r="M411" s="188" t="str">
        <f t="shared" si="124"/>
        <v>E3970 GEN CommEq, Colstrip 1-4 new</v>
      </c>
      <c r="N411" s="188" t="str">
        <f t="shared" si="120"/>
        <v>Projected</v>
      </c>
      <c r="O411" s="188" t="str">
        <f t="shared" si="125"/>
        <v>101-E397</v>
      </c>
      <c r="P411" s="188">
        <f t="shared" si="126"/>
        <v>0</v>
      </c>
      <c r="Q411" s="188">
        <f t="shared" si="127"/>
        <v>37717.919999999998</v>
      </c>
      <c r="R411" s="188">
        <f t="shared" si="128"/>
        <v>59826.720000000001</v>
      </c>
      <c r="S411" s="188">
        <f t="shared" si="129"/>
        <v>133950.19</v>
      </c>
      <c r="T411" s="188">
        <f t="shared" si="130"/>
        <v>0</v>
      </c>
      <c r="V411" s="188" t="str">
        <f t="shared" si="131"/>
        <v>Projected - Electric</v>
      </c>
      <c r="W411" s="188" t="str">
        <f t="shared" si="132"/>
        <v>E3970 GEN CommEq, Colstrip 1-4 new</v>
      </c>
      <c r="X411" s="188" t="str">
        <f t="shared" si="121"/>
        <v>Projected</v>
      </c>
      <c r="Y411" s="188" t="str">
        <f t="shared" si="133"/>
        <v>101-E397</v>
      </c>
      <c r="Z411" s="188">
        <f t="shared" si="134"/>
        <v>0</v>
      </c>
      <c r="AA411" s="188">
        <f t="shared" si="135"/>
        <v>0</v>
      </c>
      <c r="AB411" s="188">
        <f t="shared" si="136"/>
        <v>0</v>
      </c>
      <c r="AC411" s="188">
        <f t="shared" si="137"/>
        <v>0</v>
      </c>
      <c r="AD411" s="188">
        <f t="shared" si="138"/>
        <v>0</v>
      </c>
      <c r="AE411" s="183">
        <f t="shared" si="139"/>
        <v>0</v>
      </c>
    </row>
    <row r="412" spans="1:31" x14ac:dyDescent="0.25">
      <c r="A412" s="185" t="s">
        <v>211</v>
      </c>
      <c r="B412" s="188" t="s">
        <v>369</v>
      </c>
      <c r="C412" s="188" t="s">
        <v>26</v>
      </c>
      <c r="D412" s="188" t="str">
        <f t="shared" si="122"/>
        <v>101-E397</v>
      </c>
      <c r="E412" s="188">
        <v>0</v>
      </c>
      <c r="F412" s="188">
        <v>0</v>
      </c>
      <c r="G412" s="188">
        <v>0</v>
      </c>
      <c r="H412" s="188">
        <v>0</v>
      </c>
      <c r="I412" s="188">
        <v>0</v>
      </c>
      <c r="J412" s="183">
        <v>0</v>
      </c>
      <c r="L412" s="188" t="str">
        <f t="shared" si="123"/>
        <v>Projected - Electric</v>
      </c>
      <c r="M412" s="188" t="str">
        <f t="shared" si="124"/>
        <v>E3970 GEN CommEq, LSR</v>
      </c>
      <c r="N412" s="188" t="str">
        <f t="shared" si="120"/>
        <v>Projected</v>
      </c>
      <c r="O412" s="188" t="str">
        <f t="shared" si="125"/>
        <v>101-E397</v>
      </c>
      <c r="P412" s="188">
        <f t="shared" si="126"/>
        <v>0</v>
      </c>
      <c r="Q412" s="188">
        <f t="shared" si="127"/>
        <v>0</v>
      </c>
      <c r="R412" s="188">
        <f t="shared" si="128"/>
        <v>0</v>
      </c>
      <c r="S412" s="188">
        <f t="shared" si="129"/>
        <v>0</v>
      </c>
      <c r="T412" s="188">
        <f t="shared" si="130"/>
        <v>0</v>
      </c>
      <c r="V412" s="188" t="str">
        <f t="shared" si="131"/>
        <v>Projected - Electric</v>
      </c>
      <c r="W412" s="188" t="str">
        <f t="shared" si="132"/>
        <v>E3970 GEN CommEq, LSR</v>
      </c>
      <c r="X412" s="188" t="str">
        <f t="shared" si="121"/>
        <v>Projected</v>
      </c>
      <c r="Y412" s="188" t="str">
        <f t="shared" si="133"/>
        <v>101-E397</v>
      </c>
      <c r="Z412" s="188">
        <f t="shared" si="134"/>
        <v>0</v>
      </c>
      <c r="AA412" s="188">
        <f t="shared" si="135"/>
        <v>0</v>
      </c>
      <c r="AB412" s="188">
        <f t="shared" si="136"/>
        <v>0</v>
      </c>
      <c r="AC412" s="188">
        <f t="shared" si="137"/>
        <v>0</v>
      </c>
      <c r="AD412" s="188">
        <f t="shared" si="138"/>
        <v>0</v>
      </c>
      <c r="AE412" s="183">
        <f t="shared" si="139"/>
        <v>0</v>
      </c>
    </row>
    <row r="413" spans="1:31" x14ac:dyDescent="0.25">
      <c r="A413" s="185" t="s">
        <v>211</v>
      </c>
      <c r="B413" s="188" t="s">
        <v>368</v>
      </c>
      <c r="C413" s="188" t="s">
        <v>26</v>
      </c>
      <c r="D413" s="188" t="str">
        <f t="shared" si="122"/>
        <v>101-E398</v>
      </c>
      <c r="E413" s="188">
        <v>0</v>
      </c>
      <c r="F413" s="188">
        <v>4908</v>
      </c>
      <c r="G413" s="188">
        <v>5552.04</v>
      </c>
      <c r="H413" s="188">
        <v>6625.44</v>
      </c>
      <c r="I413" s="188">
        <v>0</v>
      </c>
      <c r="J413" s="183">
        <v>0</v>
      </c>
      <c r="L413" s="188" t="str">
        <f t="shared" si="123"/>
        <v>Projected - Electric</v>
      </c>
      <c r="M413" s="188" t="str">
        <f t="shared" si="124"/>
        <v>E3980 GEN Misc Equip, Encogen</v>
      </c>
      <c r="N413" s="188" t="str">
        <f t="shared" si="120"/>
        <v>Projected</v>
      </c>
      <c r="O413" s="188" t="str">
        <f t="shared" si="125"/>
        <v>101-E398</v>
      </c>
      <c r="P413" s="188">
        <f t="shared" si="126"/>
        <v>0</v>
      </c>
      <c r="Q413" s="188">
        <f t="shared" si="127"/>
        <v>4908</v>
      </c>
      <c r="R413" s="188">
        <f t="shared" si="128"/>
        <v>5552.04</v>
      </c>
      <c r="S413" s="188">
        <f t="shared" si="129"/>
        <v>6625.44</v>
      </c>
      <c r="T413" s="188">
        <f t="shared" si="130"/>
        <v>0</v>
      </c>
      <c r="V413" s="188" t="str">
        <f t="shared" si="131"/>
        <v>Projected - Electric</v>
      </c>
      <c r="W413" s="188" t="str">
        <f t="shared" si="132"/>
        <v>E3980 GEN Misc Equip, Encogen</v>
      </c>
      <c r="X413" s="188" t="str">
        <f t="shared" si="121"/>
        <v>Projected</v>
      </c>
      <c r="Y413" s="188" t="str">
        <f t="shared" si="133"/>
        <v>101-E398</v>
      </c>
      <c r="Z413" s="188">
        <f t="shared" si="134"/>
        <v>0</v>
      </c>
      <c r="AA413" s="188">
        <f t="shared" si="135"/>
        <v>0</v>
      </c>
      <c r="AB413" s="188">
        <f t="shared" si="136"/>
        <v>0</v>
      </c>
      <c r="AC413" s="188">
        <f t="shared" si="137"/>
        <v>0</v>
      </c>
      <c r="AD413" s="188">
        <f t="shared" si="138"/>
        <v>0</v>
      </c>
      <c r="AE413" s="183">
        <f t="shared" si="139"/>
        <v>0</v>
      </c>
    </row>
    <row r="414" spans="1:31" x14ac:dyDescent="0.25">
      <c r="A414" s="185" t="s">
        <v>211</v>
      </c>
      <c r="B414" s="188" t="s">
        <v>367</v>
      </c>
      <c r="C414" s="188" t="s">
        <v>26</v>
      </c>
      <c r="D414" s="188" t="str">
        <f t="shared" si="122"/>
        <v>101-E398</v>
      </c>
      <c r="E414" s="188">
        <v>0</v>
      </c>
      <c r="F414" s="188">
        <v>27777.39</v>
      </c>
      <c r="G414" s="188">
        <v>28969.5</v>
      </c>
      <c r="H414" s="188">
        <v>57615.99</v>
      </c>
      <c r="I414" s="188">
        <v>0</v>
      </c>
      <c r="J414" s="183">
        <v>0</v>
      </c>
      <c r="L414" s="188" t="str">
        <f t="shared" si="123"/>
        <v>Projected - Electric</v>
      </c>
      <c r="M414" s="188" t="str">
        <f t="shared" si="124"/>
        <v>E3980 GEN Misc Equipment, new</v>
      </c>
      <c r="N414" s="188" t="str">
        <f t="shared" si="120"/>
        <v>Projected</v>
      </c>
      <c r="O414" s="188" t="str">
        <f t="shared" si="125"/>
        <v>101-E398</v>
      </c>
      <c r="P414" s="188">
        <f t="shared" si="126"/>
        <v>0</v>
      </c>
      <c r="Q414" s="188">
        <f t="shared" si="127"/>
        <v>27777.39</v>
      </c>
      <c r="R414" s="188">
        <f t="shared" si="128"/>
        <v>28969.5</v>
      </c>
      <c r="S414" s="188">
        <f t="shared" si="129"/>
        <v>57615.99</v>
      </c>
      <c r="T414" s="188">
        <f t="shared" si="130"/>
        <v>0</v>
      </c>
      <c r="V414" s="188" t="str">
        <f t="shared" si="131"/>
        <v>Projected - Electric</v>
      </c>
      <c r="W414" s="188" t="str">
        <f t="shared" si="132"/>
        <v>E3980 GEN Misc Equipment, new</v>
      </c>
      <c r="X414" s="188" t="str">
        <f t="shared" si="121"/>
        <v>Projected</v>
      </c>
      <c r="Y414" s="188" t="str">
        <f t="shared" si="133"/>
        <v>101-E398</v>
      </c>
      <c r="Z414" s="188">
        <f t="shared" si="134"/>
        <v>0</v>
      </c>
      <c r="AA414" s="188">
        <f t="shared" si="135"/>
        <v>0</v>
      </c>
      <c r="AB414" s="188">
        <f t="shared" si="136"/>
        <v>0</v>
      </c>
      <c r="AC414" s="188">
        <f t="shared" si="137"/>
        <v>0</v>
      </c>
      <c r="AD414" s="188">
        <f t="shared" si="138"/>
        <v>0</v>
      </c>
      <c r="AE414" s="183">
        <f t="shared" si="139"/>
        <v>0</v>
      </c>
    </row>
    <row r="415" spans="1:31" x14ac:dyDescent="0.25">
      <c r="A415" s="185" t="s">
        <v>210</v>
      </c>
      <c r="B415" s="188" t="s">
        <v>366</v>
      </c>
      <c r="C415" s="188" t="s">
        <v>26</v>
      </c>
      <c r="D415" s="188" t="str">
        <f t="shared" si="122"/>
        <v>101-G302</v>
      </c>
      <c r="E415" s="188">
        <v>0</v>
      </c>
      <c r="F415" s="188">
        <v>428032.76</v>
      </c>
      <c r="G415" s="188">
        <v>1154060.99</v>
      </c>
      <c r="H415" s="188">
        <v>3023552.86</v>
      </c>
      <c r="I415" s="188">
        <v>0</v>
      </c>
      <c r="J415" s="183">
        <v>0</v>
      </c>
      <c r="L415" s="188" t="str">
        <f t="shared" si="123"/>
        <v>Projected - Gas</v>
      </c>
      <c r="M415" s="188" t="str">
        <f t="shared" si="124"/>
        <v>G302.10 INT Franchises &amp; Consents</v>
      </c>
      <c r="N415" s="188" t="str">
        <f t="shared" si="120"/>
        <v>Projected</v>
      </c>
      <c r="O415" s="188" t="str">
        <f t="shared" si="125"/>
        <v>101-G302</v>
      </c>
      <c r="P415" s="188">
        <f t="shared" si="126"/>
        <v>0</v>
      </c>
      <c r="Q415" s="188">
        <f t="shared" si="127"/>
        <v>0</v>
      </c>
      <c r="R415" s="188">
        <f t="shared" si="128"/>
        <v>0</v>
      </c>
      <c r="S415" s="188">
        <f t="shared" si="129"/>
        <v>0</v>
      </c>
      <c r="T415" s="188">
        <f t="shared" si="130"/>
        <v>0</v>
      </c>
      <c r="V415" s="188" t="str">
        <f t="shared" si="131"/>
        <v>Projected - Gas</v>
      </c>
      <c r="W415" s="188" t="str">
        <f t="shared" si="132"/>
        <v>G302.10 INT Franchises &amp; Consents</v>
      </c>
      <c r="X415" s="188" t="str">
        <f t="shared" si="121"/>
        <v>Projected</v>
      </c>
      <c r="Y415" s="188" t="str">
        <f t="shared" si="133"/>
        <v>101-G302</v>
      </c>
      <c r="Z415" s="188">
        <f t="shared" si="134"/>
        <v>0</v>
      </c>
      <c r="AA415" s="188">
        <f t="shared" si="135"/>
        <v>428032.76</v>
      </c>
      <c r="AB415" s="188">
        <f t="shared" si="136"/>
        <v>1154060.99</v>
      </c>
      <c r="AC415" s="188">
        <f t="shared" si="137"/>
        <v>3023552.86</v>
      </c>
      <c r="AD415" s="188">
        <f t="shared" si="138"/>
        <v>0</v>
      </c>
      <c r="AE415" s="183">
        <f t="shared" si="139"/>
        <v>0</v>
      </c>
    </row>
    <row r="416" spans="1:31" x14ac:dyDescent="0.25">
      <c r="A416" s="185" t="s">
        <v>210</v>
      </c>
      <c r="B416" s="188" t="s">
        <v>365</v>
      </c>
      <c r="C416" s="188" t="s">
        <v>26</v>
      </c>
      <c r="D416" s="188" t="str">
        <f t="shared" si="122"/>
        <v>101-G303</v>
      </c>
      <c r="E416" s="188">
        <v>0</v>
      </c>
      <c r="F416" s="188">
        <v>2854876.11</v>
      </c>
      <c r="G416" s="188">
        <v>4625142.03</v>
      </c>
      <c r="H416" s="188">
        <v>6555982.8300000001</v>
      </c>
      <c r="I416" s="188">
        <v>0</v>
      </c>
      <c r="J416" s="183">
        <v>0</v>
      </c>
      <c r="L416" s="188" t="str">
        <f t="shared" si="123"/>
        <v>Projected - Gas</v>
      </c>
      <c r="M416" s="188" t="str">
        <f t="shared" si="124"/>
        <v>G303.10 INT Misc Intangible Plant</v>
      </c>
      <c r="N416" s="188" t="str">
        <f t="shared" si="120"/>
        <v>Projected</v>
      </c>
      <c r="O416" s="188" t="str">
        <f t="shared" si="125"/>
        <v>101-G303</v>
      </c>
      <c r="P416" s="188">
        <f t="shared" si="126"/>
        <v>0</v>
      </c>
      <c r="Q416" s="188">
        <f t="shared" si="127"/>
        <v>0</v>
      </c>
      <c r="R416" s="188">
        <f t="shared" si="128"/>
        <v>0</v>
      </c>
      <c r="S416" s="188">
        <f t="shared" si="129"/>
        <v>0</v>
      </c>
      <c r="T416" s="188">
        <f t="shared" si="130"/>
        <v>0</v>
      </c>
      <c r="V416" s="188" t="str">
        <f t="shared" si="131"/>
        <v>Projected - Gas</v>
      </c>
      <c r="W416" s="188" t="str">
        <f t="shared" si="132"/>
        <v>G303.10 INT Misc Intangible Plant</v>
      </c>
      <c r="X416" s="188" t="str">
        <f t="shared" si="121"/>
        <v>Projected</v>
      </c>
      <c r="Y416" s="188" t="str">
        <f t="shared" si="133"/>
        <v>101-G303</v>
      </c>
      <c r="Z416" s="188">
        <f t="shared" si="134"/>
        <v>0</v>
      </c>
      <c r="AA416" s="188">
        <f t="shared" si="135"/>
        <v>2854876.11</v>
      </c>
      <c r="AB416" s="188">
        <f t="shared" si="136"/>
        <v>4625142.03</v>
      </c>
      <c r="AC416" s="188">
        <f t="shared" si="137"/>
        <v>6555982.8300000001</v>
      </c>
      <c r="AD416" s="188">
        <f t="shared" si="138"/>
        <v>0</v>
      </c>
      <c r="AE416" s="183">
        <f t="shared" si="139"/>
        <v>0</v>
      </c>
    </row>
    <row r="417" spans="1:31" x14ac:dyDescent="0.25">
      <c r="A417" s="185" t="s">
        <v>210</v>
      </c>
      <c r="B417" s="188" t="s">
        <v>364</v>
      </c>
      <c r="C417" s="188" t="s">
        <v>26</v>
      </c>
      <c r="D417" s="188" t="str">
        <f t="shared" si="122"/>
        <v>101-G303</v>
      </c>
      <c r="E417" s="188">
        <v>0</v>
      </c>
      <c r="F417" s="188">
        <v>0</v>
      </c>
      <c r="G417" s="188">
        <v>204809.5</v>
      </c>
      <c r="H417" s="188">
        <v>496936.68</v>
      </c>
      <c r="I417" s="188">
        <v>0</v>
      </c>
      <c r="J417" s="183">
        <v>0</v>
      </c>
      <c r="L417" s="188" t="str">
        <f t="shared" si="123"/>
        <v>Projected - Gas</v>
      </c>
      <c r="M417" s="188" t="str">
        <f t="shared" si="124"/>
        <v>G303.3 INT Misc Intangible Plant</v>
      </c>
      <c r="N417" s="188" t="str">
        <f t="shared" si="120"/>
        <v>Projected</v>
      </c>
      <c r="O417" s="188" t="str">
        <f t="shared" si="125"/>
        <v>101-G303</v>
      </c>
      <c r="P417" s="188">
        <f t="shared" si="126"/>
        <v>0</v>
      </c>
      <c r="Q417" s="188">
        <f t="shared" si="127"/>
        <v>0</v>
      </c>
      <c r="R417" s="188">
        <f t="shared" si="128"/>
        <v>0</v>
      </c>
      <c r="S417" s="188">
        <f t="shared" si="129"/>
        <v>0</v>
      </c>
      <c r="T417" s="188">
        <f t="shared" si="130"/>
        <v>0</v>
      </c>
      <c r="V417" s="188" t="str">
        <f t="shared" si="131"/>
        <v>Projected - Gas</v>
      </c>
      <c r="W417" s="188" t="str">
        <f t="shared" si="132"/>
        <v>G303.3 INT Misc Intangible Plant</v>
      </c>
      <c r="X417" s="188" t="str">
        <f t="shared" si="121"/>
        <v>Projected</v>
      </c>
      <c r="Y417" s="188" t="str">
        <f t="shared" si="133"/>
        <v>101-G303</v>
      </c>
      <c r="Z417" s="188">
        <f t="shared" si="134"/>
        <v>0</v>
      </c>
      <c r="AA417" s="188">
        <f t="shared" si="135"/>
        <v>0</v>
      </c>
      <c r="AB417" s="188">
        <f t="shared" si="136"/>
        <v>204809.5</v>
      </c>
      <c r="AC417" s="188">
        <f t="shared" si="137"/>
        <v>496936.68</v>
      </c>
      <c r="AD417" s="188">
        <f t="shared" si="138"/>
        <v>0</v>
      </c>
      <c r="AE417" s="183">
        <f t="shared" si="139"/>
        <v>0</v>
      </c>
    </row>
    <row r="418" spans="1:31" x14ac:dyDescent="0.25">
      <c r="A418" s="185" t="s">
        <v>210</v>
      </c>
      <c r="B418" s="188" t="s">
        <v>363</v>
      </c>
      <c r="C418" s="188" t="s">
        <v>26</v>
      </c>
      <c r="D418" s="188" t="str">
        <f t="shared" si="122"/>
        <v>101-G303</v>
      </c>
      <c r="E418" s="188">
        <v>0</v>
      </c>
      <c r="F418" s="188">
        <v>147308.85999999999</v>
      </c>
      <c r="G418" s="188">
        <v>153314.85999999999</v>
      </c>
      <c r="H418" s="188">
        <v>159320.85999999999</v>
      </c>
      <c r="I418" s="188">
        <v>0</v>
      </c>
      <c r="J418" s="183">
        <v>0</v>
      </c>
      <c r="L418" s="188" t="str">
        <f t="shared" si="123"/>
        <v>Projected - Gas</v>
      </c>
      <c r="M418" s="188" t="str">
        <f t="shared" si="124"/>
        <v>G303.5 INT Misc Intangible Plant</v>
      </c>
      <c r="N418" s="188" t="str">
        <f t="shared" si="120"/>
        <v>Projected</v>
      </c>
      <c r="O418" s="188" t="str">
        <f t="shared" si="125"/>
        <v>101-G303</v>
      </c>
      <c r="P418" s="188">
        <f t="shared" si="126"/>
        <v>0</v>
      </c>
      <c r="Q418" s="188">
        <f t="shared" si="127"/>
        <v>0</v>
      </c>
      <c r="R418" s="188">
        <f t="shared" si="128"/>
        <v>0</v>
      </c>
      <c r="S418" s="188">
        <f t="shared" si="129"/>
        <v>0</v>
      </c>
      <c r="T418" s="188">
        <f t="shared" si="130"/>
        <v>0</v>
      </c>
      <c r="V418" s="188" t="str">
        <f t="shared" si="131"/>
        <v>Projected - Gas</v>
      </c>
      <c r="W418" s="188" t="str">
        <f t="shared" si="132"/>
        <v>G303.5 INT Misc Intangible Plant</v>
      </c>
      <c r="X418" s="188" t="str">
        <f t="shared" si="121"/>
        <v>Projected</v>
      </c>
      <c r="Y418" s="188" t="str">
        <f t="shared" si="133"/>
        <v>101-G303</v>
      </c>
      <c r="Z418" s="188">
        <f t="shared" si="134"/>
        <v>0</v>
      </c>
      <c r="AA418" s="188">
        <f t="shared" si="135"/>
        <v>147308.85999999999</v>
      </c>
      <c r="AB418" s="188">
        <f t="shared" si="136"/>
        <v>153314.85999999999</v>
      </c>
      <c r="AC418" s="188">
        <f t="shared" si="137"/>
        <v>159320.85999999999</v>
      </c>
      <c r="AD418" s="188">
        <f t="shared" si="138"/>
        <v>0</v>
      </c>
      <c r="AE418" s="183">
        <f t="shared" si="139"/>
        <v>0</v>
      </c>
    </row>
    <row r="419" spans="1:31" x14ac:dyDescent="0.25">
      <c r="A419" s="185" t="s">
        <v>210</v>
      </c>
      <c r="B419" s="188" t="s">
        <v>362</v>
      </c>
      <c r="C419" s="188" t="s">
        <v>26</v>
      </c>
      <c r="D419" s="188" t="str">
        <f t="shared" si="122"/>
        <v>101-G303</v>
      </c>
      <c r="E419" s="188">
        <v>0</v>
      </c>
      <c r="F419" s="188">
        <v>0</v>
      </c>
      <c r="G419" s="188">
        <v>0</v>
      </c>
      <c r="H419" s="188">
        <v>62719.39</v>
      </c>
      <c r="I419" s="188">
        <v>0</v>
      </c>
      <c r="J419" s="183">
        <v>0</v>
      </c>
      <c r="L419" s="188" t="str">
        <f t="shared" si="123"/>
        <v>Projected - Gas</v>
      </c>
      <c r="M419" s="188" t="str">
        <f t="shared" si="124"/>
        <v>G303.7 INT Misc Intangible Plant</v>
      </c>
      <c r="N419" s="188" t="str">
        <f t="shared" si="120"/>
        <v>Projected</v>
      </c>
      <c r="O419" s="188" t="str">
        <f t="shared" si="125"/>
        <v>101-G303</v>
      </c>
      <c r="P419" s="188">
        <f t="shared" si="126"/>
        <v>0</v>
      </c>
      <c r="Q419" s="188">
        <f t="shared" si="127"/>
        <v>0</v>
      </c>
      <c r="R419" s="188">
        <f t="shared" si="128"/>
        <v>0</v>
      </c>
      <c r="S419" s="188">
        <f t="shared" si="129"/>
        <v>0</v>
      </c>
      <c r="T419" s="188">
        <f t="shared" si="130"/>
        <v>0</v>
      </c>
      <c r="V419" s="188" t="str">
        <f t="shared" si="131"/>
        <v>Projected - Gas</v>
      </c>
      <c r="W419" s="188" t="str">
        <f t="shared" si="132"/>
        <v>G303.7 INT Misc Intangible Plant</v>
      </c>
      <c r="X419" s="188" t="str">
        <f t="shared" si="121"/>
        <v>Projected</v>
      </c>
      <c r="Y419" s="188" t="str">
        <f t="shared" si="133"/>
        <v>101-G303</v>
      </c>
      <c r="Z419" s="188">
        <f t="shared" si="134"/>
        <v>0</v>
      </c>
      <c r="AA419" s="188">
        <f t="shared" si="135"/>
        <v>0</v>
      </c>
      <c r="AB419" s="188">
        <f t="shared" si="136"/>
        <v>0</v>
      </c>
      <c r="AC419" s="188">
        <f t="shared" si="137"/>
        <v>62719.39</v>
      </c>
      <c r="AD419" s="188">
        <f t="shared" si="138"/>
        <v>0</v>
      </c>
      <c r="AE419" s="183">
        <f t="shared" si="139"/>
        <v>0</v>
      </c>
    </row>
    <row r="420" spans="1:31" x14ac:dyDescent="0.25">
      <c r="A420" s="185" t="s">
        <v>210</v>
      </c>
      <c r="B420" s="188" t="s">
        <v>361</v>
      </c>
      <c r="C420" s="188" t="s">
        <v>26</v>
      </c>
      <c r="D420" s="188" t="str">
        <f t="shared" si="122"/>
        <v>101-G351</v>
      </c>
      <c r="E420" s="188">
        <v>0</v>
      </c>
      <c r="F420" s="188">
        <v>18590.16</v>
      </c>
      <c r="G420" s="188">
        <v>27769.26</v>
      </c>
      <c r="H420" s="188">
        <v>46327.56</v>
      </c>
      <c r="I420" s="188">
        <v>0</v>
      </c>
      <c r="J420" s="183">
        <v>0</v>
      </c>
      <c r="L420" s="188" t="str">
        <f t="shared" si="123"/>
        <v>Projected - Gas</v>
      </c>
      <c r="M420" s="188" t="str">
        <f t="shared" si="124"/>
        <v>G3511 UGS Well Structures</v>
      </c>
      <c r="N420" s="188" t="str">
        <f t="shared" si="120"/>
        <v>Projected</v>
      </c>
      <c r="O420" s="188" t="str">
        <f t="shared" si="125"/>
        <v>101-G351</v>
      </c>
      <c r="P420" s="188">
        <f t="shared" si="126"/>
        <v>0</v>
      </c>
      <c r="Q420" s="188">
        <f t="shared" si="127"/>
        <v>0</v>
      </c>
      <c r="R420" s="188">
        <f t="shared" si="128"/>
        <v>0</v>
      </c>
      <c r="S420" s="188">
        <f t="shared" si="129"/>
        <v>0</v>
      </c>
      <c r="T420" s="188">
        <f t="shared" si="130"/>
        <v>0</v>
      </c>
      <c r="V420" s="188" t="str">
        <f t="shared" si="131"/>
        <v>Projected - Gas</v>
      </c>
      <c r="W420" s="188" t="str">
        <f t="shared" si="132"/>
        <v>G3511 UGS Well Structures</v>
      </c>
      <c r="X420" s="188" t="str">
        <f t="shared" si="121"/>
        <v>Projected</v>
      </c>
      <c r="Y420" s="188" t="str">
        <f t="shared" si="133"/>
        <v>101-G351</v>
      </c>
      <c r="Z420" s="188">
        <f t="shared" si="134"/>
        <v>0</v>
      </c>
      <c r="AA420" s="188">
        <f t="shared" si="135"/>
        <v>18590.16</v>
      </c>
      <c r="AB420" s="188">
        <f t="shared" si="136"/>
        <v>27769.26</v>
      </c>
      <c r="AC420" s="188">
        <f t="shared" si="137"/>
        <v>46327.56</v>
      </c>
      <c r="AD420" s="188">
        <f t="shared" si="138"/>
        <v>0</v>
      </c>
      <c r="AE420" s="183">
        <f t="shared" si="139"/>
        <v>0</v>
      </c>
    </row>
    <row r="421" spans="1:31" x14ac:dyDescent="0.25">
      <c r="A421" s="185" t="s">
        <v>210</v>
      </c>
      <c r="B421" s="188" t="s">
        <v>360</v>
      </c>
      <c r="C421" s="188" t="s">
        <v>26</v>
      </c>
      <c r="D421" s="188" t="str">
        <f t="shared" si="122"/>
        <v>101-G351</v>
      </c>
      <c r="E421" s="188">
        <v>0</v>
      </c>
      <c r="F421" s="188">
        <v>23337</v>
      </c>
      <c r="G421" s="188">
        <v>34859.82</v>
      </c>
      <c r="H421" s="188">
        <v>58156.68</v>
      </c>
      <c r="I421" s="188">
        <v>0</v>
      </c>
      <c r="J421" s="183">
        <v>0</v>
      </c>
      <c r="L421" s="188" t="str">
        <f t="shared" si="123"/>
        <v>Projected - Gas</v>
      </c>
      <c r="M421" s="188" t="str">
        <f t="shared" si="124"/>
        <v>G3512 UGS Compressor Sta Structures</v>
      </c>
      <c r="N421" s="188" t="str">
        <f t="shared" si="120"/>
        <v>Projected</v>
      </c>
      <c r="O421" s="188" t="str">
        <f t="shared" si="125"/>
        <v>101-G351</v>
      </c>
      <c r="P421" s="188">
        <f t="shared" si="126"/>
        <v>0</v>
      </c>
      <c r="Q421" s="188">
        <f t="shared" si="127"/>
        <v>0</v>
      </c>
      <c r="R421" s="188">
        <f t="shared" si="128"/>
        <v>0</v>
      </c>
      <c r="S421" s="188">
        <f t="shared" si="129"/>
        <v>0</v>
      </c>
      <c r="T421" s="188">
        <f t="shared" si="130"/>
        <v>0</v>
      </c>
      <c r="V421" s="188" t="str">
        <f t="shared" si="131"/>
        <v>Projected - Gas</v>
      </c>
      <c r="W421" s="188" t="str">
        <f t="shared" si="132"/>
        <v>G3512 UGS Compressor Sta Structures</v>
      </c>
      <c r="X421" s="188" t="str">
        <f t="shared" si="121"/>
        <v>Projected</v>
      </c>
      <c r="Y421" s="188" t="str">
        <f t="shared" si="133"/>
        <v>101-G351</v>
      </c>
      <c r="Z421" s="188">
        <f t="shared" si="134"/>
        <v>0</v>
      </c>
      <c r="AA421" s="188">
        <f t="shared" si="135"/>
        <v>23337</v>
      </c>
      <c r="AB421" s="188">
        <f t="shared" si="136"/>
        <v>34859.82</v>
      </c>
      <c r="AC421" s="188">
        <f t="shared" si="137"/>
        <v>58156.68</v>
      </c>
      <c r="AD421" s="188">
        <f t="shared" si="138"/>
        <v>0</v>
      </c>
      <c r="AE421" s="183">
        <f t="shared" si="139"/>
        <v>0</v>
      </c>
    </row>
    <row r="422" spans="1:31" x14ac:dyDescent="0.25">
      <c r="A422" s="185" t="s">
        <v>210</v>
      </c>
      <c r="B422" s="188" t="s">
        <v>359</v>
      </c>
      <c r="C422" s="188" t="s">
        <v>26</v>
      </c>
      <c r="D422" s="188" t="str">
        <f t="shared" si="122"/>
        <v>101-G351</v>
      </c>
      <c r="E422" s="188">
        <v>0</v>
      </c>
      <c r="F422" s="188">
        <v>17658.84</v>
      </c>
      <c r="G422" s="188">
        <v>26378.04</v>
      </c>
      <c r="H422" s="188">
        <v>44006.52</v>
      </c>
      <c r="I422" s="188">
        <v>0</v>
      </c>
      <c r="J422" s="183">
        <v>0</v>
      </c>
      <c r="L422" s="188" t="str">
        <f t="shared" si="123"/>
        <v>Projected - Gas</v>
      </c>
      <c r="M422" s="188" t="str">
        <f t="shared" si="124"/>
        <v>G3514 UGS Other Structures</v>
      </c>
      <c r="N422" s="188" t="str">
        <f t="shared" si="120"/>
        <v>Projected</v>
      </c>
      <c r="O422" s="188" t="str">
        <f t="shared" si="125"/>
        <v>101-G351</v>
      </c>
      <c r="P422" s="188">
        <f t="shared" si="126"/>
        <v>0</v>
      </c>
      <c r="Q422" s="188">
        <f t="shared" si="127"/>
        <v>0</v>
      </c>
      <c r="R422" s="188">
        <f t="shared" si="128"/>
        <v>0</v>
      </c>
      <c r="S422" s="188">
        <f t="shared" si="129"/>
        <v>0</v>
      </c>
      <c r="T422" s="188">
        <f t="shared" si="130"/>
        <v>0</v>
      </c>
      <c r="V422" s="188" t="str">
        <f t="shared" si="131"/>
        <v>Projected - Gas</v>
      </c>
      <c r="W422" s="188" t="str">
        <f t="shared" si="132"/>
        <v>G3514 UGS Other Structures</v>
      </c>
      <c r="X422" s="188" t="str">
        <f t="shared" si="121"/>
        <v>Projected</v>
      </c>
      <c r="Y422" s="188" t="str">
        <f t="shared" si="133"/>
        <v>101-G351</v>
      </c>
      <c r="Z422" s="188">
        <f t="shared" si="134"/>
        <v>0</v>
      </c>
      <c r="AA422" s="188">
        <f t="shared" si="135"/>
        <v>17658.84</v>
      </c>
      <c r="AB422" s="188">
        <f t="shared" si="136"/>
        <v>26378.04</v>
      </c>
      <c r="AC422" s="188">
        <f t="shared" si="137"/>
        <v>44006.52</v>
      </c>
      <c r="AD422" s="188">
        <f t="shared" si="138"/>
        <v>0</v>
      </c>
      <c r="AE422" s="183">
        <f t="shared" si="139"/>
        <v>0</v>
      </c>
    </row>
    <row r="423" spans="1:31" x14ac:dyDescent="0.25">
      <c r="A423" s="185" t="s">
        <v>210</v>
      </c>
      <c r="B423" s="188" t="s">
        <v>358</v>
      </c>
      <c r="C423" s="188" t="s">
        <v>26</v>
      </c>
      <c r="D423" s="188" t="str">
        <f t="shared" si="122"/>
        <v>101-G352</v>
      </c>
      <c r="E423" s="188">
        <v>0</v>
      </c>
      <c r="F423" s="188">
        <v>1038862.56</v>
      </c>
      <c r="G423" s="188">
        <v>1551810.66</v>
      </c>
      <c r="H423" s="188">
        <v>2588889.36</v>
      </c>
      <c r="I423" s="188">
        <v>0</v>
      </c>
      <c r="J423" s="183">
        <v>0</v>
      </c>
      <c r="L423" s="188" t="str">
        <f t="shared" si="123"/>
        <v>Projected - Gas</v>
      </c>
      <c r="M423" s="188" t="str">
        <f t="shared" si="124"/>
        <v>G3520 UGS Wells</v>
      </c>
      <c r="N423" s="188" t="str">
        <f t="shared" si="120"/>
        <v>Projected</v>
      </c>
      <c r="O423" s="188" t="str">
        <f t="shared" si="125"/>
        <v>101-G352</v>
      </c>
      <c r="P423" s="188">
        <f t="shared" si="126"/>
        <v>0</v>
      </c>
      <c r="Q423" s="188">
        <f t="shared" si="127"/>
        <v>0</v>
      </c>
      <c r="R423" s="188">
        <f t="shared" si="128"/>
        <v>0</v>
      </c>
      <c r="S423" s="188">
        <f t="shared" si="129"/>
        <v>0</v>
      </c>
      <c r="T423" s="188">
        <f t="shared" si="130"/>
        <v>0</v>
      </c>
      <c r="V423" s="188" t="str">
        <f t="shared" si="131"/>
        <v>Projected - Gas</v>
      </c>
      <c r="W423" s="188" t="str">
        <f t="shared" si="132"/>
        <v>G3520 UGS Wells</v>
      </c>
      <c r="X423" s="188" t="str">
        <f t="shared" si="121"/>
        <v>Projected</v>
      </c>
      <c r="Y423" s="188" t="str">
        <f t="shared" si="133"/>
        <v>101-G352</v>
      </c>
      <c r="Z423" s="188">
        <f t="shared" si="134"/>
        <v>0</v>
      </c>
      <c r="AA423" s="188">
        <f t="shared" si="135"/>
        <v>1038862.56</v>
      </c>
      <c r="AB423" s="188">
        <f t="shared" si="136"/>
        <v>1551810.66</v>
      </c>
      <c r="AC423" s="188">
        <f t="shared" si="137"/>
        <v>2588889.36</v>
      </c>
      <c r="AD423" s="188">
        <f t="shared" si="138"/>
        <v>0</v>
      </c>
      <c r="AE423" s="183">
        <f t="shared" si="139"/>
        <v>0</v>
      </c>
    </row>
    <row r="424" spans="1:31" x14ac:dyDescent="0.25">
      <c r="A424" s="185" t="s">
        <v>210</v>
      </c>
      <c r="B424" s="188" t="s">
        <v>357</v>
      </c>
      <c r="C424" s="188" t="s">
        <v>26</v>
      </c>
      <c r="D424" s="188" t="str">
        <f t="shared" si="122"/>
        <v>101-G353</v>
      </c>
      <c r="E424" s="188">
        <v>0</v>
      </c>
      <c r="F424" s="188">
        <v>111144.24</v>
      </c>
      <c r="G424" s="188">
        <v>166022.76</v>
      </c>
      <c r="H424" s="188">
        <v>276976.2</v>
      </c>
      <c r="I424" s="188">
        <v>0</v>
      </c>
      <c r="J424" s="183">
        <v>0</v>
      </c>
      <c r="L424" s="188" t="str">
        <f t="shared" si="123"/>
        <v>Projected - Gas</v>
      </c>
      <c r="M424" s="188" t="str">
        <f t="shared" si="124"/>
        <v>G353 UGS Lines</v>
      </c>
      <c r="N424" s="188" t="str">
        <f t="shared" si="120"/>
        <v>Projected</v>
      </c>
      <c r="O424" s="188" t="str">
        <f t="shared" si="125"/>
        <v>101-G353</v>
      </c>
      <c r="P424" s="188">
        <f t="shared" si="126"/>
        <v>0</v>
      </c>
      <c r="Q424" s="188">
        <f t="shared" si="127"/>
        <v>0</v>
      </c>
      <c r="R424" s="188">
        <f t="shared" si="128"/>
        <v>0</v>
      </c>
      <c r="S424" s="188">
        <f t="shared" si="129"/>
        <v>0</v>
      </c>
      <c r="T424" s="188">
        <f t="shared" si="130"/>
        <v>0</v>
      </c>
      <c r="V424" s="188" t="str">
        <f t="shared" si="131"/>
        <v>Projected - Gas</v>
      </c>
      <c r="W424" s="188" t="str">
        <f t="shared" si="132"/>
        <v>G353 UGS Lines</v>
      </c>
      <c r="X424" s="188" t="str">
        <f t="shared" si="121"/>
        <v>Projected</v>
      </c>
      <c r="Y424" s="188" t="str">
        <f t="shared" si="133"/>
        <v>101-G353</v>
      </c>
      <c r="Z424" s="188">
        <f t="shared" si="134"/>
        <v>0</v>
      </c>
      <c r="AA424" s="188">
        <f t="shared" si="135"/>
        <v>111144.24</v>
      </c>
      <c r="AB424" s="188">
        <f t="shared" si="136"/>
        <v>166022.76</v>
      </c>
      <c r="AC424" s="188">
        <f t="shared" si="137"/>
        <v>276976.2</v>
      </c>
      <c r="AD424" s="188">
        <f t="shared" si="138"/>
        <v>0</v>
      </c>
      <c r="AE424" s="183">
        <f t="shared" si="139"/>
        <v>0</v>
      </c>
    </row>
    <row r="425" spans="1:31" x14ac:dyDescent="0.25">
      <c r="A425" s="185" t="s">
        <v>210</v>
      </c>
      <c r="B425" s="188" t="s">
        <v>356</v>
      </c>
      <c r="C425" s="188" t="s">
        <v>26</v>
      </c>
      <c r="D425" s="188" t="str">
        <f t="shared" si="122"/>
        <v>101-G354</v>
      </c>
      <c r="E425" s="188">
        <v>0</v>
      </c>
      <c r="F425" s="188">
        <v>1160381.3999999999</v>
      </c>
      <c r="G425" s="188">
        <v>1733330.58</v>
      </c>
      <c r="H425" s="188">
        <v>2891719.5</v>
      </c>
      <c r="I425" s="188">
        <v>0</v>
      </c>
      <c r="J425" s="183">
        <v>0</v>
      </c>
      <c r="L425" s="188" t="str">
        <f t="shared" si="123"/>
        <v>Projected - Gas</v>
      </c>
      <c r="M425" s="188" t="str">
        <f t="shared" si="124"/>
        <v>G354 UGS Compressor Station</v>
      </c>
      <c r="N425" s="188" t="str">
        <f t="shared" si="120"/>
        <v>Projected</v>
      </c>
      <c r="O425" s="188" t="str">
        <f t="shared" si="125"/>
        <v>101-G354</v>
      </c>
      <c r="P425" s="188">
        <f t="shared" si="126"/>
        <v>0</v>
      </c>
      <c r="Q425" s="188">
        <f t="shared" si="127"/>
        <v>0</v>
      </c>
      <c r="R425" s="188">
        <f t="shared" si="128"/>
        <v>0</v>
      </c>
      <c r="S425" s="188">
        <f t="shared" si="129"/>
        <v>0</v>
      </c>
      <c r="T425" s="188">
        <f t="shared" si="130"/>
        <v>0</v>
      </c>
      <c r="V425" s="188" t="str">
        <f t="shared" si="131"/>
        <v>Projected - Gas</v>
      </c>
      <c r="W425" s="188" t="str">
        <f t="shared" si="132"/>
        <v>G354 UGS Compressor Station</v>
      </c>
      <c r="X425" s="188" t="str">
        <f t="shared" si="121"/>
        <v>Projected</v>
      </c>
      <c r="Y425" s="188" t="str">
        <f t="shared" si="133"/>
        <v>101-G354</v>
      </c>
      <c r="Z425" s="188">
        <f t="shared" si="134"/>
        <v>0</v>
      </c>
      <c r="AA425" s="188">
        <f t="shared" si="135"/>
        <v>1160381.3999999999</v>
      </c>
      <c r="AB425" s="188">
        <f t="shared" si="136"/>
        <v>1733330.58</v>
      </c>
      <c r="AC425" s="188">
        <f t="shared" si="137"/>
        <v>2891719.5</v>
      </c>
      <c r="AD425" s="188">
        <f t="shared" si="138"/>
        <v>0</v>
      </c>
      <c r="AE425" s="183">
        <f t="shared" si="139"/>
        <v>0</v>
      </c>
    </row>
    <row r="426" spans="1:31" x14ac:dyDescent="0.25">
      <c r="A426" s="185" t="s">
        <v>210</v>
      </c>
      <c r="B426" s="188" t="s">
        <v>355</v>
      </c>
      <c r="C426" s="188" t="s">
        <v>26</v>
      </c>
      <c r="D426" s="188" t="str">
        <f t="shared" si="122"/>
        <v>101-G355</v>
      </c>
      <c r="E426" s="188">
        <v>0</v>
      </c>
      <c r="F426" s="188">
        <v>200181.96</v>
      </c>
      <c r="G426" s="188">
        <v>299023.68</v>
      </c>
      <c r="H426" s="188">
        <v>498861.9</v>
      </c>
      <c r="I426" s="188">
        <v>0</v>
      </c>
      <c r="J426" s="183">
        <v>0</v>
      </c>
      <c r="L426" s="188" t="str">
        <f t="shared" si="123"/>
        <v>Projected - Gas</v>
      </c>
      <c r="M426" s="188" t="str">
        <f t="shared" si="124"/>
        <v>G355 UGS Regulating Station</v>
      </c>
      <c r="N426" s="188" t="str">
        <f t="shared" si="120"/>
        <v>Projected</v>
      </c>
      <c r="O426" s="188" t="str">
        <f t="shared" si="125"/>
        <v>101-G355</v>
      </c>
      <c r="P426" s="188">
        <f t="shared" si="126"/>
        <v>0</v>
      </c>
      <c r="Q426" s="188">
        <f t="shared" si="127"/>
        <v>0</v>
      </c>
      <c r="R426" s="188">
        <f t="shared" si="128"/>
        <v>0</v>
      </c>
      <c r="S426" s="188">
        <f t="shared" si="129"/>
        <v>0</v>
      </c>
      <c r="T426" s="188">
        <f t="shared" si="130"/>
        <v>0</v>
      </c>
      <c r="V426" s="188" t="str">
        <f t="shared" si="131"/>
        <v>Projected - Gas</v>
      </c>
      <c r="W426" s="188" t="str">
        <f t="shared" si="132"/>
        <v>G355 UGS Regulating Station</v>
      </c>
      <c r="X426" s="188" t="str">
        <f t="shared" si="121"/>
        <v>Projected</v>
      </c>
      <c r="Y426" s="188" t="str">
        <f t="shared" si="133"/>
        <v>101-G355</v>
      </c>
      <c r="Z426" s="188">
        <f t="shared" si="134"/>
        <v>0</v>
      </c>
      <c r="AA426" s="188">
        <f t="shared" si="135"/>
        <v>200181.96</v>
      </c>
      <c r="AB426" s="188">
        <f t="shared" si="136"/>
        <v>299023.68</v>
      </c>
      <c r="AC426" s="188">
        <f t="shared" si="137"/>
        <v>498861.9</v>
      </c>
      <c r="AD426" s="188">
        <f t="shared" si="138"/>
        <v>0</v>
      </c>
      <c r="AE426" s="183">
        <f t="shared" si="139"/>
        <v>0</v>
      </c>
    </row>
    <row r="427" spans="1:31" x14ac:dyDescent="0.25">
      <c r="A427" s="185" t="s">
        <v>210</v>
      </c>
      <c r="B427" s="188" t="s">
        <v>354</v>
      </c>
      <c r="C427" s="188" t="s">
        <v>26</v>
      </c>
      <c r="D427" s="188" t="str">
        <f t="shared" si="122"/>
        <v>101-G356</v>
      </c>
      <c r="E427" s="188">
        <v>0</v>
      </c>
      <c r="F427" s="188">
        <v>45872.160000000003</v>
      </c>
      <c r="G427" s="188">
        <v>68521.98</v>
      </c>
      <c r="H427" s="188">
        <v>114315.41</v>
      </c>
      <c r="I427" s="188">
        <v>0</v>
      </c>
      <c r="J427" s="183">
        <v>0</v>
      </c>
      <c r="L427" s="188" t="str">
        <f t="shared" si="123"/>
        <v>Projected - Gas</v>
      </c>
      <c r="M427" s="188" t="str">
        <f t="shared" si="124"/>
        <v>G356 UGS Purification Equipment</v>
      </c>
      <c r="N427" s="188" t="str">
        <f t="shared" si="120"/>
        <v>Projected</v>
      </c>
      <c r="O427" s="188" t="str">
        <f t="shared" si="125"/>
        <v>101-G356</v>
      </c>
      <c r="P427" s="188">
        <f t="shared" si="126"/>
        <v>0</v>
      </c>
      <c r="Q427" s="188">
        <f t="shared" si="127"/>
        <v>0</v>
      </c>
      <c r="R427" s="188">
        <f t="shared" si="128"/>
        <v>0</v>
      </c>
      <c r="S427" s="188">
        <f t="shared" si="129"/>
        <v>0</v>
      </c>
      <c r="T427" s="188">
        <f t="shared" si="130"/>
        <v>0</v>
      </c>
      <c r="V427" s="188" t="str">
        <f t="shared" si="131"/>
        <v>Projected - Gas</v>
      </c>
      <c r="W427" s="188" t="str">
        <f t="shared" si="132"/>
        <v>G356 UGS Purification Equipment</v>
      </c>
      <c r="X427" s="188" t="str">
        <f t="shared" si="121"/>
        <v>Projected</v>
      </c>
      <c r="Y427" s="188" t="str">
        <f t="shared" si="133"/>
        <v>101-G356</v>
      </c>
      <c r="Z427" s="188">
        <f t="shared" si="134"/>
        <v>0</v>
      </c>
      <c r="AA427" s="188">
        <f t="shared" si="135"/>
        <v>45872.160000000003</v>
      </c>
      <c r="AB427" s="188">
        <f t="shared" si="136"/>
        <v>68521.98</v>
      </c>
      <c r="AC427" s="188">
        <f t="shared" si="137"/>
        <v>114315.41</v>
      </c>
      <c r="AD427" s="188">
        <f t="shared" si="138"/>
        <v>0</v>
      </c>
      <c r="AE427" s="183">
        <f t="shared" si="139"/>
        <v>0</v>
      </c>
    </row>
    <row r="428" spans="1:31" x14ac:dyDescent="0.25">
      <c r="A428" s="185" t="s">
        <v>210</v>
      </c>
      <c r="B428" s="188" t="s">
        <v>353</v>
      </c>
      <c r="C428" s="188" t="s">
        <v>26</v>
      </c>
      <c r="D428" s="188" t="str">
        <f t="shared" si="122"/>
        <v>101-G357</v>
      </c>
      <c r="E428" s="188">
        <v>0</v>
      </c>
      <c r="F428" s="188">
        <v>29885.64</v>
      </c>
      <c r="G428" s="188">
        <v>44641.919999999998</v>
      </c>
      <c r="H428" s="188">
        <v>74476.2</v>
      </c>
      <c r="I428" s="188">
        <v>0</v>
      </c>
      <c r="J428" s="183">
        <v>0</v>
      </c>
      <c r="L428" s="188" t="str">
        <f t="shared" si="123"/>
        <v>Projected - Gas</v>
      </c>
      <c r="M428" s="188" t="str">
        <f t="shared" si="124"/>
        <v>G357 UGS Other Equipment</v>
      </c>
      <c r="N428" s="188" t="str">
        <f t="shared" si="120"/>
        <v>Projected</v>
      </c>
      <c r="O428" s="188" t="str">
        <f t="shared" si="125"/>
        <v>101-G357</v>
      </c>
      <c r="P428" s="188">
        <f t="shared" si="126"/>
        <v>0</v>
      </c>
      <c r="Q428" s="188">
        <f t="shared" si="127"/>
        <v>0</v>
      </c>
      <c r="R428" s="188">
        <f t="shared" si="128"/>
        <v>0</v>
      </c>
      <c r="S428" s="188">
        <f t="shared" si="129"/>
        <v>0</v>
      </c>
      <c r="T428" s="188">
        <f t="shared" si="130"/>
        <v>0</v>
      </c>
      <c r="V428" s="188" t="str">
        <f t="shared" si="131"/>
        <v>Projected - Gas</v>
      </c>
      <c r="W428" s="188" t="str">
        <f t="shared" si="132"/>
        <v>G357 UGS Other Equipment</v>
      </c>
      <c r="X428" s="188" t="str">
        <f t="shared" si="121"/>
        <v>Projected</v>
      </c>
      <c r="Y428" s="188" t="str">
        <f t="shared" si="133"/>
        <v>101-G357</v>
      </c>
      <c r="Z428" s="188">
        <f t="shared" si="134"/>
        <v>0</v>
      </c>
      <c r="AA428" s="188">
        <f t="shared" si="135"/>
        <v>29885.64</v>
      </c>
      <c r="AB428" s="188">
        <f t="shared" si="136"/>
        <v>44641.919999999998</v>
      </c>
      <c r="AC428" s="188">
        <f t="shared" si="137"/>
        <v>74476.2</v>
      </c>
      <c r="AD428" s="188">
        <f t="shared" si="138"/>
        <v>0</v>
      </c>
      <c r="AE428" s="183">
        <f t="shared" si="139"/>
        <v>0</v>
      </c>
    </row>
    <row r="429" spans="1:31" x14ac:dyDescent="0.25">
      <c r="A429" s="185" t="s">
        <v>210</v>
      </c>
      <c r="B429" s="188" t="s">
        <v>352</v>
      </c>
      <c r="C429" s="188" t="s">
        <v>26</v>
      </c>
      <c r="D429" s="188" t="str">
        <f t="shared" si="122"/>
        <v>101-G375</v>
      </c>
      <c r="E429" s="188">
        <v>0</v>
      </c>
      <c r="F429" s="188">
        <v>1113861.83</v>
      </c>
      <c r="G429" s="188">
        <v>1113861.83</v>
      </c>
      <c r="H429" s="188">
        <v>1113861.83</v>
      </c>
      <c r="I429" s="188">
        <v>0</v>
      </c>
      <c r="J429" s="183">
        <v>0</v>
      </c>
      <c r="L429" s="188" t="str">
        <f t="shared" si="123"/>
        <v>Projected - Gas</v>
      </c>
      <c r="M429" s="188" t="str">
        <f t="shared" si="124"/>
        <v>G3750 DST Structures &amp; Improvements</v>
      </c>
      <c r="N429" s="188" t="str">
        <f t="shared" si="120"/>
        <v>Projected</v>
      </c>
      <c r="O429" s="188" t="str">
        <f t="shared" si="125"/>
        <v>101-G375</v>
      </c>
      <c r="P429" s="188">
        <f t="shared" si="126"/>
        <v>0</v>
      </c>
      <c r="Q429" s="188">
        <f t="shared" si="127"/>
        <v>0</v>
      </c>
      <c r="R429" s="188">
        <f t="shared" si="128"/>
        <v>0</v>
      </c>
      <c r="S429" s="188">
        <f t="shared" si="129"/>
        <v>0</v>
      </c>
      <c r="T429" s="188">
        <f t="shared" si="130"/>
        <v>0</v>
      </c>
      <c r="V429" s="188" t="str">
        <f t="shared" si="131"/>
        <v>Projected - Gas</v>
      </c>
      <c r="W429" s="188" t="str">
        <f t="shared" si="132"/>
        <v>G3750 DST Structures &amp; Improvements</v>
      </c>
      <c r="X429" s="188" t="str">
        <f t="shared" si="121"/>
        <v>Projected</v>
      </c>
      <c r="Y429" s="188" t="str">
        <f t="shared" si="133"/>
        <v>101-G375</v>
      </c>
      <c r="Z429" s="188">
        <f t="shared" si="134"/>
        <v>0</v>
      </c>
      <c r="AA429" s="188">
        <f t="shared" si="135"/>
        <v>1113861.83</v>
      </c>
      <c r="AB429" s="188">
        <f t="shared" si="136"/>
        <v>1113861.83</v>
      </c>
      <c r="AC429" s="188">
        <f t="shared" si="137"/>
        <v>1113861.83</v>
      </c>
      <c r="AD429" s="188">
        <f t="shared" si="138"/>
        <v>0</v>
      </c>
      <c r="AE429" s="183">
        <f t="shared" si="139"/>
        <v>0</v>
      </c>
    </row>
    <row r="430" spans="1:31" x14ac:dyDescent="0.25">
      <c r="A430" s="185" t="s">
        <v>210</v>
      </c>
      <c r="B430" s="188" t="s">
        <v>351</v>
      </c>
      <c r="C430" s="188" t="s">
        <v>26</v>
      </c>
      <c r="D430" s="188" t="str">
        <f t="shared" si="122"/>
        <v>101-G376</v>
      </c>
      <c r="E430" s="188">
        <v>0</v>
      </c>
      <c r="F430" s="188">
        <v>3859957.89</v>
      </c>
      <c r="G430" s="188">
        <v>6043440.0800000001</v>
      </c>
      <c r="H430" s="188">
        <v>10237137.689999999</v>
      </c>
      <c r="I430" s="188">
        <v>0</v>
      </c>
      <c r="J430" s="183">
        <v>0</v>
      </c>
      <c r="L430" s="188" t="str">
        <f t="shared" si="123"/>
        <v>Projected - Gas</v>
      </c>
      <c r="M430" s="188" t="str">
        <f t="shared" si="124"/>
        <v>G3762 DST Mains, Plastic</v>
      </c>
      <c r="N430" s="188" t="str">
        <f t="shared" si="120"/>
        <v>Projected</v>
      </c>
      <c r="O430" s="188" t="str">
        <f t="shared" si="125"/>
        <v>101-G376</v>
      </c>
      <c r="P430" s="188">
        <f t="shared" si="126"/>
        <v>0</v>
      </c>
      <c r="Q430" s="188">
        <f t="shared" si="127"/>
        <v>0</v>
      </c>
      <c r="R430" s="188">
        <f t="shared" si="128"/>
        <v>0</v>
      </c>
      <c r="S430" s="188">
        <f t="shared" si="129"/>
        <v>0</v>
      </c>
      <c r="T430" s="188">
        <f t="shared" si="130"/>
        <v>0</v>
      </c>
      <c r="V430" s="188" t="str">
        <f t="shared" si="131"/>
        <v>Projected - Gas</v>
      </c>
      <c r="W430" s="188" t="str">
        <f t="shared" si="132"/>
        <v>G3762 DST Mains, Plastic</v>
      </c>
      <c r="X430" s="188" t="str">
        <f t="shared" si="121"/>
        <v>Projected</v>
      </c>
      <c r="Y430" s="188" t="str">
        <f t="shared" si="133"/>
        <v>101-G376</v>
      </c>
      <c r="Z430" s="188">
        <f t="shared" si="134"/>
        <v>0</v>
      </c>
      <c r="AA430" s="188">
        <f t="shared" si="135"/>
        <v>3859957.89</v>
      </c>
      <c r="AB430" s="188">
        <f t="shared" si="136"/>
        <v>6043440.0800000001</v>
      </c>
      <c r="AC430" s="188">
        <f t="shared" si="137"/>
        <v>10237137.689999999</v>
      </c>
      <c r="AD430" s="188">
        <f t="shared" si="138"/>
        <v>0</v>
      </c>
      <c r="AE430" s="183">
        <f t="shared" si="139"/>
        <v>0</v>
      </c>
    </row>
    <row r="431" spans="1:31" x14ac:dyDescent="0.25">
      <c r="A431" s="185" t="s">
        <v>210</v>
      </c>
      <c r="B431" s="188" t="s">
        <v>350</v>
      </c>
      <c r="C431" s="188" t="s">
        <v>26</v>
      </c>
      <c r="D431" s="188" t="str">
        <f t="shared" si="122"/>
        <v>101-G376</v>
      </c>
      <c r="E431" s="188">
        <v>0</v>
      </c>
      <c r="F431" s="188">
        <v>1813477.53</v>
      </c>
      <c r="G431" s="188">
        <v>4718108.72</v>
      </c>
      <c r="H431" s="188">
        <v>9184916.7899999991</v>
      </c>
      <c r="I431" s="188">
        <v>0</v>
      </c>
      <c r="J431" s="183">
        <v>0</v>
      </c>
      <c r="L431" s="188" t="str">
        <f t="shared" si="123"/>
        <v>Projected - Gas</v>
      </c>
      <c r="M431" s="188" t="str">
        <f t="shared" si="124"/>
        <v>G3764 DST Mains, Wrapped Steel</v>
      </c>
      <c r="N431" s="188" t="str">
        <f t="shared" si="120"/>
        <v>Projected</v>
      </c>
      <c r="O431" s="188" t="str">
        <f t="shared" si="125"/>
        <v>101-G376</v>
      </c>
      <c r="P431" s="188">
        <f t="shared" si="126"/>
        <v>0</v>
      </c>
      <c r="Q431" s="188">
        <f t="shared" si="127"/>
        <v>0</v>
      </c>
      <c r="R431" s="188">
        <f t="shared" si="128"/>
        <v>0</v>
      </c>
      <c r="S431" s="188">
        <f t="shared" si="129"/>
        <v>0</v>
      </c>
      <c r="T431" s="188">
        <f t="shared" si="130"/>
        <v>0</v>
      </c>
      <c r="V431" s="188" t="str">
        <f t="shared" si="131"/>
        <v>Projected - Gas</v>
      </c>
      <c r="W431" s="188" t="str">
        <f t="shared" si="132"/>
        <v>G3764 DST Mains, Wrapped Steel</v>
      </c>
      <c r="X431" s="188" t="str">
        <f t="shared" si="121"/>
        <v>Projected</v>
      </c>
      <c r="Y431" s="188" t="str">
        <f t="shared" si="133"/>
        <v>101-G376</v>
      </c>
      <c r="Z431" s="188">
        <f t="shared" si="134"/>
        <v>0</v>
      </c>
      <c r="AA431" s="188">
        <f t="shared" si="135"/>
        <v>1813477.53</v>
      </c>
      <c r="AB431" s="188">
        <f t="shared" si="136"/>
        <v>4718108.72</v>
      </c>
      <c r="AC431" s="188">
        <f t="shared" si="137"/>
        <v>9184916.7899999991</v>
      </c>
      <c r="AD431" s="188">
        <f t="shared" si="138"/>
        <v>0</v>
      </c>
      <c r="AE431" s="183">
        <f t="shared" si="139"/>
        <v>0</v>
      </c>
    </row>
    <row r="432" spans="1:31" x14ac:dyDescent="0.25">
      <c r="A432" s="185" t="s">
        <v>210</v>
      </c>
      <c r="B432" s="188" t="s">
        <v>349</v>
      </c>
      <c r="C432" s="188" t="s">
        <v>26</v>
      </c>
      <c r="D432" s="188" t="str">
        <f t="shared" si="122"/>
        <v>101-G376</v>
      </c>
      <c r="E432" s="188">
        <v>0</v>
      </c>
      <c r="F432" s="188">
        <v>382.8</v>
      </c>
      <c r="G432" s="188">
        <v>579.9</v>
      </c>
      <c r="H432" s="188">
        <v>979.98</v>
      </c>
      <c r="I432" s="188">
        <v>0</v>
      </c>
      <c r="J432" s="183">
        <v>0</v>
      </c>
      <c r="L432" s="188" t="str">
        <f t="shared" si="123"/>
        <v>Projected - Gas</v>
      </c>
      <c r="M432" s="188" t="str">
        <f t="shared" si="124"/>
        <v>G3765 DST Mains, Cathodic Protectio</v>
      </c>
      <c r="N432" s="188" t="str">
        <f t="shared" si="120"/>
        <v>Projected</v>
      </c>
      <c r="O432" s="188" t="str">
        <f t="shared" si="125"/>
        <v>101-G376</v>
      </c>
      <c r="P432" s="188">
        <f t="shared" si="126"/>
        <v>0</v>
      </c>
      <c r="Q432" s="188">
        <f t="shared" si="127"/>
        <v>0</v>
      </c>
      <c r="R432" s="188">
        <f t="shared" si="128"/>
        <v>0</v>
      </c>
      <c r="S432" s="188">
        <f t="shared" si="129"/>
        <v>0</v>
      </c>
      <c r="T432" s="188">
        <f t="shared" si="130"/>
        <v>0</v>
      </c>
      <c r="V432" s="188" t="str">
        <f t="shared" si="131"/>
        <v>Projected - Gas</v>
      </c>
      <c r="W432" s="188" t="str">
        <f t="shared" si="132"/>
        <v>G3765 DST Mains, Cathodic Protectio</v>
      </c>
      <c r="X432" s="188" t="str">
        <f t="shared" si="121"/>
        <v>Projected</v>
      </c>
      <c r="Y432" s="188" t="str">
        <f t="shared" si="133"/>
        <v>101-G376</v>
      </c>
      <c r="Z432" s="188">
        <f t="shared" si="134"/>
        <v>0</v>
      </c>
      <c r="AA432" s="188">
        <f t="shared" si="135"/>
        <v>382.8</v>
      </c>
      <c r="AB432" s="188">
        <f t="shared" si="136"/>
        <v>579.9</v>
      </c>
      <c r="AC432" s="188">
        <f t="shared" si="137"/>
        <v>979.98</v>
      </c>
      <c r="AD432" s="188">
        <f t="shared" si="138"/>
        <v>0</v>
      </c>
      <c r="AE432" s="183">
        <f t="shared" si="139"/>
        <v>0</v>
      </c>
    </row>
    <row r="433" spans="1:31" x14ac:dyDescent="0.25">
      <c r="A433" s="185" t="s">
        <v>210</v>
      </c>
      <c r="B433" s="188" t="s">
        <v>348</v>
      </c>
      <c r="C433" s="188" t="s">
        <v>26</v>
      </c>
      <c r="D433" s="188" t="str">
        <f t="shared" si="122"/>
        <v>101-G378</v>
      </c>
      <c r="E433" s="188">
        <v>0</v>
      </c>
      <c r="F433" s="188">
        <v>86062.35</v>
      </c>
      <c r="G433" s="188">
        <v>88838.85</v>
      </c>
      <c r="H433" s="188">
        <v>94474.71</v>
      </c>
      <c r="I433" s="188">
        <v>0</v>
      </c>
      <c r="J433" s="183">
        <v>0</v>
      </c>
      <c r="L433" s="188" t="str">
        <f t="shared" si="123"/>
        <v>Projected - Gas</v>
      </c>
      <c r="M433" s="188" t="str">
        <f t="shared" si="124"/>
        <v>G3780 DST Measuring &amp; Reg Station</v>
      </c>
      <c r="N433" s="188" t="str">
        <f t="shared" si="120"/>
        <v>Projected</v>
      </c>
      <c r="O433" s="188" t="str">
        <f t="shared" si="125"/>
        <v>101-G378</v>
      </c>
      <c r="P433" s="188">
        <f t="shared" si="126"/>
        <v>0</v>
      </c>
      <c r="Q433" s="188">
        <f t="shared" si="127"/>
        <v>0</v>
      </c>
      <c r="R433" s="188">
        <f t="shared" si="128"/>
        <v>0</v>
      </c>
      <c r="S433" s="188">
        <f t="shared" si="129"/>
        <v>0</v>
      </c>
      <c r="T433" s="188">
        <f t="shared" si="130"/>
        <v>0</v>
      </c>
      <c r="V433" s="188" t="str">
        <f t="shared" si="131"/>
        <v>Projected - Gas</v>
      </c>
      <c r="W433" s="188" t="str">
        <f t="shared" si="132"/>
        <v>G3780 DST Measuring &amp; Reg Station</v>
      </c>
      <c r="X433" s="188" t="str">
        <f t="shared" si="121"/>
        <v>Projected</v>
      </c>
      <c r="Y433" s="188" t="str">
        <f t="shared" si="133"/>
        <v>101-G378</v>
      </c>
      <c r="Z433" s="188">
        <f t="shared" si="134"/>
        <v>0</v>
      </c>
      <c r="AA433" s="188">
        <f t="shared" si="135"/>
        <v>86062.35</v>
      </c>
      <c r="AB433" s="188">
        <f t="shared" si="136"/>
        <v>88838.85</v>
      </c>
      <c r="AC433" s="188">
        <f t="shared" si="137"/>
        <v>94474.71</v>
      </c>
      <c r="AD433" s="188">
        <f t="shared" si="138"/>
        <v>0</v>
      </c>
      <c r="AE433" s="183">
        <f t="shared" si="139"/>
        <v>0</v>
      </c>
    </row>
    <row r="434" spans="1:31" x14ac:dyDescent="0.25">
      <c r="A434" s="185" t="s">
        <v>210</v>
      </c>
      <c r="B434" s="188" t="s">
        <v>347</v>
      </c>
      <c r="C434" s="188" t="s">
        <v>26</v>
      </c>
      <c r="D434" s="188" t="str">
        <f t="shared" si="122"/>
        <v>101-G380</v>
      </c>
      <c r="E434" s="188">
        <v>0</v>
      </c>
      <c r="F434" s="188">
        <v>8717.1</v>
      </c>
      <c r="G434" s="188">
        <v>9195.06</v>
      </c>
      <c r="H434" s="188">
        <v>9917.2199999999993</v>
      </c>
      <c r="I434" s="188">
        <v>0</v>
      </c>
      <c r="J434" s="183">
        <v>0</v>
      </c>
      <c r="L434" s="188" t="str">
        <f t="shared" si="123"/>
        <v>Projected - Gas</v>
      </c>
      <c r="M434" s="188" t="str">
        <f t="shared" si="124"/>
        <v>G3801 DST Services, Cathodic Protec</v>
      </c>
      <c r="N434" s="188" t="str">
        <f t="shared" si="120"/>
        <v>Projected</v>
      </c>
      <c r="O434" s="188" t="str">
        <f t="shared" si="125"/>
        <v>101-G380</v>
      </c>
      <c r="P434" s="188">
        <f t="shared" si="126"/>
        <v>0</v>
      </c>
      <c r="Q434" s="188">
        <f t="shared" si="127"/>
        <v>0</v>
      </c>
      <c r="R434" s="188">
        <f t="shared" si="128"/>
        <v>0</v>
      </c>
      <c r="S434" s="188">
        <f t="shared" si="129"/>
        <v>0</v>
      </c>
      <c r="T434" s="188">
        <f t="shared" si="130"/>
        <v>0</v>
      </c>
      <c r="V434" s="188" t="str">
        <f t="shared" si="131"/>
        <v>Projected - Gas</v>
      </c>
      <c r="W434" s="188" t="str">
        <f t="shared" si="132"/>
        <v>G3801 DST Services, Cathodic Protec</v>
      </c>
      <c r="X434" s="188" t="str">
        <f t="shared" si="121"/>
        <v>Projected</v>
      </c>
      <c r="Y434" s="188" t="str">
        <f t="shared" si="133"/>
        <v>101-G380</v>
      </c>
      <c r="Z434" s="188">
        <f t="shared" si="134"/>
        <v>0</v>
      </c>
      <c r="AA434" s="188">
        <f t="shared" si="135"/>
        <v>8717.1</v>
      </c>
      <c r="AB434" s="188">
        <f t="shared" si="136"/>
        <v>9195.06</v>
      </c>
      <c r="AC434" s="188">
        <f t="shared" si="137"/>
        <v>9917.2199999999993</v>
      </c>
      <c r="AD434" s="188">
        <f t="shared" si="138"/>
        <v>0</v>
      </c>
      <c r="AE434" s="183">
        <f t="shared" si="139"/>
        <v>0</v>
      </c>
    </row>
    <row r="435" spans="1:31" x14ac:dyDescent="0.25">
      <c r="A435" s="185" t="s">
        <v>210</v>
      </c>
      <c r="B435" s="188" t="s">
        <v>346</v>
      </c>
      <c r="C435" s="188" t="s">
        <v>26</v>
      </c>
      <c r="D435" s="188" t="str">
        <f t="shared" si="122"/>
        <v>101-G380</v>
      </c>
      <c r="E435" s="188">
        <v>0</v>
      </c>
      <c r="F435" s="188">
        <v>319914.12</v>
      </c>
      <c r="G435" s="188">
        <v>335664.95</v>
      </c>
      <c r="H435" s="188">
        <v>359687.88</v>
      </c>
      <c r="I435" s="188">
        <v>0</v>
      </c>
      <c r="J435" s="183">
        <v>0</v>
      </c>
      <c r="L435" s="188" t="str">
        <f t="shared" si="123"/>
        <v>Projected - Gas</v>
      </c>
      <c r="M435" s="188" t="str">
        <f t="shared" si="124"/>
        <v>G3802 DST Services, Plastic</v>
      </c>
      <c r="N435" s="188" t="str">
        <f t="shared" si="120"/>
        <v>Projected</v>
      </c>
      <c r="O435" s="188" t="str">
        <f t="shared" si="125"/>
        <v>101-G380</v>
      </c>
      <c r="P435" s="188">
        <f t="shared" si="126"/>
        <v>0</v>
      </c>
      <c r="Q435" s="188">
        <f t="shared" si="127"/>
        <v>0</v>
      </c>
      <c r="R435" s="188">
        <f t="shared" si="128"/>
        <v>0</v>
      </c>
      <c r="S435" s="188">
        <f t="shared" si="129"/>
        <v>0</v>
      </c>
      <c r="T435" s="188">
        <f t="shared" si="130"/>
        <v>0</v>
      </c>
      <c r="V435" s="188" t="str">
        <f t="shared" si="131"/>
        <v>Projected - Gas</v>
      </c>
      <c r="W435" s="188" t="str">
        <f t="shared" si="132"/>
        <v>G3802 DST Services, Plastic</v>
      </c>
      <c r="X435" s="188" t="str">
        <f t="shared" si="121"/>
        <v>Projected</v>
      </c>
      <c r="Y435" s="188" t="str">
        <f t="shared" si="133"/>
        <v>101-G380</v>
      </c>
      <c r="Z435" s="188">
        <f t="shared" si="134"/>
        <v>0</v>
      </c>
      <c r="AA435" s="188">
        <f t="shared" si="135"/>
        <v>319914.12</v>
      </c>
      <c r="AB435" s="188">
        <f t="shared" si="136"/>
        <v>335664.95</v>
      </c>
      <c r="AC435" s="188">
        <f t="shared" si="137"/>
        <v>359687.88</v>
      </c>
      <c r="AD435" s="188">
        <f t="shared" si="138"/>
        <v>0</v>
      </c>
      <c r="AE435" s="183">
        <f t="shared" si="139"/>
        <v>0</v>
      </c>
    </row>
    <row r="436" spans="1:31" x14ac:dyDescent="0.25">
      <c r="A436" s="185" t="s">
        <v>210</v>
      </c>
      <c r="B436" s="188" t="s">
        <v>345</v>
      </c>
      <c r="C436" s="188" t="s">
        <v>26</v>
      </c>
      <c r="D436" s="188" t="str">
        <f t="shared" si="122"/>
        <v>101-G380</v>
      </c>
      <c r="E436" s="188">
        <v>0</v>
      </c>
      <c r="F436" s="188">
        <v>2868.82</v>
      </c>
      <c r="G436" s="188">
        <v>2892.17</v>
      </c>
      <c r="H436" s="188">
        <v>2938.85</v>
      </c>
      <c r="I436" s="188">
        <v>0</v>
      </c>
      <c r="J436" s="183">
        <v>0</v>
      </c>
      <c r="L436" s="188" t="str">
        <f t="shared" si="123"/>
        <v>Projected - Gas</v>
      </c>
      <c r="M436" s="188" t="str">
        <f t="shared" si="124"/>
        <v>G3803 DST Services, Steel Wrapped</v>
      </c>
      <c r="N436" s="188" t="str">
        <f t="shared" si="120"/>
        <v>Projected</v>
      </c>
      <c r="O436" s="188" t="str">
        <f t="shared" si="125"/>
        <v>101-G380</v>
      </c>
      <c r="P436" s="188">
        <f t="shared" si="126"/>
        <v>0</v>
      </c>
      <c r="Q436" s="188">
        <f t="shared" si="127"/>
        <v>0</v>
      </c>
      <c r="R436" s="188">
        <f t="shared" si="128"/>
        <v>0</v>
      </c>
      <c r="S436" s="188">
        <f t="shared" si="129"/>
        <v>0</v>
      </c>
      <c r="T436" s="188">
        <f t="shared" si="130"/>
        <v>0</v>
      </c>
      <c r="V436" s="188" t="str">
        <f t="shared" si="131"/>
        <v>Projected - Gas</v>
      </c>
      <c r="W436" s="188" t="str">
        <f t="shared" si="132"/>
        <v>G3803 DST Services, Steel Wrapped</v>
      </c>
      <c r="X436" s="188" t="str">
        <f t="shared" si="121"/>
        <v>Projected</v>
      </c>
      <c r="Y436" s="188" t="str">
        <f t="shared" si="133"/>
        <v>101-G380</v>
      </c>
      <c r="Z436" s="188">
        <f t="shared" si="134"/>
        <v>0</v>
      </c>
      <c r="AA436" s="188">
        <f t="shared" si="135"/>
        <v>2868.82</v>
      </c>
      <c r="AB436" s="188">
        <f t="shared" si="136"/>
        <v>2892.17</v>
      </c>
      <c r="AC436" s="188">
        <f t="shared" si="137"/>
        <v>2938.85</v>
      </c>
      <c r="AD436" s="188">
        <f t="shared" si="138"/>
        <v>0</v>
      </c>
      <c r="AE436" s="183">
        <f t="shared" si="139"/>
        <v>0</v>
      </c>
    </row>
    <row r="437" spans="1:31" x14ac:dyDescent="0.25">
      <c r="A437" s="185" t="s">
        <v>210</v>
      </c>
      <c r="B437" s="188" t="s">
        <v>344</v>
      </c>
      <c r="C437" s="188" t="s">
        <v>26</v>
      </c>
      <c r="D437" s="188" t="str">
        <f t="shared" si="122"/>
        <v>101-G381</v>
      </c>
      <c r="E437" s="188">
        <v>0</v>
      </c>
      <c r="F437" s="188">
        <v>2186.64</v>
      </c>
      <c r="G437" s="188">
        <v>2399.96</v>
      </c>
      <c r="H437" s="188">
        <v>4586.6000000000004</v>
      </c>
      <c r="I437" s="188">
        <v>0</v>
      </c>
      <c r="J437" s="183">
        <v>0</v>
      </c>
      <c r="L437" s="188" t="str">
        <f t="shared" si="123"/>
        <v>Projected - Gas</v>
      </c>
      <c r="M437" s="188" t="str">
        <f t="shared" si="124"/>
        <v>G3810 DST Meters (AMR)</v>
      </c>
      <c r="N437" s="188" t="str">
        <f t="shared" si="120"/>
        <v>Projected</v>
      </c>
      <c r="O437" s="188" t="str">
        <f t="shared" si="125"/>
        <v>101-G381</v>
      </c>
      <c r="P437" s="188">
        <f t="shared" si="126"/>
        <v>0</v>
      </c>
      <c r="Q437" s="188">
        <f t="shared" si="127"/>
        <v>0</v>
      </c>
      <c r="R437" s="188">
        <f t="shared" si="128"/>
        <v>0</v>
      </c>
      <c r="S437" s="188">
        <f t="shared" si="129"/>
        <v>0</v>
      </c>
      <c r="T437" s="188">
        <f t="shared" si="130"/>
        <v>0</v>
      </c>
      <c r="V437" s="188" t="str">
        <f t="shared" si="131"/>
        <v>Projected - Gas</v>
      </c>
      <c r="W437" s="188" t="str">
        <f t="shared" si="132"/>
        <v>G3810 DST Meters (AMR)</v>
      </c>
      <c r="X437" s="188" t="str">
        <f t="shared" si="121"/>
        <v>Projected</v>
      </c>
      <c r="Y437" s="188" t="str">
        <f t="shared" si="133"/>
        <v>101-G381</v>
      </c>
      <c r="Z437" s="188">
        <f t="shared" si="134"/>
        <v>0</v>
      </c>
      <c r="AA437" s="188">
        <f t="shared" si="135"/>
        <v>2186.64</v>
      </c>
      <c r="AB437" s="188">
        <f t="shared" si="136"/>
        <v>2399.96</v>
      </c>
      <c r="AC437" s="188">
        <f t="shared" si="137"/>
        <v>4586.6000000000004</v>
      </c>
      <c r="AD437" s="188">
        <f t="shared" si="138"/>
        <v>0</v>
      </c>
      <c r="AE437" s="183">
        <f t="shared" si="139"/>
        <v>0</v>
      </c>
    </row>
    <row r="438" spans="1:31" x14ac:dyDescent="0.25">
      <c r="A438" s="185" t="s">
        <v>210</v>
      </c>
      <c r="B438" s="188" t="s">
        <v>343</v>
      </c>
      <c r="C438" s="188" t="s">
        <v>26</v>
      </c>
      <c r="D438" s="188" t="str">
        <f t="shared" si="122"/>
        <v>101-G381</v>
      </c>
      <c r="E438" s="188">
        <v>0</v>
      </c>
      <c r="F438" s="188">
        <v>3598.32</v>
      </c>
      <c r="G438" s="188">
        <v>6665.35</v>
      </c>
      <c r="H438" s="188">
        <v>14453.83</v>
      </c>
      <c r="I438" s="188">
        <v>0</v>
      </c>
      <c r="J438" s="183">
        <v>0</v>
      </c>
      <c r="L438" s="188" t="str">
        <f t="shared" si="123"/>
        <v>Projected - Gas</v>
      </c>
      <c r="M438" s="188" t="str">
        <f t="shared" si="124"/>
        <v>G3812 DST Modules, AMI</v>
      </c>
      <c r="N438" s="188" t="str">
        <f t="shared" si="120"/>
        <v>Projected</v>
      </c>
      <c r="O438" s="188" t="str">
        <f t="shared" si="125"/>
        <v>101-G381</v>
      </c>
      <c r="P438" s="188">
        <f t="shared" si="126"/>
        <v>0</v>
      </c>
      <c r="Q438" s="188">
        <f t="shared" si="127"/>
        <v>0</v>
      </c>
      <c r="R438" s="188">
        <f t="shared" si="128"/>
        <v>0</v>
      </c>
      <c r="S438" s="188">
        <f t="shared" si="129"/>
        <v>0</v>
      </c>
      <c r="T438" s="188">
        <f t="shared" si="130"/>
        <v>0</v>
      </c>
      <c r="V438" s="188" t="str">
        <f t="shared" si="131"/>
        <v>Projected - Gas</v>
      </c>
      <c r="W438" s="188" t="str">
        <f t="shared" si="132"/>
        <v>G3812 DST Modules, AMI</v>
      </c>
      <c r="X438" s="188" t="str">
        <f t="shared" si="121"/>
        <v>Projected</v>
      </c>
      <c r="Y438" s="188" t="str">
        <f t="shared" si="133"/>
        <v>101-G381</v>
      </c>
      <c r="Z438" s="188">
        <f t="shared" si="134"/>
        <v>0</v>
      </c>
      <c r="AA438" s="188">
        <f t="shared" si="135"/>
        <v>3598.32</v>
      </c>
      <c r="AB438" s="188">
        <f t="shared" si="136"/>
        <v>6665.35</v>
      </c>
      <c r="AC438" s="188">
        <f t="shared" si="137"/>
        <v>14453.83</v>
      </c>
      <c r="AD438" s="188">
        <f t="shared" si="138"/>
        <v>0</v>
      </c>
      <c r="AE438" s="183">
        <f t="shared" si="139"/>
        <v>0</v>
      </c>
    </row>
    <row r="439" spans="1:31" x14ac:dyDescent="0.25">
      <c r="A439" s="185" t="s">
        <v>210</v>
      </c>
      <c r="B439" s="188" t="s">
        <v>342</v>
      </c>
      <c r="C439" s="188" t="s">
        <v>26</v>
      </c>
      <c r="D439" s="188" t="str">
        <f t="shared" si="122"/>
        <v>101-G382</v>
      </c>
      <c r="E439" s="188">
        <v>0</v>
      </c>
      <c r="F439" s="188">
        <v>1126386.72</v>
      </c>
      <c r="G439" s="188">
        <v>1843017.6</v>
      </c>
      <c r="H439" s="188">
        <v>3479979.66</v>
      </c>
      <c r="I439" s="188">
        <v>0</v>
      </c>
      <c r="J439" s="183">
        <v>0</v>
      </c>
      <c r="L439" s="188" t="str">
        <f t="shared" si="123"/>
        <v>Projected - Gas</v>
      </c>
      <c r="M439" s="188" t="str">
        <f t="shared" si="124"/>
        <v>G3820 DST Meter Installations (AMR)</v>
      </c>
      <c r="N439" s="188" t="str">
        <f t="shared" si="120"/>
        <v>Projected</v>
      </c>
      <c r="O439" s="188" t="str">
        <f t="shared" si="125"/>
        <v>101-G382</v>
      </c>
      <c r="P439" s="188">
        <f t="shared" si="126"/>
        <v>0</v>
      </c>
      <c r="Q439" s="188">
        <f t="shared" si="127"/>
        <v>0</v>
      </c>
      <c r="R439" s="188">
        <f t="shared" si="128"/>
        <v>0</v>
      </c>
      <c r="S439" s="188">
        <f t="shared" si="129"/>
        <v>0</v>
      </c>
      <c r="T439" s="188">
        <f t="shared" si="130"/>
        <v>0</v>
      </c>
      <c r="V439" s="188" t="str">
        <f t="shared" si="131"/>
        <v>Projected - Gas</v>
      </c>
      <c r="W439" s="188" t="str">
        <f t="shared" si="132"/>
        <v>G3820 DST Meter Installations (AMR)</v>
      </c>
      <c r="X439" s="188" t="str">
        <f t="shared" si="121"/>
        <v>Projected</v>
      </c>
      <c r="Y439" s="188" t="str">
        <f t="shared" si="133"/>
        <v>101-G382</v>
      </c>
      <c r="Z439" s="188">
        <f t="shared" si="134"/>
        <v>0</v>
      </c>
      <c r="AA439" s="188">
        <f t="shared" si="135"/>
        <v>1126386.72</v>
      </c>
      <c r="AB439" s="188">
        <f t="shared" si="136"/>
        <v>1843017.6</v>
      </c>
      <c r="AC439" s="188">
        <f t="shared" si="137"/>
        <v>3479979.66</v>
      </c>
      <c r="AD439" s="188">
        <f t="shared" si="138"/>
        <v>0</v>
      </c>
      <c r="AE439" s="183">
        <f t="shared" si="139"/>
        <v>0</v>
      </c>
    </row>
    <row r="440" spans="1:31" x14ac:dyDescent="0.25">
      <c r="A440" s="185" t="s">
        <v>210</v>
      </c>
      <c r="B440" s="188" t="s">
        <v>341</v>
      </c>
      <c r="C440" s="188" t="s">
        <v>26</v>
      </c>
      <c r="D440" s="188" t="str">
        <f t="shared" si="122"/>
        <v>101-G382</v>
      </c>
      <c r="E440" s="188">
        <v>0</v>
      </c>
      <c r="F440" s="188">
        <v>1310328.3600000001</v>
      </c>
      <c r="G440" s="188">
        <v>1830703.82</v>
      </c>
      <c r="H440" s="188">
        <v>2703103.75</v>
      </c>
      <c r="I440" s="188">
        <v>0</v>
      </c>
      <c r="J440" s="183">
        <v>0</v>
      </c>
      <c r="L440" s="188" t="str">
        <f t="shared" si="123"/>
        <v>Projected - Gas</v>
      </c>
      <c r="M440" s="188" t="str">
        <f t="shared" si="124"/>
        <v>G3822 DST Module Installations, AMI</v>
      </c>
      <c r="N440" s="188" t="str">
        <f t="shared" si="120"/>
        <v>Projected</v>
      </c>
      <c r="O440" s="188" t="str">
        <f t="shared" si="125"/>
        <v>101-G382</v>
      </c>
      <c r="P440" s="188">
        <f t="shared" si="126"/>
        <v>0</v>
      </c>
      <c r="Q440" s="188">
        <f t="shared" si="127"/>
        <v>0</v>
      </c>
      <c r="R440" s="188">
        <f t="shared" si="128"/>
        <v>0</v>
      </c>
      <c r="S440" s="188">
        <f t="shared" si="129"/>
        <v>0</v>
      </c>
      <c r="T440" s="188">
        <f t="shared" si="130"/>
        <v>0</v>
      </c>
      <c r="V440" s="188" t="str">
        <f t="shared" si="131"/>
        <v>Projected - Gas</v>
      </c>
      <c r="W440" s="188" t="str">
        <f t="shared" si="132"/>
        <v>G3822 DST Module Installations, AMI</v>
      </c>
      <c r="X440" s="188" t="str">
        <f t="shared" si="121"/>
        <v>Projected</v>
      </c>
      <c r="Y440" s="188" t="str">
        <f t="shared" si="133"/>
        <v>101-G382</v>
      </c>
      <c r="Z440" s="188">
        <f t="shared" si="134"/>
        <v>0</v>
      </c>
      <c r="AA440" s="188">
        <f t="shared" si="135"/>
        <v>1310328.3600000001</v>
      </c>
      <c r="AB440" s="188">
        <f t="shared" si="136"/>
        <v>1830703.82</v>
      </c>
      <c r="AC440" s="188">
        <f t="shared" si="137"/>
        <v>2703103.75</v>
      </c>
      <c r="AD440" s="188">
        <f t="shared" si="138"/>
        <v>0</v>
      </c>
      <c r="AE440" s="183">
        <f t="shared" si="139"/>
        <v>0</v>
      </c>
    </row>
    <row r="441" spans="1:31" x14ac:dyDescent="0.25">
      <c r="A441" s="185" t="s">
        <v>210</v>
      </c>
      <c r="B441" s="188" t="s">
        <v>340</v>
      </c>
      <c r="C441" s="188" t="s">
        <v>26</v>
      </c>
      <c r="D441" s="188" t="str">
        <f t="shared" si="122"/>
        <v>101-G383</v>
      </c>
      <c r="E441" s="188">
        <v>0</v>
      </c>
      <c r="F441" s="188">
        <v>266.64</v>
      </c>
      <c r="G441" s="188">
        <v>399.96</v>
      </c>
      <c r="H441" s="188">
        <v>666.6</v>
      </c>
      <c r="I441" s="188">
        <v>0</v>
      </c>
      <c r="J441" s="183">
        <v>0</v>
      </c>
      <c r="L441" s="188" t="str">
        <f t="shared" si="123"/>
        <v>Projected - Gas</v>
      </c>
      <c r="M441" s="188" t="str">
        <f t="shared" si="124"/>
        <v>G383 DST House Regulators</v>
      </c>
      <c r="N441" s="188" t="str">
        <f t="shared" si="120"/>
        <v>Projected</v>
      </c>
      <c r="O441" s="188" t="str">
        <f t="shared" si="125"/>
        <v>101-G383</v>
      </c>
      <c r="P441" s="188">
        <f t="shared" si="126"/>
        <v>0</v>
      </c>
      <c r="Q441" s="188">
        <f t="shared" si="127"/>
        <v>0</v>
      </c>
      <c r="R441" s="188">
        <f t="shared" si="128"/>
        <v>0</v>
      </c>
      <c r="S441" s="188">
        <f t="shared" si="129"/>
        <v>0</v>
      </c>
      <c r="T441" s="188">
        <f t="shared" si="130"/>
        <v>0</v>
      </c>
      <c r="V441" s="188" t="str">
        <f t="shared" si="131"/>
        <v>Projected - Gas</v>
      </c>
      <c r="W441" s="188" t="str">
        <f t="shared" si="132"/>
        <v>G383 DST House Regulators</v>
      </c>
      <c r="X441" s="188" t="str">
        <f t="shared" si="121"/>
        <v>Projected</v>
      </c>
      <c r="Y441" s="188" t="str">
        <f t="shared" si="133"/>
        <v>101-G383</v>
      </c>
      <c r="Z441" s="188">
        <f t="shared" si="134"/>
        <v>0</v>
      </c>
      <c r="AA441" s="188">
        <f t="shared" si="135"/>
        <v>266.64</v>
      </c>
      <c r="AB441" s="188">
        <f t="shared" si="136"/>
        <v>399.96</v>
      </c>
      <c r="AC441" s="188">
        <f t="shared" si="137"/>
        <v>666.6</v>
      </c>
      <c r="AD441" s="188">
        <f t="shared" si="138"/>
        <v>0</v>
      </c>
      <c r="AE441" s="183">
        <f t="shared" si="139"/>
        <v>0</v>
      </c>
    </row>
    <row r="442" spans="1:31" x14ac:dyDescent="0.25">
      <c r="A442" s="185" t="s">
        <v>210</v>
      </c>
      <c r="B442" s="188" t="s">
        <v>339</v>
      </c>
      <c r="C442" s="188" t="s">
        <v>26</v>
      </c>
      <c r="D442" s="188" t="str">
        <f t="shared" si="122"/>
        <v>101-G384</v>
      </c>
      <c r="E442" s="188">
        <v>0</v>
      </c>
      <c r="F442" s="188">
        <v>266.64</v>
      </c>
      <c r="G442" s="188">
        <v>399.96</v>
      </c>
      <c r="H442" s="188">
        <v>666.6</v>
      </c>
      <c r="I442" s="188">
        <v>0</v>
      </c>
      <c r="J442" s="183">
        <v>0</v>
      </c>
      <c r="L442" s="188" t="str">
        <f t="shared" si="123"/>
        <v>Projected - Gas</v>
      </c>
      <c r="M442" s="188" t="str">
        <f t="shared" si="124"/>
        <v>G384 DST House Regulator Installs</v>
      </c>
      <c r="N442" s="188" t="str">
        <f t="shared" si="120"/>
        <v>Projected</v>
      </c>
      <c r="O442" s="188" t="str">
        <f t="shared" si="125"/>
        <v>101-G384</v>
      </c>
      <c r="P442" s="188">
        <f t="shared" si="126"/>
        <v>0</v>
      </c>
      <c r="Q442" s="188">
        <f t="shared" si="127"/>
        <v>0</v>
      </c>
      <c r="R442" s="188">
        <f t="shared" si="128"/>
        <v>0</v>
      </c>
      <c r="S442" s="188">
        <f t="shared" si="129"/>
        <v>0</v>
      </c>
      <c r="T442" s="188">
        <f t="shared" si="130"/>
        <v>0</v>
      </c>
      <c r="V442" s="188" t="str">
        <f t="shared" si="131"/>
        <v>Projected - Gas</v>
      </c>
      <c r="W442" s="188" t="str">
        <f t="shared" si="132"/>
        <v>G384 DST House Regulator Installs</v>
      </c>
      <c r="X442" s="188" t="str">
        <f t="shared" si="121"/>
        <v>Projected</v>
      </c>
      <c r="Y442" s="188" t="str">
        <f t="shared" si="133"/>
        <v>101-G384</v>
      </c>
      <c r="Z442" s="188">
        <f t="shared" si="134"/>
        <v>0</v>
      </c>
      <c r="AA442" s="188">
        <f t="shared" si="135"/>
        <v>266.64</v>
      </c>
      <c r="AB442" s="188">
        <f t="shared" si="136"/>
        <v>399.96</v>
      </c>
      <c r="AC442" s="188">
        <f t="shared" si="137"/>
        <v>666.6</v>
      </c>
      <c r="AD442" s="188">
        <f t="shared" si="138"/>
        <v>0</v>
      </c>
      <c r="AE442" s="183">
        <f t="shared" si="139"/>
        <v>0</v>
      </c>
    </row>
    <row r="443" spans="1:31" x14ac:dyDescent="0.25">
      <c r="A443" s="185" t="s">
        <v>210</v>
      </c>
      <c r="B443" s="188" t="s">
        <v>338</v>
      </c>
      <c r="C443" s="188" t="s">
        <v>26</v>
      </c>
      <c r="D443" s="188" t="str">
        <f t="shared" si="122"/>
        <v>101-G385</v>
      </c>
      <c r="E443" s="188">
        <v>0</v>
      </c>
      <c r="F443" s="188">
        <v>355.48</v>
      </c>
      <c r="G443" s="188">
        <v>488.75</v>
      </c>
      <c r="H443" s="188">
        <v>755.27</v>
      </c>
      <c r="I443" s="188">
        <v>0</v>
      </c>
      <c r="J443" s="183">
        <v>0</v>
      </c>
      <c r="L443" s="188" t="str">
        <f t="shared" si="123"/>
        <v>Projected - Gas</v>
      </c>
      <c r="M443" s="188" t="str">
        <f t="shared" si="124"/>
        <v>G385 DST Industrial M&amp;R Sta Eq</v>
      </c>
      <c r="N443" s="188" t="str">
        <f t="shared" si="120"/>
        <v>Projected</v>
      </c>
      <c r="O443" s="188" t="str">
        <f t="shared" si="125"/>
        <v>101-G385</v>
      </c>
      <c r="P443" s="188">
        <f t="shared" si="126"/>
        <v>0</v>
      </c>
      <c r="Q443" s="188">
        <f t="shared" si="127"/>
        <v>0</v>
      </c>
      <c r="R443" s="188">
        <f t="shared" si="128"/>
        <v>0</v>
      </c>
      <c r="S443" s="188">
        <f t="shared" si="129"/>
        <v>0</v>
      </c>
      <c r="T443" s="188">
        <f t="shared" si="130"/>
        <v>0</v>
      </c>
      <c r="V443" s="188" t="str">
        <f t="shared" si="131"/>
        <v>Projected - Gas</v>
      </c>
      <c r="W443" s="188" t="str">
        <f t="shared" si="132"/>
        <v>G385 DST Industrial M&amp;R Sta Eq</v>
      </c>
      <c r="X443" s="188" t="str">
        <f t="shared" si="121"/>
        <v>Projected</v>
      </c>
      <c r="Y443" s="188" t="str">
        <f t="shared" si="133"/>
        <v>101-G385</v>
      </c>
      <c r="Z443" s="188">
        <f t="shared" si="134"/>
        <v>0</v>
      </c>
      <c r="AA443" s="188">
        <f t="shared" si="135"/>
        <v>355.48</v>
      </c>
      <c r="AB443" s="188">
        <f t="shared" si="136"/>
        <v>488.75</v>
      </c>
      <c r="AC443" s="188">
        <f t="shared" si="137"/>
        <v>755.27</v>
      </c>
      <c r="AD443" s="188">
        <f t="shared" si="138"/>
        <v>0</v>
      </c>
      <c r="AE443" s="183">
        <f t="shared" si="139"/>
        <v>0</v>
      </c>
    </row>
    <row r="444" spans="1:31" x14ac:dyDescent="0.25">
      <c r="A444" s="185" t="s">
        <v>210</v>
      </c>
      <c r="B444" s="188" t="s">
        <v>337</v>
      </c>
      <c r="C444" s="188" t="s">
        <v>26</v>
      </c>
      <c r="D444" s="188" t="str">
        <f t="shared" si="122"/>
        <v>101-G389</v>
      </c>
      <c r="E444" s="188">
        <v>0</v>
      </c>
      <c r="F444" s="188">
        <v>2500000</v>
      </c>
      <c r="G444" s="188">
        <v>2500000</v>
      </c>
      <c r="H444" s="188">
        <v>2500000</v>
      </c>
      <c r="I444" s="188">
        <v>0</v>
      </c>
      <c r="J444" s="183">
        <v>0</v>
      </c>
      <c r="L444" s="188" t="str">
        <f t="shared" si="123"/>
        <v>Projected - Gas</v>
      </c>
      <c r="M444" s="188" t="str">
        <f t="shared" si="124"/>
        <v>G389 GEN Land &amp; Land Rights</v>
      </c>
      <c r="N444" s="188" t="str">
        <f t="shared" si="120"/>
        <v>Projected</v>
      </c>
      <c r="O444" s="188" t="str">
        <f t="shared" si="125"/>
        <v>101-G389</v>
      </c>
      <c r="P444" s="188">
        <f t="shared" si="126"/>
        <v>0</v>
      </c>
      <c r="Q444" s="188">
        <f t="shared" si="127"/>
        <v>0</v>
      </c>
      <c r="R444" s="188">
        <f t="shared" si="128"/>
        <v>0</v>
      </c>
      <c r="S444" s="188">
        <f t="shared" si="129"/>
        <v>0</v>
      </c>
      <c r="T444" s="188">
        <f t="shared" si="130"/>
        <v>0</v>
      </c>
      <c r="V444" s="188" t="str">
        <f t="shared" si="131"/>
        <v>Projected - Gas</v>
      </c>
      <c r="W444" s="188" t="str">
        <f t="shared" si="132"/>
        <v>G389 GEN Land &amp; Land Rights</v>
      </c>
      <c r="X444" s="188" t="str">
        <f t="shared" si="121"/>
        <v>Projected</v>
      </c>
      <c r="Y444" s="188" t="str">
        <f t="shared" si="133"/>
        <v>101-G389</v>
      </c>
      <c r="Z444" s="188">
        <f t="shared" si="134"/>
        <v>0</v>
      </c>
      <c r="AA444" s="188">
        <f t="shared" si="135"/>
        <v>2500000</v>
      </c>
      <c r="AB444" s="188">
        <f t="shared" si="136"/>
        <v>2500000</v>
      </c>
      <c r="AC444" s="188">
        <f t="shared" si="137"/>
        <v>2500000</v>
      </c>
      <c r="AD444" s="188">
        <f t="shared" si="138"/>
        <v>0</v>
      </c>
      <c r="AE444" s="183">
        <f t="shared" si="139"/>
        <v>0</v>
      </c>
    </row>
    <row r="445" spans="1:31" x14ac:dyDescent="0.25">
      <c r="A445" s="185" t="s">
        <v>210</v>
      </c>
      <c r="B445" s="188" t="s">
        <v>336</v>
      </c>
      <c r="C445" s="188" t="s">
        <v>26</v>
      </c>
      <c r="D445" s="188" t="str">
        <f t="shared" si="122"/>
        <v>101-G390</v>
      </c>
      <c r="E445" s="188">
        <v>0</v>
      </c>
      <c r="F445" s="188">
        <v>86330.33</v>
      </c>
      <c r="G445" s="188">
        <v>86330.33</v>
      </c>
      <c r="H445" s="188">
        <v>86330.33</v>
      </c>
      <c r="I445" s="188">
        <v>0</v>
      </c>
      <c r="J445" s="183">
        <v>0</v>
      </c>
      <c r="L445" s="188" t="str">
        <f t="shared" si="123"/>
        <v>Projected - Gas</v>
      </c>
      <c r="M445" s="188" t="str">
        <f t="shared" si="124"/>
        <v>G390 GEN Structures &amp; Improvements</v>
      </c>
      <c r="N445" s="188" t="str">
        <f t="shared" si="120"/>
        <v>Projected</v>
      </c>
      <c r="O445" s="188" t="str">
        <f t="shared" si="125"/>
        <v>101-G390</v>
      </c>
      <c r="P445" s="188">
        <f t="shared" si="126"/>
        <v>0</v>
      </c>
      <c r="Q445" s="188">
        <f t="shared" si="127"/>
        <v>0</v>
      </c>
      <c r="R445" s="188">
        <f t="shared" si="128"/>
        <v>0</v>
      </c>
      <c r="S445" s="188">
        <f t="shared" si="129"/>
        <v>0</v>
      </c>
      <c r="T445" s="188">
        <f t="shared" si="130"/>
        <v>0</v>
      </c>
      <c r="V445" s="188" t="str">
        <f t="shared" si="131"/>
        <v>Projected - Gas</v>
      </c>
      <c r="W445" s="188" t="str">
        <f t="shared" si="132"/>
        <v>G390 GEN Structures &amp; Improvements</v>
      </c>
      <c r="X445" s="188" t="str">
        <f t="shared" si="121"/>
        <v>Projected</v>
      </c>
      <c r="Y445" s="188" t="str">
        <f t="shared" si="133"/>
        <v>101-G390</v>
      </c>
      <c r="Z445" s="188">
        <f t="shared" si="134"/>
        <v>0</v>
      </c>
      <c r="AA445" s="188">
        <f t="shared" si="135"/>
        <v>86330.33</v>
      </c>
      <c r="AB445" s="188">
        <f t="shared" si="136"/>
        <v>86330.33</v>
      </c>
      <c r="AC445" s="188">
        <f t="shared" si="137"/>
        <v>86330.33</v>
      </c>
      <c r="AD445" s="188">
        <f t="shared" si="138"/>
        <v>0</v>
      </c>
      <c r="AE445" s="183">
        <f t="shared" si="139"/>
        <v>0</v>
      </c>
    </row>
    <row r="446" spans="1:31" x14ac:dyDescent="0.25">
      <c r="A446" s="185" t="s">
        <v>210</v>
      </c>
      <c r="B446" s="188" t="s">
        <v>335</v>
      </c>
      <c r="C446" s="188" t="s">
        <v>26</v>
      </c>
      <c r="D446" s="188" t="str">
        <f t="shared" si="122"/>
        <v>101-G391</v>
      </c>
      <c r="E446" s="188">
        <v>0</v>
      </c>
      <c r="F446" s="188">
        <v>387016.73</v>
      </c>
      <c r="G446" s="188">
        <v>558269.17000000004</v>
      </c>
      <c r="H446" s="188">
        <v>876398.46</v>
      </c>
      <c r="I446" s="188">
        <v>0</v>
      </c>
      <c r="J446" s="183">
        <v>0</v>
      </c>
      <c r="L446" s="188" t="str">
        <f t="shared" si="123"/>
        <v>Projected - Gas</v>
      </c>
      <c r="M446" s="188" t="str">
        <f t="shared" si="124"/>
        <v>G3912 GEN Computer Eq, new</v>
      </c>
      <c r="N446" s="188" t="str">
        <f t="shared" si="120"/>
        <v>Projected</v>
      </c>
      <c r="O446" s="188" t="str">
        <f t="shared" si="125"/>
        <v>101-G391</v>
      </c>
      <c r="P446" s="188">
        <f t="shared" si="126"/>
        <v>0</v>
      </c>
      <c r="Q446" s="188">
        <f t="shared" si="127"/>
        <v>0</v>
      </c>
      <c r="R446" s="188">
        <f t="shared" si="128"/>
        <v>0</v>
      </c>
      <c r="S446" s="188">
        <f t="shared" si="129"/>
        <v>0</v>
      </c>
      <c r="T446" s="188">
        <f t="shared" si="130"/>
        <v>0</v>
      </c>
      <c r="V446" s="188" t="str">
        <f t="shared" si="131"/>
        <v>Projected - Gas</v>
      </c>
      <c r="W446" s="188" t="str">
        <f t="shared" si="132"/>
        <v>G3912 GEN Computer Eq, new</v>
      </c>
      <c r="X446" s="188" t="str">
        <f t="shared" si="121"/>
        <v>Projected</v>
      </c>
      <c r="Y446" s="188" t="str">
        <f t="shared" si="133"/>
        <v>101-G391</v>
      </c>
      <c r="Z446" s="188">
        <f t="shared" si="134"/>
        <v>0</v>
      </c>
      <c r="AA446" s="188">
        <f t="shared" si="135"/>
        <v>387016.73</v>
      </c>
      <c r="AB446" s="188">
        <f t="shared" si="136"/>
        <v>558269.17000000004</v>
      </c>
      <c r="AC446" s="188">
        <f t="shared" si="137"/>
        <v>876398.46</v>
      </c>
      <c r="AD446" s="188">
        <f t="shared" si="138"/>
        <v>0</v>
      </c>
      <c r="AE446" s="183">
        <f t="shared" si="139"/>
        <v>0</v>
      </c>
    </row>
    <row r="447" spans="1:31" x14ac:dyDescent="0.25">
      <c r="A447" s="185" t="s">
        <v>210</v>
      </c>
      <c r="B447" s="188" t="s">
        <v>334</v>
      </c>
      <c r="C447" s="188" t="s">
        <v>26</v>
      </c>
      <c r="D447" s="188" t="str">
        <f t="shared" si="122"/>
        <v>101-G392</v>
      </c>
      <c r="E447" s="188">
        <v>0</v>
      </c>
      <c r="F447" s="188">
        <v>177460.4</v>
      </c>
      <c r="G447" s="188">
        <v>185235.57</v>
      </c>
      <c r="H447" s="188">
        <v>374840.78</v>
      </c>
      <c r="I447" s="188">
        <v>0</v>
      </c>
      <c r="J447" s="183">
        <v>0</v>
      </c>
      <c r="L447" s="188" t="str">
        <f t="shared" si="123"/>
        <v>Projected - Gas</v>
      </c>
      <c r="M447" s="188" t="str">
        <f t="shared" si="124"/>
        <v>G392 GEN Trans Equip, new</v>
      </c>
      <c r="N447" s="188" t="str">
        <f t="shared" si="120"/>
        <v>Projected</v>
      </c>
      <c r="O447" s="188" t="str">
        <f t="shared" si="125"/>
        <v>101-G392</v>
      </c>
      <c r="P447" s="188">
        <f t="shared" si="126"/>
        <v>0</v>
      </c>
      <c r="Q447" s="188">
        <f t="shared" si="127"/>
        <v>0</v>
      </c>
      <c r="R447" s="188">
        <f t="shared" si="128"/>
        <v>0</v>
      </c>
      <c r="S447" s="188">
        <f t="shared" si="129"/>
        <v>0</v>
      </c>
      <c r="T447" s="188">
        <f t="shared" si="130"/>
        <v>0</v>
      </c>
      <c r="V447" s="188" t="str">
        <f t="shared" si="131"/>
        <v>Projected - Gas</v>
      </c>
      <c r="W447" s="188" t="str">
        <f t="shared" si="132"/>
        <v>G392 GEN Trans Equip, new</v>
      </c>
      <c r="X447" s="188" t="str">
        <f t="shared" si="121"/>
        <v>Projected</v>
      </c>
      <c r="Y447" s="188" t="str">
        <f t="shared" si="133"/>
        <v>101-G392</v>
      </c>
      <c r="Z447" s="188">
        <f t="shared" si="134"/>
        <v>0</v>
      </c>
      <c r="AA447" s="188">
        <f t="shared" si="135"/>
        <v>177460.4</v>
      </c>
      <c r="AB447" s="188">
        <f t="shared" si="136"/>
        <v>185235.57</v>
      </c>
      <c r="AC447" s="188">
        <f t="shared" si="137"/>
        <v>374840.78</v>
      </c>
      <c r="AD447" s="188">
        <f t="shared" si="138"/>
        <v>0</v>
      </c>
      <c r="AE447" s="183">
        <f t="shared" si="139"/>
        <v>0</v>
      </c>
    </row>
    <row r="448" spans="1:31" x14ac:dyDescent="0.25">
      <c r="A448" s="185" t="s">
        <v>210</v>
      </c>
      <c r="B448" s="188" t="s">
        <v>333</v>
      </c>
      <c r="C448" s="188" t="s">
        <v>26</v>
      </c>
      <c r="D448" s="188" t="str">
        <f t="shared" si="122"/>
        <v>101-G394</v>
      </c>
      <c r="E448" s="188">
        <v>0</v>
      </c>
      <c r="F448" s="188">
        <v>1144313.83</v>
      </c>
      <c r="G448" s="188">
        <v>1193316.73</v>
      </c>
      <c r="H448" s="188">
        <v>2370749.0099999998</v>
      </c>
      <c r="I448" s="188">
        <v>0</v>
      </c>
      <c r="J448" s="183">
        <v>0</v>
      </c>
      <c r="L448" s="188" t="str">
        <f t="shared" si="123"/>
        <v>Projected - Gas</v>
      </c>
      <c r="M448" s="188" t="str">
        <f t="shared" si="124"/>
        <v>G3940 GEN Tools/Garage/Shop, new</v>
      </c>
      <c r="N448" s="188" t="str">
        <f t="shared" si="120"/>
        <v>Projected</v>
      </c>
      <c r="O448" s="188" t="str">
        <f t="shared" si="125"/>
        <v>101-G394</v>
      </c>
      <c r="P448" s="188">
        <f t="shared" si="126"/>
        <v>0</v>
      </c>
      <c r="Q448" s="188">
        <f t="shared" si="127"/>
        <v>0</v>
      </c>
      <c r="R448" s="188">
        <f t="shared" si="128"/>
        <v>0</v>
      </c>
      <c r="S448" s="188">
        <f t="shared" si="129"/>
        <v>0</v>
      </c>
      <c r="T448" s="188">
        <f t="shared" si="130"/>
        <v>0</v>
      </c>
      <c r="V448" s="188" t="str">
        <f t="shared" si="131"/>
        <v>Projected - Gas</v>
      </c>
      <c r="W448" s="188" t="str">
        <f t="shared" si="132"/>
        <v>G3940 GEN Tools/Garage/Shop, new</v>
      </c>
      <c r="X448" s="188" t="str">
        <f t="shared" si="121"/>
        <v>Projected</v>
      </c>
      <c r="Y448" s="188" t="str">
        <f t="shared" si="133"/>
        <v>101-G394</v>
      </c>
      <c r="Z448" s="188">
        <f t="shared" si="134"/>
        <v>0</v>
      </c>
      <c r="AA448" s="188">
        <f t="shared" si="135"/>
        <v>1144313.83</v>
      </c>
      <c r="AB448" s="188">
        <f t="shared" si="136"/>
        <v>1193316.73</v>
      </c>
      <c r="AC448" s="188">
        <f t="shared" si="137"/>
        <v>2370749.0099999998</v>
      </c>
      <c r="AD448" s="188">
        <f t="shared" si="138"/>
        <v>0</v>
      </c>
      <c r="AE448" s="183">
        <f t="shared" si="139"/>
        <v>0</v>
      </c>
    </row>
    <row r="449" spans="1:31" x14ac:dyDescent="0.25">
      <c r="A449" s="185" t="s">
        <v>210</v>
      </c>
      <c r="B449" s="188" t="s">
        <v>332</v>
      </c>
      <c r="C449" s="188" t="s">
        <v>26</v>
      </c>
      <c r="D449" s="188" t="str">
        <f t="shared" si="122"/>
        <v>101-G395</v>
      </c>
      <c r="E449" s="188">
        <v>0</v>
      </c>
      <c r="F449" s="188">
        <v>60880.959999999999</v>
      </c>
      <c r="G449" s="188">
        <v>63488.06</v>
      </c>
      <c r="H449" s="188">
        <v>126131.01</v>
      </c>
      <c r="I449" s="188">
        <v>0</v>
      </c>
      <c r="J449" s="183">
        <v>0</v>
      </c>
      <c r="L449" s="188" t="str">
        <f t="shared" si="123"/>
        <v>Projected - Gas</v>
      </c>
      <c r="M449" s="188" t="str">
        <f t="shared" si="124"/>
        <v>G3950 GEN Laboratory Equip, new</v>
      </c>
      <c r="N449" s="188" t="str">
        <f t="shared" si="120"/>
        <v>Projected</v>
      </c>
      <c r="O449" s="188" t="str">
        <f t="shared" si="125"/>
        <v>101-G395</v>
      </c>
      <c r="P449" s="188">
        <f t="shared" si="126"/>
        <v>0</v>
      </c>
      <c r="Q449" s="188">
        <f t="shared" si="127"/>
        <v>0</v>
      </c>
      <c r="R449" s="188">
        <f t="shared" si="128"/>
        <v>0</v>
      </c>
      <c r="S449" s="188">
        <f t="shared" si="129"/>
        <v>0</v>
      </c>
      <c r="T449" s="188">
        <f t="shared" si="130"/>
        <v>0</v>
      </c>
      <c r="V449" s="188" t="str">
        <f t="shared" si="131"/>
        <v>Projected - Gas</v>
      </c>
      <c r="W449" s="188" t="str">
        <f t="shared" si="132"/>
        <v>G3950 GEN Laboratory Equip, new</v>
      </c>
      <c r="X449" s="188" t="str">
        <f t="shared" si="121"/>
        <v>Projected</v>
      </c>
      <c r="Y449" s="188" t="str">
        <f t="shared" si="133"/>
        <v>101-G395</v>
      </c>
      <c r="Z449" s="188">
        <f t="shared" si="134"/>
        <v>0</v>
      </c>
      <c r="AA449" s="188">
        <f t="shared" si="135"/>
        <v>60880.959999999999</v>
      </c>
      <c r="AB449" s="188">
        <f t="shared" si="136"/>
        <v>63488.06</v>
      </c>
      <c r="AC449" s="188">
        <f t="shared" si="137"/>
        <v>126131.01</v>
      </c>
      <c r="AD449" s="188">
        <f t="shared" si="138"/>
        <v>0</v>
      </c>
      <c r="AE449" s="183">
        <f t="shared" si="139"/>
        <v>0</v>
      </c>
    </row>
    <row r="450" spans="1:31" x14ac:dyDescent="0.25">
      <c r="A450" s="185" t="s">
        <v>210</v>
      </c>
      <c r="B450" s="188" t="s">
        <v>331</v>
      </c>
      <c r="C450" s="188" t="s">
        <v>26</v>
      </c>
      <c r="D450" s="188" t="str">
        <f t="shared" si="122"/>
        <v>101-G396</v>
      </c>
      <c r="E450" s="188">
        <v>0</v>
      </c>
      <c r="F450" s="188">
        <v>6427.81</v>
      </c>
      <c r="G450" s="188">
        <v>6709.43</v>
      </c>
      <c r="H450" s="188">
        <v>13577.14</v>
      </c>
      <c r="I450" s="188">
        <v>0</v>
      </c>
      <c r="J450" s="183">
        <v>0</v>
      </c>
      <c r="L450" s="188" t="str">
        <f t="shared" si="123"/>
        <v>Projected - Gas</v>
      </c>
      <c r="M450" s="188" t="str">
        <f t="shared" si="124"/>
        <v>G396 GEN Power Op Equip, new</v>
      </c>
      <c r="N450" s="188" t="str">
        <f t="shared" si="120"/>
        <v>Projected</v>
      </c>
      <c r="O450" s="188" t="str">
        <f t="shared" si="125"/>
        <v>101-G396</v>
      </c>
      <c r="P450" s="188">
        <f t="shared" si="126"/>
        <v>0</v>
      </c>
      <c r="Q450" s="188">
        <f t="shared" si="127"/>
        <v>0</v>
      </c>
      <c r="R450" s="188">
        <f t="shared" si="128"/>
        <v>0</v>
      </c>
      <c r="S450" s="188">
        <f t="shared" si="129"/>
        <v>0</v>
      </c>
      <c r="T450" s="188">
        <f t="shared" si="130"/>
        <v>0</v>
      </c>
      <c r="V450" s="188" t="str">
        <f t="shared" si="131"/>
        <v>Projected - Gas</v>
      </c>
      <c r="W450" s="188" t="str">
        <f t="shared" si="132"/>
        <v>G396 GEN Power Op Equip, new</v>
      </c>
      <c r="X450" s="188" t="str">
        <f t="shared" si="121"/>
        <v>Projected</v>
      </c>
      <c r="Y450" s="188" t="str">
        <f t="shared" si="133"/>
        <v>101-G396</v>
      </c>
      <c r="Z450" s="188">
        <f t="shared" si="134"/>
        <v>0</v>
      </c>
      <c r="AA450" s="188">
        <f t="shared" si="135"/>
        <v>6427.81</v>
      </c>
      <c r="AB450" s="188">
        <f t="shared" si="136"/>
        <v>6709.43</v>
      </c>
      <c r="AC450" s="188">
        <f t="shared" si="137"/>
        <v>13577.14</v>
      </c>
      <c r="AD450" s="188">
        <f t="shared" si="138"/>
        <v>0</v>
      </c>
      <c r="AE450" s="183">
        <f t="shared" si="139"/>
        <v>0</v>
      </c>
    </row>
    <row r="451" spans="1:31" x14ac:dyDescent="0.25">
      <c r="A451" s="185" t="s">
        <v>210</v>
      </c>
      <c r="B451" s="188" t="s">
        <v>330</v>
      </c>
      <c r="C451" s="188" t="s">
        <v>26</v>
      </c>
      <c r="D451" s="188" t="str">
        <f t="shared" si="122"/>
        <v>101-G397</v>
      </c>
      <c r="E451" s="188">
        <v>0</v>
      </c>
      <c r="F451" s="188">
        <v>3462.89</v>
      </c>
      <c r="G451" s="188">
        <v>3462.89</v>
      </c>
      <c r="H451" s="188">
        <v>3462.89</v>
      </c>
      <c r="I451" s="188">
        <v>0</v>
      </c>
      <c r="J451" s="183">
        <v>0</v>
      </c>
      <c r="L451" s="188" t="str">
        <f t="shared" si="123"/>
        <v>Projected - Gas</v>
      </c>
      <c r="M451" s="188" t="str">
        <f t="shared" si="124"/>
        <v>G3970 GEN Comm Equip, new</v>
      </c>
      <c r="N451" s="188" t="str">
        <f t="shared" si="120"/>
        <v>Projected</v>
      </c>
      <c r="O451" s="188" t="str">
        <f t="shared" si="125"/>
        <v>101-G397</v>
      </c>
      <c r="P451" s="188">
        <f t="shared" si="126"/>
        <v>0</v>
      </c>
      <c r="Q451" s="188">
        <f t="shared" si="127"/>
        <v>0</v>
      </c>
      <c r="R451" s="188">
        <f t="shared" si="128"/>
        <v>0</v>
      </c>
      <c r="S451" s="188">
        <f t="shared" si="129"/>
        <v>0</v>
      </c>
      <c r="T451" s="188">
        <f t="shared" si="130"/>
        <v>0</v>
      </c>
      <c r="V451" s="188" t="str">
        <f t="shared" si="131"/>
        <v>Projected - Gas</v>
      </c>
      <c r="W451" s="188" t="str">
        <f t="shared" si="132"/>
        <v>G3970 GEN Comm Equip, new</v>
      </c>
      <c r="X451" s="188" t="str">
        <f t="shared" si="121"/>
        <v>Projected</v>
      </c>
      <c r="Y451" s="188" t="str">
        <f t="shared" si="133"/>
        <v>101-G397</v>
      </c>
      <c r="Z451" s="188">
        <f t="shared" si="134"/>
        <v>0</v>
      </c>
      <c r="AA451" s="188">
        <f t="shared" si="135"/>
        <v>3462.89</v>
      </c>
      <c r="AB451" s="188">
        <f t="shared" si="136"/>
        <v>3462.89</v>
      </c>
      <c r="AC451" s="188">
        <f t="shared" si="137"/>
        <v>3462.89</v>
      </c>
      <c r="AD451" s="188">
        <f t="shared" si="138"/>
        <v>0</v>
      </c>
      <c r="AE451" s="183">
        <f t="shared" si="139"/>
        <v>0</v>
      </c>
    </row>
    <row r="452" spans="1:31" x14ac:dyDescent="0.25">
      <c r="A452" s="185" t="s">
        <v>31</v>
      </c>
      <c r="B452" s="188" t="s">
        <v>329</v>
      </c>
      <c r="C452" s="188" t="s">
        <v>160</v>
      </c>
      <c r="D452" s="188" t="str">
        <f t="shared" si="122"/>
        <v>101-E361</v>
      </c>
      <c r="E452" s="188">
        <v>0</v>
      </c>
      <c r="F452" s="188">
        <v>251281.32</v>
      </c>
      <c r="G452" s="188">
        <v>805938.84</v>
      </c>
      <c r="H452" s="188">
        <v>2528135.15</v>
      </c>
      <c r="I452" s="188">
        <v>0</v>
      </c>
      <c r="J452" s="183">
        <v>0</v>
      </c>
      <c r="L452" s="188" t="str">
        <f t="shared" si="123"/>
        <v>Resilience Enhancement</v>
      </c>
      <c r="M452" s="188" t="str">
        <f t="shared" si="124"/>
        <v>E3610 DST Structures &amp; Improvement</v>
      </c>
      <c r="N452" s="188" t="str">
        <f t="shared" ref="N452:N509" si="140">C452</f>
        <v>Programmatic</v>
      </c>
      <c r="O452" s="188" t="str">
        <f t="shared" si="125"/>
        <v>101-E361</v>
      </c>
      <c r="P452" s="188">
        <f t="shared" si="126"/>
        <v>0</v>
      </c>
      <c r="Q452" s="188">
        <f t="shared" si="127"/>
        <v>251281.32</v>
      </c>
      <c r="R452" s="188">
        <f t="shared" si="128"/>
        <v>805938.84</v>
      </c>
      <c r="S452" s="188">
        <f t="shared" si="129"/>
        <v>2528135.15</v>
      </c>
      <c r="T452" s="188">
        <f t="shared" si="130"/>
        <v>0</v>
      </c>
      <c r="V452" s="188" t="str">
        <f t="shared" si="131"/>
        <v>Resilience Enhancement</v>
      </c>
      <c r="W452" s="188" t="str">
        <f t="shared" si="132"/>
        <v>E3610 DST Structures &amp; Improvement</v>
      </c>
      <c r="X452" s="188" t="str">
        <f t="shared" ref="X452:X509" si="141">C452</f>
        <v>Programmatic</v>
      </c>
      <c r="Y452" s="188" t="str">
        <f t="shared" si="133"/>
        <v>101-E361</v>
      </c>
      <c r="Z452" s="188">
        <f t="shared" si="134"/>
        <v>0</v>
      </c>
      <c r="AA452" s="188">
        <f t="shared" si="135"/>
        <v>0</v>
      </c>
      <c r="AB452" s="188">
        <f t="shared" si="136"/>
        <v>0</v>
      </c>
      <c r="AC452" s="188">
        <f t="shared" si="137"/>
        <v>0</v>
      </c>
      <c r="AD452" s="188">
        <f t="shared" si="138"/>
        <v>0</v>
      </c>
      <c r="AE452" s="183">
        <f t="shared" si="139"/>
        <v>0</v>
      </c>
    </row>
    <row r="453" spans="1:31" x14ac:dyDescent="0.25">
      <c r="A453" s="185" t="s">
        <v>31</v>
      </c>
      <c r="B453" s="188" t="s">
        <v>328</v>
      </c>
      <c r="C453" s="188" t="s">
        <v>160</v>
      </c>
      <c r="D453" s="188" t="str">
        <f t="shared" ref="D453:D509" si="142">"101-"&amp; LEFT(B453,4)</f>
        <v>101-E363</v>
      </c>
      <c r="E453" s="188">
        <v>0</v>
      </c>
      <c r="F453" s="188">
        <v>251281.32</v>
      </c>
      <c r="G453" s="188">
        <v>805938.84</v>
      </c>
      <c r="H453" s="188">
        <v>2528135.15</v>
      </c>
      <c r="I453" s="188">
        <v>0</v>
      </c>
      <c r="J453" s="183">
        <v>0</v>
      </c>
      <c r="L453" s="188" t="str">
        <f t="shared" ref="L453:L509" si="143">A453</f>
        <v>Resilience Enhancement</v>
      </c>
      <c r="M453" s="188" t="str">
        <f t="shared" ref="M453:M509" si="144">B453</f>
        <v>E3630 DST Battery Storage Equipment</v>
      </c>
      <c r="N453" s="188" t="str">
        <f t="shared" si="140"/>
        <v>Programmatic</v>
      </c>
      <c r="O453" s="188" t="str">
        <f t="shared" ref="O453:O509" si="145">D453</f>
        <v>101-E363</v>
      </c>
      <c r="P453" s="188">
        <f t="shared" ref="P453:P509" si="146">IF(MID($O453,5,1)="C",E453*$F$1,IF(MID($O453,5,1)="G",0,E453))</f>
        <v>0</v>
      </c>
      <c r="Q453" s="188">
        <f t="shared" ref="Q453:Q509" si="147">IF(MID($O453,5,1)="C",F453*$F$1,IF(MID($O453,5,1)="G",0,F453))</f>
        <v>251281.32</v>
      </c>
      <c r="R453" s="188">
        <f t="shared" ref="R453:R509" si="148">IF(MID($O453,5,1)="C",G453*$F$1,IF(MID($O453,5,1)="G",0,G453))</f>
        <v>805938.84</v>
      </c>
      <c r="S453" s="188">
        <f t="shared" ref="S453:S509" si="149">IF(MID($O453,5,1)="C",H453*$F$1,IF(MID($O453,5,1)="G",0,H453))</f>
        <v>2528135.15</v>
      </c>
      <c r="T453" s="188">
        <f t="shared" ref="T453:T509" si="150">IF(MID($O453,5,1)="C",I453*$F$1,IF(MID($O453,5,1)="G",0,I453))</f>
        <v>0</v>
      </c>
      <c r="V453" s="188" t="str">
        <f t="shared" ref="V453:V509" si="151">A453</f>
        <v>Resilience Enhancement</v>
      </c>
      <c r="W453" s="188" t="str">
        <f t="shared" ref="W453:W509" si="152">B453</f>
        <v>E3630 DST Battery Storage Equipment</v>
      </c>
      <c r="X453" s="188" t="str">
        <f t="shared" si="141"/>
        <v>Programmatic</v>
      </c>
      <c r="Y453" s="188" t="str">
        <f t="shared" ref="Y453:Y509" si="153">D453</f>
        <v>101-E363</v>
      </c>
      <c r="Z453" s="188">
        <f t="shared" ref="Z453:Z509" si="154">IF(MID($O453,5,1)="C",E453*$D$1,IF(MID($O453,5,1)="E",0,E453))</f>
        <v>0</v>
      </c>
      <c r="AA453" s="188">
        <f t="shared" ref="AA453:AA509" si="155">IF(MID($O453,5,1)="C",F453*$D$1,IF(MID($O453,5,1)="E",0,F453))</f>
        <v>0</v>
      </c>
      <c r="AB453" s="188">
        <f t="shared" ref="AB453:AB509" si="156">IF(MID($O453,5,1)="C",G453*$D$1,IF(MID($O453,5,1)="E",0,G453))</f>
        <v>0</v>
      </c>
      <c r="AC453" s="188">
        <f t="shared" ref="AC453:AC509" si="157">IF(MID($O453,5,1)="C",H453*$D$1,IF(MID($O453,5,1)="E",0,H453))</f>
        <v>0</v>
      </c>
      <c r="AD453" s="188">
        <f t="shared" ref="AD453:AD509" si="158">IF(MID($O453,5,1)="C",I453*$D$1,IF(MID($O453,5,1)="E",0,I453))</f>
        <v>0</v>
      </c>
      <c r="AE453" s="183">
        <f t="shared" ref="AE453:AE509" si="159">SUM(E453:I453)-SUM(P453:T453)-SUM(Z453:AD453)</f>
        <v>0</v>
      </c>
    </row>
    <row r="454" spans="1:31" x14ac:dyDescent="0.25">
      <c r="A454" s="185" t="s">
        <v>31</v>
      </c>
      <c r="B454" s="188" t="s">
        <v>318</v>
      </c>
      <c r="C454" s="188" t="s">
        <v>160</v>
      </c>
      <c r="D454" s="188" t="str">
        <f t="shared" si="142"/>
        <v>101-E364</v>
      </c>
      <c r="E454" s="188">
        <v>0</v>
      </c>
      <c r="F454" s="188">
        <v>164299.32</v>
      </c>
      <c r="G454" s="188">
        <v>526960.02</v>
      </c>
      <c r="H454" s="188">
        <v>1653011.46</v>
      </c>
      <c r="I454" s="188">
        <v>0</v>
      </c>
      <c r="J454" s="183">
        <v>0</v>
      </c>
      <c r="L454" s="188" t="str">
        <f t="shared" si="143"/>
        <v>Resilience Enhancement</v>
      </c>
      <c r="M454" s="188" t="str">
        <f t="shared" si="144"/>
        <v>E3640 DST Poles/Towers/Fixtures</v>
      </c>
      <c r="N454" s="188" t="str">
        <f t="shared" si="140"/>
        <v>Programmatic</v>
      </c>
      <c r="O454" s="188" t="str">
        <f t="shared" si="145"/>
        <v>101-E364</v>
      </c>
      <c r="P454" s="188">
        <f t="shared" si="146"/>
        <v>0</v>
      </c>
      <c r="Q454" s="188">
        <f t="shared" si="147"/>
        <v>164299.32</v>
      </c>
      <c r="R454" s="188">
        <f t="shared" si="148"/>
        <v>526960.02</v>
      </c>
      <c r="S454" s="188">
        <f t="shared" si="149"/>
        <v>1653011.46</v>
      </c>
      <c r="T454" s="188">
        <f t="shared" si="150"/>
        <v>0</v>
      </c>
      <c r="V454" s="188" t="str">
        <f t="shared" si="151"/>
        <v>Resilience Enhancement</v>
      </c>
      <c r="W454" s="188" t="str">
        <f t="shared" si="152"/>
        <v>E3640 DST Poles/Towers/Fixtures</v>
      </c>
      <c r="X454" s="188" t="str">
        <f t="shared" si="141"/>
        <v>Programmatic</v>
      </c>
      <c r="Y454" s="188" t="str">
        <f t="shared" si="153"/>
        <v>101-E364</v>
      </c>
      <c r="Z454" s="188">
        <f t="shared" si="154"/>
        <v>0</v>
      </c>
      <c r="AA454" s="188">
        <f t="shared" si="155"/>
        <v>0</v>
      </c>
      <c r="AB454" s="188">
        <f t="shared" si="156"/>
        <v>0</v>
      </c>
      <c r="AC454" s="188">
        <f t="shared" si="157"/>
        <v>0</v>
      </c>
      <c r="AD454" s="188">
        <f t="shared" si="158"/>
        <v>0</v>
      </c>
      <c r="AE454" s="183">
        <f t="shared" si="159"/>
        <v>0</v>
      </c>
    </row>
    <row r="455" spans="1:31" x14ac:dyDescent="0.25">
      <c r="A455" s="185" t="s">
        <v>31</v>
      </c>
      <c r="B455" s="188" t="s">
        <v>327</v>
      </c>
      <c r="C455" s="188" t="s">
        <v>160</v>
      </c>
      <c r="D455" s="188" t="str">
        <f t="shared" si="142"/>
        <v>101-E365</v>
      </c>
      <c r="E455" s="188">
        <v>0</v>
      </c>
      <c r="F455" s="188">
        <v>299604.59999999998</v>
      </c>
      <c r="G455" s="188">
        <v>960927.07</v>
      </c>
      <c r="H455" s="188">
        <v>3014315.04</v>
      </c>
      <c r="I455" s="188">
        <v>0</v>
      </c>
      <c r="J455" s="183">
        <v>0</v>
      </c>
      <c r="L455" s="188" t="str">
        <f t="shared" si="143"/>
        <v>Resilience Enhancement</v>
      </c>
      <c r="M455" s="188" t="str">
        <f t="shared" si="144"/>
        <v>E3650 DST O/H Conductor/Devices</v>
      </c>
      <c r="N455" s="188" t="str">
        <f t="shared" si="140"/>
        <v>Programmatic</v>
      </c>
      <c r="O455" s="188" t="str">
        <f t="shared" si="145"/>
        <v>101-E365</v>
      </c>
      <c r="P455" s="188">
        <f t="shared" si="146"/>
        <v>0</v>
      </c>
      <c r="Q455" s="188">
        <f t="shared" si="147"/>
        <v>299604.59999999998</v>
      </c>
      <c r="R455" s="188">
        <f t="shared" si="148"/>
        <v>960927.07</v>
      </c>
      <c r="S455" s="188">
        <f t="shared" si="149"/>
        <v>3014315.04</v>
      </c>
      <c r="T455" s="188">
        <f t="shared" si="150"/>
        <v>0</v>
      </c>
      <c r="V455" s="188" t="str">
        <f t="shared" si="151"/>
        <v>Resilience Enhancement</v>
      </c>
      <c r="W455" s="188" t="str">
        <f t="shared" si="152"/>
        <v>E3650 DST O/H Conductor/Devices</v>
      </c>
      <c r="X455" s="188" t="str">
        <f t="shared" si="141"/>
        <v>Programmatic</v>
      </c>
      <c r="Y455" s="188" t="str">
        <f t="shared" si="153"/>
        <v>101-E365</v>
      </c>
      <c r="Z455" s="188">
        <f t="shared" si="154"/>
        <v>0</v>
      </c>
      <c r="AA455" s="188">
        <f t="shared" si="155"/>
        <v>0</v>
      </c>
      <c r="AB455" s="188">
        <f t="shared" si="156"/>
        <v>0</v>
      </c>
      <c r="AC455" s="188">
        <f t="shared" si="157"/>
        <v>0</v>
      </c>
      <c r="AD455" s="188">
        <f t="shared" si="158"/>
        <v>0</v>
      </c>
      <c r="AE455" s="183">
        <f t="shared" si="159"/>
        <v>0</v>
      </c>
    </row>
    <row r="456" spans="1:31" x14ac:dyDescent="0.25">
      <c r="A456" s="185" t="s">
        <v>209</v>
      </c>
      <c r="B456" s="188" t="s">
        <v>326</v>
      </c>
      <c r="C456" s="188" t="s">
        <v>160</v>
      </c>
      <c r="D456" s="188" t="str">
        <f t="shared" si="142"/>
        <v>101-GRNG</v>
      </c>
      <c r="E456" s="188">
        <v>0</v>
      </c>
      <c r="F456" s="188">
        <v>0</v>
      </c>
      <c r="G456" s="188">
        <v>0</v>
      </c>
      <c r="H456" s="188">
        <v>0</v>
      </c>
      <c r="I456" s="188">
        <v>0</v>
      </c>
      <c r="J456" s="183">
        <v>0</v>
      </c>
      <c r="L456" s="188" t="str">
        <f t="shared" si="143"/>
        <v>RNG</v>
      </c>
      <c r="M456" s="188" t="str">
        <f t="shared" si="144"/>
        <v>GRNG New RNG Gas Assets</v>
      </c>
      <c r="N456" s="188" t="str">
        <f t="shared" si="140"/>
        <v>Programmatic</v>
      </c>
      <c r="O456" s="188" t="str">
        <f t="shared" si="145"/>
        <v>101-GRNG</v>
      </c>
      <c r="P456" s="188">
        <f t="shared" si="146"/>
        <v>0</v>
      </c>
      <c r="Q456" s="188">
        <f t="shared" si="147"/>
        <v>0</v>
      </c>
      <c r="R456" s="188">
        <f t="shared" si="148"/>
        <v>0</v>
      </c>
      <c r="S456" s="188">
        <f t="shared" si="149"/>
        <v>0</v>
      </c>
      <c r="T456" s="188">
        <f t="shared" si="150"/>
        <v>0</v>
      </c>
      <c r="V456" s="188" t="str">
        <f t="shared" si="151"/>
        <v>RNG</v>
      </c>
      <c r="W456" s="188" t="str">
        <f t="shared" si="152"/>
        <v>GRNG New RNG Gas Assets</v>
      </c>
      <c r="X456" s="188" t="str">
        <f t="shared" si="141"/>
        <v>Programmatic</v>
      </c>
      <c r="Y456" s="188" t="str">
        <f t="shared" si="153"/>
        <v>101-GRNG</v>
      </c>
      <c r="Z456" s="188">
        <f t="shared" si="154"/>
        <v>0</v>
      </c>
      <c r="AA456" s="188">
        <f t="shared" si="155"/>
        <v>0</v>
      </c>
      <c r="AB456" s="188">
        <f t="shared" si="156"/>
        <v>0</v>
      </c>
      <c r="AC456" s="188">
        <f t="shared" si="157"/>
        <v>0</v>
      </c>
      <c r="AD456" s="188">
        <f t="shared" si="158"/>
        <v>0</v>
      </c>
      <c r="AE456" s="183">
        <f t="shared" si="159"/>
        <v>0</v>
      </c>
    </row>
    <row r="457" spans="1:31" x14ac:dyDescent="0.25">
      <c r="A457" s="185" t="s">
        <v>208</v>
      </c>
      <c r="B457" s="188" t="s">
        <v>325</v>
      </c>
      <c r="C457" s="188" t="s">
        <v>173</v>
      </c>
      <c r="D457" s="188" t="str">
        <f t="shared" si="142"/>
        <v>101-E344</v>
      </c>
      <c r="E457" s="188">
        <v>0</v>
      </c>
      <c r="F457" s="188">
        <v>0</v>
      </c>
      <c r="G457" s="188">
        <v>1690000.02</v>
      </c>
      <c r="H457" s="188">
        <v>5420882.2800000003</v>
      </c>
      <c r="I457" s="188">
        <v>0</v>
      </c>
      <c r="J457" s="183">
        <v>0</v>
      </c>
      <c r="L457" s="188" t="str">
        <f t="shared" si="143"/>
        <v>Rooftop Solar</v>
      </c>
      <c r="M457" s="188" t="str">
        <f t="shared" si="144"/>
        <v>E34402 PRD Gen, Com Solar</v>
      </c>
      <c r="N457" s="188" t="str">
        <f t="shared" si="140"/>
        <v>Specific</v>
      </c>
      <c r="O457" s="188" t="str">
        <f t="shared" si="145"/>
        <v>101-E344</v>
      </c>
      <c r="P457" s="188">
        <f t="shared" si="146"/>
        <v>0</v>
      </c>
      <c r="Q457" s="188">
        <f t="shared" si="147"/>
        <v>0</v>
      </c>
      <c r="R457" s="188">
        <f t="shared" si="148"/>
        <v>1690000.02</v>
      </c>
      <c r="S457" s="188">
        <f t="shared" si="149"/>
        <v>5420882.2800000003</v>
      </c>
      <c r="T457" s="188">
        <f t="shared" si="150"/>
        <v>0</v>
      </c>
      <c r="V457" s="188" t="str">
        <f t="shared" si="151"/>
        <v>Rooftop Solar</v>
      </c>
      <c r="W457" s="188" t="str">
        <f t="shared" si="152"/>
        <v>E34402 PRD Gen, Com Solar</v>
      </c>
      <c r="X457" s="188" t="str">
        <f t="shared" si="141"/>
        <v>Specific</v>
      </c>
      <c r="Y457" s="188" t="str">
        <f t="shared" si="153"/>
        <v>101-E344</v>
      </c>
      <c r="Z457" s="188">
        <f t="shared" si="154"/>
        <v>0</v>
      </c>
      <c r="AA457" s="188">
        <f t="shared" si="155"/>
        <v>0</v>
      </c>
      <c r="AB457" s="188">
        <f t="shared" si="156"/>
        <v>0</v>
      </c>
      <c r="AC457" s="188">
        <f t="shared" si="157"/>
        <v>0</v>
      </c>
      <c r="AD457" s="188">
        <f t="shared" si="158"/>
        <v>0</v>
      </c>
      <c r="AE457" s="183">
        <f t="shared" si="159"/>
        <v>0</v>
      </c>
    </row>
    <row r="458" spans="1:31" x14ac:dyDescent="0.25">
      <c r="A458" s="185" t="s">
        <v>28</v>
      </c>
      <c r="B458" s="188" t="s">
        <v>322</v>
      </c>
      <c r="C458" s="188" t="s">
        <v>173</v>
      </c>
      <c r="D458" s="188" t="str">
        <f t="shared" si="142"/>
        <v>101-E353</v>
      </c>
      <c r="E458" s="188">
        <v>0</v>
      </c>
      <c r="F458" s="188">
        <v>11494958.390000001</v>
      </c>
      <c r="G458" s="188">
        <v>13756770.23</v>
      </c>
      <c r="H458" s="188">
        <v>16018582.07</v>
      </c>
      <c r="I458" s="188">
        <v>0</v>
      </c>
      <c r="J458" s="183">
        <v>0</v>
      </c>
      <c r="L458" s="188" t="str">
        <f t="shared" si="143"/>
        <v>Sammamish Juanita 115Kv Tline</v>
      </c>
      <c r="M458" s="188" t="str">
        <f t="shared" si="144"/>
        <v>E3536 TSM Substation Equipment</v>
      </c>
      <c r="N458" s="188" t="str">
        <f t="shared" si="140"/>
        <v>Specific</v>
      </c>
      <c r="O458" s="188" t="str">
        <f t="shared" si="145"/>
        <v>101-E353</v>
      </c>
      <c r="P458" s="188">
        <f t="shared" si="146"/>
        <v>0</v>
      </c>
      <c r="Q458" s="188">
        <f t="shared" si="147"/>
        <v>11494958.390000001</v>
      </c>
      <c r="R458" s="188">
        <f t="shared" si="148"/>
        <v>13756770.23</v>
      </c>
      <c r="S458" s="188">
        <f t="shared" si="149"/>
        <v>16018582.07</v>
      </c>
      <c r="T458" s="188">
        <f t="shared" si="150"/>
        <v>0</v>
      </c>
      <c r="V458" s="188" t="str">
        <f t="shared" si="151"/>
        <v>Sammamish Juanita 115Kv Tline</v>
      </c>
      <c r="W458" s="188" t="str">
        <f t="shared" si="152"/>
        <v>E3536 TSM Substation Equipment</v>
      </c>
      <c r="X458" s="188" t="str">
        <f t="shared" si="141"/>
        <v>Specific</v>
      </c>
      <c r="Y458" s="188" t="str">
        <f t="shared" si="153"/>
        <v>101-E353</v>
      </c>
      <c r="Z458" s="188">
        <f t="shared" si="154"/>
        <v>0</v>
      </c>
      <c r="AA458" s="188">
        <f t="shared" si="155"/>
        <v>0</v>
      </c>
      <c r="AB458" s="188">
        <f t="shared" si="156"/>
        <v>0</v>
      </c>
      <c r="AC458" s="188">
        <f t="shared" si="157"/>
        <v>0</v>
      </c>
      <c r="AD458" s="188">
        <f t="shared" si="158"/>
        <v>0</v>
      </c>
      <c r="AE458" s="183">
        <f t="shared" si="159"/>
        <v>0</v>
      </c>
    </row>
    <row r="459" spans="1:31" x14ac:dyDescent="0.25">
      <c r="A459" s="185" t="s">
        <v>28</v>
      </c>
      <c r="B459" s="188" t="s">
        <v>324</v>
      </c>
      <c r="C459" s="188" t="s">
        <v>173</v>
      </c>
      <c r="D459" s="188" t="str">
        <f t="shared" si="142"/>
        <v>101-E355</v>
      </c>
      <c r="E459" s="188">
        <v>0</v>
      </c>
      <c r="F459" s="188">
        <v>11494958.390000001</v>
      </c>
      <c r="G459" s="188">
        <v>13756770.23</v>
      </c>
      <c r="H459" s="188">
        <v>16018582.07</v>
      </c>
      <c r="I459" s="188">
        <v>0</v>
      </c>
      <c r="J459" s="183">
        <v>0</v>
      </c>
      <c r="L459" s="188" t="str">
        <f t="shared" si="143"/>
        <v>Sammamish Juanita 115Kv Tline</v>
      </c>
      <c r="M459" s="188" t="str">
        <f t="shared" si="144"/>
        <v>E3556 TSM Poles</v>
      </c>
      <c r="N459" s="188" t="str">
        <f t="shared" si="140"/>
        <v>Specific</v>
      </c>
      <c r="O459" s="188" t="str">
        <f t="shared" si="145"/>
        <v>101-E355</v>
      </c>
      <c r="P459" s="188">
        <f t="shared" si="146"/>
        <v>0</v>
      </c>
      <c r="Q459" s="188">
        <f t="shared" si="147"/>
        <v>11494958.390000001</v>
      </c>
      <c r="R459" s="188">
        <f t="shared" si="148"/>
        <v>13756770.23</v>
      </c>
      <c r="S459" s="188">
        <f t="shared" si="149"/>
        <v>16018582.07</v>
      </c>
      <c r="T459" s="188">
        <f t="shared" si="150"/>
        <v>0</v>
      </c>
      <c r="V459" s="188" t="str">
        <f t="shared" si="151"/>
        <v>Sammamish Juanita 115Kv Tline</v>
      </c>
      <c r="W459" s="188" t="str">
        <f t="shared" si="152"/>
        <v>E3556 TSM Poles</v>
      </c>
      <c r="X459" s="188" t="str">
        <f t="shared" si="141"/>
        <v>Specific</v>
      </c>
      <c r="Y459" s="188" t="str">
        <f t="shared" si="153"/>
        <v>101-E355</v>
      </c>
      <c r="Z459" s="188">
        <f t="shared" si="154"/>
        <v>0</v>
      </c>
      <c r="AA459" s="188">
        <f t="shared" si="155"/>
        <v>0</v>
      </c>
      <c r="AB459" s="188">
        <f t="shared" si="156"/>
        <v>0</v>
      </c>
      <c r="AC459" s="188">
        <f t="shared" si="157"/>
        <v>0</v>
      </c>
      <c r="AD459" s="188">
        <f t="shared" si="158"/>
        <v>0</v>
      </c>
      <c r="AE459" s="183">
        <f t="shared" si="159"/>
        <v>0</v>
      </c>
    </row>
    <row r="460" spans="1:31" x14ac:dyDescent="0.25">
      <c r="A460" s="185" t="s">
        <v>133</v>
      </c>
      <c r="B460" s="188" t="s">
        <v>323</v>
      </c>
      <c r="C460" s="188" t="s">
        <v>173</v>
      </c>
      <c r="D460" s="188" t="str">
        <f t="shared" si="142"/>
        <v>101-C303</v>
      </c>
      <c r="E460" s="188">
        <v>0</v>
      </c>
      <c r="F460" s="188">
        <v>0</v>
      </c>
      <c r="G460" s="188">
        <v>0</v>
      </c>
      <c r="H460" s="188">
        <v>5015395.03</v>
      </c>
      <c r="I460" s="188">
        <v>0</v>
      </c>
      <c r="J460" s="183">
        <v>0</v>
      </c>
      <c r="L460" s="188" t="str">
        <f t="shared" si="143"/>
        <v>SAP S/4 Hana</v>
      </c>
      <c r="M460" s="188" t="str">
        <f t="shared" si="144"/>
        <v>C303.10 INT Misc Intangible Plant</v>
      </c>
      <c r="N460" s="188" t="str">
        <f t="shared" si="140"/>
        <v>Specific</v>
      </c>
      <c r="O460" s="188" t="str">
        <f t="shared" si="145"/>
        <v>101-C303</v>
      </c>
      <c r="P460" s="188">
        <f t="shared" si="146"/>
        <v>0</v>
      </c>
      <c r="Q460" s="188">
        <f t="shared" si="147"/>
        <v>0</v>
      </c>
      <c r="R460" s="188">
        <f t="shared" si="148"/>
        <v>0</v>
      </c>
      <c r="S460" s="188">
        <f t="shared" si="149"/>
        <v>3307151.4827820002</v>
      </c>
      <c r="T460" s="188">
        <f t="shared" si="150"/>
        <v>0</v>
      </c>
      <c r="V460" s="188" t="str">
        <f t="shared" si="151"/>
        <v>SAP S/4 Hana</v>
      </c>
      <c r="W460" s="188" t="str">
        <f t="shared" si="152"/>
        <v>C303.10 INT Misc Intangible Plant</v>
      </c>
      <c r="X460" s="188" t="str">
        <f t="shared" si="141"/>
        <v>Specific</v>
      </c>
      <c r="Y460" s="188" t="str">
        <f t="shared" si="153"/>
        <v>101-C303</v>
      </c>
      <c r="Z460" s="188">
        <f t="shared" si="154"/>
        <v>0</v>
      </c>
      <c r="AA460" s="188">
        <f t="shared" si="155"/>
        <v>0</v>
      </c>
      <c r="AB460" s="188">
        <f t="shared" si="156"/>
        <v>0</v>
      </c>
      <c r="AC460" s="188">
        <f t="shared" si="157"/>
        <v>1708243.5472180001</v>
      </c>
      <c r="AD460" s="188">
        <f t="shared" si="158"/>
        <v>0</v>
      </c>
      <c r="AE460" s="183">
        <f t="shared" si="159"/>
        <v>0</v>
      </c>
    </row>
    <row r="461" spans="1:31" x14ac:dyDescent="0.25">
      <c r="A461" s="188" t="s">
        <v>29</v>
      </c>
      <c r="B461" s="188" t="s">
        <v>322</v>
      </c>
      <c r="C461" s="188" t="s">
        <v>173</v>
      </c>
      <c r="D461" s="188" t="str">
        <f t="shared" si="142"/>
        <v>101-E353</v>
      </c>
      <c r="E461" s="188">
        <v>0</v>
      </c>
      <c r="F461" s="188">
        <v>15952966.93</v>
      </c>
      <c r="G461" s="188">
        <v>21039500.23</v>
      </c>
      <c r="H461" s="188">
        <v>26126033.530000001</v>
      </c>
      <c r="I461" s="188">
        <v>0</v>
      </c>
      <c r="J461" s="183">
        <v>0</v>
      </c>
      <c r="L461" s="188" t="str">
        <f t="shared" si="143"/>
        <v>Thurston Transmission Capacity</v>
      </c>
      <c r="M461" s="188" t="str">
        <f t="shared" si="144"/>
        <v>E3536 TSM Substation Equipment</v>
      </c>
      <c r="N461" s="188" t="str">
        <f t="shared" si="140"/>
        <v>Specific</v>
      </c>
      <c r="O461" s="188" t="str">
        <f t="shared" si="145"/>
        <v>101-E353</v>
      </c>
      <c r="P461" s="188">
        <f t="shared" si="146"/>
        <v>0</v>
      </c>
      <c r="Q461" s="188">
        <f t="shared" si="147"/>
        <v>15952966.93</v>
      </c>
      <c r="R461" s="188">
        <f t="shared" si="148"/>
        <v>21039500.23</v>
      </c>
      <c r="S461" s="188">
        <f t="shared" si="149"/>
        <v>26126033.530000001</v>
      </c>
      <c r="T461" s="188">
        <f t="shared" si="150"/>
        <v>0</v>
      </c>
      <c r="V461" s="188" t="str">
        <f t="shared" si="151"/>
        <v>Thurston Transmission Capacity</v>
      </c>
      <c r="W461" s="188" t="str">
        <f t="shared" si="152"/>
        <v>E3536 TSM Substation Equipment</v>
      </c>
      <c r="X461" s="188" t="str">
        <f t="shared" si="141"/>
        <v>Specific</v>
      </c>
      <c r="Y461" s="188" t="str">
        <f t="shared" si="153"/>
        <v>101-E353</v>
      </c>
      <c r="Z461" s="188">
        <f t="shared" si="154"/>
        <v>0</v>
      </c>
      <c r="AA461" s="188">
        <f t="shared" si="155"/>
        <v>0</v>
      </c>
      <c r="AB461" s="188">
        <f t="shared" si="156"/>
        <v>0</v>
      </c>
      <c r="AC461" s="188">
        <f t="shared" si="157"/>
        <v>0</v>
      </c>
      <c r="AD461" s="188">
        <f t="shared" si="158"/>
        <v>0</v>
      </c>
      <c r="AE461" s="183">
        <f t="shared" si="159"/>
        <v>0</v>
      </c>
    </row>
    <row r="462" spans="1:31" x14ac:dyDescent="0.25">
      <c r="A462" s="188" t="s">
        <v>30</v>
      </c>
      <c r="B462" s="188" t="s">
        <v>321</v>
      </c>
      <c r="C462" s="188" t="s">
        <v>173</v>
      </c>
      <c r="D462" s="188" t="str">
        <f t="shared" si="142"/>
        <v>101-C303</v>
      </c>
      <c r="E462" s="188">
        <v>0</v>
      </c>
      <c r="F462" s="188">
        <v>0</v>
      </c>
      <c r="G462" s="188">
        <v>0</v>
      </c>
      <c r="H462" s="188">
        <v>246679.2</v>
      </c>
      <c r="I462" s="188">
        <v>0</v>
      </c>
      <c r="J462" s="183">
        <v>0</v>
      </c>
      <c r="L462" s="188" t="str">
        <f t="shared" si="143"/>
        <v>Transport Network Modernization</v>
      </c>
      <c r="M462" s="188" t="str">
        <f t="shared" si="144"/>
        <v>C303.3 INT Misc Intangible Plant</v>
      </c>
      <c r="N462" s="188" t="str">
        <f t="shared" si="140"/>
        <v>Specific</v>
      </c>
      <c r="O462" s="188" t="str">
        <f t="shared" si="145"/>
        <v>101-C303</v>
      </c>
      <c r="P462" s="188">
        <f t="shared" si="146"/>
        <v>0</v>
      </c>
      <c r="Q462" s="188">
        <f t="shared" si="147"/>
        <v>0</v>
      </c>
      <c r="R462" s="188">
        <f t="shared" si="148"/>
        <v>0</v>
      </c>
      <c r="S462" s="188">
        <f t="shared" si="149"/>
        <v>162660.26448000001</v>
      </c>
      <c r="T462" s="188">
        <f t="shared" si="150"/>
        <v>0</v>
      </c>
      <c r="V462" s="188" t="str">
        <f t="shared" si="151"/>
        <v>Transport Network Modernization</v>
      </c>
      <c r="W462" s="188" t="str">
        <f t="shared" si="152"/>
        <v>C303.3 INT Misc Intangible Plant</v>
      </c>
      <c r="X462" s="188" t="str">
        <f t="shared" si="141"/>
        <v>Specific</v>
      </c>
      <c r="Y462" s="188" t="str">
        <f t="shared" si="153"/>
        <v>101-C303</v>
      </c>
      <c r="Z462" s="188">
        <f t="shared" si="154"/>
        <v>0</v>
      </c>
      <c r="AA462" s="188">
        <f t="shared" si="155"/>
        <v>0</v>
      </c>
      <c r="AB462" s="188">
        <f t="shared" si="156"/>
        <v>0</v>
      </c>
      <c r="AC462" s="188">
        <f t="shared" si="157"/>
        <v>84018.935520000014</v>
      </c>
      <c r="AD462" s="188">
        <f t="shared" si="158"/>
        <v>0</v>
      </c>
      <c r="AE462" s="183">
        <f t="shared" si="159"/>
        <v>0</v>
      </c>
    </row>
    <row r="463" spans="1:31" x14ac:dyDescent="0.25">
      <c r="A463" s="188" t="s">
        <v>30</v>
      </c>
      <c r="B463" s="188" t="s">
        <v>320</v>
      </c>
      <c r="C463" s="188" t="s">
        <v>173</v>
      </c>
      <c r="D463" s="188" t="str">
        <f t="shared" si="142"/>
        <v>101-C391</v>
      </c>
      <c r="E463" s="188">
        <v>0</v>
      </c>
      <c r="F463" s="188">
        <v>0</v>
      </c>
      <c r="G463" s="188">
        <v>0</v>
      </c>
      <c r="H463" s="188">
        <v>31257.96</v>
      </c>
      <c r="I463" s="188">
        <v>0</v>
      </c>
      <c r="J463" s="183">
        <v>0</v>
      </c>
      <c r="L463" s="188" t="str">
        <f t="shared" si="143"/>
        <v>Transport Network Modernization</v>
      </c>
      <c r="M463" s="188" t="str">
        <f t="shared" si="144"/>
        <v>C3912 CMN Computer Eq, new</v>
      </c>
      <c r="N463" s="188" t="str">
        <f t="shared" si="140"/>
        <v>Specific</v>
      </c>
      <c r="O463" s="188" t="str">
        <f t="shared" si="145"/>
        <v>101-C391</v>
      </c>
      <c r="P463" s="188">
        <f t="shared" si="146"/>
        <v>0</v>
      </c>
      <c r="Q463" s="188">
        <f t="shared" si="147"/>
        <v>0</v>
      </c>
      <c r="R463" s="188">
        <f t="shared" si="148"/>
        <v>0</v>
      </c>
      <c r="S463" s="188">
        <f t="shared" si="149"/>
        <v>20611.498823999998</v>
      </c>
      <c r="T463" s="188">
        <f t="shared" si="150"/>
        <v>0</v>
      </c>
      <c r="V463" s="188" t="str">
        <f t="shared" si="151"/>
        <v>Transport Network Modernization</v>
      </c>
      <c r="W463" s="188" t="str">
        <f t="shared" si="152"/>
        <v>C3912 CMN Computer Eq, new</v>
      </c>
      <c r="X463" s="188" t="str">
        <f t="shared" si="141"/>
        <v>Specific</v>
      </c>
      <c r="Y463" s="188" t="str">
        <f t="shared" si="153"/>
        <v>101-C391</v>
      </c>
      <c r="Z463" s="188">
        <f t="shared" si="154"/>
        <v>0</v>
      </c>
      <c r="AA463" s="188">
        <f t="shared" si="155"/>
        <v>0</v>
      </c>
      <c r="AB463" s="188">
        <f t="shared" si="156"/>
        <v>0</v>
      </c>
      <c r="AC463" s="188">
        <f t="shared" si="157"/>
        <v>10646.461176000001</v>
      </c>
      <c r="AD463" s="188">
        <f t="shared" si="158"/>
        <v>0</v>
      </c>
      <c r="AE463" s="183">
        <f t="shared" si="159"/>
        <v>0</v>
      </c>
    </row>
    <row r="464" spans="1:31" x14ac:dyDescent="0.25">
      <c r="A464" s="188" t="s">
        <v>30</v>
      </c>
      <c r="B464" s="188" t="s">
        <v>319</v>
      </c>
      <c r="C464" s="188" t="s">
        <v>173</v>
      </c>
      <c r="D464" s="188" t="str">
        <f t="shared" si="142"/>
        <v>101-C397</v>
      </c>
      <c r="E464" s="188">
        <v>0</v>
      </c>
      <c r="F464" s="188">
        <v>0</v>
      </c>
      <c r="G464" s="188">
        <v>0</v>
      </c>
      <c r="H464" s="188">
        <v>94270.03</v>
      </c>
      <c r="I464" s="188">
        <v>0</v>
      </c>
      <c r="J464" s="183">
        <v>0</v>
      </c>
      <c r="L464" s="188" t="str">
        <f t="shared" si="143"/>
        <v>Transport Network Modernization</v>
      </c>
      <c r="M464" s="188" t="str">
        <f t="shared" si="144"/>
        <v>C3970 CMN Comm Equip, new</v>
      </c>
      <c r="N464" s="188" t="str">
        <f t="shared" si="140"/>
        <v>Specific</v>
      </c>
      <c r="O464" s="188" t="str">
        <f t="shared" si="145"/>
        <v>101-C397</v>
      </c>
      <c r="P464" s="188">
        <f t="shared" si="146"/>
        <v>0</v>
      </c>
      <c r="Q464" s="188">
        <f t="shared" si="147"/>
        <v>0</v>
      </c>
      <c r="R464" s="188">
        <f t="shared" si="148"/>
        <v>0</v>
      </c>
      <c r="S464" s="188">
        <f t="shared" si="149"/>
        <v>62161.657781999995</v>
      </c>
      <c r="T464" s="188">
        <f t="shared" si="150"/>
        <v>0</v>
      </c>
      <c r="V464" s="188" t="str">
        <f t="shared" si="151"/>
        <v>Transport Network Modernization</v>
      </c>
      <c r="W464" s="188" t="str">
        <f t="shared" si="152"/>
        <v>C3970 CMN Comm Equip, new</v>
      </c>
      <c r="X464" s="188" t="str">
        <f t="shared" si="141"/>
        <v>Specific</v>
      </c>
      <c r="Y464" s="188" t="str">
        <f t="shared" si="153"/>
        <v>101-C397</v>
      </c>
      <c r="Z464" s="188">
        <f t="shared" si="154"/>
        <v>0</v>
      </c>
      <c r="AA464" s="188">
        <f t="shared" si="155"/>
        <v>0</v>
      </c>
      <c r="AB464" s="188">
        <f t="shared" si="156"/>
        <v>0</v>
      </c>
      <c r="AC464" s="188">
        <f t="shared" si="157"/>
        <v>32108.372218</v>
      </c>
      <c r="AD464" s="188">
        <f t="shared" si="158"/>
        <v>0</v>
      </c>
      <c r="AE464" s="183">
        <f t="shared" si="159"/>
        <v>0</v>
      </c>
    </row>
    <row r="465" spans="1:31" x14ac:dyDescent="0.25">
      <c r="A465" s="188" t="s">
        <v>207</v>
      </c>
      <c r="B465" s="188" t="s">
        <v>318</v>
      </c>
      <c r="C465" s="188" t="s">
        <v>160</v>
      </c>
      <c r="D465" s="188" t="str">
        <f t="shared" si="142"/>
        <v>101-E364</v>
      </c>
      <c r="E465" s="188">
        <v>0</v>
      </c>
      <c r="F465" s="188">
        <v>0</v>
      </c>
      <c r="G465" s="188">
        <v>1129380.3600000001</v>
      </c>
      <c r="H465" s="188">
        <v>7541061.2999999998</v>
      </c>
      <c r="I465" s="188">
        <v>0</v>
      </c>
      <c r="J465" s="183">
        <v>0</v>
      </c>
      <c r="L465" s="188" t="str">
        <f t="shared" si="143"/>
        <v>UG Feeders</v>
      </c>
      <c r="M465" s="188" t="str">
        <f t="shared" si="144"/>
        <v>E3640 DST Poles/Towers/Fixtures</v>
      </c>
      <c r="N465" s="188" t="str">
        <f t="shared" si="140"/>
        <v>Programmatic</v>
      </c>
      <c r="O465" s="188" t="str">
        <f t="shared" si="145"/>
        <v>101-E364</v>
      </c>
      <c r="P465" s="188">
        <f t="shared" si="146"/>
        <v>0</v>
      </c>
      <c r="Q465" s="188">
        <f t="shared" si="147"/>
        <v>0</v>
      </c>
      <c r="R465" s="188">
        <f t="shared" si="148"/>
        <v>1129380.3600000001</v>
      </c>
      <c r="S465" s="188">
        <f t="shared" si="149"/>
        <v>7541061.2999999998</v>
      </c>
      <c r="T465" s="188">
        <f t="shared" si="150"/>
        <v>0</v>
      </c>
      <c r="V465" s="188" t="str">
        <f t="shared" si="151"/>
        <v>UG Feeders</v>
      </c>
      <c r="W465" s="188" t="str">
        <f t="shared" si="152"/>
        <v>E3640 DST Poles/Towers/Fixtures</v>
      </c>
      <c r="X465" s="188" t="str">
        <f t="shared" si="141"/>
        <v>Programmatic</v>
      </c>
      <c r="Y465" s="188" t="str">
        <f t="shared" si="153"/>
        <v>101-E364</v>
      </c>
      <c r="Z465" s="188">
        <f t="shared" si="154"/>
        <v>0</v>
      </c>
      <c r="AA465" s="188">
        <f t="shared" si="155"/>
        <v>0</v>
      </c>
      <c r="AB465" s="188">
        <f t="shared" si="156"/>
        <v>0</v>
      </c>
      <c r="AC465" s="188">
        <f t="shared" si="157"/>
        <v>0</v>
      </c>
      <c r="AD465" s="188">
        <f t="shared" si="158"/>
        <v>0</v>
      </c>
      <c r="AE465" s="183">
        <f t="shared" si="159"/>
        <v>0</v>
      </c>
    </row>
    <row r="466" spans="1:31" x14ac:dyDescent="0.25">
      <c r="A466" s="188" t="s">
        <v>207</v>
      </c>
      <c r="B466" s="188" t="s">
        <v>317</v>
      </c>
      <c r="C466" s="188" t="s">
        <v>160</v>
      </c>
      <c r="D466" s="188" t="str">
        <f t="shared" si="142"/>
        <v>101-E366</v>
      </c>
      <c r="E466" s="188">
        <v>0</v>
      </c>
      <c r="F466" s="188">
        <v>0</v>
      </c>
      <c r="G466" s="188">
        <v>1694070.54</v>
      </c>
      <c r="H466" s="188">
        <v>11311591.98</v>
      </c>
      <c r="I466" s="188">
        <v>0</v>
      </c>
      <c r="J466" s="183">
        <v>0</v>
      </c>
      <c r="L466" s="188" t="str">
        <f t="shared" si="143"/>
        <v>UG Feeders</v>
      </c>
      <c r="M466" s="188" t="str">
        <f t="shared" si="144"/>
        <v>E3660 DST U/G Conduit</v>
      </c>
      <c r="N466" s="188" t="str">
        <f t="shared" si="140"/>
        <v>Programmatic</v>
      </c>
      <c r="O466" s="188" t="str">
        <f t="shared" si="145"/>
        <v>101-E366</v>
      </c>
      <c r="P466" s="188">
        <f t="shared" si="146"/>
        <v>0</v>
      </c>
      <c r="Q466" s="188">
        <f t="shared" si="147"/>
        <v>0</v>
      </c>
      <c r="R466" s="188">
        <f t="shared" si="148"/>
        <v>1694070.54</v>
      </c>
      <c r="S466" s="188">
        <f t="shared" si="149"/>
        <v>11311591.98</v>
      </c>
      <c r="T466" s="188">
        <f t="shared" si="150"/>
        <v>0</v>
      </c>
      <c r="V466" s="188" t="str">
        <f t="shared" si="151"/>
        <v>UG Feeders</v>
      </c>
      <c r="W466" s="188" t="str">
        <f t="shared" si="152"/>
        <v>E3660 DST U/G Conduit</v>
      </c>
      <c r="X466" s="188" t="str">
        <f t="shared" si="141"/>
        <v>Programmatic</v>
      </c>
      <c r="Y466" s="188" t="str">
        <f t="shared" si="153"/>
        <v>101-E366</v>
      </c>
      <c r="Z466" s="188">
        <f t="shared" si="154"/>
        <v>0</v>
      </c>
      <c r="AA466" s="188">
        <f t="shared" si="155"/>
        <v>0</v>
      </c>
      <c r="AB466" s="188">
        <f t="shared" si="156"/>
        <v>0</v>
      </c>
      <c r="AC466" s="188">
        <f t="shared" si="157"/>
        <v>0</v>
      </c>
      <c r="AD466" s="188">
        <f t="shared" si="158"/>
        <v>0</v>
      </c>
      <c r="AE466" s="183">
        <f t="shared" si="159"/>
        <v>0</v>
      </c>
    </row>
    <row r="467" spans="1:31" x14ac:dyDescent="0.25">
      <c r="A467" s="188" t="s">
        <v>207</v>
      </c>
      <c r="B467" s="188" t="s">
        <v>316</v>
      </c>
      <c r="C467" s="188" t="s">
        <v>160</v>
      </c>
      <c r="D467" s="188" t="str">
        <f t="shared" si="142"/>
        <v>101-E367</v>
      </c>
      <c r="E467" s="188">
        <v>0</v>
      </c>
      <c r="F467" s="188">
        <v>0</v>
      </c>
      <c r="G467" s="188">
        <v>498256.02</v>
      </c>
      <c r="H467" s="188">
        <v>3326938.8</v>
      </c>
      <c r="I467" s="188">
        <v>0</v>
      </c>
      <c r="J467" s="183">
        <v>0</v>
      </c>
      <c r="L467" s="188" t="str">
        <f t="shared" si="143"/>
        <v>UG Feeders</v>
      </c>
      <c r="M467" s="188" t="str">
        <f t="shared" si="144"/>
        <v>E3670 DST U/G Conductor/Devices</v>
      </c>
      <c r="N467" s="188" t="str">
        <f t="shared" si="140"/>
        <v>Programmatic</v>
      </c>
      <c r="O467" s="188" t="str">
        <f t="shared" si="145"/>
        <v>101-E367</v>
      </c>
      <c r="P467" s="188">
        <f t="shared" si="146"/>
        <v>0</v>
      </c>
      <c r="Q467" s="188">
        <f t="shared" si="147"/>
        <v>0</v>
      </c>
      <c r="R467" s="188">
        <f t="shared" si="148"/>
        <v>498256.02</v>
      </c>
      <c r="S467" s="188">
        <f t="shared" si="149"/>
        <v>3326938.8</v>
      </c>
      <c r="T467" s="188">
        <f t="shared" si="150"/>
        <v>0</v>
      </c>
      <c r="V467" s="188" t="str">
        <f t="shared" si="151"/>
        <v>UG Feeders</v>
      </c>
      <c r="W467" s="188" t="str">
        <f t="shared" si="152"/>
        <v>E3670 DST U/G Conductor/Devices</v>
      </c>
      <c r="X467" s="188" t="str">
        <f t="shared" si="141"/>
        <v>Programmatic</v>
      </c>
      <c r="Y467" s="188" t="str">
        <f t="shared" si="153"/>
        <v>101-E367</v>
      </c>
      <c r="Z467" s="188">
        <f t="shared" si="154"/>
        <v>0</v>
      </c>
      <c r="AA467" s="188">
        <f t="shared" si="155"/>
        <v>0</v>
      </c>
      <c r="AB467" s="188">
        <f t="shared" si="156"/>
        <v>0</v>
      </c>
      <c r="AC467" s="188">
        <f t="shared" si="157"/>
        <v>0</v>
      </c>
      <c r="AD467" s="188">
        <f t="shared" si="158"/>
        <v>0</v>
      </c>
      <c r="AE467" s="183">
        <f t="shared" si="159"/>
        <v>0</v>
      </c>
    </row>
    <row r="468" spans="1:31" x14ac:dyDescent="0.25">
      <c r="A468" s="188"/>
      <c r="B468" s="188"/>
      <c r="C468" s="188"/>
      <c r="D468" s="188" t="str">
        <f t="shared" si="142"/>
        <v>101-</v>
      </c>
      <c r="E468" s="188">
        <v>0</v>
      </c>
      <c r="F468" s="188">
        <v>0</v>
      </c>
      <c r="G468" s="188">
        <v>0</v>
      </c>
      <c r="H468" s="188">
        <v>0</v>
      </c>
      <c r="I468" s="188">
        <v>0</v>
      </c>
      <c r="J468" s="183">
        <v>0</v>
      </c>
      <c r="L468" s="188">
        <f t="shared" si="143"/>
        <v>0</v>
      </c>
      <c r="M468" s="188">
        <f t="shared" si="144"/>
        <v>0</v>
      </c>
      <c r="N468" s="188">
        <f t="shared" si="140"/>
        <v>0</v>
      </c>
      <c r="O468" s="188" t="str">
        <f t="shared" si="145"/>
        <v>101-</v>
      </c>
      <c r="P468" s="188">
        <f t="shared" si="146"/>
        <v>0</v>
      </c>
      <c r="Q468" s="188">
        <f t="shared" si="147"/>
        <v>0</v>
      </c>
      <c r="R468" s="188">
        <f t="shared" si="148"/>
        <v>0</v>
      </c>
      <c r="S468" s="188">
        <f t="shared" si="149"/>
        <v>0</v>
      </c>
      <c r="T468" s="188">
        <f t="shared" si="150"/>
        <v>0</v>
      </c>
      <c r="V468" s="188">
        <f t="shared" si="151"/>
        <v>0</v>
      </c>
      <c r="W468" s="188">
        <f t="shared" si="152"/>
        <v>0</v>
      </c>
      <c r="X468" s="188">
        <f t="shared" si="141"/>
        <v>0</v>
      </c>
      <c r="Y468" s="188" t="str">
        <f t="shared" si="153"/>
        <v>101-</v>
      </c>
      <c r="Z468" s="188">
        <f t="shared" si="154"/>
        <v>0</v>
      </c>
      <c r="AA468" s="188">
        <f t="shared" si="155"/>
        <v>0</v>
      </c>
      <c r="AB468" s="188">
        <f t="shared" si="156"/>
        <v>0</v>
      </c>
      <c r="AC468" s="188">
        <f t="shared" si="157"/>
        <v>0</v>
      </c>
      <c r="AD468" s="188">
        <f t="shared" si="158"/>
        <v>0</v>
      </c>
      <c r="AE468" s="183">
        <f t="shared" si="159"/>
        <v>0</v>
      </c>
    </row>
    <row r="469" spans="1:31" x14ac:dyDescent="0.25">
      <c r="A469" s="188"/>
      <c r="B469" s="188"/>
      <c r="C469" s="188"/>
      <c r="D469" s="188" t="str">
        <f t="shared" si="142"/>
        <v>101-</v>
      </c>
      <c r="E469" s="188">
        <v>0</v>
      </c>
      <c r="F469" s="188">
        <v>0</v>
      </c>
      <c r="G469" s="188">
        <v>0</v>
      </c>
      <c r="H469" s="188">
        <v>0</v>
      </c>
      <c r="I469" s="188">
        <v>0</v>
      </c>
      <c r="J469" s="183">
        <v>0</v>
      </c>
      <c r="L469" s="188">
        <f t="shared" si="143"/>
        <v>0</v>
      </c>
      <c r="M469" s="188">
        <f t="shared" si="144"/>
        <v>0</v>
      </c>
      <c r="N469" s="188">
        <f t="shared" si="140"/>
        <v>0</v>
      </c>
      <c r="O469" s="188" t="str">
        <f t="shared" si="145"/>
        <v>101-</v>
      </c>
      <c r="P469" s="188">
        <f t="shared" si="146"/>
        <v>0</v>
      </c>
      <c r="Q469" s="188">
        <f t="shared" si="147"/>
        <v>0</v>
      </c>
      <c r="R469" s="188">
        <f t="shared" si="148"/>
        <v>0</v>
      </c>
      <c r="S469" s="188">
        <f t="shared" si="149"/>
        <v>0</v>
      </c>
      <c r="T469" s="188">
        <f t="shared" si="150"/>
        <v>0</v>
      </c>
      <c r="V469" s="188">
        <f t="shared" si="151"/>
        <v>0</v>
      </c>
      <c r="W469" s="188">
        <f t="shared" si="152"/>
        <v>0</v>
      </c>
      <c r="X469" s="188">
        <f t="shared" si="141"/>
        <v>0</v>
      </c>
      <c r="Y469" s="188" t="str">
        <f t="shared" si="153"/>
        <v>101-</v>
      </c>
      <c r="Z469" s="188">
        <f t="shared" si="154"/>
        <v>0</v>
      </c>
      <c r="AA469" s="188">
        <f t="shared" si="155"/>
        <v>0</v>
      </c>
      <c r="AB469" s="188">
        <f t="shared" si="156"/>
        <v>0</v>
      </c>
      <c r="AC469" s="188">
        <f t="shared" si="157"/>
        <v>0</v>
      </c>
      <c r="AD469" s="188">
        <f t="shared" si="158"/>
        <v>0</v>
      </c>
      <c r="AE469" s="183">
        <f t="shared" si="159"/>
        <v>0</v>
      </c>
    </row>
    <row r="470" spans="1:31" x14ac:dyDescent="0.25">
      <c r="A470" s="188"/>
      <c r="B470" s="188"/>
      <c r="C470" s="188"/>
      <c r="D470" s="188" t="str">
        <f t="shared" si="142"/>
        <v>101-</v>
      </c>
      <c r="E470" s="188">
        <v>0</v>
      </c>
      <c r="F470" s="188">
        <v>0</v>
      </c>
      <c r="G470" s="188">
        <v>0</v>
      </c>
      <c r="H470" s="188">
        <v>0</v>
      </c>
      <c r="I470" s="188">
        <v>0</v>
      </c>
      <c r="J470" s="183">
        <v>0</v>
      </c>
      <c r="L470" s="188">
        <f t="shared" si="143"/>
        <v>0</v>
      </c>
      <c r="M470" s="188">
        <f t="shared" si="144"/>
        <v>0</v>
      </c>
      <c r="N470" s="188">
        <f t="shared" si="140"/>
        <v>0</v>
      </c>
      <c r="O470" s="188" t="str">
        <f t="shared" si="145"/>
        <v>101-</v>
      </c>
      <c r="P470" s="188">
        <f t="shared" si="146"/>
        <v>0</v>
      </c>
      <c r="Q470" s="188">
        <f t="shared" si="147"/>
        <v>0</v>
      </c>
      <c r="R470" s="188">
        <f t="shared" si="148"/>
        <v>0</v>
      </c>
      <c r="S470" s="188">
        <f t="shared" si="149"/>
        <v>0</v>
      </c>
      <c r="T470" s="188">
        <f t="shared" si="150"/>
        <v>0</v>
      </c>
      <c r="V470" s="188">
        <f t="shared" si="151"/>
        <v>0</v>
      </c>
      <c r="W470" s="188">
        <f t="shared" si="152"/>
        <v>0</v>
      </c>
      <c r="X470" s="188">
        <f t="shared" si="141"/>
        <v>0</v>
      </c>
      <c r="Y470" s="188" t="str">
        <f t="shared" si="153"/>
        <v>101-</v>
      </c>
      <c r="Z470" s="188">
        <f t="shared" si="154"/>
        <v>0</v>
      </c>
      <c r="AA470" s="188">
        <f t="shared" si="155"/>
        <v>0</v>
      </c>
      <c r="AB470" s="188">
        <f t="shared" si="156"/>
        <v>0</v>
      </c>
      <c r="AC470" s="188">
        <f t="shared" si="157"/>
        <v>0</v>
      </c>
      <c r="AD470" s="188">
        <f t="shared" si="158"/>
        <v>0</v>
      </c>
      <c r="AE470" s="183">
        <f t="shared" si="159"/>
        <v>0</v>
      </c>
    </row>
    <row r="471" spans="1:31" x14ac:dyDescent="0.25">
      <c r="A471" s="188"/>
      <c r="B471" s="188"/>
      <c r="C471" s="188"/>
      <c r="D471" s="188" t="str">
        <f t="shared" si="142"/>
        <v>101-</v>
      </c>
      <c r="E471" s="188">
        <v>0</v>
      </c>
      <c r="F471" s="188">
        <v>0</v>
      </c>
      <c r="G471" s="188">
        <v>0</v>
      </c>
      <c r="H471" s="188">
        <v>0</v>
      </c>
      <c r="I471" s="188">
        <v>0</v>
      </c>
      <c r="J471" s="183">
        <v>0</v>
      </c>
      <c r="L471" s="188">
        <f t="shared" si="143"/>
        <v>0</v>
      </c>
      <c r="M471" s="188">
        <f t="shared" si="144"/>
        <v>0</v>
      </c>
      <c r="N471" s="188">
        <f t="shared" si="140"/>
        <v>0</v>
      </c>
      <c r="O471" s="188" t="str">
        <f t="shared" si="145"/>
        <v>101-</v>
      </c>
      <c r="P471" s="188">
        <f t="shared" si="146"/>
        <v>0</v>
      </c>
      <c r="Q471" s="188">
        <f t="shared" si="147"/>
        <v>0</v>
      </c>
      <c r="R471" s="188">
        <f t="shared" si="148"/>
        <v>0</v>
      </c>
      <c r="S471" s="188">
        <f t="shared" si="149"/>
        <v>0</v>
      </c>
      <c r="T471" s="188">
        <f t="shared" si="150"/>
        <v>0</v>
      </c>
      <c r="V471" s="188">
        <f t="shared" si="151"/>
        <v>0</v>
      </c>
      <c r="W471" s="188">
        <f t="shared" si="152"/>
        <v>0</v>
      </c>
      <c r="X471" s="188">
        <f t="shared" si="141"/>
        <v>0</v>
      </c>
      <c r="Y471" s="188" t="str">
        <f t="shared" si="153"/>
        <v>101-</v>
      </c>
      <c r="Z471" s="188">
        <f t="shared" si="154"/>
        <v>0</v>
      </c>
      <c r="AA471" s="188">
        <f t="shared" si="155"/>
        <v>0</v>
      </c>
      <c r="AB471" s="188">
        <f t="shared" si="156"/>
        <v>0</v>
      </c>
      <c r="AC471" s="188">
        <f t="shared" si="157"/>
        <v>0</v>
      </c>
      <c r="AD471" s="188">
        <f t="shared" si="158"/>
        <v>0</v>
      </c>
      <c r="AE471" s="183">
        <f t="shared" si="159"/>
        <v>0</v>
      </c>
    </row>
    <row r="472" spans="1:31" x14ac:dyDescent="0.25">
      <c r="A472" s="188"/>
      <c r="B472" s="188"/>
      <c r="C472" s="188"/>
      <c r="D472" s="188" t="str">
        <f t="shared" si="142"/>
        <v>101-</v>
      </c>
      <c r="E472" s="188">
        <v>0</v>
      </c>
      <c r="F472" s="188">
        <v>0</v>
      </c>
      <c r="G472" s="188">
        <v>0</v>
      </c>
      <c r="H472" s="188">
        <v>0</v>
      </c>
      <c r="I472" s="188">
        <v>0</v>
      </c>
      <c r="J472" s="183">
        <v>0</v>
      </c>
      <c r="L472" s="188">
        <f t="shared" si="143"/>
        <v>0</v>
      </c>
      <c r="M472" s="188">
        <f t="shared" si="144"/>
        <v>0</v>
      </c>
      <c r="N472" s="188">
        <f t="shared" si="140"/>
        <v>0</v>
      </c>
      <c r="O472" s="188" t="str">
        <f t="shared" si="145"/>
        <v>101-</v>
      </c>
      <c r="P472" s="188">
        <f t="shared" si="146"/>
        <v>0</v>
      </c>
      <c r="Q472" s="188">
        <f t="shared" si="147"/>
        <v>0</v>
      </c>
      <c r="R472" s="188">
        <f t="shared" si="148"/>
        <v>0</v>
      </c>
      <c r="S472" s="188">
        <f t="shared" si="149"/>
        <v>0</v>
      </c>
      <c r="T472" s="188">
        <f t="shared" si="150"/>
        <v>0</v>
      </c>
      <c r="V472" s="188">
        <f t="shared" si="151"/>
        <v>0</v>
      </c>
      <c r="W472" s="188">
        <f t="shared" si="152"/>
        <v>0</v>
      </c>
      <c r="X472" s="188">
        <f t="shared" si="141"/>
        <v>0</v>
      </c>
      <c r="Y472" s="188" t="str">
        <f t="shared" si="153"/>
        <v>101-</v>
      </c>
      <c r="Z472" s="188">
        <f t="shared" si="154"/>
        <v>0</v>
      </c>
      <c r="AA472" s="188">
        <f t="shared" si="155"/>
        <v>0</v>
      </c>
      <c r="AB472" s="188">
        <f t="shared" si="156"/>
        <v>0</v>
      </c>
      <c r="AC472" s="188">
        <f t="shared" si="157"/>
        <v>0</v>
      </c>
      <c r="AD472" s="188">
        <f t="shared" si="158"/>
        <v>0</v>
      </c>
      <c r="AE472" s="183">
        <f t="shared" si="159"/>
        <v>0</v>
      </c>
    </row>
    <row r="473" spans="1:31" x14ac:dyDescent="0.25">
      <c r="A473" s="188"/>
      <c r="B473" s="188"/>
      <c r="C473" s="188"/>
      <c r="D473" s="188" t="str">
        <f t="shared" si="142"/>
        <v>101-</v>
      </c>
      <c r="E473" s="188">
        <v>0</v>
      </c>
      <c r="F473" s="188">
        <v>0</v>
      </c>
      <c r="G473" s="188">
        <v>0</v>
      </c>
      <c r="H473" s="188">
        <v>0</v>
      </c>
      <c r="I473" s="188">
        <v>0</v>
      </c>
      <c r="J473" s="183">
        <v>0</v>
      </c>
      <c r="L473" s="188">
        <f t="shared" si="143"/>
        <v>0</v>
      </c>
      <c r="M473" s="188">
        <f t="shared" si="144"/>
        <v>0</v>
      </c>
      <c r="N473" s="188">
        <f t="shared" si="140"/>
        <v>0</v>
      </c>
      <c r="O473" s="188" t="str">
        <f t="shared" si="145"/>
        <v>101-</v>
      </c>
      <c r="P473" s="188">
        <f t="shared" si="146"/>
        <v>0</v>
      </c>
      <c r="Q473" s="188">
        <f t="shared" si="147"/>
        <v>0</v>
      </c>
      <c r="R473" s="188">
        <f t="shared" si="148"/>
        <v>0</v>
      </c>
      <c r="S473" s="188">
        <f t="shared" si="149"/>
        <v>0</v>
      </c>
      <c r="T473" s="188">
        <f t="shared" si="150"/>
        <v>0</v>
      </c>
      <c r="V473" s="188">
        <f t="shared" si="151"/>
        <v>0</v>
      </c>
      <c r="W473" s="188">
        <f t="shared" si="152"/>
        <v>0</v>
      </c>
      <c r="X473" s="188">
        <f t="shared" si="141"/>
        <v>0</v>
      </c>
      <c r="Y473" s="188" t="str">
        <f t="shared" si="153"/>
        <v>101-</v>
      </c>
      <c r="Z473" s="188">
        <f t="shared" si="154"/>
        <v>0</v>
      </c>
      <c r="AA473" s="188">
        <f t="shared" si="155"/>
        <v>0</v>
      </c>
      <c r="AB473" s="188">
        <f t="shared" si="156"/>
        <v>0</v>
      </c>
      <c r="AC473" s="188">
        <f t="shared" si="157"/>
        <v>0</v>
      </c>
      <c r="AD473" s="188">
        <f t="shared" si="158"/>
        <v>0</v>
      </c>
      <c r="AE473" s="183">
        <f t="shared" si="159"/>
        <v>0</v>
      </c>
    </row>
    <row r="474" spans="1:31" x14ac:dyDescent="0.25">
      <c r="A474" s="188"/>
      <c r="B474" s="188"/>
      <c r="C474" s="188"/>
      <c r="D474" s="188" t="str">
        <f t="shared" si="142"/>
        <v>101-</v>
      </c>
      <c r="E474" s="188">
        <v>0</v>
      </c>
      <c r="F474" s="188">
        <v>0</v>
      </c>
      <c r="G474" s="188">
        <v>0</v>
      </c>
      <c r="H474" s="188">
        <v>0</v>
      </c>
      <c r="I474" s="188">
        <v>0</v>
      </c>
      <c r="J474" s="183">
        <v>0</v>
      </c>
      <c r="L474" s="188">
        <f t="shared" si="143"/>
        <v>0</v>
      </c>
      <c r="M474" s="188">
        <f t="shared" si="144"/>
        <v>0</v>
      </c>
      <c r="N474" s="188">
        <f t="shared" si="140"/>
        <v>0</v>
      </c>
      <c r="O474" s="188" t="str">
        <f t="shared" si="145"/>
        <v>101-</v>
      </c>
      <c r="P474" s="188">
        <f t="shared" si="146"/>
        <v>0</v>
      </c>
      <c r="Q474" s="188">
        <f t="shared" si="147"/>
        <v>0</v>
      </c>
      <c r="R474" s="188">
        <f t="shared" si="148"/>
        <v>0</v>
      </c>
      <c r="S474" s="188">
        <f t="shared" si="149"/>
        <v>0</v>
      </c>
      <c r="T474" s="188">
        <f t="shared" si="150"/>
        <v>0</v>
      </c>
      <c r="V474" s="188">
        <f t="shared" si="151"/>
        <v>0</v>
      </c>
      <c r="W474" s="188">
        <f t="shared" si="152"/>
        <v>0</v>
      </c>
      <c r="X474" s="188">
        <f t="shared" si="141"/>
        <v>0</v>
      </c>
      <c r="Y474" s="188" t="str">
        <f t="shared" si="153"/>
        <v>101-</v>
      </c>
      <c r="Z474" s="188">
        <f t="shared" si="154"/>
        <v>0</v>
      </c>
      <c r="AA474" s="188">
        <f t="shared" si="155"/>
        <v>0</v>
      </c>
      <c r="AB474" s="188">
        <f t="shared" si="156"/>
        <v>0</v>
      </c>
      <c r="AC474" s="188">
        <f t="shared" si="157"/>
        <v>0</v>
      </c>
      <c r="AD474" s="188">
        <f t="shared" si="158"/>
        <v>0</v>
      </c>
      <c r="AE474" s="183">
        <f t="shared" si="159"/>
        <v>0</v>
      </c>
    </row>
    <row r="475" spans="1:31" x14ac:dyDescent="0.25">
      <c r="A475" s="188"/>
      <c r="B475" s="188"/>
      <c r="C475" s="188"/>
      <c r="D475" s="188" t="str">
        <f t="shared" si="142"/>
        <v>101-</v>
      </c>
      <c r="E475" s="188">
        <v>0</v>
      </c>
      <c r="F475" s="188">
        <v>0</v>
      </c>
      <c r="G475" s="188">
        <v>0</v>
      </c>
      <c r="H475" s="188">
        <v>0</v>
      </c>
      <c r="I475" s="188">
        <v>0</v>
      </c>
      <c r="J475" s="183">
        <v>0</v>
      </c>
      <c r="L475" s="188">
        <f t="shared" si="143"/>
        <v>0</v>
      </c>
      <c r="M475" s="188">
        <f t="shared" si="144"/>
        <v>0</v>
      </c>
      <c r="N475" s="188">
        <f t="shared" si="140"/>
        <v>0</v>
      </c>
      <c r="O475" s="188" t="str">
        <f t="shared" si="145"/>
        <v>101-</v>
      </c>
      <c r="P475" s="188">
        <f t="shared" si="146"/>
        <v>0</v>
      </c>
      <c r="Q475" s="188">
        <f t="shared" si="147"/>
        <v>0</v>
      </c>
      <c r="R475" s="188">
        <f t="shared" si="148"/>
        <v>0</v>
      </c>
      <c r="S475" s="188">
        <f t="shared" si="149"/>
        <v>0</v>
      </c>
      <c r="T475" s="188">
        <f t="shared" si="150"/>
        <v>0</v>
      </c>
      <c r="V475" s="188">
        <f t="shared" si="151"/>
        <v>0</v>
      </c>
      <c r="W475" s="188">
        <f t="shared" si="152"/>
        <v>0</v>
      </c>
      <c r="X475" s="188">
        <f t="shared" si="141"/>
        <v>0</v>
      </c>
      <c r="Y475" s="188" t="str">
        <f t="shared" si="153"/>
        <v>101-</v>
      </c>
      <c r="Z475" s="188">
        <f t="shared" si="154"/>
        <v>0</v>
      </c>
      <c r="AA475" s="188">
        <f t="shared" si="155"/>
        <v>0</v>
      </c>
      <c r="AB475" s="188">
        <f t="shared" si="156"/>
        <v>0</v>
      </c>
      <c r="AC475" s="188">
        <f t="shared" si="157"/>
        <v>0</v>
      </c>
      <c r="AD475" s="188">
        <f t="shared" si="158"/>
        <v>0</v>
      </c>
      <c r="AE475" s="183">
        <f t="shared" si="159"/>
        <v>0</v>
      </c>
    </row>
    <row r="476" spans="1:31" x14ac:dyDescent="0.25">
      <c r="A476" s="188"/>
      <c r="B476" s="188"/>
      <c r="C476" s="188"/>
      <c r="D476" s="188" t="str">
        <f t="shared" si="142"/>
        <v>101-</v>
      </c>
      <c r="E476" s="188">
        <v>0</v>
      </c>
      <c r="F476" s="188">
        <v>0</v>
      </c>
      <c r="G476" s="188">
        <v>0</v>
      </c>
      <c r="H476" s="188">
        <v>0</v>
      </c>
      <c r="I476" s="188">
        <v>0</v>
      </c>
      <c r="J476" s="183">
        <v>0</v>
      </c>
      <c r="L476" s="188">
        <f t="shared" si="143"/>
        <v>0</v>
      </c>
      <c r="M476" s="188">
        <f t="shared" si="144"/>
        <v>0</v>
      </c>
      <c r="N476" s="188">
        <f t="shared" si="140"/>
        <v>0</v>
      </c>
      <c r="O476" s="188" t="str">
        <f t="shared" si="145"/>
        <v>101-</v>
      </c>
      <c r="P476" s="188">
        <f t="shared" si="146"/>
        <v>0</v>
      </c>
      <c r="Q476" s="188">
        <f t="shared" si="147"/>
        <v>0</v>
      </c>
      <c r="R476" s="188">
        <f t="shared" si="148"/>
        <v>0</v>
      </c>
      <c r="S476" s="188">
        <f t="shared" si="149"/>
        <v>0</v>
      </c>
      <c r="T476" s="188">
        <f t="shared" si="150"/>
        <v>0</v>
      </c>
      <c r="V476" s="188">
        <f t="shared" si="151"/>
        <v>0</v>
      </c>
      <c r="W476" s="188">
        <f t="shared" si="152"/>
        <v>0</v>
      </c>
      <c r="X476" s="188">
        <f t="shared" si="141"/>
        <v>0</v>
      </c>
      <c r="Y476" s="188" t="str">
        <f t="shared" si="153"/>
        <v>101-</v>
      </c>
      <c r="Z476" s="188">
        <f t="shared" si="154"/>
        <v>0</v>
      </c>
      <c r="AA476" s="188">
        <f t="shared" si="155"/>
        <v>0</v>
      </c>
      <c r="AB476" s="188">
        <f t="shared" si="156"/>
        <v>0</v>
      </c>
      <c r="AC476" s="188">
        <f t="shared" si="157"/>
        <v>0</v>
      </c>
      <c r="AD476" s="188">
        <f t="shared" si="158"/>
        <v>0</v>
      </c>
      <c r="AE476" s="183">
        <f t="shared" si="159"/>
        <v>0</v>
      </c>
    </row>
    <row r="477" spans="1:31" x14ac:dyDescent="0.25">
      <c r="A477" s="188"/>
      <c r="B477" s="188"/>
      <c r="C477" s="188"/>
      <c r="D477" s="188" t="str">
        <f t="shared" si="142"/>
        <v>101-</v>
      </c>
      <c r="E477" s="188">
        <v>0</v>
      </c>
      <c r="F477" s="188">
        <v>0</v>
      </c>
      <c r="G477" s="188">
        <v>0</v>
      </c>
      <c r="H477" s="188">
        <v>0</v>
      </c>
      <c r="I477" s="188">
        <v>0</v>
      </c>
      <c r="J477" s="183">
        <v>0</v>
      </c>
      <c r="L477" s="188">
        <f t="shared" si="143"/>
        <v>0</v>
      </c>
      <c r="M477" s="188">
        <f t="shared" si="144"/>
        <v>0</v>
      </c>
      <c r="N477" s="188">
        <f t="shared" si="140"/>
        <v>0</v>
      </c>
      <c r="O477" s="188" t="str">
        <f t="shared" si="145"/>
        <v>101-</v>
      </c>
      <c r="P477" s="188">
        <f t="shared" si="146"/>
        <v>0</v>
      </c>
      <c r="Q477" s="188">
        <f t="shared" si="147"/>
        <v>0</v>
      </c>
      <c r="R477" s="188">
        <f t="shared" si="148"/>
        <v>0</v>
      </c>
      <c r="S477" s="188">
        <f t="shared" si="149"/>
        <v>0</v>
      </c>
      <c r="T477" s="188">
        <f t="shared" si="150"/>
        <v>0</v>
      </c>
      <c r="V477" s="188">
        <f t="shared" si="151"/>
        <v>0</v>
      </c>
      <c r="W477" s="188">
        <f t="shared" si="152"/>
        <v>0</v>
      </c>
      <c r="X477" s="188">
        <f t="shared" si="141"/>
        <v>0</v>
      </c>
      <c r="Y477" s="188" t="str">
        <f t="shared" si="153"/>
        <v>101-</v>
      </c>
      <c r="Z477" s="188">
        <f t="shared" si="154"/>
        <v>0</v>
      </c>
      <c r="AA477" s="188">
        <f t="shared" si="155"/>
        <v>0</v>
      </c>
      <c r="AB477" s="188">
        <f t="shared" si="156"/>
        <v>0</v>
      </c>
      <c r="AC477" s="188">
        <f t="shared" si="157"/>
        <v>0</v>
      </c>
      <c r="AD477" s="188">
        <f t="shared" si="158"/>
        <v>0</v>
      </c>
      <c r="AE477" s="183">
        <f t="shared" si="159"/>
        <v>0</v>
      </c>
    </row>
    <row r="478" spans="1:31" x14ac:dyDescent="0.25">
      <c r="A478" s="188"/>
      <c r="B478" s="188"/>
      <c r="C478" s="188"/>
      <c r="D478" s="188" t="str">
        <f t="shared" si="142"/>
        <v>101-</v>
      </c>
      <c r="E478" s="188">
        <v>0</v>
      </c>
      <c r="F478" s="188">
        <v>0</v>
      </c>
      <c r="G478" s="188">
        <v>0</v>
      </c>
      <c r="H478" s="188">
        <v>0</v>
      </c>
      <c r="I478" s="188">
        <v>0</v>
      </c>
      <c r="J478" s="183">
        <v>0</v>
      </c>
      <c r="L478" s="188">
        <f t="shared" si="143"/>
        <v>0</v>
      </c>
      <c r="M478" s="188">
        <f t="shared" si="144"/>
        <v>0</v>
      </c>
      <c r="N478" s="188">
        <f t="shared" si="140"/>
        <v>0</v>
      </c>
      <c r="O478" s="188" t="str">
        <f t="shared" si="145"/>
        <v>101-</v>
      </c>
      <c r="P478" s="188">
        <f t="shared" si="146"/>
        <v>0</v>
      </c>
      <c r="Q478" s="188">
        <f t="shared" si="147"/>
        <v>0</v>
      </c>
      <c r="R478" s="188">
        <f t="shared" si="148"/>
        <v>0</v>
      </c>
      <c r="S478" s="188">
        <f t="shared" si="149"/>
        <v>0</v>
      </c>
      <c r="T478" s="188">
        <f t="shared" si="150"/>
        <v>0</v>
      </c>
      <c r="V478" s="188">
        <f t="shared" si="151"/>
        <v>0</v>
      </c>
      <c r="W478" s="188">
        <f t="shared" si="152"/>
        <v>0</v>
      </c>
      <c r="X478" s="188">
        <f t="shared" si="141"/>
        <v>0</v>
      </c>
      <c r="Y478" s="188" t="str">
        <f t="shared" si="153"/>
        <v>101-</v>
      </c>
      <c r="Z478" s="188">
        <f t="shared" si="154"/>
        <v>0</v>
      </c>
      <c r="AA478" s="188">
        <f t="shared" si="155"/>
        <v>0</v>
      </c>
      <c r="AB478" s="188">
        <f t="shared" si="156"/>
        <v>0</v>
      </c>
      <c r="AC478" s="188">
        <f t="shared" si="157"/>
        <v>0</v>
      </c>
      <c r="AD478" s="188">
        <f t="shared" si="158"/>
        <v>0</v>
      </c>
      <c r="AE478" s="183">
        <f t="shared" si="159"/>
        <v>0</v>
      </c>
    </row>
    <row r="479" spans="1:31" x14ac:dyDescent="0.25">
      <c r="A479" s="188"/>
      <c r="B479" s="188"/>
      <c r="C479" s="188"/>
      <c r="D479" s="188" t="str">
        <f t="shared" si="142"/>
        <v>101-</v>
      </c>
      <c r="E479" s="188">
        <v>0</v>
      </c>
      <c r="F479" s="188">
        <v>0</v>
      </c>
      <c r="G479" s="188">
        <v>0</v>
      </c>
      <c r="H479" s="188">
        <v>0</v>
      </c>
      <c r="I479" s="188">
        <v>0</v>
      </c>
      <c r="J479" s="183">
        <v>0</v>
      </c>
      <c r="L479" s="188">
        <f t="shared" si="143"/>
        <v>0</v>
      </c>
      <c r="M479" s="188">
        <f t="shared" si="144"/>
        <v>0</v>
      </c>
      <c r="N479" s="188">
        <f t="shared" si="140"/>
        <v>0</v>
      </c>
      <c r="O479" s="188" t="str">
        <f t="shared" si="145"/>
        <v>101-</v>
      </c>
      <c r="P479" s="188">
        <f t="shared" si="146"/>
        <v>0</v>
      </c>
      <c r="Q479" s="188">
        <f t="shared" si="147"/>
        <v>0</v>
      </c>
      <c r="R479" s="188">
        <f t="shared" si="148"/>
        <v>0</v>
      </c>
      <c r="S479" s="188">
        <f t="shared" si="149"/>
        <v>0</v>
      </c>
      <c r="T479" s="188">
        <f t="shared" si="150"/>
        <v>0</v>
      </c>
      <c r="V479" s="188">
        <f t="shared" si="151"/>
        <v>0</v>
      </c>
      <c r="W479" s="188">
        <f t="shared" si="152"/>
        <v>0</v>
      </c>
      <c r="X479" s="188">
        <f t="shared" si="141"/>
        <v>0</v>
      </c>
      <c r="Y479" s="188" t="str">
        <f t="shared" si="153"/>
        <v>101-</v>
      </c>
      <c r="Z479" s="188">
        <f t="shared" si="154"/>
        <v>0</v>
      </c>
      <c r="AA479" s="188">
        <f t="shared" si="155"/>
        <v>0</v>
      </c>
      <c r="AB479" s="188">
        <f t="shared" si="156"/>
        <v>0</v>
      </c>
      <c r="AC479" s="188">
        <f t="shared" si="157"/>
        <v>0</v>
      </c>
      <c r="AD479" s="188">
        <f t="shared" si="158"/>
        <v>0</v>
      </c>
      <c r="AE479" s="183">
        <f t="shared" si="159"/>
        <v>0</v>
      </c>
    </row>
    <row r="480" spans="1:31" x14ac:dyDescent="0.25">
      <c r="A480" s="188"/>
      <c r="B480" s="188"/>
      <c r="C480" s="188"/>
      <c r="D480" s="188" t="str">
        <f t="shared" si="142"/>
        <v>101-</v>
      </c>
      <c r="E480" s="188">
        <v>0</v>
      </c>
      <c r="F480" s="188">
        <v>0</v>
      </c>
      <c r="G480" s="188">
        <v>0</v>
      </c>
      <c r="H480" s="188">
        <v>0</v>
      </c>
      <c r="I480" s="188">
        <v>0</v>
      </c>
      <c r="J480" s="183">
        <v>0</v>
      </c>
      <c r="L480" s="188">
        <f t="shared" si="143"/>
        <v>0</v>
      </c>
      <c r="M480" s="188">
        <f t="shared" si="144"/>
        <v>0</v>
      </c>
      <c r="N480" s="188">
        <f t="shared" si="140"/>
        <v>0</v>
      </c>
      <c r="O480" s="188" t="str">
        <f t="shared" si="145"/>
        <v>101-</v>
      </c>
      <c r="P480" s="188">
        <f t="shared" si="146"/>
        <v>0</v>
      </c>
      <c r="Q480" s="188">
        <f t="shared" si="147"/>
        <v>0</v>
      </c>
      <c r="R480" s="188">
        <f t="shared" si="148"/>
        <v>0</v>
      </c>
      <c r="S480" s="188">
        <f t="shared" si="149"/>
        <v>0</v>
      </c>
      <c r="T480" s="188">
        <f t="shared" si="150"/>
        <v>0</v>
      </c>
      <c r="V480" s="188">
        <f t="shared" si="151"/>
        <v>0</v>
      </c>
      <c r="W480" s="188">
        <f t="shared" si="152"/>
        <v>0</v>
      </c>
      <c r="X480" s="188">
        <f t="shared" si="141"/>
        <v>0</v>
      </c>
      <c r="Y480" s="188" t="str">
        <f t="shared" si="153"/>
        <v>101-</v>
      </c>
      <c r="Z480" s="188">
        <f t="shared" si="154"/>
        <v>0</v>
      </c>
      <c r="AA480" s="188">
        <f t="shared" si="155"/>
        <v>0</v>
      </c>
      <c r="AB480" s="188">
        <f t="shared" si="156"/>
        <v>0</v>
      </c>
      <c r="AC480" s="188">
        <f t="shared" si="157"/>
        <v>0</v>
      </c>
      <c r="AD480" s="188">
        <f t="shared" si="158"/>
        <v>0</v>
      </c>
      <c r="AE480" s="183">
        <f t="shared" si="159"/>
        <v>0</v>
      </c>
    </row>
    <row r="481" spans="1:31" x14ac:dyDescent="0.25">
      <c r="A481" s="188"/>
      <c r="B481" s="188"/>
      <c r="C481" s="188"/>
      <c r="D481" s="188" t="str">
        <f t="shared" si="142"/>
        <v>101-</v>
      </c>
      <c r="E481" s="188">
        <v>0</v>
      </c>
      <c r="F481" s="188">
        <v>0</v>
      </c>
      <c r="G481" s="188">
        <v>0</v>
      </c>
      <c r="H481" s="188">
        <v>0</v>
      </c>
      <c r="I481" s="188">
        <v>0</v>
      </c>
      <c r="J481" s="183">
        <v>0</v>
      </c>
      <c r="L481" s="188">
        <f t="shared" si="143"/>
        <v>0</v>
      </c>
      <c r="M481" s="188">
        <f t="shared" si="144"/>
        <v>0</v>
      </c>
      <c r="N481" s="188">
        <f t="shared" si="140"/>
        <v>0</v>
      </c>
      <c r="O481" s="188" t="str">
        <f t="shared" si="145"/>
        <v>101-</v>
      </c>
      <c r="P481" s="188">
        <f t="shared" si="146"/>
        <v>0</v>
      </c>
      <c r="Q481" s="188">
        <f t="shared" si="147"/>
        <v>0</v>
      </c>
      <c r="R481" s="188">
        <f t="shared" si="148"/>
        <v>0</v>
      </c>
      <c r="S481" s="188">
        <f t="shared" si="149"/>
        <v>0</v>
      </c>
      <c r="T481" s="188">
        <f t="shared" si="150"/>
        <v>0</v>
      </c>
      <c r="V481" s="188">
        <f t="shared" si="151"/>
        <v>0</v>
      </c>
      <c r="W481" s="188">
        <f t="shared" si="152"/>
        <v>0</v>
      </c>
      <c r="X481" s="188">
        <f t="shared" si="141"/>
        <v>0</v>
      </c>
      <c r="Y481" s="188" t="str">
        <f t="shared" si="153"/>
        <v>101-</v>
      </c>
      <c r="Z481" s="188">
        <f t="shared" si="154"/>
        <v>0</v>
      </c>
      <c r="AA481" s="188">
        <f t="shared" si="155"/>
        <v>0</v>
      </c>
      <c r="AB481" s="188">
        <f t="shared" si="156"/>
        <v>0</v>
      </c>
      <c r="AC481" s="188">
        <f t="shared" si="157"/>
        <v>0</v>
      </c>
      <c r="AD481" s="188">
        <f t="shared" si="158"/>
        <v>0</v>
      </c>
      <c r="AE481" s="183">
        <f t="shared" si="159"/>
        <v>0</v>
      </c>
    </row>
    <row r="482" spans="1:31" x14ac:dyDescent="0.25">
      <c r="A482" s="188"/>
      <c r="B482" s="188"/>
      <c r="C482" s="188"/>
      <c r="D482" s="188" t="str">
        <f t="shared" si="142"/>
        <v>101-</v>
      </c>
      <c r="E482" s="188">
        <v>0</v>
      </c>
      <c r="F482" s="188">
        <v>0</v>
      </c>
      <c r="G482" s="188">
        <v>0</v>
      </c>
      <c r="H482" s="188">
        <v>0</v>
      </c>
      <c r="I482" s="188">
        <v>0</v>
      </c>
      <c r="J482" s="183">
        <v>0</v>
      </c>
      <c r="L482" s="188">
        <f t="shared" si="143"/>
        <v>0</v>
      </c>
      <c r="M482" s="188">
        <f t="shared" si="144"/>
        <v>0</v>
      </c>
      <c r="N482" s="188">
        <f t="shared" si="140"/>
        <v>0</v>
      </c>
      <c r="O482" s="188" t="str">
        <f t="shared" si="145"/>
        <v>101-</v>
      </c>
      <c r="P482" s="188">
        <f t="shared" si="146"/>
        <v>0</v>
      </c>
      <c r="Q482" s="188">
        <f t="shared" si="147"/>
        <v>0</v>
      </c>
      <c r="R482" s="188">
        <f t="shared" si="148"/>
        <v>0</v>
      </c>
      <c r="S482" s="188">
        <f t="shared" si="149"/>
        <v>0</v>
      </c>
      <c r="T482" s="188">
        <f t="shared" si="150"/>
        <v>0</v>
      </c>
      <c r="V482" s="188">
        <f t="shared" si="151"/>
        <v>0</v>
      </c>
      <c r="W482" s="188">
        <f t="shared" si="152"/>
        <v>0</v>
      </c>
      <c r="X482" s="188">
        <f t="shared" si="141"/>
        <v>0</v>
      </c>
      <c r="Y482" s="188" t="str">
        <f t="shared" si="153"/>
        <v>101-</v>
      </c>
      <c r="Z482" s="188">
        <f t="shared" si="154"/>
        <v>0</v>
      </c>
      <c r="AA482" s="188">
        <f t="shared" si="155"/>
        <v>0</v>
      </c>
      <c r="AB482" s="188">
        <f t="shared" si="156"/>
        <v>0</v>
      </c>
      <c r="AC482" s="188">
        <f t="shared" si="157"/>
        <v>0</v>
      </c>
      <c r="AD482" s="188">
        <f t="shared" si="158"/>
        <v>0</v>
      </c>
      <c r="AE482" s="183">
        <f t="shared" si="159"/>
        <v>0</v>
      </c>
    </row>
    <row r="483" spans="1:31" x14ac:dyDescent="0.25">
      <c r="A483" s="188"/>
      <c r="B483" s="188"/>
      <c r="C483" s="188"/>
      <c r="D483" s="188" t="str">
        <f t="shared" si="142"/>
        <v>101-</v>
      </c>
      <c r="E483" s="188">
        <v>0</v>
      </c>
      <c r="F483" s="188">
        <v>0</v>
      </c>
      <c r="G483" s="188">
        <v>0</v>
      </c>
      <c r="H483" s="188">
        <v>0</v>
      </c>
      <c r="I483" s="188">
        <v>0</v>
      </c>
      <c r="J483" s="183">
        <v>0</v>
      </c>
      <c r="L483" s="188">
        <f t="shared" si="143"/>
        <v>0</v>
      </c>
      <c r="M483" s="188">
        <f t="shared" si="144"/>
        <v>0</v>
      </c>
      <c r="N483" s="188">
        <f t="shared" si="140"/>
        <v>0</v>
      </c>
      <c r="O483" s="188" t="str">
        <f t="shared" si="145"/>
        <v>101-</v>
      </c>
      <c r="P483" s="188">
        <f t="shared" si="146"/>
        <v>0</v>
      </c>
      <c r="Q483" s="188">
        <f t="shared" si="147"/>
        <v>0</v>
      </c>
      <c r="R483" s="188">
        <f t="shared" si="148"/>
        <v>0</v>
      </c>
      <c r="S483" s="188">
        <f t="shared" si="149"/>
        <v>0</v>
      </c>
      <c r="T483" s="188">
        <f t="shared" si="150"/>
        <v>0</v>
      </c>
      <c r="V483" s="188">
        <f t="shared" si="151"/>
        <v>0</v>
      </c>
      <c r="W483" s="188">
        <f t="shared" si="152"/>
        <v>0</v>
      </c>
      <c r="X483" s="188">
        <f t="shared" si="141"/>
        <v>0</v>
      </c>
      <c r="Y483" s="188" t="str">
        <f t="shared" si="153"/>
        <v>101-</v>
      </c>
      <c r="Z483" s="188">
        <f t="shared" si="154"/>
        <v>0</v>
      </c>
      <c r="AA483" s="188">
        <f t="shared" si="155"/>
        <v>0</v>
      </c>
      <c r="AB483" s="188">
        <f t="shared" si="156"/>
        <v>0</v>
      </c>
      <c r="AC483" s="188">
        <f t="shared" si="157"/>
        <v>0</v>
      </c>
      <c r="AD483" s="188">
        <f t="shared" si="158"/>
        <v>0</v>
      </c>
      <c r="AE483" s="183">
        <f t="shared" si="159"/>
        <v>0</v>
      </c>
    </row>
    <row r="484" spans="1:31" x14ac:dyDescent="0.25">
      <c r="A484" s="188"/>
      <c r="B484" s="188"/>
      <c r="C484" s="188"/>
      <c r="D484" s="188" t="str">
        <f t="shared" si="142"/>
        <v>101-</v>
      </c>
      <c r="E484" s="188">
        <v>0</v>
      </c>
      <c r="F484" s="188">
        <v>0</v>
      </c>
      <c r="G484" s="188">
        <v>0</v>
      </c>
      <c r="H484" s="188">
        <v>0</v>
      </c>
      <c r="I484" s="188">
        <v>0</v>
      </c>
      <c r="J484" s="183">
        <v>0</v>
      </c>
      <c r="L484" s="188">
        <f t="shared" si="143"/>
        <v>0</v>
      </c>
      <c r="M484" s="188">
        <f t="shared" si="144"/>
        <v>0</v>
      </c>
      <c r="N484" s="188">
        <f t="shared" si="140"/>
        <v>0</v>
      </c>
      <c r="O484" s="188" t="str">
        <f t="shared" si="145"/>
        <v>101-</v>
      </c>
      <c r="P484" s="188">
        <f t="shared" si="146"/>
        <v>0</v>
      </c>
      <c r="Q484" s="188">
        <f t="shared" si="147"/>
        <v>0</v>
      </c>
      <c r="R484" s="188">
        <f t="shared" si="148"/>
        <v>0</v>
      </c>
      <c r="S484" s="188">
        <f t="shared" si="149"/>
        <v>0</v>
      </c>
      <c r="T484" s="188">
        <f t="shared" si="150"/>
        <v>0</v>
      </c>
      <c r="V484" s="188">
        <f t="shared" si="151"/>
        <v>0</v>
      </c>
      <c r="W484" s="188">
        <f t="shared" si="152"/>
        <v>0</v>
      </c>
      <c r="X484" s="188">
        <f t="shared" si="141"/>
        <v>0</v>
      </c>
      <c r="Y484" s="188" t="str">
        <f t="shared" si="153"/>
        <v>101-</v>
      </c>
      <c r="Z484" s="188">
        <f t="shared" si="154"/>
        <v>0</v>
      </c>
      <c r="AA484" s="188">
        <f t="shared" si="155"/>
        <v>0</v>
      </c>
      <c r="AB484" s="188">
        <f t="shared" si="156"/>
        <v>0</v>
      </c>
      <c r="AC484" s="188">
        <f t="shared" si="157"/>
        <v>0</v>
      </c>
      <c r="AD484" s="188">
        <f t="shared" si="158"/>
        <v>0</v>
      </c>
      <c r="AE484" s="183">
        <f t="shared" si="159"/>
        <v>0</v>
      </c>
    </row>
    <row r="485" spans="1:31" x14ac:dyDescent="0.25">
      <c r="A485" s="188"/>
      <c r="B485" s="188"/>
      <c r="C485" s="188"/>
      <c r="D485" s="188" t="str">
        <f t="shared" si="142"/>
        <v>101-</v>
      </c>
      <c r="E485" s="188">
        <v>0</v>
      </c>
      <c r="F485" s="188">
        <v>0</v>
      </c>
      <c r="G485" s="188">
        <v>0</v>
      </c>
      <c r="H485" s="188">
        <v>0</v>
      </c>
      <c r="I485" s="188">
        <v>0</v>
      </c>
      <c r="J485" s="183">
        <v>0</v>
      </c>
      <c r="L485" s="188">
        <f t="shared" si="143"/>
        <v>0</v>
      </c>
      <c r="M485" s="188">
        <f t="shared" si="144"/>
        <v>0</v>
      </c>
      <c r="N485" s="188">
        <f t="shared" si="140"/>
        <v>0</v>
      </c>
      <c r="O485" s="188" t="str">
        <f t="shared" si="145"/>
        <v>101-</v>
      </c>
      <c r="P485" s="188">
        <f t="shared" si="146"/>
        <v>0</v>
      </c>
      <c r="Q485" s="188">
        <f t="shared" si="147"/>
        <v>0</v>
      </c>
      <c r="R485" s="188">
        <f t="shared" si="148"/>
        <v>0</v>
      </c>
      <c r="S485" s="188">
        <f t="shared" si="149"/>
        <v>0</v>
      </c>
      <c r="T485" s="188">
        <f t="shared" si="150"/>
        <v>0</v>
      </c>
      <c r="V485" s="188">
        <f t="shared" si="151"/>
        <v>0</v>
      </c>
      <c r="W485" s="188">
        <f t="shared" si="152"/>
        <v>0</v>
      </c>
      <c r="X485" s="188">
        <f t="shared" si="141"/>
        <v>0</v>
      </c>
      <c r="Y485" s="188" t="str">
        <f t="shared" si="153"/>
        <v>101-</v>
      </c>
      <c r="Z485" s="188">
        <f t="shared" si="154"/>
        <v>0</v>
      </c>
      <c r="AA485" s="188">
        <f t="shared" si="155"/>
        <v>0</v>
      </c>
      <c r="AB485" s="188">
        <f t="shared" si="156"/>
        <v>0</v>
      </c>
      <c r="AC485" s="188">
        <f t="shared" si="157"/>
        <v>0</v>
      </c>
      <c r="AD485" s="188">
        <f t="shared" si="158"/>
        <v>0</v>
      </c>
      <c r="AE485" s="183">
        <f t="shared" si="159"/>
        <v>0</v>
      </c>
    </row>
    <row r="486" spans="1:31" x14ac:dyDescent="0.25">
      <c r="A486" s="188"/>
      <c r="B486" s="188"/>
      <c r="C486" s="188"/>
      <c r="D486" s="188" t="str">
        <f t="shared" si="142"/>
        <v>101-</v>
      </c>
      <c r="E486" s="188">
        <v>0</v>
      </c>
      <c r="F486" s="188">
        <v>0</v>
      </c>
      <c r="G486" s="188">
        <v>0</v>
      </c>
      <c r="H486" s="188">
        <v>0</v>
      </c>
      <c r="I486" s="188">
        <v>0</v>
      </c>
      <c r="J486" s="183">
        <v>0</v>
      </c>
      <c r="L486" s="188">
        <f t="shared" si="143"/>
        <v>0</v>
      </c>
      <c r="M486" s="188">
        <f t="shared" si="144"/>
        <v>0</v>
      </c>
      <c r="N486" s="188">
        <f t="shared" si="140"/>
        <v>0</v>
      </c>
      <c r="O486" s="188" t="str">
        <f t="shared" si="145"/>
        <v>101-</v>
      </c>
      <c r="P486" s="188">
        <f t="shared" si="146"/>
        <v>0</v>
      </c>
      <c r="Q486" s="188">
        <f t="shared" si="147"/>
        <v>0</v>
      </c>
      <c r="R486" s="188">
        <f t="shared" si="148"/>
        <v>0</v>
      </c>
      <c r="S486" s="188">
        <f t="shared" si="149"/>
        <v>0</v>
      </c>
      <c r="T486" s="188">
        <f t="shared" si="150"/>
        <v>0</v>
      </c>
      <c r="V486" s="188">
        <f t="shared" si="151"/>
        <v>0</v>
      </c>
      <c r="W486" s="188">
        <f t="shared" si="152"/>
        <v>0</v>
      </c>
      <c r="X486" s="188">
        <f t="shared" si="141"/>
        <v>0</v>
      </c>
      <c r="Y486" s="188" t="str">
        <f t="shared" si="153"/>
        <v>101-</v>
      </c>
      <c r="Z486" s="188">
        <f t="shared" si="154"/>
        <v>0</v>
      </c>
      <c r="AA486" s="188">
        <f t="shared" si="155"/>
        <v>0</v>
      </c>
      <c r="AB486" s="188">
        <f t="shared" si="156"/>
        <v>0</v>
      </c>
      <c r="AC486" s="188">
        <f t="shared" si="157"/>
        <v>0</v>
      </c>
      <c r="AD486" s="188">
        <f t="shared" si="158"/>
        <v>0</v>
      </c>
      <c r="AE486" s="183">
        <f t="shared" si="159"/>
        <v>0</v>
      </c>
    </row>
    <row r="487" spans="1:31" x14ac:dyDescent="0.25">
      <c r="A487" s="188"/>
      <c r="B487" s="188"/>
      <c r="C487" s="188"/>
      <c r="D487" s="188" t="str">
        <f t="shared" si="142"/>
        <v>101-</v>
      </c>
      <c r="E487" s="188">
        <v>0</v>
      </c>
      <c r="F487" s="188">
        <v>0</v>
      </c>
      <c r="G487" s="188">
        <v>0</v>
      </c>
      <c r="H487" s="188">
        <v>0</v>
      </c>
      <c r="I487" s="188">
        <v>0</v>
      </c>
      <c r="J487" s="183">
        <v>0</v>
      </c>
      <c r="L487" s="188">
        <f t="shared" si="143"/>
        <v>0</v>
      </c>
      <c r="M487" s="188">
        <f t="shared" si="144"/>
        <v>0</v>
      </c>
      <c r="N487" s="188">
        <f t="shared" si="140"/>
        <v>0</v>
      </c>
      <c r="O487" s="188" t="str">
        <f t="shared" si="145"/>
        <v>101-</v>
      </c>
      <c r="P487" s="188">
        <f t="shared" si="146"/>
        <v>0</v>
      </c>
      <c r="Q487" s="188">
        <f t="shared" si="147"/>
        <v>0</v>
      </c>
      <c r="R487" s="188">
        <f t="shared" si="148"/>
        <v>0</v>
      </c>
      <c r="S487" s="188">
        <f t="shared" si="149"/>
        <v>0</v>
      </c>
      <c r="T487" s="188">
        <f t="shared" si="150"/>
        <v>0</v>
      </c>
      <c r="V487" s="188">
        <f t="shared" si="151"/>
        <v>0</v>
      </c>
      <c r="W487" s="188">
        <f t="shared" si="152"/>
        <v>0</v>
      </c>
      <c r="X487" s="188">
        <f t="shared" si="141"/>
        <v>0</v>
      </c>
      <c r="Y487" s="188" t="str">
        <f t="shared" si="153"/>
        <v>101-</v>
      </c>
      <c r="Z487" s="188">
        <f t="shared" si="154"/>
        <v>0</v>
      </c>
      <c r="AA487" s="188">
        <f t="shared" si="155"/>
        <v>0</v>
      </c>
      <c r="AB487" s="188">
        <f t="shared" si="156"/>
        <v>0</v>
      </c>
      <c r="AC487" s="188">
        <f t="shared" si="157"/>
        <v>0</v>
      </c>
      <c r="AD487" s="188">
        <f t="shared" si="158"/>
        <v>0</v>
      </c>
      <c r="AE487" s="183">
        <f t="shared" si="159"/>
        <v>0</v>
      </c>
    </row>
    <row r="488" spans="1:31" x14ac:dyDescent="0.25">
      <c r="A488" s="188"/>
      <c r="B488" s="188"/>
      <c r="C488" s="188"/>
      <c r="D488" s="188" t="str">
        <f t="shared" si="142"/>
        <v>101-</v>
      </c>
      <c r="E488" s="188">
        <v>0</v>
      </c>
      <c r="F488" s="188">
        <v>0</v>
      </c>
      <c r="G488" s="188">
        <v>0</v>
      </c>
      <c r="H488" s="188">
        <v>0</v>
      </c>
      <c r="I488" s="188">
        <v>0</v>
      </c>
      <c r="J488" s="183">
        <v>0</v>
      </c>
      <c r="L488" s="188">
        <f t="shared" si="143"/>
        <v>0</v>
      </c>
      <c r="M488" s="188">
        <f t="shared" si="144"/>
        <v>0</v>
      </c>
      <c r="N488" s="188">
        <f t="shared" si="140"/>
        <v>0</v>
      </c>
      <c r="O488" s="188" t="str">
        <f t="shared" si="145"/>
        <v>101-</v>
      </c>
      <c r="P488" s="188">
        <f t="shared" si="146"/>
        <v>0</v>
      </c>
      <c r="Q488" s="188">
        <f t="shared" si="147"/>
        <v>0</v>
      </c>
      <c r="R488" s="188">
        <f t="shared" si="148"/>
        <v>0</v>
      </c>
      <c r="S488" s="188">
        <f t="shared" si="149"/>
        <v>0</v>
      </c>
      <c r="T488" s="188">
        <f t="shared" si="150"/>
        <v>0</v>
      </c>
      <c r="V488" s="188">
        <f t="shared" si="151"/>
        <v>0</v>
      </c>
      <c r="W488" s="188">
        <f t="shared" si="152"/>
        <v>0</v>
      </c>
      <c r="X488" s="188">
        <f t="shared" si="141"/>
        <v>0</v>
      </c>
      <c r="Y488" s="188" t="str">
        <f t="shared" si="153"/>
        <v>101-</v>
      </c>
      <c r="Z488" s="188">
        <f t="shared" si="154"/>
        <v>0</v>
      </c>
      <c r="AA488" s="188">
        <f t="shared" si="155"/>
        <v>0</v>
      </c>
      <c r="AB488" s="188">
        <f t="shared" si="156"/>
        <v>0</v>
      </c>
      <c r="AC488" s="188">
        <f t="shared" si="157"/>
        <v>0</v>
      </c>
      <c r="AD488" s="188">
        <f t="shared" si="158"/>
        <v>0</v>
      </c>
      <c r="AE488" s="183">
        <f t="shared" si="159"/>
        <v>0</v>
      </c>
    </row>
    <row r="489" spans="1:31" x14ac:dyDescent="0.25">
      <c r="A489" s="188"/>
      <c r="B489" s="188"/>
      <c r="C489" s="188"/>
      <c r="D489" s="188" t="str">
        <f t="shared" si="142"/>
        <v>101-</v>
      </c>
      <c r="E489" s="188">
        <v>0</v>
      </c>
      <c r="F489" s="188">
        <v>0</v>
      </c>
      <c r="G489" s="188">
        <v>0</v>
      </c>
      <c r="H489" s="188">
        <v>0</v>
      </c>
      <c r="I489" s="188">
        <v>0</v>
      </c>
      <c r="J489" s="183">
        <v>0</v>
      </c>
      <c r="L489" s="188">
        <f t="shared" si="143"/>
        <v>0</v>
      </c>
      <c r="M489" s="188">
        <f t="shared" si="144"/>
        <v>0</v>
      </c>
      <c r="N489" s="188">
        <f t="shared" si="140"/>
        <v>0</v>
      </c>
      <c r="O489" s="188" t="str">
        <f t="shared" si="145"/>
        <v>101-</v>
      </c>
      <c r="P489" s="188">
        <f t="shared" si="146"/>
        <v>0</v>
      </c>
      <c r="Q489" s="188">
        <f t="shared" si="147"/>
        <v>0</v>
      </c>
      <c r="R489" s="188">
        <f t="shared" si="148"/>
        <v>0</v>
      </c>
      <c r="S489" s="188">
        <f t="shared" si="149"/>
        <v>0</v>
      </c>
      <c r="T489" s="188">
        <f t="shared" si="150"/>
        <v>0</v>
      </c>
      <c r="V489" s="188">
        <f t="shared" si="151"/>
        <v>0</v>
      </c>
      <c r="W489" s="188">
        <f t="shared" si="152"/>
        <v>0</v>
      </c>
      <c r="X489" s="188">
        <f t="shared" si="141"/>
        <v>0</v>
      </c>
      <c r="Y489" s="188" t="str">
        <f t="shared" si="153"/>
        <v>101-</v>
      </c>
      <c r="Z489" s="188">
        <f t="shared" si="154"/>
        <v>0</v>
      </c>
      <c r="AA489" s="188">
        <f t="shared" si="155"/>
        <v>0</v>
      </c>
      <c r="AB489" s="188">
        <f t="shared" si="156"/>
        <v>0</v>
      </c>
      <c r="AC489" s="188">
        <f t="shared" si="157"/>
        <v>0</v>
      </c>
      <c r="AD489" s="188">
        <f t="shared" si="158"/>
        <v>0</v>
      </c>
      <c r="AE489" s="183">
        <f t="shared" si="159"/>
        <v>0</v>
      </c>
    </row>
    <row r="490" spans="1:31" x14ac:dyDescent="0.25">
      <c r="A490" s="188"/>
      <c r="B490" s="188"/>
      <c r="C490" s="188"/>
      <c r="D490" s="188" t="str">
        <f t="shared" si="142"/>
        <v>101-</v>
      </c>
      <c r="E490" s="188">
        <v>0</v>
      </c>
      <c r="F490" s="188">
        <v>0</v>
      </c>
      <c r="G490" s="188">
        <v>0</v>
      </c>
      <c r="H490" s="188">
        <v>0</v>
      </c>
      <c r="I490" s="188">
        <v>0</v>
      </c>
      <c r="J490" s="183">
        <v>0</v>
      </c>
      <c r="L490" s="188">
        <f t="shared" si="143"/>
        <v>0</v>
      </c>
      <c r="M490" s="188">
        <f t="shared" si="144"/>
        <v>0</v>
      </c>
      <c r="N490" s="188">
        <f t="shared" si="140"/>
        <v>0</v>
      </c>
      <c r="O490" s="188" t="str">
        <f t="shared" si="145"/>
        <v>101-</v>
      </c>
      <c r="P490" s="188">
        <f t="shared" si="146"/>
        <v>0</v>
      </c>
      <c r="Q490" s="188">
        <f t="shared" si="147"/>
        <v>0</v>
      </c>
      <c r="R490" s="188">
        <f t="shared" si="148"/>
        <v>0</v>
      </c>
      <c r="S490" s="188">
        <f t="shared" si="149"/>
        <v>0</v>
      </c>
      <c r="T490" s="188">
        <f t="shared" si="150"/>
        <v>0</v>
      </c>
      <c r="V490" s="188">
        <f t="shared" si="151"/>
        <v>0</v>
      </c>
      <c r="W490" s="188">
        <f t="shared" si="152"/>
        <v>0</v>
      </c>
      <c r="X490" s="188">
        <f t="shared" si="141"/>
        <v>0</v>
      </c>
      <c r="Y490" s="188" t="str">
        <f t="shared" si="153"/>
        <v>101-</v>
      </c>
      <c r="Z490" s="188">
        <f t="shared" si="154"/>
        <v>0</v>
      </c>
      <c r="AA490" s="188">
        <f t="shared" si="155"/>
        <v>0</v>
      </c>
      <c r="AB490" s="188">
        <f t="shared" si="156"/>
        <v>0</v>
      </c>
      <c r="AC490" s="188">
        <f t="shared" si="157"/>
        <v>0</v>
      </c>
      <c r="AD490" s="188">
        <f t="shared" si="158"/>
        <v>0</v>
      </c>
      <c r="AE490" s="183">
        <f t="shared" si="159"/>
        <v>0</v>
      </c>
    </row>
    <row r="491" spans="1:31" x14ac:dyDescent="0.25">
      <c r="A491" s="188"/>
      <c r="B491" s="188"/>
      <c r="C491" s="188"/>
      <c r="D491" s="188" t="str">
        <f t="shared" si="142"/>
        <v>101-</v>
      </c>
      <c r="E491" s="188">
        <v>0</v>
      </c>
      <c r="F491" s="188">
        <v>0</v>
      </c>
      <c r="G491" s="188">
        <v>0</v>
      </c>
      <c r="H491" s="188">
        <v>0</v>
      </c>
      <c r="I491" s="188">
        <v>0</v>
      </c>
      <c r="J491" s="183">
        <v>0</v>
      </c>
      <c r="L491" s="188">
        <f t="shared" si="143"/>
        <v>0</v>
      </c>
      <c r="M491" s="188">
        <f t="shared" si="144"/>
        <v>0</v>
      </c>
      <c r="N491" s="188">
        <f t="shared" si="140"/>
        <v>0</v>
      </c>
      <c r="O491" s="188" t="str">
        <f t="shared" si="145"/>
        <v>101-</v>
      </c>
      <c r="P491" s="188">
        <f t="shared" si="146"/>
        <v>0</v>
      </c>
      <c r="Q491" s="188">
        <f t="shared" si="147"/>
        <v>0</v>
      </c>
      <c r="R491" s="188">
        <f t="shared" si="148"/>
        <v>0</v>
      </c>
      <c r="S491" s="188">
        <f t="shared" si="149"/>
        <v>0</v>
      </c>
      <c r="T491" s="188">
        <f t="shared" si="150"/>
        <v>0</v>
      </c>
      <c r="V491" s="188">
        <f t="shared" si="151"/>
        <v>0</v>
      </c>
      <c r="W491" s="188">
        <f t="shared" si="152"/>
        <v>0</v>
      </c>
      <c r="X491" s="188">
        <f t="shared" si="141"/>
        <v>0</v>
      </c>
      <c r="Y491" s="188" t="str">
        <f t="shared" si="153"/>
        <v>101-</v>
      </c>
      <c r="Z491" s="188">
        <f t="shared" si="154"/>
        <v>0</v>
      </c>
      <c r="AA491" s="188">
        <f t="shared" si="155"/>
        <v>0</v>
      </c>
      <c r="AB491" s="188">
        <f t="shared" si="156"/>
        <v>0</v>
      </c>
      <c r="AC491" s="188">
        <f t="shared" si="157"/>
        <v>0</v>
      </c>
      <c r="AD491" s="188">
        <f t="shared" si="158"/>
        <v>0</v>
      </c>
      <c r="AE491" s="183">
        <f t="shared" si="159"/>
        <v>0</v>
      </c>
    </row>
    <row r="492" spans="1:31" x14ac:dyDescent="0.25">
      <c r="A492" s="188"/>
      <c r="B492" s="188"/>
      <c r="C492" s="188"/>
      <c r="D492" s="188" t="str">
        <f t="shared" si="142"/>
        <v>101-</v>
      </c>
      <c r="E492" s="188">
        <v>0</v>
      </c>
      <c r="F492" s="188">
        <v>0</v>
      </c>
      <c r="G492" s="188">
        <v>0</v>
      </c>
      <c r="H492" s="188">
        <v>0</v>
      </c>
      <c r="I492" s="188">
        <v>0</v>
      </c>
      <c r="J492" s="183">
        <v>0</v>
      </c>
      <c r="L492" s="188">
        <f t="shared" si="143"/>
        <v>0</v>
      </c>
      <c r="M492" s="188">
        <f t="shared" si="144"/>
        <v>0</v>
      </c>
      <c r="N492" s="188">
        <f t="shared" si="140"/>
        <v>0</v>
      </c>
      <c r="O492" s="188" t="str">
        <f t="shared" si="145"/>
        <v>101-</v>
      </c>
      <c r="P492" s="188">
        <f t="shared" si="146"/>
        <v>0</v>
      </c>
      <c r="Q492" s="188">
        <f t="shared" si="147"/>
        <v>0</v>
      </c>
      <c r="R492" s="188">
        <f t="shared" si="148"/>
        <v>0</v>
      </c>
      <c r="S492" s="188">
        <f t="shared" si="149"/>
        <v>0</v>
      </c>
      <c r="T492" s="188">
        <f t="shared" si="150"/>
        <v>0</v>
      </c>
      <c r="V492" s="188">
        <f t="shared" si="151"/>
        <v>0</v>
      </c>
      <c r="W492" s="188">
        <f t="shared" si="152"/>
        <v>0</v>
      </c>
      <c r="X492" s="188">
        <f t="shared" si="141"/>
        <v>0</v>
      </c>
      <c r="Y492" s="188" t="str">
        <f t="shared" si="153"/>
        <v>101-</v>
      </c>
      <c r="Z492" s="188">
        <f t="shared" si="154"/>
        <v>0</v>
      </c>
      <c r="AA492" s="188">
        <f t="shared" si="155"/>
        <v>0</v>
      </c>
      <c r="AB492" s="188">
        <f t="shared" si="156"/>
        <v>0</v>
      </c>
      <c r="AC492" s="188">
        <f t="shared" si="157"/>
        <v>0</v>
      </c>
      <c r="AD492" s="188">
        <f t="shared" si="158"/>
        <v>0</v>
      </c>
      <c r="AE492" s="183">
        <f t="shared" si="159"/>
        <v>0</v>
      </c>
    </row>
    <row r="493" spans="1:31" x14ac:dyDescent="0.25">
      <c r="A493" s="188"/>
      <c r="B493" s="188"/>
      <c r="C493" s="188"/>
      <c r="D493" s="188" t="str">
        <f t="shared" si="142"/>
        <v>101-</v>
      </c>
      <c r="E493" s="188">
        <v>0</v>
      </c>
      <c r="F493" s="188">
        <v>0</v>
      </c>
      <c r="G493" s="188">
        <v>0</v>
      </c>
      <c r="H493" s="188">
        <v>0</v>
      </c>
      <c r="I493" s="188">
        <v>0</v>
      </c>
      <c r="J493" s="183">
        <v>0</v>
      </c>
      <c r="L493" s="188">
        <f t="shared" si="143"/>
        <v>0</v>
      </c>
      <c r="M493" s="188">
        <f t="shared" si="144"/>
        <v>0</v>
      </c>
      <c r="N493" s="188">
        <f t="shared" si="140"/>
        <v>0</v>
      </c>
      <c r="O493" s="188" t="str">
        <f t="shared" si="145"/>
        <v>101-</v>
      </c>
      <c r="P493" s="188">
        <f t="shared" si="146"/>
        <v>0</v>
      </c>
      <c r="Q493" s="188">
        <f t="shared" si="147"/>
        <v>0</v>
      </c>
      <c r="R493" s="188">
        <f t="shared" si="148"/>
        <v>0</v>
      </c>
      <c r="S493" s="188">
        <f t="shared" si="149"/>
        <v>0</v>
      </c>
      <c r="T493" s="188">
        <f t="shared" si="150"/>
        <v>0</v>
      </c>
      <c r="V493" s="188">
        <f t="shared" si="151"/>
        <v>0</v>
      </c>
      <c r="W493" s="188">
        <f t="shared" si="152"/>
        <v>0</v>
      </c>
      <c r="X493" s="188">
        <f t="shared" si="141"/>
        <v>0</v>
      </c>
      <c r="Y493" s="188" t="str">
        <f t="shared" si="153"/>
        <v>101-</v>
      </c>
      <c r="Z493" s="188">
        <f t="shared" si="154"/>
        <v>0</v>
      </c>
      <c r="AA493" s="188">
        <f t="shared" si="155"/>
        <v>0</v>
      </c>
      <c r="AB493" s="188">
        <f t="shared" si="156"/>
        <v>0</v>
      </c>
      <c r="AC493" s="188">
        <f t="shared" si="157"/>
        <v>0</v>
      </c>
      <c r="AD493" s="188">
        <f t="shared" si="158"/>
        <v>0</v>
      </c>
      <c r="AE493" s="183">
        <f t="shared" si="159"/>
        <v>0</v>
      </c>
    </row>
    <row r="494" spans="1:31" x14ac:dyDescent="0.25">
      <c r="A494" s="188"/>
      <c r="B494" s="188"/>
      <c r="C494" s="188"/>
      <c r="D494" s="188" t="str">
        <f t="shared" si="142"/>
        <v>101-</v>
      </c>
      <c r="E494" s="188">
        <v>0</v>
      </c>
      <c r="F494" s="188">
        <v>0</v>
      </c>
      <c r="G494" s="188">
        <v>0</v>
      </c>
      <c r="H494" s="188">
        <v>0</v>
      </c>
      <c r="I494" s="188">
        <v>0</v>
      </c>
      <c r="J494" s="183">
        <v>0</v>
      </c>
      <c r="L494" s="188">
        <f t="shared" si="143"/>
        <v>0</v>
      </c>
      <c r="M494" s="188">
        <f t="shared" si="144"/>
        <v>0</v>
      </c>
      <c r="N494" s="188">
        <f t="shared" si="140"/>
        <v>0</v>
      </c>
      <c r="O494" s="188" t="str">
        <f t="shared" si="145"/>
        <v>101-</v>
      </c>
      <c r="P494" s="188">
        <f t="shared" si="146"/>
        <v>0</v>
      </c>
      <c r="Q494" s="188">
        <f t="shared" si="147"/>
        <v>0</v>
      </c>
      <c r="R494" s="188">
        <f t="shared" si="148"/>
        <v>0</v>
      </c>
      <c r="S494" s="188">
        <f t="shared" si="149"/>
        <v>0</v>
      </c>
      <c r="T494" s="188">
        <f t="shared" si="150"/>
        <v>0</v>
      </c>
      <c r="V494" s="188">
        <f t="shared" si="151"/>
        <v>0</v>
      </c>
      <c r="W494" s="188">
        <f t="shared" si="152"/>
        <v>0</v>
      </c>
      <c r="X494" s="188">
        <f t="shared" si="141"/>
        <v>0</v>
      </c>
      <c r="Y494" s="188" t="str">
        <f t="shared" si="153"/>
        <v>101-</v>
      </c>
      <c r="Z494" s="188">
        <f t="shared" si="154"/>
        <v>0</v>
      </c>
      <c r="AA494" s="188">
        <f t="shared" si="155"/>
        <v>0</v>
      </c>
      <c r="AB494" s="188">
        <f t="shared" si="156"/>
        <v>0</v>
      </c>
      <c r="AC494" s="188">
        <f t="shared" si="157"/>
        <v>0</v>
      </c>
      <c r="AD494" s="188">
        <f t="shared" si="158"/>
        <v>0</v>
      </c>
      <c r="AE494" s="183">
        <f t="shared" si="159"/>
        <v>0</v>
      </c>
    </row>
    <row r="495" spans="1:31" x14ac:dyDescent="0.25">
      <c r="A495" s="188"/>
      <c r="B495" s="188"/>
      <c r="C495" s="188"/>
      <c r="D495" s="188" t="str">
        <f t="shared" si="142"/>
        <v>101-</v>
      </c>
      <c r="E495" s="188">
        <v>0</v>
      </c>
      <c r="F495" s="188">
        <v>0</v>
      </c>
      <c r="G495" s="188">
        <v>0</v>
      </c>
      <c r="H495" s="188">
        <v>0</v>
      </c>
      <c r="I495" s="188">
        <v>0</v>
      </c>
      <c r="J495" s="183">
        <v>0</v>
      </c>
      <c r="L495" s="188">
        <f t="shared" si="143"/>
        <v>0</v>
      </c>
      <c r="M495" s="188">
        <f t="shared" si="144"/>
        <v>0</v>
      </c>
      <c r="N495" s="188">
        <f t="shared" si="140"/>
        <v>0</v>
      </c>
      <c r="O495" s="188" t="str">
        <f t="shared" si="145"/>
        <v>101-</v>
      </c>
      <c r="P495" s="188">
        <f t="shared" si="146"/>
        <v>0</v>
      </c>
      <c r="Q495" s="188">
        <f t="shared" si="147"/>
        <v>0</v>
      </c>
      <c r="R495" s="188">
        <f t="shared" si="148"/>
        <v>0</v>
      </c>
      <c r="S495" s="188">
        <f t="shared" si="149"/>
        <v>0</v>
      </c>
      <c r="T495" s="188">
        <f t="shared" si="150"/>
        <v>0</v>
      </c>
      <c r="V495" s="188">
        <f t="shared" si="151"/>
        <v>0</v>
      </c>
      <c r="W495" s="188">
        <f t="shared" si="152"/>
        <v>0</v>
      </c>
      <c r="X495" s="188">
        <f t="shared" si="141"/>
        <v>0</v>
      </c>
      <c r="Y495" s="188" t="str">
        <f t="shared" si="153"/>
        <v>101-</v>
      </c>
      <c r="Z495" s="188">
        <f t="shared" si="154"/>
        <v>0</v>
      </c>
      <c r="AA495" s="188">
        <f t="shared" si="155"/>
        <v>0</v>
      </c>
      <c r="AB495" s="188">
        <f t="shared" si="156"/>
        <v>0</v>
      </c>
      <c r="AC495" s="188">
        <f t="shared" si="157"/>
        <v>0</v>
      </c>
      <c r="AD495" s="188">
        <f t="shared" si="158"/>
        <v>0</v>
      </c>
      <c r="AE495" s="183">
        <f t="shared" si="159"/>
        <v>0</v>
      </c>
    </row>
    <row r="496" spans="1:31" x14ac:dyDescent="0.25">
      <c r="A496" s="188"/>
      <c r="B496" s="188"/>
      <c r="C496" s="188"/>
      <c r="D496" s="188" t="str">
        <f t="shared" si="142"/>
        <v>101-</v>
      </c>
      <c r="E496" s="188">
        <v>0</v>
      </c>
      <c r="F496" s="188">
        <v>0</v>
      </c>
      <c r="G496" s="188">
        <v>0</v>
      </c>
      <c r="H496" s="188">
        <v>0</v>
      </c>
      <c r="I496" s="188">
        <v>0</v>
      </c>
      <c r="J496" s="183">
        <v>0</v>
      </c>
      <c r="L496" s="188">
        <f t="shared" si="143"/>
        <v>0</v>
      </c>
      <c r="M496" s="188">
        <f t="shared" si="144"/>
        <v>0</v>
      </c>
      <c r="N496" s="188">
        <f t="shared" si="140"/>
        <v>0</v>
      </c>
      <c r="O496" s="188" t="str">
        <f t="shared" si="145"/>
        <v>101-</v>
      </c>
      <c r="P496" s="188">
        <f t="shared" si="146"/>
        <v>0</v>
      </c>
      <c r="Q496" s="188">
        <f t="shared" si="147"/>
        <v>0</v>
      </c>
      <c r="R496" s="188">
        <f t="shared" si="148"/>
        <v>0</v>
      </c>
      <c r="S496" s="188">
        <f t="shared" si="149"/>
        <v>0</v>
      </c>
      <c r="T496" s="188">
        <f t="shared" si="150"/>
        <v>0</v>
      </c>
      <c r="V496" s="188">
        <f t="shared" si="151"/>
        <v>0</v>
      </c>
      <c r="W496" s="188">
        <f t="shared" si="152"/>
        <v>0</v>
      </c>
      <c r="X496" s="188">
        <f t="shared" si="141"/>
        <v>0</v>
      </c>
      <c r="Y496" s="188" t="str">
        <f t="shared" si="153"/>
        <v>101-</v>
      </c>
      <c r="Z496" s="188">
        <f t="shared" si="154"/>
        <v>0</v>
      </c>
      <c r="AA496" s="188">
        <f t="shared" si="155"/>
        <v>0</v>
      </c>
      <c r="AB496" s="188">
        <f t="shared" si="156"/>
        <v>0</v>
      </c>
      <c r="AC496" s="188">
        <f t="shared" si="157"/>
        <v>0</v>
      </c>
      <c r="AD496" s="188">
        <f t="shared" si="158"/>
        <v>0</v>
      </c>
      <c r="AE496" s="183">
        <f t="shared" si="159"/>
        <v>0</v>
      </c>
    </row>
    <row r="497" spans="1:31" x14ac:dyDescent="0.25">
      <c r="A497" s="188"/>
      <c r="B497" s="188"/>
      <c r="C497" s="188"/>
      <c r="D497" s="188" t="str">
        <f t="shared" si="142"/>
        <v>101-</v>
      </c>
      <c r="E497" s="188">
        <v>0</v>
      </c>
      <c r="F497" s="188">
        <v>0</v>
      </c>
      <c r="G497" s="188">
        <v>0</v>
      </c>
      <c r="H497" s="188">
        <v>0</v>
      </c>
      <c r="I497" s="188">
        <v>0</v>
      </c>
      <c r="J497" s="183">
        <v>0</v>
      </c>
      <c r="L497" s="188">
        <f t="shared" si="143"/>
        <v>0</v>
      </c>
      <c r="M497" s="188">
        <f t="shared" si="144"/>
        <v>0</v>
      </c>
      <c r="N497" s="188">
        <f t="shared" si="140"/>
        <v>0</v>
      </c>
      <c r="O497" s="188" t="str">
        <f t="shared" si="145"/>
        <v>101-</v>
      </c>
      <c r="P497" s="188">
        <f t="shared" si="146"/>
        <v>0</v>
      </c>
      <c r="Q497" s="188">
        <f t="shared" si="147"/>
        <v>0</v>
      </c>
      <c r="R497" s="188">
        <f t="shared" si="148"/>
        <v>0</v>
      </c>
      <c r="S497" s="188">
        <f t="shared" si="149"/>
        <v>0</v>
      </c>
      <c r="T497" s="188">
        <f t="shared" si="150"/>
        <v>0</v>
      </c>
      <c r="V497" s="188">
        <f t="shared" si="151"/>
        <v>0</v>
      </c>
      <c r="W497" s="188">
        <f t="shared" si="152"/>
        <v>0</v>
      </c>
      <c r="X497" s="188">
        <f t="shared" si="141"/>
        <v>0</v>
      </c>
      <c r="Y497" s="188" t="str">
        <f t="shared" si="153"/>
        <v>101-</v>
      </c>
      <c r="Z497" s="188">
        <f t="shared" si="154"/>
        <v>0</v>
      </c>
      <c r="AA497" s="188">
        <f t="shared" si="155"/>
        <v>0</v>
      </c>
      <c r="AB497" s="188">
        <f t="shared" si="156"/>
        <v>0</v>
      </c>
      <c r="AC497" s="188">
        <f t="shared" si="157"/>
        <v>0</v>
      </c>
      <c r="AD497" s="188">
        <f t="shared" si="158"/>
        <v>0</v>
      </c>
      <c r="AE497" s="183">
        <f t="shared" si="159"/>
        <v>0</v>
      </c>
    </row>
    <row r="498" spans="1:31" x14ac:dyDescent="0.25">
      <c r="A498" s="188"/>
      <c r="B498" s="188"/>
      <c r="C498" s="188"/>
      <c r="D498" s="188" t="str">
        <f t="shared" si="142"/>
        <v>101-</v>
      </c>
      <c r="E498" s="188">
        <v>0</v>
      </c>
      <c r="F498" s="188">
        <v>0</v>
      </c>
      <c r="G498" s="188">
        <v>0</v>
      </c>
      <c r="H498" s="188">
        <v>0</v>
      </c>
      <c r="I498" s="188">
        <v>0</v>
      </c>
      <c r="J498" s="183">
        <v>0</v>
      </c>
      <c r="L498" s="188">
        <f t="shared" si="143"/>
        <v>0</v>
      </c>
      <c r="M498" s="188">
        <f t="shared" si="144"/>
        <v>0</v>
      </c>
      <c r="N498" s="188">
        <f t="shared" si="140"/>
        <v>0</v>
      </c>
      <c r="O498" s="188" t="str">
        <f t="shared" si="145"/>
        <v>101-</v>
      </c>
      <c r="P498" s="188">
        <f t="shared" si="146"/>
        <v>0</v>
      </c>
      <c r="Q498" s="188">
        <f t="shared" si="147"/>
        <v>0</v>
      </c>
      <c r="R498" s="188">
        <f t="shared" si="148"/>
        <v>0</v>
      </c>
      <c r="S498" s="188">
        <f t="shared" si="149"/>
        <v>0</v>
      </c>
      <c r="T498" s="188">
        <f t="shared" si="150"/>
        <v>0</v>
      </c>
      <c r="V498" s="188">
        <f t="shared" si="151"/>
        <v>0</v>
      </c>
      <c r="W498" s="188">
        <f t="shared" si="152"/>
        <v>0</v>
      </c>
      <c r="X498" s="188">
        <f t="shared" si="141"/>
        <v>0</v>
      </c>
      <c r="Y498" s="188" t="str">
        <f t="shared" si="153"/>
        <v>101-</v>
      </c>
      <c r="Z498" s="188">
        <f t="shared" si="154"/>
        <v>0</v>
      </c>
      <c r="AA498" s="188">
        <f t="shared" si="155"/>
        <v>0</v>
      </c>
      <c r="AB498" s="188">
        <f t="shared" si="156"/>
        <v>0</v>
      </c>
      <c r="AC498" s="188">
        <f t="shared" si="157"/>
        <v>0</v>
      </c>
      <c r="AD498" s="188">
        <f t="shared" si="158"/>
        <v>0</v>
      </c>
      <c r="AE498" s="183">
        <f t="shared" si="159"/>
        <v>0</v>
      </c>
    </row>
    <row r="499" spans="1:31" x14ac:dyDescent="0.25">
      <c r="A499" s="188"/>
      <c r="B499" s="188"/>
      <c r="C499" s="188"/>
      <c r="D499" s="188" t="str">
        <f t="shared" si="142"/>
        <v>101-</v>
      </c>
      <c r="E499" s="188">
        <v>0</v>
      </c>
      <c r="F499" s="188">
        <v>0</v>
      </c>
      <c r="G499" s="188">
        <v>0</v>
      </c>
      <c r="H499" s="188">
        <v>0</v>
      </c>
      <c r="I499" s="188">
        <v>0</v>
      </c>
      <c r="J499" s="183">
        <v>0</v>
      </c>
      <c r="L499" s="188">
        <f t="shared" si="143"/>
        <v>0</v>
      </c>
      <c r="M499" s="188">
        <f t="shared" si="144"/>
        <v>0</v>
      </c>
      <c r="N499" s="188">
        <f t="shared" si="140"/>
        <v>0</v>
      </c>
      <c r="O499" s="188" t="str">
        <f t="shared" si="145"/>
        <v>101-</v>
      </c>
      <c r="P499" s="188">
        <f t="shared" si="146"/>
        <v>0</v>
      </c>
      <c r="Q499" s="188">
        <f t="shared" si="147"/>
        <v>0</v>
      </c>
      <c r="R499" s="188">
        <f t="shared" si="148"/>
        <v>0</v>
      </c>
      <c r="S499" s="188">
        <f t="shared" si="149"/>
        <v>0</v>
      </c>
      <c r="T499" s="188">
        <f t="shared" si="150"/>
        <v>0</v>
      </c>
      <c r="V499" s="188">
        <f t="shared" si="151"/>
        <v>0</v>
      </c>
      <c r="W499" s="188">
        <f t="shared" si="152"/>
        <v>0</v>
      </c>
      <c r="X499" s="188">
        <f t="shared" si="141"/>
        <v>0</v>
      </c>
      <c r="Y499" s="188" t="str">
        <f t="shared" si="153"/>
        <v>101-</v>
      </c>
      <c r="Z499" s="188">
        <f t="shared" si="154"/>
        <v>0</v>
      </c>
      <c r="AA499" s="188">
        <f t="shared" si="155"/>
        <v>0</v>
      </c>
      <c r="AB499" s="188">
        <f t="shared" si="156"/>
        <v>0</v>
      </c>
      <c r="AC499" s="188">
        <f t="shared" si="157"/>
        <v>0</v>
      </c>
      <c r="AD499" s="188">
        <f t="shared" si="158"/>
        <v>0</v>
      </c>
      <c r="AE499" s="183">
        <f t="shared" si="159"/>
        <v>0</v>
      </c>
    </row>
    <row r="500" spans="1:31" x14ac:dyDescent="0.25">
      <c r="A500" s="188"/>
      <c r="B500" s="188"/>
      <c r="C500" s="188"/>
      <c r="D500" s="188" t="str">
        <f t="shared" si="142"/>
        <v>101-</v>
      </c>
      <c r="E500" s="188">
        <v>0</v>
      </c>
      <c r="F500" s="188">
        <v>0</v>
      </c>
      <c r="G500" s="188">
        <v>0</v>
      </c>
      <c r="H500" s="188">
        <v>0</v>
      </c>
      <c r="I500" s="188">
        <v>0</v>
      </c>
      <c r="J500" s="183">
        <v>0</v>
      </c>
      <c r="L500" s="188">
        <f t="shared" si="143"/>
        <v>0</v>
      </c>
      <c r="M500" s="188">
        <f t="shared" si="144"/>
        <v>0</v>
      </c>
      <c r="N500" s="188">
        <f t="shared" si="140"/>
        <v>0</v>
      </c>
      <c r="O500" s="188" t="str">
        <f t="shared" si="145"/>
        <v>101-</v>
      </c>
      <c r="P500" s="188">
        <f t="shared" si="146"/>
        <v>0</v>
      </c>
      <c r="Q500" s="188">
        <f t="shared" si="147"/>
        <v>0</v>
      </c>
      <c r="R500" s="188">
        <f t="shared" si="148"/>
        <v>0</v>
      </c>
      <c r="S500" s="188">
        <f t="shared" si="149"/>
        <v>0</v>
      </c>
      <c r="T500" s="188">
        <f t="shared" si="150"/>
        <v>0</v>
      </c>
      <c r="V500" s="188">
        <f t="shared" si="151"/>
        <v>0</v>
      </c>
      <c r="W500" s="188">
        <f t="shared" si="152"/>
        <v>0</v>
      </c>
      <c r="X500" s="188">
        <f t="shared" si="141"/>
        <v>0</v>
      </c>
      <c r="Y500" s="188" t="str">
        <f t="shared" si="153"/>
        <v>101-</v>
      </c>
      <c r="Z500" s="188">
        <f t="shared" si="154"/>
        <v>0</v>
      </c>
      <c r="AA500" s="188">
        <f t="shared" si="155"/>
        <v>0</v>
      </c>
      <c r="AB500" s="188">
        <f t="shared" si="156"/>
        <v>0</v>
      </c>
      <c r="AC500" s="188">
        <f t="shared" si="157"/>
        <v>0</v>
      </c>
      <c r="AD500" s="188">
        <f t="shared" si="158"/>
        <v>0</v>
      </c>
      <c r="AE500" s="183">
        <f t="shared" si="159"/>
        <v>0</v>
      </c>
    </row>
    <row r="501" spans="1:31" x14ac:dyDescent="0.25">
      <c r="A501" s="188"/>
      <c r="B501" s="188"/>
      <c r="C501" s="188"/>
      <c r="D501" s="188" t="str">
        <f t="shared" si="142"/>
        <v>101-</v>
      </c>
      <c r="E501" s="188">
        <v>0</v>
      </c>
      <c r="F501" s="188">
        <v>0</v>
      </c>
      <c r="G501" s="188">
        <v>0</v>
      </c>
      <c r="H501" s="188">
        <v>0</v>
      </c>
      <c r="I501" s="188">
        <v>0</v>
      </c>
      <c r="J501" s="183">
        <v>0</v>
      </c>
      <c r="L501" s="188">
        <f t="shared" si="143"/>
        <v>0</v>
      </c>
      <c r="M501" s="188">
        <f t="shared" si="144"/>
        <v>0</v>
      </c>
      <c r="N501" s="188">
        <f t="shared" si="140"/>
        <v>0</v>
      </c>
      <c r="O501" s="188" t="str">
        <f t="shared" si="145"/>
        <v>101-</v>
      </c>
      <c r="P501" s="188">
        <f t="shared" si="146"/>
        <v>0</v>
      </c>
      <c r="Q501" s="188">
        <f t="shared" si="147"/>
        <v>0</v>
      </c>
      <c r="R501" s="188">
        <f t="shared" si="148"/>
        <v>0</v>
      </c>
      <c r="S501" s="188">
        <f t="shared" si="149"/>
        <v>0</v>
      </c>
      <c r="T501" s="188">
        <f t="shared" si="150"/>
        <v>0</v>
      </c>
      <c r="V501" s="188">
        <f t="shared" si="151"/>
        <v>0</v>
      </c>
      <c r="W501" s="188">
        <f t="shared" si="152"/>
        <v>0</v>
      </c>
      <c r="X501" s="188">
        <f t="shared" si="141"/>
        <v>0</v>
      </c>
      <c r="Y501" s="188" t="str">
        <f t="shared" si="153"/>
        <v>101-</v>
      </c>
      <c r="Z501" s="188">
        <f t="shared" si="154"/>
        <v>0</v>
      </c>
      <c r="AA501" s="188">
        <f t="shared" si="155"/>
        <v>0</v>
      </c>
      <c r="AB501" s="188">
        <f t="shared" si="156"/>
        <v>0</v>
      </c>
      <c r="AC501" s="188">
        <f t="shared" si="157"/>
        <v>0</v>
      </c>
      <c r="AD501" s="188">
        <f t="shared" si="158"/>
        <v>0</v>
      </c>
      <c r="AE501" s="183">
        <f t="shared" si="159"/>
        <v>0</v>
      </c>
    </row>
    <row r="502" spans="1:31" x14ac:dyDescent="0.25">
      <c r="A502" s="188"/>
      <c r="B502" s="188"/>
      <c r="C502" s="188"/>
      <c r="D502" s="188" t="str">
        <f t="shared" si="142"/>
        <v>101-</v>
      </c>
      <c r="E502" s="188">
        <v>0</v>
      </c>
      <c r="F502" s="188">
        <v>0</v>
      </c>
      <c r="G502" s="188">
        <v>0</v>
      </c>
      <c r="H502" s="188">
        <v>0</v>
      </c>
      <c r="I502" s="188">
        <v>0</v>
      </c>
      <c r="J502" s="183">
        <v>0</v>
      </c>
      <c r="L502" s="188">
        <f t="shared" si="143"/>
        <v>0</v>
      </c>
      <c r="M502" s="188">
        <f t="shared" si="144"/>
        <v>0</v>
      </c>
      <c r="N502" s="188">
        <f t="shared" si="140"/>
        <v>0</v>
      </c>
      <c r="O502" s="188" t="str">
        <f t="shared" si="145"/>
        <v>101-</v>
      </c>
      <c r="P502" s="188">
        <f t="shared" si="146"/>
        <v>0</v>
      </c>
      <c r="Q502" s="188">
        <f t="shared" si="147"/>
        <v>0</v>
      </c>
      <c r="R502" s="188">
        <f t="shared" si="148"/>
        <v>0</v>
      </c>
      <c r="S502" s="188">
        <f t="shared" si="149"/>
        <v>0</v>
      </c>
      <c r="T502" s="188">
        <f t="shared" si="150"/>
        <v>0</v>
      </c>
      <c r="V502" s="188">
        <f t="shared" si="151"/>
        <v>0</v>
      </c>
      <c r="W502" s="188">
        <f t="shared" si="152"/>
        <v>0</v>
      </c>
      <c r="X502" s="188">
        <f t="shared" si="141"/>
        <v>0</v>
      </c>
      <c r="Y502" s="188" t="str">
        <f t="shared" si="153"/>
        <v>101-</v>
      </c>
      <c r="Z502" s="188">
        <f t="shared" si="154"/>
        <v>0</v>
      </c>
      <c r="AA502" s="188">
        <f t="shared" si="155"/>
        <v>0</v>
      </c>
      <c r="AB502" s="188">
        <f t="shared" si="156"/>
        <v>0</v>
      </c>
      <c r="AC502" s="188">
        <f t="shared" si="157"/>
        <v>0</v>
      </c>
      <c r="AD502" s="188">
        <f t="shared" si="158"/>
        <v>0</v>
      </c>
      <c r="AE502" s="183">
        <f t="shared" si="159"/>
        <v>0</v>
      </c>
    </row>
    <row r="503" spans="1:31" x14ac:dyDescent="0.25">
      <c r="A503" s="188"/>
      <c r="B503" s="188"/>
      <c r="C503" s="188"/>
      <c r="D503" s="188" t="str">
        <f t="shared" si="142"/>
        <v>101-</v>
      </c>
      <c r="E503" s="188">
        <v>0</v>
      </c>
      <c r="F503" s="188">
        <v>0</v>
      </c>
      <c r="G503" s="188">
        <v>0</v>
      </c>
      <c r="H503" s="188">
        <v>0</v>
      </c>
      <c r="I503" s="188">
        <v>0</v>
      </c>
      <c r="J503" s="183">
        <v>0</v>
      </c>
      <c r="L503" s="188">
        <f t="shared" si="143"/>
        <v>0</v>
      </c>
      <c r="M503" s="188">
        <f t="shared" si="144"/>
        <v>0</v>
      </c>
      <c r="N503" s="188">
        <f t="shared" si="140"/>
        <v>0</v>
      </c>
      <c r="O503" s="188" t="str">
        <f t="shared" si="145"/>
        <v>101-</v>
      </c>
      <c r="P503" s="188">
        <f t="shared" si="146"/>
        <v>0</v>
      </c>
      <c r="Q503" s="188">
        <f t="shared" si="147"/>
        <v>0</v>
      </c>
      <c r="R503" s="188">
        <f t="shared" si="148"/>
        <v>0</v>
      </c>
      <c r="S503" s="188">
        <f t="shared" si="149"/>
        <v>0</v>
      </c>
      <c r="T503" s="188">
        <f t="shared" si="150"/>
        <v>0</v>
      </c>
      <c r="V503" s="188">
        <f t="shared" si="151"/>
        <v>0</v>
      </c>
      <c r="W503" s="188">
        <f t="shared" si="152"/>
        <v>0</v>
      </c>
      <c r="X503" s="188">
        <f t="shared" si="141"/>
        <v>0</v>
      </c>
      <c r="Y503" s="188" t="str">
        <f t="shared" si="153"/>
        <v>101-</v>
      </c>
      <c r="Z503" s="188">
        <f t="shared" si="154"/>
        <v>0</v>
      </c>
      <c r="AA503" s="188">
        <f t="shared" si="155"/>
        <v>0</v>
      </c>
      <c r="AB503" s="188">
        <f t="shared" si="156"/>
        <v>0</v>
      </c>
      <c r="AC503" s="188">
        <f t="shared" si="157"/>
        <v>0</v>
      </c>
      <c r="AD503" s="188">
        <f t="shared" si="158"/>
        <v>0</v>
      </c>
      <c r="AE503" s="183">
        <f t="shared" si="159"/>
        <v>0</v>
      </c>
    </row>
    <row r="504" spans="1:31" x14ac:dyDescent="0.25">
      <c r="A504" s="188"/>
      <c r="B504" s="188"/>
      <c r="C504" s="188"/>
      <c r="D504" s="188" t="str">
        <f t="shared" si="142"/>
        <v>101-</v>
      </c>
      <c r="E504" s="188">
        <v>0</v>
      </c>
      <c r="F504" s="188">
        <v>0</v>
      </c>
      <c r="G504" s="188">
        <v>0</v>
      </c>
      <c r="H504" s="188">
        <v>0</v>
      </c>
      <c r="I504" s="188">
        <v>0</v>
      </c>
      <c r="J504" s="183">
        <v>0</v>
      </c>
      <c r="L504" s="188">
        <f t="shared" si="143"/>
        <v>0</v>
      </c>
      <c r="M504" s="188">
        <f t="shared" si="144"/>
        <v>0</v>
      </c>
      <c r="N504" s="188">
        <f t="shared" si="140"/>
        <v>0</v>
      </c>
      <c r="O504" s="188" t="str">
        <f t="shared" si="145"/>
        <v>101-</v>
      </c>
      <c r="P504" s="188">
        <f t="shared" si="146"/>
        <v>0</v>
      </c>
      <c r="Q504" s="188">
        <f t="shared" si="147"/>
        <v>0</v>
      </c>
      <c r="R504" s="188">
        <f t="shared" si="148"/>
        <v>0</v>
      </c>
      <c r="S504" s="188">
        <f t="shared" si="149"/>
        <v>0</v>
      </c>
      <c r="T504" s="188">
        <f t="shared" si="150"/>
        <v>0</v>
      </c>
      <c r="V504" s="188">
        <f t="shared" si="151"/>
        <v>0</v>
      </c>
      <c r="W504" s="188">
        <f t="shared" si="152"/>
        <v>0</v>
      </c>
      <c r="X504" s="188">
        <f t="shared" si="141"/>
        <v>0</v>
      </c>
      <c r="Y504" s="188" t="str">
        <f t="shared" si="153"/>
        <v>101-</v>
      </c>
      <c r="Z504" s="188">
        <f t="shared" si="154"/>
        <v>0</v>
      </c>
      <c r="AA504" s="188">
        <f t="shared" si="155"/>
        <v>0</v>
      </c>
      <c r="AB504" s="188">
        <f t="shared" si="156"/>
        <v>0</v>
      </c>
      <c r="AC504" s="188">
        <f t="shared" si="157"/>
        <v>0</v>
      </c>
      <c r="AD504" s="188">
        <f t="shared" si="158"/>
        <v>0</v>
      </c>
      <c r="AE504" s="183">
        <f t="shared" si="159"/>
        <v>0</v>
      </c>
    </row>
    <row r="505" spans="1:31" x14ac:dyDescent="0.25">
      <c r="A505" s="188"/>
      <c r="B505" s="188"/>
      <c r="C505" s="188"/>
      <c r="D505" s="188" t="str">
        <f t="shared" si="142"/>
        <v>101-</v>
      </c>
      <c r="E505" s="188">
        <v>0</v>
      </c>
      <c r="F505" s="188">
        <v>0</v>
      </c>
      <c r="G505" s="188">
        <v>0</v>
      </c>
      <c r="H505" s="188">
        <v>0</v>
      </c>
      <c r="I505" s="188">
        <v>0</v>
      </c>
      <c r="J505" s="183">
        <v>0</v>
      </c>
      <c r="L505" s="188">
        <f t="shared" si="143"/>
        <v>0</v>
      </c>
      <c r="M505" s="188">
        <f t="shared" si="144"/>
        <v>0</v>
      </c>
      <c r="N505" s="188">
        <f t="shared" si="140"/>
        <v>0</v>
      </c>
      <c r="O505" s="188" t="str">
        <f t="shared" si="145"/>
        <v>101-</v>
      </c>
      <c r="P505" s="188">
        <f t="shared" si="146"/>
        <v>0</v>
      </c>
      <c r="Q505" s="188">
        <f t="shared" si="147"/>
        <v>0</v>
      </c>
      <c r="R505" s="188">
        <f t="shared" si="148"/>
        <v>0</v>
      </c>
      <c r="S505" s="188">
        <f t="shared" si="149"/>
        <v>0</v>
      </c>
      <c r="T505" s="188">
        <f t="shared" si="150"/>
        <v>0</v>
      </c>
      <c r="V505" s="188">
        <f t="shared" si="151"/>
        <v>0</v>
      </c>
      <c r="W505" s="188">
        <f t="shared" si="152"/>
        <v>0</v>
      </c>
      <c r="X505" s="188">
        <f t="shared" si="141"/>
        <v>0</v>
      </c>
      <c r="Y505" s="188" t="str">
        <f t="shared" si="153"/>
        <v>101-</v>
      </c>
      <c r="Z505" s="188">
        <f t="shared" si="154"/>
        <v>0</v>
      </c>
      <c r="AA505" s="188">
        <f t="shared" si="155"/>
        <v>0</v>
      </c>
      <c r="AB505" s="188">
        <f t="shared" si="156"/>
        <v>0</v>
      </c>
      <c r="AC505" s="188">
        <f t="shared" si="157"/>
        <v>0</v>
      </c>
      <c r="AD505" s="188">
        <f t="shared" si="158"/>
        <v>0</v>
      </c>
      <c r="AE505" s="183">
        <f t="shared" si="159"/>
        <v>0</v>
      </c>
    </row>
    <row r="506" spans="1:31" x14ac:dyDescent="0.25">
      <c r="A506" s="188"/>
      <c r="B506" s="188"/>
      <c r="C506" s="188"/>
      <c r="D506" s="188" t="str">
        <f t="shared" si="142"/>
        <v>101-</v>
      </c>
      <c r="E506" s="188">
        <v>0</v>
      </c>
      <c r="F506" s="188">
        <v>0</v>
      </c>
      <c r="G506" s="188">
        <v>0</v>
      </c>
      <c r="H506" s="188">
        <v>0</v>
      </c>
      <c r="I506" s="188">
        <v>0</v>
      </c>
      <c r="J506" s="183">
        <v>0</v>
      </c>
      <c r="L506" s="188">
        <f t="shared" si="143"/>
        <v>0</v>
      </c>
      <c r="M506" s="188">
        <f t="shared" si="144"/>
        <v>0</v>
      </c>
      <c r="N506" s="188">
        <f t="shared" si="140"/>
        <v>0</v>
      </c>
      <c r="O506" s="188" t="str">
        <f t="shared" si="145"/>
        <v>101-</v>
      </c>
      <c r="P506" s="188">
        <f t="shared" si="146"/>
        <v>0</v>
      </c>
      <c r="Q506" s="188">
        <f t="shared" si="147"/>
        <v>0</v>
      </c>
      <c r="R506" s="188">
        <f t="shared" si="148"/>
        <v>0</v>
      </c>
      <c r="S506" s="188">
        <f t="shared" si="149"/>
        <v>0</v>
      </c>
      <c r="T506" s="188">
        <f t="shared" si="150"/>
        <v>0</v>
      </c>
      <c r="V506" s="188">
        <f t="shared" si="151"/>
        <v>0</v>
      </c>
      <c r="W506" s="188">
        <f t="shared" si="152"/>
        <v>0</v>
      </c>
      <c r="X506" s="188">
        <f t="shared" si="141"/>
        <v>0</v>
      </c>
      <c r="Y506" s="188" t="str">
        <f t="shared" si="153"/>
        <v>101-</v>
      </c>
      <c r="Z506" s="188">
        <f t="shared" si="154"/>
        <v>0</v>
      </c>
      <c r="AA506" s="188">
        <f t="shared" si="155"/>
        <v>0</v>
      </c>
      <c r="AB506" s="188">
        <f t="shared" si="156"/>
        <v>0</v>
      </c>
      <c r="AC506" s="188">
        <f t="shared" si="157"/>
        <v>0</v>
      </c>
      <c r="AD506" s="188">
        <f t="shared" si="158"/>
        <v>0</v>
      </c>
      <c r="AE506" s="183">
        <f t="shared" si="159"/>
        <v>0</v>
      </c>
    </row>
    <row r="507" spans="1:31" x14ac:dyDescent="0.25">
      <c r="A507" s="188"/>
      <c r="B507" s="188"/>
      <c r="C507" s="188"/>
      <c r="D507" s="188" t="str">
        <f t="shared" si="142"/>
        <v>101-</v>
      </c>
      <c r="E507" s="188">
        <v>0</v>
      </c>
      <c r="F507" s="188">
        <v>0</v>
      </c>
      <c r="G507" s="188">
        <v>0</v>
      </c>
      <c r="H507" s="188">
        <v>0</v>
      </c>
      <c r="I507" s="188">
        <v>0</v>
      </c>
      <c r="J507" s="183">
        <v>0</v>
      </c>
      <c r="L507" s="188">
        <f t="shared" si="143"/>
        <v>0</v>
      </c>
      <c r="M507" s="188">
        <f t="shared" si="144"/>
        <v>0</v>
      </c>
      <c r="N507" s="188">
        <f t="shared" si="140"/>
        <v>0</v>
      </c>
      <c r="O507" s="188" t="str">
        <f t="shared" si="145"/>
        <v>101-</v>
      </c>
      <c r="P507" s="188">
        <f t="shared" si="146"/>
        <v>0</v>
      </c>
      <c r="Q507" s="188">
        <f t="shared" si="147"/>
        <v>0</v>
      </c>
      <c r="R507" s="188">
        <f t="shared" si="148"/>
        <v>0</v>
      </c>
      <c r="S507" s="188">
        <f t="shared" si="149"/>
        <v>0</v>
      </c>
      <c r="T507" s="188">
        <f t="shared" si="150"/>
        <v>0</v>
      </c>
      <c r="V507" s="188">
        <f t="shared" si="151"/>
        <v>0</v>
      </c>
      <c r="W507" s="188">
        <f t="shared" si="152"/>
        <v>0</v>
      </c>
      <c r="X507" s="188">
        <f t="shared" si="141"/>
        <v>0</v>
      </c>
      <c r="Y507" s="188" t="str">
        <f t="shared" si="153"/>
        <v>101-</v>
      </c>
      <c r="Z507" s="188">
        <f t="shared" si="154"/>
        <v>0</v>
      </c>
      <c r="AA507" s="188">
        <f t="shared" si="155"/>
        <v>0</v>
      </c>
      <c r="AB507" s="188">
        <f t="shared" si="156"/>
        <v>0</v>
      </c>
      <c r="AC507" s="188">
        <f t="shared" si="157"/>
        <v>0</v>
      </c>
      <c r="AD507" s="188">
        <f t="shared" si="158"/>
        <v>0</v>
      </c>
      <c r="AE507" s="183">
        <f t="shared" si="159"/>
        <v>0</v>
      </c>
    </row>
    <row r="508" spans="1:31" x14ac:dyDescent="0.25">
      <c r="A508" s="188"/>
      <c r="B508" s="188"/>
      <c r="C508" s="188"/>
      <c r="D508" s="188" t="str">
        <f t="shared" si="142"/>
        <v>101-</v>
      </c>
      <c r="E508" s="188">
        <v>0</v>
      </c>
      <c r="F508" s="188">
        <v>0</v>
      </c>
      <c r="G508" s="188">
        <v>0</v>
      </c>
      <c r="H508" s="188">
        <v>0</v>
      </c>
      <c r="I508" s="188">
        <v>0</v>
      </c>
      <c r="J508" s="183">
        <v>0</v>
      </c>
      <c r="L508" s="188">
        <f t="shared" si="143"/>
        <v>0</v>
      </c>
      <c r="M508" s="188">
        <f t="shared" si="144"/>
        <v>0</v>
      </c>
      <c r="N508" s="188">
        <f t="shared" si="140"/>
        <v>0</v>
      </c>
      <c r="O508" s="188" t="str">
        <f t="shared" si="145"/>
        <v>101-</v>
      </c>
      <c r="P508" s="188">
        <f t="shared" si="146"/>
        <v>0</v>
      </c>
      <c r="Q508" s="188">
        <f t="shared" si="147"/>
        <v>0</v>
      </c>
      <c r="R508" s="188">
        <f t="shared" si="148"/>
        <v>0</v>
      </c>
      <c r="S508" s="188">
        <f t="shared" si="149"/>
        <v>0</v>
      </c>
      <c r="T508" s="188">
        <f t="shared" si="150"/>
        <v>0</v>
      </c>
      <c r="V508" s="188">
        <f t="shared" si="151"/>
        <v>0</v>
      </c>
      <c r="W508" s="188">
        <f t="shared" si="152"/>
        <v>0</v>
      </c>
      <c r="X508" s="188">
        <f t="shared" si="141"/>
        <v>0</v>
      </c>
      <c r="Y508" s="188" t="str">
        <f t="shared" si="153"/>
        <v>101-</v>
      </c>
      <c r="Z508" s="188">
        <f t="shared" si="154"/>
        <v>0</v>
      </c>
      <c r="AA508" s="188">
        <f t="shared" si="155"/>
        <v>0</v>
      </c>
      <c r="AB508" s="188">
        <f t="shared" si="156"/>
        <v>0</v>
      </c>
      <c r="AC508" s="188">
        <f t="shared" si="157"/>
        <v>0</v>
      </c>
      <c r="AD508" s="188">
        <f t="shared" si="158"/>
        <v>0</v>
      </c>
      <c r="AE508" s="183">
        <f t="shared" si="159"/>
        <v>0</v>
      </c>
    </row>
    <row r="509" spans="1:31" x14ac:dyDescent="0.25">
      <c r="A509" s="188"/>
      <c r="B509" s="188"/>
      <c r="C509" s="188"/>
      <c r="D509" s="188" t="str">
        <f t="shared" si="142"/>
        <v>101-</v>
      </c>
      <c r="E509" s="188">
        <v>0</v>
      </c>
      <c r="F509" s="188">
        <v>0</v>
      </c>
      <c r="G509" s="188">
        <v>0</v>
      </c>
      <c r="H509" s="188">
        <v>0</v>
      </c>
      <c r="I509" s="188">
        <v>0</v>
      </c>
      <c r="J509" s="183">
        <v>0</v>
      </c>
      <c r="K509" s="196"/>
      <c r="L509" s="186">
        <f t="shared" si="143"/>
        <v>0</v>
      </c>
      <c r="M509" s="186">
        <f t="shared" si="144"/>
        <v>0</v>
      </c>
      <c r="N509" s="188">
        <f t="shared" si="140"/>
        <v>0</v>
      </c>
      <c r="O509" s="186" t="str">
        <f t="shared" si="145"/>
        <v>101-</v>
      </c>
      <c r="P509" s="186">
        <f t="shared" si="146"/>
        <v>0</v>
      </c>
      <c r="Q509" s="186">
        <f t="shared" si="147"/>
        <v>0</v>
      </c>
      <c r="R509" s="186">
        <f t="shared" si="148"/>
        <v>0</v>
      </c>
      <c r="S509" s="186">
        <f t="shared" si="149"/>
        <v>0</v>
      </c>
      <c r="T509" s="186">
        <f t="shared" si="150"/>
        <v>0</v>
      </c>
      <c r="U509" s="196"/>
      <c r="V509" s="186">
        <f t="shared" si="151"/>
        <v>0</v>
      </c>
      <c r="W509" s="186">
        <f t="shared" si="152"/>
        <v>0</v>
      </c>
      <c r="X509" s="188">
        <f t="shared" si="141"/>
        <v>0</v>
      </c>
      <c r="Y509" s="186" t="str">
        <f t="shared" si="153"/>
        <v>101-</v>
      </c>
      <c r="Z509" s="186">
        <f t="shared" si="154"/>
        <v>0</v>
      </c>
      <c r="AA509" s="186">
        <f t="shared" si="155"/>
        <v>0</v>
      </c>
      <c r="AB509" s="186">
        <f t="shared" si="156"/>
        <v>0</v>
      </c>
      <c r="AC509" s="186">
        <f t="shared" si="157"/>
        <v>0</v>
      </c>
      <c r="AD509" s="186">
        <f t="shared" si="158"/>
        <v>0</v>
      </c>
      <c r="AE509" s="183">
        <f t="shared" si="159"/>
        <v>0</v>
      </c>
    </row>
    <row r="510" spans="1:31" x14ac:dyDescent="0.25">
      <c r="A510" s="188" t="s">
        <v>128</v>
      </c>
      <c r="E510" s="183">
        <f>SUM(E5:E509)</f>
        <v>0</v>
      </c>
      <c r="F510" s="183">
        <f>SUM(F5:F509)</f>
        <v>764311458.02000034</v>
      </c>
      <c r="G510" s="183">
        <f>SUM(G5:G509)</f>
        <v>1090750198.3300002</v>
      </c>
      <c r="H510" s="183">
        <f>SUM(H5:H509)</f>
        <v>2238500821.6900001</v>
      </c>
      <c r="I510" s="183">
        <f>SUM(I5:I509)</f>
        <v>0</v>
      </c>
      <c r="L510" s="188" t="s">
        <v>128</v>
      </c>
      <c r="P510" s="183">
        <f>SUM(P5:P509)</f>
        <v>0</v>
      </c>
      <c r="Q510" s="183">
        <f>SUM(Q5:Q509)</f>
        <v>489130751.2158702</v>
      </c>
      <c r="R510" s="183">
        <f>SUM(R5:R509)</f>
        <v>731875290.19723868</v>
      </c>
      <c r="S510" s="183">
        <f>SUM(S5:S509)</f>
        <v>1530295552.6361754</v>
      </c>
      <c r="T510" s="183">
        <f>SUM(T5:T509)</f>
        <v>0</v>
      </c>
      <c r="V510" s="188" t="s">
        <v>128</v>
      </c>
      <c r="Z510" s="183">
        <f>SUM(Z5:Z509)</f>
        <v>0</v>
      </c>
      <c r="AA510" s="183">
        <f>SUM(AA5:AA509)</f>
        <v>275180706.80413014</v>
      </c>
      <c r="AB510" s="183">
        <f>SUM(AB5:AB509)</f>
        <v>358874908.1327619</v>
      </c>
      <c r="AC510" s="183">
        <f>SUM(AC5:AC509)</f>
        <v>708205269.05382383</v>
      </c>
      <c r="AD510" s="183">
        <f>SUM(AD5:AD509)</f>
        <v>0</v>
      </c>
    </row>
    <row r="511" spans="1:31" x14ac:dyDescent="0.25">
      <c r="A511" s="188" t="s">
        <v>315</v>
      </c>
      <c r="E511" s="183">
        <v>0</v>
      </c>
      <c r="F511" s="183">
        <v>0</v>
      </c>
      <c r="G511" s="183">
        <v>0</v>
      </c>
      <c r="H511" s="183">
        <v>0</v>
      </c>
      <c r="I511" s="183">
        <v>0</v>
      </c>
    </row>
    <row r="513" spans="1:30" x14ac:dyDescent="0.25">
      <c r="E513" s="183"/>
    </row>
    <row r="514" spans="1:30" x14ac:dyDescent="0.25">
      <c r="A514" s="203"/>
      <c r="C514" s="203"/>
      <c r="E514" s="183">
        <f>SUMIF($D$5:$D$509,$A514,$E$5:$E$509)+SUMIF($D$5:$D$509,$B514,$E$5:$E$509)*0.35</f>
        <v>0</v>
      </c>
      <c r="O514" s="181" t="s">
        <v>314</v>
      </c>
      <c r="P514" s="188">
        <f t="shared" ref="P514:T523" si="160">SUMIF($O$5:$O$509,$O514,P$5:P$509)</f>
        <v>0</v>
      </c>
      <c r="Q514" s="188">
        <f t="shared" si="160"/>
        <v>96683.865600000005</v>
      </c>
      <c r="R514" s="188">
        <f t="shared" si="160"/>
        <v>100712.35780199998</v>
      </c>
      <c r="S514" s="188">
        <f t="shared" si="160"/>
        <v>197476.78229999999</v>
      </c>
      <c r="T514" s="188">
        <f t="shared" si="160"/>
        <v>0</v>
      </c>
      <c r="X514" s="203"/>
      <c r="Y514" s="181" t="s">
        <v>314</v>
      </c>
      <c r="Z514" s="188">
        <f t="shared" ref="Z514:Z552" si="161">SUMIF($Y$5:$Y$509,$Y514,Z$5:Z$509)</f>
        <v>0</v>
      </c>
      <c r="AA514" s="183">
        <f t="shared" ref="AA514:AD533" si="162">SUMIF($Y$5:$Y$509,$V514,AA$5:AA$509)+SUMIF($Y$5:$Y$509,$W514,AA$5:AA$509)+SUMIF($Y$5:$Y$509,$X514,AA$5:AA$509)+SUMIF($Y$5:$Y$509,$Y514,AA$5:AA$509)</f>
        <v>49940.134400000003</v>
      </c>
      <c r="AB514" s="183">
        <f t="shared" si="162"/>
        <v>52020.972197999996</v>
      </c>
      <c r="AC514" s="183">
        <f t="shared" si="162"/>
        <v>102002.71770000001</v>
      </c>
      <c r="AD514" s="183">
        <f t="shared" si="162"/>
        <v>0</v>
      </c>
    </row>
    <row r="515" spans="1:30" x14ac:dyDescent="0.25">
      <c r="A515" s="203"/>
      <c r="C515" s="203"/>
      <c r="O515" s="181" t="s">
        <v>313</v>
      </c>
      <c r="P515" s="188">
        <f t="shared" si="160"/>
        <v>0</v>
      </c>
      <c r="Q515" s="188">
        <f t="shared" si="160"/>
        <v>33122741.431205995</v>
      </c>
      <c r="R515" s="188">
        <f t="shared" si="160"/>
        <v>51707867.003520004</v>
      </c>
      <c r="S515" s="188">
        <f t="shared" si="160"/>
        <v>117823928.72896799</v>
      </c>
      <c r="T515" s="188">
        <f t="shared" si="160"/>
        <v>0</v>
      </c>
      <c r="X515" s="203"/>
      <c r="Y515" s="181" t="s">
        <v>313</v>
      </c>
      <c r="Z515" s="188">
        <f t="shared" si="161"/>
        <v>0</v>
      </c>
      <c r="AA515" s="183">
        <f t="shared" si="162"/>
        <v>17108895.558793999</v>
      </c>
      <c r="AB515" s="183">
        <f t="shared" si="162"/>
        <v>26708673.79648</v>
      </c>
      <c r="AC515" s="183">
        <f t="shared" si="162"/>
        <v>60859614.991032004</v>
      </c>
      <c r="AD515" s="183">
        <f t="shared" si="162"/>
        <v>0</v>
      </c>
    </row>
    <row r="516" spans="1:30" x14ac:dyDescent="0.25">
      <c r="A516" s="203"/>
      <c r="C516" s="203"/>
      <c r="O516" s="181" t="s">
        <v>312</v>
      </c>
      <c r="P516" s="188">
        <f t="shared" si="160"/>
        <v>0</v>
      </c>
      <c r="Q516" s="188">
        <f t="shared" si="160"/>
        <v>0</v>
      </c>
      <c r="R516" s="188">
        <f t="shared" si="160"/>
        <v>1846320.0065939999</v>
      </c>
      <c r="S516" s="188">
        <f t="shared" si="160"/>
        <v>5966646.6223980002</v>
      </c>
      <c r="T516" s="188">
        <f t="shared" si="160"/>
        <v>0</v>
      </c>
      <c r="X516" s="203"/>
      <c r="Y516" s="181" t="s">
        <v>312</v>
      </c>
      <c r="Z516" s="188">
        <f t="shared" si="161"/>
        <v>0</v>
      </c>
      <c r="AA516" s="183">
        <f t="shared" si="162"/>
        <v>0</v>
      </c>
      <c r="AB516" s="183">
        <f t="shared" si="162"/>
        <v>953680.00340599997</v>
      </c>
      <c r="AC516" s="183">
        <f t="shared" si="162"/>
        <v>3081953.0476020002</v>
      </c>
      <c r="AD516" s="183">
        <f t="shared" si="162"/>
        <v>0</v>
      </c>
    </row>
    <row r="517" spans="1:30" x14ac:dyDescent="0.25">
      <c r="A517" s="203"/>
      <c r="C517" s="203"/>
      <c r="O517" s="181" t="s">
        <v>311</v>
      </c>
      <c r="P517" s="188">
        <f t="shared" si="160"/>
        <v>0</v>
      </c>
      <c r="Q517" s="188">
        <f t="shared" si="160"/>
        <v>1489249.3214760001</v>
      </c>
      <c r="R517" s="188">
        <f t="shared" si="160"/>
        <v>5740697.8514760006</v>
      </c>
      <c r="S517" s="188">
        <f t="shared" si="160"/>
        <v>13014276.895998001</v>
      </c>
      <c r="T517" s="188">
        <f t="shared" si="160"/>
        <v>0</v>
      </c>
      <c r="X517" s="203"/>
      <c r="Y517" s="181" t="s">
        <v>311</v>
      </c>
      <c r="Z517" s="188">
        <f t="shared" si="161"/>
        <v>0</v>
      </c>
      <c r="AA517" s="183">
        <f t="shared" si="162"/>
        <v>769242.21852400014</v>
      </c>
      <c r="AB517" s="183">
        <f t="shared" si="162"/>
        <v>2965243.6885240003</v>
      </c>
      <c r="AC517" s="183">
        <f t="shared" si="162"/>
        <v>6722266.7740020007</v>
      </c>
      <c r="AD517" s="183">
        <f t="shared" si="162"/>
        <v>0</v>
      </c>
    </row>
    <row r="518" spans="1:30" x14ac:dyDescent="0.25">
      <c r="A518" s="203"/>
      <c r="C518" s="203"/>
      <c r="O518" s="181" t="s">
        <v>310</v>
      </c>
      <c r="P518" s="188">
        <f t="shared" si="160"/>
        <v>0</v>
      </c>
      <c r="Q518" s="188">
        <f t="shared" si="160"/>
        <v>2775037.9243439999</v>
      </c>
      <c r="R518" s="188">
        <f t="shared" si="160"/>
        <v>3919815.7296899999</v>
      </c>
      <c r="S518" s="188">
        <f t="shared" si="160"/>
        <v>19601887.316592</v>
      </c>
      <c r="T518" s="188">
        <f t="shared" si="160"/>
        <v>0</v>
      </c>
      <c r="X518" s="203"/>
      <c r="Y518" s="181" t="s">
        <v>310</v>
      </c>
      <c r="Z518" s="188">
        <f t="shared" si="161"/>
        <v>0</v>
      </c>
      <c r="AA518" s="183">
        <f t="shared" si="162"/>
        <v>1433390.8356559998</v>
      </c>
      <c r="AB518" s="183">
        <f t="shared" si="162"/>
        <v>2024703.1203099999</v>
      </c>
      <c r="AC518" s="183">
        <f t="shared" si="162"/>
        <v>10124966.363408001</v>
      </c>
      <c r="AD518" s="183">
        <f t="shared" si="162"/>
        <v>0</v>
      </c>
    </row>
    <row r="519" spans="1:30" x14ac:dyDescent="0.25">
      <c r="A519" s="203"/>
      <c r="C519" s="203"/>
      <c r="O519" s="181" t="s">
        <v>309</v>
      </c>
      <c r="P519" s="188">
        <f t="shared" si="160"/>
        <v>0</v>
      </c>
      <c r="Q519" s="188">
        <f t="shared" si="160"/>
        <v>170242.856742</v>
      </c>
      <c r="R519" s="188">
        <f t="shared" si="160"/>
        <v>177701.798316</v>
      </c>
      <c r="S519" s="188">
        <f t="shared" si="160"/>
        <v>359595.52112399996</v>
      </c>
      <c r="T519" s="188">
        <f t="shared" si="160"/>
        <v>0</v>
      </c>
      <c r="X519" s="203"/>
      <c r="Y519" s="181" t="s">
        <v>309</v>
      </c>
      <c r="Z519" s="188">
        <f t="shared" si="161"/>
        <v>0</v>
      </c>
      <c r="AA519" s="183">
        <f t="shared" si="162"/>
        <v>87935.573258000004</v>
      </c>
      <c r="AB519" s="183">
        <f t="shared" si="162"/>
        <v>91788.341684000014</v>
      </c>
      <c r="AC519" s="183">
        <f t="shared" si="162"/>
        <v>185741.938876</v>
      </c>
      <c r="AD519" s="183">
        <f t="shared" si="162"/>
        <v>0</v>
      </c>
    </row>
    <row r="520" spans="1:30" x14ac:dyDescent="0.25">
      <c r="A520" s="203"/>
      <c r="C520" s="203"/>
      <c r="O520" s="181" t="s">
        <v>308</v>
      </c>
      <c r="P520" s="188">
        <f t="shared" si="160"/>
        <v>0</v>
      </c>
      <c r="Q520" s="188">
        <f t="shared" si="160"/>
        <v>137471.95597799998</v>
      </c>
      <c r="R520" s="188">
        <f t="shared" si="160"/>
        <v>137471.95597799998</v>
      </c>
      <c r="S520" s="188">
        <f t="shared" si="160"/>
        <v>137471.95597799998</v>
      </c>
      <c r="T520" s="188">
        <f t="shared" si="160"/>
        <v>0</v>
      </c>
      <c r="X520" s="203"/>
      <c r="Y520" s="181" t="s">
        <v>308</v>
      </c>
      <c r="Z520" s="188">
        <f t="shared" si="161"/>
        <v>0</v>
      </c>
      <c r="AA520" s="183">
        <f t="shared" si="162"/>
        <v>71008.414021999997</v>
      </c>
      <c r="AB520" s="183">
        <f t="shared" si="162"/>
        <v>71008.414021999997</v>
      </c>
      <c r="AC520" s="183">
        <f t="shared" si="162"/>
        <v>71008.414021999997</v>
      </c>
      <c r="AD520" s="183">
        <f t="shared" si="162"/>
        <v>0</v>
      </c>
    </row>
    <row r="521" spans="1:30" x14ac:dyDescent="0.25">
      <c r="A521" s="203"/>
      <c r="C521" s="203"/>
      <c r="O521" s="181" t="s">
        <v>307</v>
      </c>
      <c r="P521" s="188">
        <f t="shared" si="160"/>
        <v>0</v>
      </c>
      <c r="Q521" s="188">
        <f t="shared" si="160"/>
        <v>4825.4496359999994</v>
      </c>
      <c r="R521" s="188">
        <f t="shared" si="160"/>
        <v>5036.8664639999997</v>
      </c>
      <c r="S521" s="188">
        <f t="shared" si="160"/>
        <v>10192.563402</v>
      </c>
      <c r="T521" s="188">
        <f t="shared" si="160"/>
        <v>0</v>
      </c>
      <c r="X521" s="203"/>
      <c r="Y521" s="181" t="s">
        <v>307</v>
      </c>
      <c r="Z521" s="188">
        <f t="shared" si="161"/>
        <v>0</v>
      </c>
      <c r="AA521" s="183">
        <f t="shared" si="162"/>
        <v>2492.4903639999998</v>
      </c>
      <c r="AB521" s="183">
        <f t="shared" si="162"/>
        <v>2601.6935360000002</v>
      </c>
      <c r="AC521" s="183">
        <f t="shared" si="162"/>
        <v>5264.7665980000002</v>
      </c>
      <c r="AD521" s="183">
        <f t="shared" si="162"/>
        <v>0</v>
      </c>
    </row>
    <row r="522" spans="1:30" x14ac:dyDescent="0.25">
      <c r="A522" s="203"/>
      <c r="C522" s="203"/>
      <c r="O522" s="181" t="s">
        <v>306</v>
      </c>
      <c r="P522" s="188">
        <f t="shared" si="160"/>
        <v>0</v>
      </c>
      <c r="Q522" s="188">
        <f t="shared" si="160"/>
        <v>28307956.620887998</v>
      </c>
      <c r="R522" s="188">
        <f t="shared" si="160"/>
        <v>28316201.857398</v>
      </c>
      <c r="S522" s="188">
        <f t="shared" si="160"/>
        <v>28712565.199416</v>
      </c>
      <c r="T522" s="188">
        <f t="shared" si="160"/>
        <v>0</v>
      </c>
      <c r="X522" s="203"/>
      <c r="Y522" s="181" t="s">
        <v>306</v>
      </c>
      <c r="Z522" s="188">
        <f t="shared" si="161"/>
        <v>0</v>
      </c>
      <c r="AA522" s="183">
        <f t="shared" si="162"/>
        <v>14621913.899112001</v>
      </c>
      <c r="AB522" s="183">
        <f t="shared" si="162"/>
        <v>14626172.812602</v>
      </c>
      <c r="AC522" s="183">
        <f t="shared" si="162"/>
        <v>14830906.440584</v>
      </c>
      <c r="AD522" s="183">
        <f t="shared" si="162"/>
        <v>0</v>
      </c>
    </row>
    <row r="523" spans="1:30" x14ac:dyDescent="0.25">
      <c r="A523" s="203"/>
      <c r="C523" s="203"/>
      <c r="O523" s="181" t="s">
        <v>305</v>
      </c>
      <c r="P523" s="188">
        <f t="shared" si="160"/>
        <v>0</v>
      </c>
      <c r="Q523" s="188">
        <f t="shared" si="160"/>
        <v>2000236.28</v>
      </c>
      <c r="R523" s="188">
        <f t="shared" si="160"/>
        <v>3793959.98</v>
      </c>
      <c r="S523" s="188">
        <f t="shared" si="160"/>
        <v>8562721.5</v>
      </c>
      <c r="T523" s="188">
        <f t="shared" si="160"/>
        <v>0</v>
      </c>
      <c r="X523" s="203"/>
      <c r="Y523" s="181" t="s">
        <v>304</v>
      </c>
      <c r="Z523" s="188">
        <f t="shared" si="161"/>
        <v>0</v>
      </c>
      <c r="AA523" s="183">
        <f t="shared" si="162"/>
        <v>428032.76</v>
      </c>
      <c r="AB523" s="183">
        <f t="shared" si="162"/>
        <v>1154060.99</v>
      </c>
      <c r="AC523" s="183">
        <f t="shared" si="162"/>
        <v>3023552.86</v>
      </c>
      <c r="AD523" s="183">
        <f t="shared" si="162"/>
        <v>0</v>
      </c>
    </row>
    <row r="524" spans="1:30" x14ac:dyDescent="0.25">
      <c r="A524" s="203"/>
      <c r="C524" s="203"/>
      <c r="O524" s="181" t="s">
        <v>303</v>
      </c>
      <c r="P524" s="188">
        <f t="shared" ref="P524:T533" si="163">SUMIF($O$5:$O$509,$O524,P$5:P$509)</f>
        <v>0</v>
      </c>
      <c r="Q524" s="188">
        <f t="shared" si="163"/>
        <v>9637487.5199999996</v>
      </c>
      <c r="R524" s="188">
        <f t="shared" si="163"/>
        <v>16498955.51</v>
      </c>
      <c r="S524" s="188">
        <f t="shared" si="163"/>
        <v>40631294.75</v>
      </c>
      <c r="T524" s="188">
        <f t="shared" si="163"/>
        <v>0</v>
      </c>
      <c r="X524" s="203"/>
      <c r="Y524" s="181" t="s">
        <v>302</v>
      </c>
      <c r="Z524" s="188">
        <f t="shared" si="161"/>
        <v>0</v>
      </c>
      <c r="AA524" s="183">
        <f t="shared" si="162"/>
        <v>3015138.2499999995</v>
      </c>
      <c r="AB524" s="183">
        <f t="shared" si="162"/>
        <v>5002887.2300000004</v>
      </c>
      <c r="AC524" s="183">
        <f t="shared" si="162"/>
        <v>7308112.3999999994</v>
      </c>
      <c r="AD524" s="183">
        <f t="shared" si="162"/>
        <v>0</v>
      </c>
    </row>
    <row r="525" spans="1:30" x14ac:dyDescent="0.25">
      <c r="A525" s="203"/>
      <c r="C525" s="203"/>
      <c r="O525" s="181" t="s">
        <v>301</v>
      </c>
      <c r="P525" s="188">
        <f t="shared" si="163"/>
        <v>0</v>
      </c>
      <c r="Q525" s="188">
        <f t="shared" si="163"/>
        <v>661284.48</v>
      </c>
      <c r="R525" s="188">
        <f t="shared" si="163"/>
        <v>841654.54999999993</v>
      </c>
      <c r="S525" s="188">
        <f t="shared" si="163"/>
        <v>1753127.7500000002</v>
      </c>
      <c r="T525" s="188">
        <f t="shared" si="163"/>
        <v>0</v>
      </c>
      <c r="X525" s="203"/>
      <c r="Y525" s="181" t="s">
        <v>300</v>
      </c>
      <c r="Z525" s="188">
        <f t="shared" si="161"/>
        <v>0</v>
      </c>
      <c r="AA525" s="183">
        <f t="shared" si="162"/>
        <v>59586</v>
      </c>
      <c r="AB525" s="183">
        <f t="shared" si="162"/>
        <v>89007.12</v>
      </c>
      <c r="AC525" s="183">
        <f t="shared" si="162"/>
        <v>148490.75999999998</v>
      </c>
      <c r="AD525" s="183">
        <f t="shared" si="162"/>
        <v>0</v>
      </c>
    </row>
    <row r="526" spans="1:30" x14ac:dyDescent="0.25">
      <c r="A526" s="203"/>
      <c r="C526" s="203"/>
      <c r="O526" s="181" t="s">
        <v>299</v>
      </c>
      <c r="P526" s="188">
        <f t="shared" si="163"/>
        <v>0</v>
      </c>
      <c r="Q526" s="188">
        <f t="shared" si="163"/>
        <v>1434508.68</v>
      </c>
      <c r="R526" s="188">
        <f t="shared" si="163"/>
        <v>2895928.7399999998</v>
      </c>
      <c r="S526" s="188">
        <f t="shared" si="163"/>
        <v>10384532.389999999</v>
      </c>
      <c r="T526" s="188">
        <f t="shared" si="163"/>
        <v>0</v>
      </c>
      <c r="X526" s="203"/>
      <c r="Y526" s="181" t="s">
        <v>298</v>
      </c>
      <c r="Z526" s="188">
        <f t="shared" si="161"/>
        <v>0</v>
      </c>
      <c r="AA526" s="183">
        <f t="shared" si="162"/>
        <v>1038862.56</v>
      </c>
      <c r="AB526" s="183">
        <f t="shared" si="162"/>
        <v>1551810.66</v>
      </c>
      <c r="AC526" s="183">
        <f t="shared" si="162"/>
        <v>2588889.36</v>
      </c>
      <c r="AD526" s="183">
        <f t="shared" si="162"/>
        <v>0</v>
      </c>
    </row>
    <row r="527" spans="1:30" x14ac:dyDescent="0.25">
      <c r="A527" s="203"/>
      <c r="C527" s="203"/>
      <c r="O527" s="181" t="s">
        <v>297</v>
      </c>
      <c r="P527" s="188">
        <f t="shared" si="163"/>
        <v>0</v>
      </c>
      <c r="Q527" s="188">
        <f t="shared" si="163"/>
        <v>1667880.48</v>
      </c>
      <c r="R527" s="188">
        <f t="shared" si="163"/>
        <v>2429770.9700000002</v>
      </c>
      <c r="S527" s="188">
        <f t="shared" si="163"/>
        <v>5105024.0199999996</v>
      </c>
      <c r="T527" s="188">
        <f t="shared" si="163"/>
        <v>0</v>
      </c>
      <c r="X527" s="203"/>
      <c r="Y527" s="181" t="s">
        <v>296</v>
      </c>
      <c r="Z527" s="188">
        <f t="shared" si="161"/>
        <v>0</v>
      </c>
      <c r="AA527" s="183">
        <f t="shared" si="162"/>
        <v>111144.24</v>
      </c>
      <c r="AB527" s="183">
        <f t="shared" si="162"/>
        <v>166022.76</v>
      </c>
      <c r="AC527" s="183">
        <f t="shared" si="162"/>
        <v>276976.2</v>
      </c>
      <c r="AD527" s="183">
        <f t="shared" si="162"/>
        <v>0</v>
      </c>
    </row>
    <row r="528" spans="1:30" x14ac:dyDescent="0.25">
      <c r="A528" s="203"/>
      <c r="C528" s="203"/>
      <c r="O528" s="181" t="s">
        <v>295</v>
      </c>
      <c r="P528" s="188">
        <f t="shared" si="163"/>
        <v>0</v>
      </c>
      <c r="Q528" s="188">
        <f t="shared" si="163"/>
        <v>67412.160000000003</v>
      </c>
      <c r="R528" s="188">
        <f t="shared" si="163"/>
        <v>222765.83000000002</v>
      </c>
      <c r="S528" s="188">
        <f t="shared" si="163"/>
        <v>1093357.02</v>
      </c>
      <c r="T528" s="188">
        <f t="shared" si="163"/>
        <v>0</v>
      </c>
      <c r="X528" s="203"/>
      <c r="Y528" s="181" t="s">
        <v>294</v>
      </c>
      <c r="Z528" s="188">
        <f t="shared" si="161"/>
        <v>0</v>
      </c>
      <c r="AA528" s="183">
        <f t="shared" si="162"/>
        <v>1160381.3999999999</v>
      </c>
      <c r="AB528" s="183">
        <f t="shared" si="162"/>
        <v>1733330.58</v>
      </c>
      <c r="AC528" s="183">
        <f t="shared" si="162"/>
        <v>2891719.5</v>
      </c>
      <c r="AD528" s="183">
        <f t="shared" si="162"/>
        <v>0</v>
      </c>
    </row>
    <row r="529" spans="1:30" x14ac:dyDescent="0.25">
      <c r="A529" s="203"/>
      <c r="C529" s="203"/>
      <c r="O529" s="181" t="s">
        <v>293</v>
      </c>
      <c r="P529" s="188">
        <f t="shared" si="163"/>
        <v>0</v>
      </c>
      <c r="Q529" s="188">
        <f t="shared" si="163"/>
        <v>7314.3600000000006</v>
      </c>
      <c r="R529" s="188">
        <f t="shared" si="163"/>
        <v>23496.01</v>
      </c>
      <c r="S529" s="188">
        <f t="shared" si="163"/>
        <v>114185.75</v>
      </c>
      <c r="T529" s="188">
        <f t="shared" si="163"/>
        <v>0</v>
      </c>
      <c r="X529" s="203"/>
      <c r="Y529" s="181" t="s">
        <v>292</v>
      </c>
      <c r="Z529" s="188">
        <f t="shared" si="161"/>
        <v>0</v>
      </c>
      <c r="AA529" s="183">
        <f t="shared" si="162"/>
        <v>200181.96</v>
      </c>
      <c r="AB529" s="183">
        <f t="shared" si="162"/>
        <v>299023.68</v>
      </c>
      <c r="AC529" s="183">
        <f t="shared" si="162"/>
        <v>498861.9</v>
      </c>
      <c r="AD529" s="183">
        <f t="shared" si="162"/>
        <v>0</v>
      </c>
    </row>
    <row r="530" spans="1:30" x14ac:dyDescent="0.25">
      <c r="A530" s="203"/>
      <c r="C530" s="203"/>
      <c r="O530" s="181" t="s">
        <v>291</v>
      </c>
      <c r="P530" s="188">
        <f t="shared" si="163"/>
        <v>0</v>
      </c>
      <c r="Q530" s="188">
        <f t="shared" si="163"/>
        <v>78260.52</v>
      </c>
      <c r="R530" s="188">
        <f t="shared" si="163"/>
        <v>78260.52</v>
      </c>
      <c r="S530" s="188">
        <f t="shared" si="163"/>
        <v>78260.52</v>
      </c>
      <c r="T530" s="188">
        <f t="shared" si="163"/>
        <v>0</v>
      </c>
      <c r="X530" s="203"/>
      <c r="Y530" s="181" t="s">
        <v>290</v>
      </c>
      <c r="Z530" s="188">
        <f t="shared" si="161"/>
        <v>0</v>
      </c>
      <c r="AA530" s="183">
        <f t="shared" si="162"/>
        <v>45872.160000000003</v>
      </c>
      <c r="AB530" s="183">
        <f t="shared" si="162"/>
        <v>68521.98</v>
      </c>
      <c r="AC530" s="183">
        <f t="shared" si="162"/>
        <v>114315.41</v>
      </c>
      <c r="AD530" s="183">
        <f t="shared" si="162"/>
        <v>0</v>
      </c>
    </row>
    <row r="531" spans="1:30" x14ac:dyDescent="0.25">
      <c r="A531" s="203"/>
      <c r="C531" s="203"/>
      <c r="O531" s="181" t="s">
        <v>289</v>
      </c>
      <c r="P531" s="188">
        <f t="shared" si="163"/>
        <v>0</v>
      </c>
      <c r="Q531" s="188">
        <f t="shared" si="163"/>
        <v>675798.95</v>
      </c>
      <c r="R531" s="188">
        <f t="shared" si="163"/>
        <v>785110.25</v>
      </c>
      <c r="S531" s="188">
        <f t="shared" si="163"/>
        <v>894421.54999999993</v>
      </c>
      <c r="T531" s="188">
        <f t="shared" si="163"/>
        <v>0</v>
      </c>
      <c r="X531" s="203"/>
      <c r="Y531" s="181" t="s">
        <v>288</v>
      </c>
      <c r="Z531" s="188">
        <f t="shared" si="161"/>
        <v>0</v>
      </c>
      <c r="AA531" s="183">
        <f t="shared" si="162"/>
        <v>29885.64</v>
      </c>
      <c r="AB531" s="183">
        <f t="shared" si="162"/>
        <v>44641.919999999998</v>
      </c>
      <c r="AC531" s="183">
        <f t="shared" si="162"/>
        <v>74476.2</v>
      </c>
      <c r="AD531" s="183">
        <f t="shared" si="162"/>
        <v>0</v>
      </c>
    </row>
    <row r="532" spans="1:30" x14ac:dyDescent="0.25">
      <c r="A532" s="203"/>
      <c r="C532" s="203"/>
      <c r="O532" s="181" t="s">
        <v>287</v>
      </c>
      <c r="P532" s="188">
        <f t="shared" si="163"/>
        <v>0</v>
      </c>
      <c r="Q532" s="188">
        <f t="shared" si="163"/>
        <v>10796235.380000001</v>
      </c>
      <c r="R532" s="188">
        <f t="shared" si="163"/>
        <v>13213372.029999999</v>
      </c>
      <c r="S532" s="188">
        <f t="shared" si="163"/>
        <v>15630508.699999999</v>
      </c>
      <c r="T532" s="188">
        <f t="shared" si="163"/>
        <v>0</v>
      </c>
      <c r="X532" s="203"/>
      <c r="Y532" s="181" t="s">
        <v>286</v>
      </c>
      <c r="Z532" s="188">
        <f t="shared" si="161"/>
        <v>0</v>
      </c>
      <c r="AA532" s="183">
        <f t="shared" si="162"/>
        <v>2776711.59</v>
      </c>
      <c r="AB532" s="183">
        <f t="shared" si="162"/>
        <v>2776711.59</v>
      </c>
      <c r="AC532" s="183">
        <f t="shared" si="162"/>
        <v>2776711.59</v>
      </c>
      <c r="AD532" s="183">
        <f t="shared" si="162"/>
        <v>0</v>
      </c>
    </row>
    <row r="533" spans="1:30" x14ac:dyDescent="0.25">
      <c r="A533" s="203"/>
      <c r="C533" s="203"/>
      <c r="O533" s="181" t="s">
        <v>285</v>
      </c>
      <c r="P533" s="188">
        <f t="shared" si="163"/>
        <v>0</v>
      </c>
      <c r="Q533" s="188">
        <f t="shared" si="163"/>
        <v>14744484.229999999</v>
      </c>
      <c r="R533" s="188">
        <f t="shared" si="163"/>
        <v>14744484.229999999</v>
      </c>
      <c r="S533" s="188">
        <f t="shared" si="163"/>
        <v>14744484.229999999</v>
      </c>
      <c r="T533" s="188">
        <f t="shared" si="163"/>
        <v>0</v>
      </c>
      <c r="X533" s="203"/>
      <c r="Y533" s="181" t="s">
        <v>284</v>
      </c>
      <c r="Z533" s="188">
        <f t="shared" si="161"/>
        <v>0</v>
      </c>
      <c r="AA533" s="183">
        <f t="shared" si="162"/>
        <v>2.4</v>
      </c>
      <c r="AB533" s="183">
        <f t="shared" si="162"/>
        <v>3.59</v>
      </c>
      <c r="AC533" s="183">
        <f t="shared" si="162"/>
        <v>5.99</v>
      </c>
      <c r="AD533" s="183">
        <f t="shared" si="162"/>
        <v>0</v>
      </c>
    </row>
    <row r="534" spans="1:30" x14ac:dyDescent="0.25">
      <c r="A534" s="203"/>
      <c r="C534" s="203"/>
      <c r="O534" s="181" t="s">
        <v>283</v>
      </c>
      <c r="P534" s="188">
        <f t="shared" ref="P534:T543" si="164">SUMIF($O$5:$O$509,$O534,P$5:P$509)</f>
        <v>0</v>
      </c>
      <c r="Q534" s="188">
        <f t="shared" si="164"/>
        <v>7575183</v>
      </c>
      <c r="R534" s="188">
        <f t="shared" si="164"/>
        <v>16397377.699999999</v>
      </c>
      <c r="S534" s="188">
        <f t="shared" si="164"/>
        <v>16790648.899999999</v>
      </c>
      <c r="T534" s="188">
        <f t="shared" si="164"/>
        <v>0</v>
      </c>
      <c r="X534" s="203"/>
      <c r="Y534" s="181" t="s">
        <v>282</v>
      </c>
      <c r="Z534" s="188">
        <f t="shared" si="161"/>
        <v>0</v>
      </c>
      <c r="AA534" s="183">
        <f t="shared" ref="AA534:AD552" si="165">SUMIF($Y$5:$Y$509,$V534,AA$5:AA$509)+SUMIF($Y$5:$Y$509,$W534,AA$5:AA$509)+SUMIF($Y$5:$Y$509,$X534,AA$5:AA$509)+SUMIF($Y$5:$Y$509,$Y534,AA$5:AA$509)</f>
        <v>1178542.3</v>
      </c>
      <c r="AB534" s="183">
        <f t="shared" si="165"/>
        <v>1222228.22</v>
      </c>
      <c r="AC534" s="183">
        <f t="shared" si="165"/>
        <v>1439063.25</v>
      </c>
      <c r="AD534" s="183">
        <f t="shared" si="165"/>
        <v>0</v>
      </c>
    </row>
    <row r="535" spans="1:30" x14ac:dyDescent="0.25">
      <c r="A535" s="203"/>
      <c r="C535" s="203"/>
      <c r="O535" s="181" t="s">
        <v>281</v>
      </c>
      <c r="P535" s="188">
        <f t="shared" si="164"/>
        <v>0</v>
      </c>
      <c r="Q535" s="188">
        <f t="shared" si="164"/>
        <v>936100.06</v>
      </c>
      <c r="R535" s="188">
        <f t="shared" si="164"/>
        <v>1063724.79</v>
      </c>
      <c r="S535" s="188">
        <f t="shared" si="164"/>
        <v>1211492.7799999998</v>
      </c>
      <c r="T535" s="188">
        <f t="shared" si="164"/>
        <v>0</v>
      </c>
      <c r="X535" s="203"/>
      <c r="Y535" s="181" t="s">
        <v>280</v>
      </c>
      <c r="Z535" s="188">
        <f t="shared" si="161"/>
        <v>0</v>
      </c>
      <c r="AA535" s="183">
        <f t="shared" si="165"/>
        <v>167126074.81</v>
      </c>
      <c r="AB535" s="183">
        <f t="shared" si="165"/>
        <v>199695555.71000004</v>
      </c>
      <c r="AC535" s="183">
        <f t="shared" si="165"/>
        <v>352440489.50000006</v>
      </c>
      <c r="AD535" s="183">
        <f t="shared" si="165"/>
        <v>0</v>
      </c>
    </row>
    <row r="536" spans="1:30" x14ac:dyDescent="0.25">
      <c r="A536" s="203"/>
      <c r="C536" s="203"/>
      <c r="O536" s="181" t="s">
        <v>279</v>
      </c>
      <c r="P536" s="188">
        <f t="shared" si="164"/>
        <v>0</v>
      </c>
      <c r="Q536" s="188">
        <f t="shared" si="164"/>
        <v>96652.2</v>
      </c>
      <c r="R536" s="188">
        <f t="shared" si="164"/>
        <v>128626.62</v>
      </c>
      <c r="S536" s="188">
        <f t="shared" si="164"/>
        <v>225200.39</v>
      </c>
      <c r="T536" s="188">
        <f t="shared" si="164"/>
        <v>0</v>
      </c>
      <c r="X536" s="203"/>
      <c r="Y536" s="181" t="s">
        <v>278</v>
      </c>
      <c r="Z536" s="188">
        <f t="shared" si="161"/>
        <v>0</v>
      </c>
      <c r="AA536" s="183">
        <f t="shared" si="165"/>
        <v>5909483.3399999999</v>
      </c>
      <c r="AB536" s="183">
        <f t="shared" si="165"/>
        <v>8921368</v>
      </c>
      <c r="AC536" s="183">
        <f t="shared" si="165"/>
        <v>25354646.369999997</v>
      </c>
      <c r="AD536" s="183">
        <f t="shared" si="165"/>
        <v>0</v>
      </c>
    </row>
    <row r="537" spans="1:30" x14ac:dyDescent="0.25">
      <c r="A537" s="203"/>
      <c r="C537" s="203"/>
      <c r="O537" s="181" t="s">
        <v>277</v>
      </c>
      <c r="P537" s="188">
        <f t="shared" si="164"/>
        <v>0</v>
      </c>
      <c r="Q537" s="188">
        <f t="shared" si="164"/>
        <v>21255561.329999998</v>
      </c>
      <c r="R537" s="188">
        <f t="shared" si="164"/>
        <v>26955311.229999993</v>
      </c>
      <c r="S537" s="188">
        <f t="shared" si="164"/>
        <v>53206525.050000004</v>
      </c>
      <c r="T537" s="188">
        <f t="shared" si="164"/>
        <v>0</v>
      </c>
      <c r="X537" s="203"/>
      <c r="Y537" s="181" t="s">
        <v>276</v>
      </c>
      <c r="Z537" s="188">
        <f t="shared" si="161"/>
        <v>0</v>
      </c>
      <c r="AA537" s="183">
        <f t="shared" si="165"/>
        <v>46378628.219999999</v>
      </c>
      <c r="AB537" s="183">
        <f t="shared" si="165"/>
        <v>70657323.099999994</v>
      </c>
      <c r="AC537" s="183">
        <f t="shared" si="165"/>
        <v>125634109.75999999</v>
      </c>
      <c r="AD537" s="183">
        <f t="shared" si="165"/>
        <v>0</v>
      </c>
    </row>
    <row r="538" spans="1:30" x14ac:dyDescent="0.25">
      <c r="A538" s="203"/>
      <c r="C538" s="203"/>
      <c r="O538" s="181" t="s">
        <v>275</v>
      </c>
      <c r="P538" s="188">
        <f t="shared" si="164"/>
        <v>0</v>
      </c>
      <c r="Q538" s="188">
        <f t="shared" si="164"/>
        <v>2123913.4</v>
      </c>
      <c r="R538" s="188">
        <f t="shared" si="164"/>
        <v>2760725.59</v>
      </c>
      <c r="S538" s="188">
        <f t="shared" si="164"/>
        <v>4433971.629999999</v>
      </c>
      <c r="T538" s="188">
        <f t="shared" si="164"/>
        <v>0</v>
      </c>
      <c r="X538" s="203"/>
      <c r="Y538" s="181" t="s">
        <v>274</v>
      </c>
      <c r="Z538" s="188">
        <f t="shared" si="161"/>
        <v>0</v>
      </c>
      <c r="AA538" s="183">
        <f t="shared" si="165"/>
        <v>152757.36000000002</v>
      </c>
      <c r="AB538" s="183">
        <f t="shared" si="165"/>
        <v>232041.77</v>
      </c>
      <c r="AC538" s="183">
        <f t="shared" si="165"/>
        <v>403022.95</v>
      </c>
      <c r="AD538" s="183">
        <f t="shared" si="165"/>
        <v>0</v>
      </c>
    </row>
    <row r="539" spans="1:30" x14ac:dyDescent="0.25">
      <c r="A539" s="203"/>
      <c r="C539" s="203"/>
      <c r="O539" s="181" t="s">
        <v>273</v>
      </c>
      <c r="P539" s="188">
        <f t="shared" si="164"/>
        <v>0</v>
      </c>
      <c r="Q539" s="188">
        <f t="shared" si="164"/>
        <v>310614.44</v>
      </c>
      <c r="R539" s="188">
        <f t="shared" si="164"/>
        <v>362731.68</v>
      </c>
      <c r="S539" s="188">
        <f t="shared" si="164"/>
        <v>429556.21000000008</v>
      </c>
      <c r="T539" s="188">
        <f t="shared" si="164"/>
        <v>0</v>
      </c>
      <c r="X539" s="203"/>
      <c r="Y539" s="181" t="s">
        <v>272</v>
      </c>
      <c r="Z539" s="188">
        <f t="shared" si="161"/>
        <v>0</v>
      </c>
      <c r="AA539" s="183">
        <f t="shared" si="165"/>
        <v>3704597.8200000003</v>
      </c>
      <c r="AB539" s="183">
        <f t="shared" si="165"/>
        <v>8393694.0200000014</v>
      </c>
      <c r="AC539" s="183">
        <f t="shared" si="165"/>
        <v>72554390.870000005</v>
      </c>
      <c r="AD539" s="183">
        <f t="shared" si="165"/>
        <v>0</v>
      </c>
    </row>
    <row r="540" spans="1:30" x14ac:dyDescent="0.25">
      <c r="A540" s="203"/>
      <c r="C540" s="203"/>
      <c r="O540" s="181" t="s">
        <v>271</v>
      </c>
      <c r="P540" s="188">
        <f t="shared" si="164"/>
        <v>0</v>
      </c>
      <c r="Q540" s="188">
        <f t="shared" si="164"/>
        <v>472306.68</v>
      </c>
      <c r="R540" s="188">
        <f t="shared" si="164"/>
        <v>1334841.5899999999</v>
      </c>
      <c r="S540" s="188">
        <f t="shared" si="164"/>
        <v>2990732.88</v>
      </c>
      <c r="T540" s="188">
        <f t="shared" si="164"/>
        <v>0</v>
      </c>
      <c r="X540" s="203"/>
      <c r="Y540" s="181" t="s">
        <v>270</v>
      </c>
      <c r="Z540" s="188">
        <f t="shared" si="161"/>
        <v>0</v>
      </c>
      <c r="AA540" s="183">
        <f t="shared" si="165"/>
        <v>7889.52</v>
      </c>
      <c r="AB540" s="183">
        <f t="shared" si="165"/>
        <v>11946.64</v>
      </c>
      <c r="AC540" s="183">
        <f t="shared" si="165"/>
        <v>20176.739999999998</v>
      </c>
      <c r="AD540" s="183">
        <f t="shared" si="165"/>
        <v>0</v>
      </c>
    </row>
    <row r="541" spans="1:30" x14ac:dyDescent="0.25">
      <c r="A541" s="203"/>
      <c r="C541" s="203"/>
      <c r="O541" s="181" t="s">
        <v>269</v>
      </c>
      <c r="P541" s="188">
        <f t="shared" si="164"/>
        <v>0</v>
      </c>
      <c r="Q541" s="188">
        <f t="shared" si="164"/>
        <v>0</v>
      </c>
      <c r="R541" s="188">
        <f t="shared" si="164"/>
        <v>57325.01</v>
      </c>
      <c r="S541" s="188">
        <f t="shared" si="164"/>
        <v>91720.01</v>
      </c>
      <c r="T541" s="188">
        <f t="shared" si="164"/>
        <v>0</v>
      </c>
      <c r="X541" s="203"/>
      <c r="Y541" s="181" t="s">
        <v>268</v>
      </c>
      <c r="Z541" s="188">
        <f t="shared" si="161"/>
        <v>0</v>
      </c>
      <c r="AA541" s="183">
        <f t="shared" si="165"/>
        <v>84178.92</v>
      </c>
      <c r="AB541" s="183">
        <f t="shared" si="165"/>
        <v>140340.70000000001</v>
      </c>
      <c r="AC541" s="183">
        <f t="shared" si="165"/>
        <v>253866.54</v>
      </c>
      <c r="AD541" s="183">
        <f t="shared" si="165"/>
        <v>0</v>
      </c>
    </row>
    <row r="542" spans="1:30" x14ac:dyDescent="0.25">
      <c r="A542" s="203"/>
      <c r="C542" s="203"/>
      <c r="O542" s="181" t="s">
        <v>267</v>
      </c>
      <c r="P542" s="188">
        <f t="shared" si="164"/>
        <v>0</v>
      </c>
      <c r="Q542" s="188">
        <f t="shared" si="164"/>
        <v>69825000.610000014</v>
      </c>
      <c r="R542" s="188">
        <f t="shared" si="164"/>
        <v>90467691.609999999</v>
      </c>
      <c r="S542" s="188">
        <f t="shared" si="164"/>
        <v>137855845.28000003</v>
      </c>
      <c r="T542" s="188">
        <f t="shared" si="164"/>
        <v>0</v>
      </c>
      <c r="X542" s="203"/>
      <c r="Y542" s="181" t="s">
        <v>266</v>
      </c>
      <c r="Z542" s="188">
        <f t="shared" si="161"/>
        <v>0</v>
      </c>
      <c r="AA542" s="183">
        <f t="shared" si="165"/>
        <v>3175637.7600000002</v>
      </c>
      <c r="AB542" s="183">
        <f t="shared" si="165"/>
        <v>4484367.59</v>
      </c>
      <c r="AC542" s="183">
        <f t="shared" si="165"/>
        <v>7704950.7800000003</v>
      </c>
      <c r="AD542" s="183">
        <f t="shared" si="165"/>
        <v>0</v>
      </c>
    </row>
    <row r="543" spans="1:30" x14ac:dyDescent="0.25">
      <c r="A543" s="203"/>
      <c r="C543" s="203"/>
      <c r="O543" s="181" t="s">
        <v>265</v>
      </c>
      <c r="P543" s="188">
        <f t="shared" si="164"/>
        <v>0</v>
      </c>
      <c r="Q543" s="188">
        <f t="shared" si="164"/>
        <v>42279611.969999999</v>
      </c>
      <c r="R543" s="188">
        <f t="shared" si="164"/>
        <v>64028456.480000004</v>
      </c>
      <c r="S543" s="188">
        <f t="shared" si="164"/>
        <v>173258860.76999995</v>
      </c>
      <c r="T543" s="188">
        <f t="shared" si="164"/>
        <v>0</v>
      </c>
      <c r="X543" s="203"/>
      <c r="Y543" s="181" t="s">
        <v>264</v>
      </c>
      <c r="Z543" s="188">
        <f t="shared" si="161"/>
        <v>0</v>
      </c>
      <c r="AA543" s="183">
        <f t="shared" si="165"/>
        <v>39612.6</v>
      </c>
      <c r="AB543" s="183">
        <f t="shared" si="165"/>
        <v>60002.7</v>
      </c>
      <c r="AC543" s="183">
        <f t="shared" si="165"/>
        <v>101384.47</v>
      </c>
      <c r="AD543" s="183">
        <f t="shared" si="165"/>
        <v>0</v>
      </c>
    </row>
    <row r="544" spans="1:30" x14ac:dyDescent="0.25">
      <c r="A544" s="203"/>
      <c r="C544" s="203"/>
      <c r="O544" s="181" t="s">
        <v>263</v>
      </c>
      <c r="P544" s="188">
        <f t="shared" ref="P544:T553" si="166">SUMIF($O$5:$O$509,$O544,P$5:P$509)</f>
        <v>0</v>
      </c>
      <c r="Q544" s="188">
        <f t="shared" si="166"/>
        <v>7958830.9799999995</v>
      </c>
      <c r="R544" s="188">
        <f t="shared" si="166"/>
        <v>10755352.569999997</v>
      </c>
      <c r="S544" s="188">
        <f t="shared" si="166"/>
        <v>31750337.210000001</v>
      </c>
      <c r="T544" s="188">
        <f t="shared" si="166"/>
        <v>0</v>
      </c>
      <c r="X544" s="203"/>
      <c r="Y544" s="181" t="s">
        <v>262</v>
      </c>
      <c r="Z544" s="188">
        <f t="shared" si="161"/>
        <v>0</v>
      </c>
      <c r="AA544" s="183">
        <f t="shared" si="165"/>
        <v>2500000</v>
      </c>
      <c r="AB544" s="183">
        <f t="shared" si="165"/>
        <v>2500000</v>
      </c>
      <c r="AC544" s="183">
        <f t="shared" si="165"/>
        <v>2500000</v>
      </c>
      <c r="AD544" s="183">
        <f t="shared" si="165"/>
        <v>0</v>
      </c>
    </row>
    <row r="545" spans="1:30" x14ac:dyDescent="0.25">
      <c r="A545" s="203"/>
      <c r="C545" s="203"/>
      <c r="O545" s="181" t="s">
        <v>261</v>
      </c>
      <c r="P545" s="188">
        <f t="shared" si="166"/>
        <v>0</v>
      </c>
      <c r="Q545" s="188">
        <f t="shared" si="166"/>
        <v>754315.44</v>
      </c>
      <c r="R545" s="188">
        <f t="shared" si="166"/>
        <v>1508630.9</v>
      </c>
      <c r="S545" s="188">
        <f t="shared" si="166"/>
        <v>3017261.78</v>
      </c>
      <c r="T545" s="188">
        <f t="shared" si="166"/>
        <v>0</v>
      </c>
      <c r="X545" s="203"/>
      <c r="Y545" s="181" t="s">
        <v>260</v>
      </c>
      <c r="Z545" s="188">
        <f t="shared" si="161"/>
        <v>0</v>
      </c>
      <c r="AA545" s="183">
        <f t="shared" si="165"/>
        <v>86330.33</v>
      </c>
      <c r="AB545" s="183">
        <f t="shared" si="165"/>
        <v>86330.33</v>
      </c>
      <c r="AC545" s="183">
        <f t="shared" si="165"/>
        <v>86330.33</v>
      </c>
      <c r="AD545" s="183">
        <f t="shared" si="165"/>
        <v>0</v>
      </c>
    </row>
    <row r="546" spans="1:30" x14ac:dyDescent="0.25">
      <c r="A546" s="203"/>
      <c r="C546" s="203"/>
      <c r="O546" s="181" t="s">
        <v>259</v>
      </c>
      <c r="P546" s="188">
        <f t="shared" si="166"/>
        <v>0</v>
      </c>
      <c r="Q546" s="188">
        <f t="shared" si="166"/>
        <v>1131473.04</v>
      </c>
      <c r="R546" s="188">
        <f t="shared" si="166"/>
        <v>2262946.15</v>
      </c>
      <c r="S546" s="188">
        <f t="shared" si="166"/>
        <v>4525892.3499999996</v>
      </c>
      <c r="T546" s="188">
        <f t="shared" si="166"/>
        <v>0</v>
      </c>
      <c r="X546" s="203"/>
      <c r="Y546" s="181" t="s">
        <v>258</v>
      </c>
      <c r="Z546" s="188">
        <f t="shared" si="161"/>
        <v>0</v>
      </c>
      <c r="AA546" s="183">
        <f t="shared" si="165"/>
        <v>393546.43</v>
      </c>
      <c r="AB546" s="183">
        <f t="shared" si="165"/>
        <v>573360.79</v>
      </c>
      <c r="AC546" s="183">
        <f t="shared" si="165"/>
        <v>1030785.38</v>
      </c>
      <c r="AD546" s="183">
        <f t="shared" si="165"/>
        <v>0</v>
      </c>
    </row>
    <row r="547" spans="1:30" x14ac:dyDescent="0.25">
      <c r="A547" s="203"/>
      <c r="C547" s="203"/>
      <c r="O547" s="181" t="s">
        <v>257</v>
      </c>
      <c r="P547" s="188">
        <f t="shared" si="166"/>
        <v>0</v>
      </c>
      <c r="Q547" s="188">
        <f t="shared" si="166"/>
        <v>41627.53</v>
      </c>
      <c r="R547" s="188">
        <f t="shared" si="166"/>
        <v>45919.1</v>
      </c>
      <c r="S547" s="188">
        <f t="shared" si="166"/>
        <v>148658.41</v>
      </c>
      <c r="T547" s="188">
        <f t="shared" si="166"/>
        <v>0</v>
      </c>
      <c r="X547" s="203"/>
      <c r="Y547" s="181" t="s">
        <v>256</v>
      </c>
      <c r="Z547" s="188">
        <f t="shared" si="161"/>
        <v>0</v>
      </c>
      <c r="AA547" s="183">
        <f t="shared" si="165"/>
        <v>177460.4</v>
      </c>
      <c r="AB547" s="183">
        <f t="shared" si="165"/>
        <v>185235.57</v>
      </c>
      <c r="AC547" s="183">
        <f t="shared" si="165"/>
        <v>374840.78</v>
      </c>
      <c r="AD547" s="183">
        <f t="shared" si="165"/>
        <v>0</v>
      </c>
    </row>
    <row r="548" spans="1:30" x14ac:dyDescent="0.25">
      <c r="A548" s="203"/>
      <c r="C548" s="203"/>
      <c r="O548" s="181" t="s">
        <v>255</v>
      </c>
      <c r="P548" s="188">
        <f t="shared" si="166"/>
        <v>0</v>
      </c>
      <c r="Q548" s="188">
        <f t="shared" si="166"/>
        <v>2418945.71</v>
      </c>
      <c r="R548" s="188">
        <f t="shared" si="166"/>
        <v>3596261.8099999996</v>
      </c>
      <c r="S548" s="188">
        <f t="shared" si="166"/>
        <v>12729169.1</v>
      </c>
      <c r="T548" s="188">
        <f t="shared" si="166"/>
        <v>0</v>
      </c>
      <c r="X548" s="203"/>
      <c r="Y548" s="181" t="s">
        <v>254</v>
      </c>
      <c r="Z548" s="188">
        <f t="shared" si="161"/>
        <v>0</v>
      </c>
      <c r="AA548" s="183">
        <f t="shared" si="165"/>
        <v>1144313.83</v>
      </c>
      <c r="AB548" s="183">
        <f t="shared" si="165"/>
        <v>1193316.73</v>
      </c>
      <c r="AC548" s="183">
        <f t="shared" si="165"/>
        <v>2370749.0099999998</v>
      </c>
      <c r="AD548" s="183">
        <f t="shared" si="165"/>
        <v>0</v>
      </c>
    </row>
    <row r="549" spans="1:30" x14ac:dyDescent="0.25">
      <c r="A549" s="203"/>
      <c r="C549" s="203"/>
      <c r="O549" s="181" t="s">
        <v>253</v>
      </c>
      <c r="P549" s="188">
        <f t="shared" si="166"/>
        <v>0</v>
      </c>
      <c r="Q549" s="188">
        <f t="shared" si="166"/>
        <v>1082539.8400000001</v>
      </c>
      <c r="R549" s="188">
        <f t="shared" si="166"/>
        <v>1993304.38</v>
      </c>
      <c r="S549" s="188">
        <f t="shared" si="166"/>
        <v>4429317.82</v>
      </c>
      <c r="T549" s="188">
        <f t="shared" si="166"/>
        <v>0</v>
      </c>
      <c r="X549" s="203"/>
      <c r="Y549" s="181" t="s">
        <v>252</v>
      </c>
      <c r="Z549" s="188">
        <f t="shared" si="161"/>
        <v>0</v>
      </c>
      <c r="AA549" s="183">
        <f t="shared" si="165"/>
        <v>60880.959999999999</v>
      </c>
      <c r="AB549" s="183">
        <f t="shared" si="165"/>
        <v>63488.06</v>
      </c>
      <c r="AC549" s="183">
        <f t="shared" si="165"/>
        <v>126131.01</v>
      </c>
      <c r="AD549" s="183">
        <f t="shared" si="165"/>
        <v>0</v>
      </c>
    </row>
    <row r="550" spans="1:30" x14ac:dyDescent="0.25">
      <c r="A550" s="203"/>
      <c r="C550" s="203"/>
      <c r="O550" s="181" t="s">
        <v>251</v>
      </c>
      <c r="P550" s="188">
        <f t="shared" si="166"/>
        <v>0</v>
      </c>
      <c r="Q550" s="188">
        <f t="shared" si="166"/>
        <v>14268533.949999999</v>
      </c>
      <c r="R550" s="188">
        <f t="shared" si="166"/>
        <v>25279395.099999998</v>
      </c>
      <c r="S550" s="188">
        <f t="shared" si="166"/>
        <v>56578537.919999994</v>
      </c>
      <c r="T550" s="188">
        <f t="shared" si="166"/>
        <v>0</v>
      </c>
      <c r="X550" s="203"/>
      <c r="Y550" s="181" t="s">
        <v>250</v>
      </c>
      <c r="Z550" s="188">
        <f t="shared" si="161"/>
        <v>0</v>
      </c>
      <c r="AA550" s="183">
        <f t="shared" si="165"/>
        <v>6427.81</v>
      </c>
      <c r="AB550" s="183">
        <f t="shared" si="165"/>
        <v>6709.43</v>
      </c>
      <c r="AC550" s="183">
        <f t="shared" si="165"/>
        <v>13577.14</v>
      </c>
      <c r="AD550" s="183">
        <f t="shared" si="165"/>
        <v>0</v>
      </c>
    </row>
    <row r="551" spans="1:30" x14ac:dyDescent="0.25">
      <c r="A551" s="203"/>
      <c r="C551" s="203"/>
      <c r="O551" s="181" t="s">
        <v>249</v>
      </c>
      <c r="P551" s="188">
        <f t="shared" si="166"/>
        <v>0</v>
      </c>
      <c r="Q551" s="188">
        <f t="shared" si="166"/>
        <v>251281.32</v>
      </c>
      <c r="R551" s="188">
        <f t="shared" si="166"/>
        <v>7665374.3399999999</v>
      </c>
      <c r="S551" s="188">
        <f t="shared" si="166"/>
        <v>13997846.200000001</v>
      </c>
      <c r="T551" s="188">
        <f t="shared" si="166"/>
        <v>0</v>
      </c>
      <c r="X551" s="203"/>
      <c r="Y551" s="181" t="s">
        <v>248</v>
      </c>
      <c r="Z551" s="188">
        <f t="shared" si="161"/>
        <v>0</v>
      </c>
      <c r="AA551" s="183">
        <f t="shared" si="165"/>
        <v>43726.31</v>
      </c>
      <c r="AB551" s="183">
        <f t="shared" si="165"/>
        <v>65683.83</v>
      </c>
      <c r="AC551" s="183">
        <f t="shared" si="165"/>
        <v>110916.55</v>
      </c>
      <c r="AD551" s="183">
        <f t="shared" si="165"/>
        <v>0</v>
      </c>
    </row>
    <row r="552" spans="1:30" x14ac:dyDescent="0.25">
      <c r="A552" s="203"/>
      <c r="C552" s="203"/>
      <c r="O552" s="181" t="s">
        <v>247</v>
      </c>
      <c r="P552" s="188">
        <f t="shared" si="166"/>
        <v>0</v>
      </c>
      <c r="Q552" s="188">
        <f t="shared" si="166"/>
        <v>32990040.559999999</v>
      </c>
      <c r="R552" s="188">
        <f t="shared" si="166"/>
        <v>56576946.180000007</v>
      </c>
      <c r="S552" s="188">
        <f t="shared" si="166"/>
        <v>132227221.09999996</v>
      </c>
      <c r="T552" s="188">
        <f t="shared" si="166"/>
        <v>0</v>
      </c>
      <c r="X552" s="203"/>
      <c r="Y552" s="181" t="s">
        <v>246</v>
      </c>
      <c r="Z552" s="188">
        <f t="shared" si="161"/>
        <v>0</v>
      </c>
      <c r="AA552" s="183">
        <f t="shared" si="165"/>
        <v>0</v>
      </c>
      <c r="AB552" s="183">
        <f t="shared" si="165"/>
        <v>0</v>
      </c>
      <c r="AC552" s="183">
        <f t="shared" si="165"/>
        <v>0</v>
      </c>
      <c r="AD552" s="183">
        <f t="shared" si="165"/>
        <v>0</v>
      </c>
    </row>
    <row r="553" spans="1:30" x14ac:dyDescent="0.25">
      <c r="A553" s="203"/>
      <c r="C553" s="203"/>
      <c r="O553" s="181" t="s">
        <v>245</v>
      </c>
      <c r="P553" s="188">
        <f t="shared" si="166"/>
        <v>0</v>
      </c>
      <c r="Q553" s="188">
        <f t="shared" si="166"/>
        <v>35795184.75</v>
      </c>
      <c r="R553" s="188">
        <f t="shared" si="166"/>
        <v>56461816.930000007</v>
      </c>
      <c r="S553" s="188">
        <f t="shared" si="166"/>
        <v>113924234.88000001</v>
      </c>
      <c r="T553" s="188">
        <f t="shared" si="166"/>
        <v>0</v>
      </c>
      <c r="Z553" s="188">
        <f>SUM(Z514:Z552)</f>
        <v>0</v>
      </c>
      <c r="AA553" s="188">
        <f>SUM(AA514:AA552)</f>
        <v>275180706.80412996</v>
      </c>
      <c r="AB553" s="188">
        <f>SUM(AB514:AB552)</f>
        <v>358874908.1327619</v>
      </c>
      <c r="AC553" s="188">
        <f>SUM(AC514:AC552)</f>
        <v>708205269.05382395</v>
      </c>
      <c r="AD553" s="188">
        <f>SUM(AD514:AD552)</f>
        <v>0</v>
      </c>
    </row>
    <row r="554" spans="1:30" x14ac:dyDescent="0.25">
      <c r="A554" s="203"/>
      <c r="C554" s="203"/>
      <c r="O554" s="181" t="s">
        <v>244</v>
      </c>
      <c r="P554" s="188">
        <f t="shared" ref="P554:T563" si="167">SUMIF($O$5:$O$509,$O554,P$5:P$509)</f>
        <v>0</v>
      </c>
      <c r="Q554" s="188">
        <f t="shared" si="167"/>
        <v>25240368.670000002</v>
      </c>
      <c r="R554" s="188">
        <f t="shared" si="167"/>
        <v>41366678.609999999</v>
      </c>
      <c r="S554" s="188">
        <f t="shared" si="167"/>
        <v>86658412.960000008</v>
      </c>
      <c r="T554" s="188">
        <f t="shared" si="167"/>
        <v>0</v>
      </c>
      <c r="Z554" s="188">
        <f>Z553-Z510</f>
        <v>0</v>
      </c>
      <c r="AA554" s="188">
        <f>AA553-AA510</f>
        <v>0</v>
      </c>
      <c r="AB554" s="188">
        <f>AB553-AB510</f>
        <v>0</v>
      </c>
      <c r="AC554" s="188">
        <f>AC553-AC510</f>
        <v>0</v>
      </c>
      <c r="AD554" s="188">
        <f>AD553-AD510</f>
        <v>0</v>
      </c>
    </row>
    <row r="555" spans="1:30" x14ac:dyDescent="0.25">
      <c r="A555" s="203"/>
      <c r="C555" s="203"/>
      <c r="O555" s="181" t="s">
        <v>243</v>
      </c>
      <c r="P555" s="188">
        <f t="shared" si="167"/>
        <v>0</v>
      </c>
      <c r="Q555" s="188">
        <f t="shared" si="167"/>
        <v>30080838.379999999</v>
      </c>
      <c r="R555" s="188">
        <f t="shared" si="167"/>
        <v>45455463.530000001</v>
      </c>
      <c r="S555" s="188">
        <f t="shared" si="167"/>
        <v>92418853.099999994</v>
      </c>
      <c r="T555" s="188">
        <f t="shared" si="167"/>
        <v>0</v>
      </c>
      <c r="Z555" s="188"/>
      <c r="AA555" s="183"/>
      <c r="AB555" s="183"/>
      <c r="AC555" s="183"/>
      <c r="AD555" s="183"/>
    </row>
    <row r="556" spans="1:30" x14ac:dyDescent="0.25">
      <c r="A556" s="203"/>
      <c r="C556" s="203"/>
      <c r="O556" s="181" t="s">
        <v>242</v>
      </c>
      <c r="P556" s="188">
        <f t="shared" si="167"/>
        <v>0</v>
      </c>
      <c r="Q556" s="188">
        <f t="shared" si="167"/>
        <v>43373400.390000001</v>
      </c>
      <c r="R556" s="188">
        <f t="shared" si="167"/>
        <v>71731224.250000015</v>
      </c>
      <c r="S556" s="188">
        <f t="shared" si="167"/>
        <v>143576233.04000002</v>
      </c>
      <c r="T556" s="188">
        <f t="shared" si="167"/>
        <v>0</v>
      </c>
      <c r="Z556" s="188"/>
      <c r="AA556" s="183"/>
      <c r="AB556" s="183"/>
      <c r="AC556" s="183"/>
      <c r="AD556" s="183"/>
    </row>
    <row r="557" spans="1:30" x14ac:dyDescent="0.25">
      <c r="A557" s="203"/>
      <c r="C557" s="203"/>
      <c r="O557" s="181" t="s">
        <v>241</v>
      </c>
      <c r="P557" s="188">
        <f t="shared" si="167"/>
        <v>0</v>
      </c>
      <c r="Q557" s="188">
        <f t="shared" si="167"/>
        <v>357772.87</v>
      </c>
      <c r="R557" s="188">
        <f t="shared" si="167"/>
        <v>542669.4</v>
      </c>
      <c r="S557" s="188">
        <f t="shared" si="167"/>
        <v>917623.51</v>
      </c>
      <c r="T557" s="188">
        <f t="shared" si="167"/>
        <v>0</v>
      </c>
      <c r="Z557" s="188"/>
      <c r="AA557" s="183"/>
      <c r="AB557" s="183"/>
      <c r="AC557" s="183"/>
      <c r="AD557" s="183"/>
    </row>
    <row r="558" spans="1:30" x14ac:dyDescent="0.25">
      <c r="A558" s="203"/>
      <c r="C558" s="203"/>
      <c r="O558" s="181" t="s">
        <v>240</v>
      </c>
      <c r="P558" s="188">
        <f t="shared" si="167"/>
        <v>0</v>
      </c>
      <c r="Q558" s="188">
        <f t="shared" si="167"/>
        <v>2186736.7000000002</v>
      </c>
      <c r="R558" s="188">
        <f t="shared" si="167"/>
        <v>6242827.8500000006</v>
      </c>
      <c r="S558" s="188">
        <f t="shared" si="167"/>
        <v>70041469.370000005</v>
      </c>
      <c r="T558" s="188">
        <f t="shared" si="167"/>
        <v>0</v>
      </c>
      <c r="Z558" s="188"/>
      <c r="AA558" s="183"/>
      <c r="AB558" s="183"/>
      <c r="AC558" s="183"/>
      <c r="AD558" s="183"/>
    </row>
    <row r="559" spans="1:30" x14ac:dyDescent="0.25">
      <c r="A559" s="203"/>
      <c r="C559" s="203"/>
      <c r="O559" s="181" t="s">
        <v>239</v>
      </c>
      <c r="P559" s="188">
        <f t="shared" si="167"/>
        <v>0</v>
      </c>
      <c r="Q559" s="188">
        <f t="shared" si="167"/>
        <v>3158695.8</v>
      </c>
      <c r="R559" s="188">
        <f t="shared" si="167"/>
        <v>6858764.2599999998</v>
      </c>
      <c r="S559" s="188">
        <f t="shared" si="167"/>
        <v>18791745.149999999</v>
      </c>
      <c r="T559" s="188">
        <f t="shared" si="167"/>
        <v>0</v>
      </c>
      <c r="Z559" s="188"/>
      <c r="AA559" s="183"/>
      <c r="AB559" s="183"/>
      <c r="AC559" s="183"/>
      <c r="AD559" s="183"/>
    </row>
    <row r="560" spans="1:30" x14ac:dyDescent="0.25">
      <c r="A560" s="203"/>
      <c r="C560" s="203"/>
      <c r="O560" s="181" t="s">
        <v>238</v>
      </c>
      <c r="P560" s="188">
        <f t="shared" si="167"/>
        <v>0</v>
      </c>
      <c r="Q560" s="188">
        <f t="shared" si="167"/>
        <v>3883677.4200000004</v>
      </c>
      <c r="R560" s="188">
        <f t="shared" si="167"/>
        <v>6098801.2700000005</v>
      </c>
      <c r="S560" s="188">
        <f t="shared" si="167"/>
        <v>12202080.560000001</v>
      </c>
      <c r="T560" s="188">
        <f t="shared" si="167"/>
        <v>0</v>
      </c>
      <c r="Z560" s="188"/>
      <c r="AA560" s="183"/>
      <c r="AB560" s="183"/>
      <c r="AC560" s="183"/>
      <c r="AD560" s="183"/>
    </row>
    <row r="561" spans="1:30" x14ac:dyDescent="0.25">
      <c r="A561" s="203"/>
      <c r="C561" s="203"/>
      <c r="O561" s="181" t="s">
        <v>237</v>
      </c>
      <c r="P561" s="188">
        <f t="shared" si="167"/>
        <v>0</v>
      </c>
      <c r="Q561" s="188">
        <f t="shared" si="167"/>
        <v>18856490.210000001</v>
      </c>
      <c r="R561" s="188">
        <f t="shared" si="167"/>
        <v>19160503.030000001</v>
      </c>
      <c r="S561" s="188">
        <f t="shared" si="167"/>
        <v>20990061.109999999</v>
      </c>
      <c r="T561" s="188">
        <f t="shared" si="167"/>
        <v>0</v>
      </c>
      <c r="Z561" s="188"/>
      <c r="AA561" s="183"/>
      <c r="AB561" s="183"/>
      <c r="AC561" s="183"/>
      <c r="AD561" s="183"/>
    </row>
    <row r="562" spans="1:30" x14ac:dyDescent="0.25">
      <c r="A562" s="203"/>
      <c r="C562" s="203"/>
      <c r="O562" s="181" t="s">
        <v>236</v>
      </c>
      <c r="P562" s="188">
        <f t="shared" si="167"/>
        <v>0</v>
      </c>
      <c r="Q562" s="188">
        <f t="shared" si="167"/>
        <v>1709301.6600000001</v>
      </c>
      <c r="R562" s="188">
        <f t="shared" si="167"/>
        <v>2730073.05</v>
      </c>
      <c r="S562" s="188">
        <f t="shared" si="167"/>
        <v>6476399.6999999993</v>
      </c>
      <c r="T562" s="188">
        <f t="shared" si="167"/>
        <v>0</v>
      </c>
      <c r="Z562" s="188"/>
      <c r="AA562" s="183"/>
      <c r="AB562" s="183"/>
      <c r="AC562" s="183"/>
      <c r="AD562" s="183"/>
    </row>
    <row r="563" spans="1:30" x14ac:dyDescent="0.25">
      <c r="A563" s="203"/>
      <c r="C563" s="203"/>
      <c r="O563" s="181" t="s">
        <v>235</v>
      </c>
      <c r="P563" s="188">
        <f t="shared" si="167"/>
        <v>0</v>
      </c>
      <c r="Q563" s="188">
        <f t="shared" si="167"/>
        <v>336671.82999999996</v>
      </c>
      <c r="R563" s="188">
        <f t="shared" si="167"/>
        <v>364435.63</v>
      </c>
      <c r="S563" s="188">
        <f t="shared" si="167"/>
        <v>792335.45</v>
      </c>
      <c r="T563" s="188">
        <f t="shared" si="167"/>
        <v>0</v>
      </c>
      <c r="Z563" s="188"/>
      <c r="AA563" s="183"/>
      <c r="AB563" s="183"/>
      <c r="AC563" s="183"/>
      <c r="AD563" s="183"/>
    </row>
    <row r="564" spans="1:30" x14ac:dyDescent="0.25">
      <c r="A564" s="203"/>
      <c r="C564" s="203"/>
      <c r="O564" s="181" t="s">
        <v>234</v>
      </c>
      <c r="P564" s="188">
        <f t="shared" ref="P564:T569" si="168">SUMIF($O$5:$O$509,$O564,P$5:P$509)</f>
        <v>0</v>
      </c>
      <c r="Q564" s="188">
        <f t="shared" si="168"/>
        <v>83.36</v>
      </c>
      <c r="R564" s="188">
        <f t="shared" si="168"/>
        <v>86.94</v>
      </c>
      <c r="S564" s="188">
        <f t="shared" si="168"/>
        <v>172.91</v>
      </c>
      <c r="T564" s="188">
        <f t="shared" si="168"/>
        <v>0</v>
      </c>
      <c r="Z564" s="188"/>
      <c r="AA564" s="183"/>
      <c r="AB564" s="183"/>
      <c r="AC564" s="183"/>
      <c r="AD564" s="183"/>
    </row>
    <row r="565" spans="1:30" x14ac:dyDescent="0.25">
      <c r="A565" s="203"/>
      <c r="C565" s="203"/>
      <c r="O565" s="181" t="s">
        <v>233</v>
      </c>
      <c r="P565" s="188">
        <f t="shared" si="168"/>
        <v>0</v>
      </c>
      <c r="Q565" s="188">
        <f t="shared" si="168"/>
        <v>6088673.1600000001</v>
      </c>
      <c r="R565" s="188">
        <f t="shared" si="168"/>
        <v>7067846.1900000013</v>
      </c>
      <c r="S565" s="188">
        <f t="shared" si="168"/>
        <v>13356653.399999999</v>
      </c>
      <c r="T565" s="188">
        <f t="shared" si="168"/>
        <v>0</v>
      </c>
      <c r="Z565" s="188"/>
      <c r="AA565" s="183"/>
      <c r="AB565" s="183"/>
      <c r="AC565" s="183"/>
      <c r="AD565" s="183"/>
    </row>
    <row r="566" spans="1:30" x14ac:dyDescent="0.25">
      <c r="A566" s="203"/>
      <c r="C566" s="203"/>
      <c r="O566" s="181" t="s">
        <v>232</v>
      </c>
      <c r="P566" s="188">
        <f t="shared" si="168"/>
        <v>0</v>
      </c>
      <c r="Q566" s="188">
        <f t="shared" si="168"/>
        <v>206488.62</v>
      </c>
      <c r="R566" s="188">
        <f t="shared" si="168"/>
        <v>215350.43</v>
      </c>
      <c r="S566" s="188">
        <f t="shared" si="168"/>
        <v>736521.39999999991</v>
      </c>
      <c r="T566" s="188">
        <f t="shared" si="168"/>
        <v>0</v>
      </c>
      <c r="Z566" s="188"/>
      <c r="AA566" s="183"/>
      <c r="AB566" s="183"/>
      <c r="AC566" s="183"/>
      <c r="AD566" s="183"/>
    </row>
    <row r="567" spans="1:30" x14ac:dyDescent="0.25">
      <c r="A567" s="203"/>
      <c r="C567" s="203"/>
      <c r="O567" s="181" t="s">
        <v>231</v>
      </c>
      <c r="P567" s="188">
        <f t="shared" si="168"/>
        <v>0</v>
      </c>
      <c r="Q567" s="188">
        <f t="shared" si="168"/>
        <v>175825.06</v>
      </c>
      <c r="R567" s="188">
        <f t="shared" si="168"/>
        <v>195115.44</v>
      </c>
      <c r="S567" s="188">
        <f t="shared" si="168"/>
        <v>443687.63</v>
      </c>
      <c r="T567" s="188">
        <f t="shared" si="168"/>
        <v>0</v>
      </c>
      <c r="Z567" s="188"/>
      <c r="AA567" s="183"/>
      <c r="AB567" s="183"/>
      <c r="AC567" s="183"/>
      <c r="AD567" s="183"/>
    </row>
    <row r="568" spans="1:30" x14ac:dyDescent="0.25">
      <c r="O568" s="181" t="s">
        <v>230</v>
      </c>
      <c r="P568" s="188">
        <f t="shared" si="168"/>
        <v>0</v>
      </c>
      <c r="Q568" s="188">
        <f t="shared" si="168"/>
        <v>4000212.4200000004</v>
      </c>
      <c r="R568" s="188">
        <f t="shared" si="168"/>
        <v>6628584.9699999997</v>
      </c>
      <c r="S568" s="188">
        <f t="shared" si="168"/>
        <v>14190071.48</v>
      </c>
      <c r="T568" s="188">
        <f t="shared" si="168"/>
        <v>0</v>
      </c>
      <c r="Z568" s="188"/>
      <c r="AA568" s="183"/>
      <c r="AB568" s="183"/>
      <c r="AC568" s="183"/>
      <c r="AD568" s="183"/>
    </row>
    <row r="569" spans="1:30" x14ac:dyDescent="0.25">
      <c r="C569" s="203"/>
      <c r="D569" s="204"/>
      <c r="O569" s="181" t="s">
        <v>229</v>
      </c>
      <c r="P569" s="188">
        <f t="shared" si="168"/>
        <v>0</v>
      </c>
      <c r="Q569" s="188">
        <f t="shared" si="168"/>
        <v>32685.39</v>
      </c>
      <c r="R569" s="188">
        <f t="shared" si="168"/>
        <v>34521.54</v>
      </c>
      <c r="S569" s="188">
        <f t="shared" si="168"/>
        <v>64241.43</v>
      </c>
      <c r="T569" s="188">
        <f t="shared" si="168"/>
        <v>0</v>
      </c>
      <c r="Z569" s="188"/>
      <c r="AA569" s="183"/>
      <c r="AB569" s="183"/>
      <c r="AC569" s="183"/>
      <c r="AD569" s="183"/>
    </row>
    <row r="570" spans="1:30" x14ac:dyDescent="0.25">
      <c r="C570" s="203"/>
      <c r="D570" s="204"/>
      <c r="P570" s="183">
        <f>SUM(P514:P569)</f>
        <v>0</v>
      </c>
      <c r="Q570" s="183">
        <f>SUM(Q514:Q569)</f>
        <v>489130751.21587008</v>
      </c>
      <c r="R570" s="183">
        <f>SUM(R514:R569)</f>
        <v>731875290.19723797</v>
      </c>
      <c r="S570" s="183">
        <f>SUM(S514:S569)</f>
        <v>1530295552.6361763</v>
      </c>
      <c r="T570" s="183">
        <f>SUM(T514:T569)</f>
        <v>0</v>
      </c>
      <c r="Z570" s="188"/>
    </row>
    <row r="571" spans="1:30" x14ac:dyDescent="0.25">
      <c r="P571" s="183">
        <f>P570-P510</f>
        <v>0</v>
      </c>
      <c r="Q571" s="183">
        <f>Q570-Q510</f>
        <v>0</v>
      </c>
      <c r="R571" s="183">
        <f>R570-R510</f>
        <v>0</v>
      </c>
      <c r="S571" s="183">
        <f>S570-S510</f>
        <v>0</v>
      </c>
      <c r="T571" s="183">
        <f>T570-T510</f>
        <v>0</v>
      </c>
      <c r="Z571" s="188"/>
    </row>
    <row r="572" spans="1:30" x14ac:dyDescent="0.25">
      <c r="Q572" s="183"/>
      <c r="Z572" s="188"/>
    </row>
    <row r="573" spans="1:30" x14ac:dyDescent="0.25">
      <c r="Z573" s="188"/>
    </row>
    <row r="574" spans="1:30" x14ac:dyDescent="0.25">
      <c r="Z574" s="188"/>
    </row>
    <row r="575" spans="1:30" x14ac:dyDescent="0.25">
      <c r="Z575" s="188"/>
    </row>
    <row r="576" spans="1:30" x14ac:dyDescent="0.25">
      <c r="Z576" s="188"/>
    </row>
    <row r="577" spans="26:26" x14ac:dyDescent="0.25">
      <c r="Z577" s="188"/>
    </row>
    <row r="578" spans="26:26" x14ac:dyDescent="0.25">
      <c r="Z578" s="188"/>
    </row>
    <row r="579" spans="26:26" x14ac:dyDescent="0.25">
      <c r="Z579" s="188"/>
    </row>
    <row r="580" spans="26:26" x14ac:dyDescent="0.25">
      <c r="Z580" s="188"/>
    </row>
    <row r="581" spans="26:26" x14ac:dyDescent="0.25">
      <c r="Z581" s="188"/>
    </row>
    <row r="582" spans="26:26" x14ac:dyDescent="0.25">
      <c r="Z582" s="188"/>
    </row>
    <row r="583" spans="26:26" x14ac:dyDescent="0.25">
      <c r="Z583" s="188"/>
    </row>
    <row r="584" spans="26:26" x14ac:dyDescent="0.25">
      <c r="Z584" s="188"/>
    </row>
    <row r="585" spans="26:26" x14ac:dyDescent="0.25">
      <c r="Z585" s="188"/>
    </row>
    <row r="586" spans="26:26" x14ac:dyDescent="0.25">
      <c r="Z586" s="188"/>
    </row>
    <row r="587" spans="26:26" x14ac:dyDescent="0.25">
      <c r="Z587" s="188"/>
    </row>
    <row r="588" spans="26:26" x14ac:dyDescent="0.25">
      <c r="Z588" s="188"/>
    </row>
    <row r="589" spans="26:26" x14ac:dyDescent="0.25">
      <c r="Z589" s="188"/>
    </row>
    <row r="590" spans="26:26" x14ac:dyDescent="0.25">
      <c r="Z590" s="188"/>
    </row>
    <row r="591" spans="26:26" x14ac:dyDescent="0.25">
      <c r="Z591" s="188"/>
    </row>
    <row r="592" spans="26:26" x14ac:dyDescent="0.25">
      <c r="Z592" s="188"/>
    </row>
    <row r="593" spans="26:26" x14ac:dyDescent="0.25">
      <c r="Z593" s="188"/>
    </row>
    <row r="594" spans="26:26" x14ac:dyDescent="0.25">
      <c r="Z594" s="188"/>
    </row>
    <row r="595" spans="26:26" x14ac:dyDescent="0.25">
      <c r="Z595" s="188"/>
    </row>
    <row r="596" spans="26:26" x14ac:dyDescent="0.25">
      <c r="Z596" s="188"/>
    </row>
    <row r="597" spans="26:26" x14ac:dyDescent="0.25">
      <c r="Z597" s="188"/>
    </row>
    <row r="598" spans="26:26" x14ac:dyDescent="0.25">
      <c r="Z598" s="188"/>
    </row>
    <row r="599" spans="26:26" x14ac:dyDescent="0.25">
      <c r="Z599" s="188"/>
    </row>
    <row r="600" spans="26:26" x14ac:dyDescent="0.25">
      <c r="Z600" s="183"/>
    </row>
  </sheetData>
  <autoFilter ref="A4:AE511"/>
  <conditionalFormatting sqref="J5 AE6:AE472 AE508:AE509">
    <cfRule type="cellIs" dxfId="29" priority="11" operator="equal">
      <formula>0</formula>
    </cfRule>
    <cfRule type="cellIs" dxfId="28" priority="12" operator="notEqual">
      <formula>0</formula>
    </cfRule>
  </conditionalFormatting>
  <conditionalFormatting sqref="E511:I511">
    <cfRule type="cellIs" dxfId="27" priority="9" operator="equal">
      <formula>0</formula>
    </cfRule>
    <cfRule type="cellIs" dxfId="26" priority="10" operator="notEqual">
      <formula>0</formula>
    </cfRule>
  </conditionalFormatting>
  <conditionalFormatting sqref="AE5">
    <cfRule type="cellIs" dxfId="25" priority="7" operator="equal">
      <formula>0</formula>
    </cfRule>
    <cfRule type="cellIs" dxfId="24" priority="8" operator="notEqual">
      <formula>0</formula>
    </cfRule>
  </conditionalFormatting>
  <conditionalFormatting sqref="AE473:AE500 AE504:AE507">
    <cfRule type="cellIs" dxfId="23" priority="5" operator="equal">
      <formula>0</formula>
    </cfRule>
    <cfRule type="cellIs" dxfId="22" priority="6" operator="notEqual">
      <formula>0</formula>
    </cfRule>
  </conditionalFormatting>
  <conditionalFormatting sqref="AE501:AE503">
    <cfRule type="cellIs" dxfId="21" priority="3" operator="equal">
      <formula>0</formula>
    </cfRule>
    <cfRule type="cellIs" dxfId="20" priority="4" operator="notEqual">
      <formula>0</formula>
    </cfRule>
  </conditionalFormatting>
  <conditionalFormatting sqref="J6:J509">
    <cfRule type="cellIs" dxfId="19" priority="1" operator="equal">
      <formula>0</formula>
    </cfRule>
    <cfRule type="cellIs" dxfId="18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Q1" workbookViewId="0">
      <pane ySplit="4" topLeftCell="A5" activePane="bottomLeft" state="frozen"/>
      <selection activeCell="B40" sqref="B40"/>
      <selection pane="bottomLeft"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3.28515625" style="181" bestFit="1" customWidth="1"/>
    <col min="23" max="25" width="14.28515625" style="181" bestFit="1" customWidth="1"/>
    <col min="26" max="26" width="15.2851562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0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60" x14ac:dyDescent="0.25">
      <c r="A3" s="201" t="s">
        <v>0</v>
      </c>
      <c r="B3" s="201" t="s">
        <v>227</v>
      </c>
      <c r="C3" s="200" t="s">
        <v>40</v>
      </c>
      <c r="D3" s="222" t="s">
        <v>555</v>
      </c>
      <c r="E3" s="222" t="s">
        <v>554</v>
      </c>
      <c r="F3" s="222" t="s">
        <v>553</v>
      </c>
      <c r="G3" s="222" t="s">
        <v>552</v>
      </c>
      <c r="H3" s="222" t="s">
        <v>551</v>
      </c>
      <c r="J3" s="201" t="s">
        <v>0</v>
      </c>
      <c r="K3" s="201" t="s">
        <v>227</v>
      </c>
      <c r="L3" s="221" t="s">
        <v>40</v>
      </c>
      <c r="M3" s="220" t="s">
        <v>555</v>
      </c>
      <c r="N3" s="220" t="s">
        <v>554</v>
      </c>
      <c r="O3" s="220" t="s">
        <v>553</v>
      </c>
      <c r="P3" s="220" t="s">
        <v>552</v>
      </c>
      <c r="Q3" s="220" t="s">
        <v>551</v>
      </c>
      <c r="S3" s="201" t="s">
        <v>0</v>
      </c>
      <c r="T3" s="201" t="s">
        <v>227</v>
      </c>
      <c r="U3" s="200" t="s">
        <v>40</v>
      </c>
      <c r="V3" s="220" t="s">
        <v>555</v>
      </c>
      <c r="W3" s="220" t="s">
        <v>554</v>
      </c>
      <c r="X3" s="220" t="s">
        <v>553</v>
      </c>
      <c r="Y3" s="220" t="s">
        <v>552</v>
      </c>
      <c r="Z3" s="220" t="s">
        <v>551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3644552.17</v>
      </c>
      <c r="G5" s="183">
        <v>6479624.29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2403217.700898</v>
      </c>
      <c r="P5" s="217">
        <f t="shared" ref="P5:P50" si="6">IF($L5="C",G5*$F$1,IF($L5="G",0,G5))</f>
        <v>4272664.2568260003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1241334.4691020001</v>
      </c>
      <c r="Y5" s="217">
        <f t="shared" ref="Y5:Y50" si="14">IF($U5="C",G5*$D$1,IF($U5="E",0,G5))</f>
        <v>2206960.0331740002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70347.100000000006</v>
      </c>
      <c r="G6" s="183">
        <v>2794758.86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70347.100000000006</v>
      </c>
      <c r="P6" s="217">
        <f t="shared" si="6"/>
        <v>2794758.86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6122.82</v>
      </c>
      <c r="G7" s="183">
        <v>1910318.6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6122.82</v>
      </c>
      <c r="Y7" s="217">
        <f t="shared" si="14"/>
        <v>1910318.6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229886.25</v>
      </c>
      <c r="G8" s="183">
        <v>1017070.6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229886.25</v>
      </c>
      <c r="P8" s="217">
        <f t="shared" si="6"/>
        <v>1017070.6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253149.69</v>
      </c>
      <c r="G9" s="183">
        <v>1479978.9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253149.69</v>
      </c>
      <c r="P9" s="217">
        <f t="shared" si="6"/>
        <v>1479978.9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167810.84</v>
      </c>
      <c r="G10" s="183">
        <v>760738.14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167810.84</v>
      </c>
      <c r="Y10" s="217">
        <f t="shared" si="14"/>
        <v>760738.14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-605154.42999999993</v>
      </c>
      <c r="G11" s="183">
        <v>-1401704.7000000002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-605154.42999999993</v>
      </c>
      <c r="P11" s="217">
        <f t="shared" si="6"/>
        <v>-1401704.7000000002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-54159.530000000006</v>
      </c>
      <c r="G12" s="183">
        <v>-179213.44999999998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-54159.530000000006</v>
      </c>
      <c r="Y12" s="217">
        <f t="shared" si="14"/>
        <v>-179213.44999999998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117595.50000000001</v>
      </c>
      <c r="G13" s="183">
        <v>657513.32999999996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117595.50000000001</v>
      </c>
      <c r="P13" s="217">
        <f t="shared" si="6"/>
        <v>657513.32999999996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316721.55999999988</v>
      </c>
      <c r="G15" s="183">
        <v>738072.2300000001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316721.55999999988</v>
      </c>
      <c r="P15" s="217">
        <f t="shared" si="6"/>
        <v>738072.2300000001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2895483.7300000009</v>
      </c>
      <c r="G16" s="183">
        <v>7043592.8900000006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2895483.7300000009</v>
      </c>
      <c r="Y16" s="217">
        <f t="shared" si="14"/>
        <v>7043592.8900000006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62779.06</v>
      </c>
      <c r="G17" s="183">
        <v>201242.36000000002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62779.06</v>
      </c>
      <c r="P17" s="217">
        <f t="shared" si="6"/>
        <v>201242.36000000002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6909.28</v>
      </c>
      <c r="G18" s="183">
        <v>2155697.64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4555.9792319999997</v>
      </c>
      <c r="P18" s="217">
        <f t="shared" si="6"/>
        <v>1421467.023816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2353.3007680000001</v>
      </c>
      <c r="Y18" s="217">
        <f t="shared" si="14"/>
        <v>734230.61618400004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2169864.73</v>
      </c>
      <c r="G19" s="183">
        <v>5956886.1499999994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2169864.73</v>
      </c>
      <c r="P19" s="217">
        <f t="shared" si="6"/>
        <v>5956886.1499999994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750762.49999999988</v>
      </c>
      <c r="G20" s="183">
        <v>2229044.5900000008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750762.49999999988</v>
      </c>
      <c r="Y20" s="217">
        <f t="shared" si="14"/>
        <v>2229044.5900000008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17655.300000000003</v>
      </c>
      <c r="G22" s="183">
        <v>686959.07000000007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17655.300000000003</v>
      </c>
      <c r="P22" s="217">
        <f t="shared" si="6"/>
        <v>686959.07000000007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624584.92000000004</v>
      </c>
      <c r="G23" s="183">
        <v>2206848.1800000002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624584.92000000004</v>
      </c>
      <c r="P23" s="217">
        <f t="shared" si="6"/>
        <v>2206848.1800000002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42.79</v>
      </c>
      <c r="G24" s="183">
        <v>841.7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42.79</v>
      </c>
      <c r="P24" s="217">
        <f t="shared" si="6"/>
        <v>841.7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861916.17000000027</v>
      </c>
      <c r="G25" s="183">
        <v>2493952.3600000003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861916.17000000027</v>
      </c>
      <c r="Y25" s="217">
        <f t="shared" si="14"/>
        <v>2493952.3600000003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-727924.32</v>
      </c>
      <c r="G26" s="183">
        <v>-1362820.32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-727924.32</v>
      </c>
      <c r="P26" s="217">
        <f t="shared" si="6"/>
        <v>-1362820.32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5598833.2200000007</v>
      </c>
      <c r="G27" s="183">
        <v>18664419.859999999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5598833.2200000007</v>
      </c>
      <c r="P27" s="217">
        <f t="shared" si="6"/>
        <v>18664419.859999999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6886106.0399999991</v>
      </c>
      <c r="G28" s="183">
        <v>18987111.460000001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4540698.3227759991</v>
      </c>
      <c r="P28" s="217">
        <f t="shared" si="6"/>
        <v>12520101.296724001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2345407.717224</v>
      </c>
      <c r="Y28" s="217">
        <f t="shared" si="14"/>
        <v>6467010.1632760009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462444.86</v>
      </c>
      <c r="G30" s="183">
        <v>1161767.3299999996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462444.86</v>
      </c>
      <c r="P30" s="217">
        <f t="shared" si="6"/>
        <v>1161767.3299999996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63520.94</v>
      </c>
      <c r="G31" s="183">
        <v>171511.76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63520.94</v>
      </c>
      <c r="Y31" s="217">
        <f t="shared" si="14"/>
        <v>171511.76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32512.160000000003</v>
      </c>
      <c r="G32" s="183">
        <v>65265.67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32512.160000000003</v>
      </c>
      <c r="Y32" s="217">
        <f t="shared" si="14"/>
        <v>65265.67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1451066.43</v>
      </c>
      <c r="G33" s="183">
        <v>2779702.57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1451066.43</v>
      </c>
      <c r="P33" s="217">
        <f t="shared" si="6"/>
        <v>2779702.57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531403.57000000007</v>
      </c>
      <c r="G34" s="183">
        <v>1325963.3800000001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531403.57000000007</v>
      </c>
      <c r="P34" s="217">
        <f t="shared" si="6"/>
        <v>1325963.3800000001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178569.51000000004</v>
      </c>
      <c r="G35" s="183">
        <v>414130.12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178569.51000000004</v>
      </c>
      <c r="Y35" s="217">
        <f t="shared" si="14"/>
        <v>414130.12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1922919.2899999998</v>
      </c>
      <c r="G36" s="183">
        <v>5580209.4800000004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1922919.2899999998</v>
      </c>
      <c r="Y36" s="217">
        <f t="shared" si="14"/>
        <v>5580209.4800000004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5883272.620000002</v>
      </c>
      <c r="G37" s="183">
        <v>23225125.389999993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3879429.9656280014</v>
      </c>
      <c r="P37" s="217">
        <f t="shared" si="6"/>
        <v>15314647.682165995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2003842.6543720008</v>
      </c>
      <c r="Y37" s="217">
        <f t="shared" si="14"/>
        <v>7910477.7078339979</v>
      </c>
      <c r="Z37" s="217">
        <f t="shared" si="15"/>
        <v>0</v>
      </c>
      <c r="AB37" s="183">
        <f t="shared" ref="AB37:AB55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5205133.8300000029</v>
      </c>
      <c r="G38" s="183">
        <v>16128383.90000001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5205133.8300000029</v>
      </c>
      <c r="P38" s="217">
        <f t="shared" si="6"/>
        <v>16128383.90000001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810205.07</v>
      </c>
      <c r="G39" s="183">
        <v>2847664.2899999996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810205.07</v>
      </c>
      <c r="Y39" s="217">
        <f t="shared" si="14"/>
        <v>2847664.2899999996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58827.05</v>
      </c>
      <c r="G40" s="183">
        <v>270970.64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58827.05</v>
      </c>
      <c r="P40" s="217">
        <f t="shared" si="6"/>
        <v>270970.64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29790.81</v>
      </c>
      <c r="G42" s="183">
        <v>214102.42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29790.81</v>
      </c>
      <c r="P42" s="217">
        <f t="shared" si="6"/>
        <v>214102.42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368762.36</v>
      </c>
      <c r="G43" s="183">
        <v>1170019.01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368762.36</v>
      </c>
      <c r="P43" s="217">
        <f t="shared" si="6"/>
        <v>1170019.01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167760.38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110621.19457200001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57139.185428000004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259200.12</v>
      </c>
      <c r="G45" s="183">
        <v>872258.22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259200.12</v>
      </c>
      <c r="P45" s="217">
        <f t="shared" si="6"/>
        <v>872258.22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3948.1000000000004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2603.3771400000001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1344.7228600000001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30595.89</v>
      </c>
      <c r="G47" s="183">
        <v>326042.04000000004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30595.89</v>
      </c>
      <c r="P47" s="217">
        <f t="shared" si="6"/>
        <v>326042.04000000004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183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40582109.900000006</v>
      </c>
      <c r="G56" s="183">
        <f>SUM(G5:G55)</f>
        <v>130245757.44000001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27353508.258534003</v>
      </c>
      <c r="P56" s="208">
        <f>SUM(P5:P55)</f>
        <v>89531380.561244026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13228601.641466003</v>
      </c>
      <c r="Y56" s="208">
        <f>SUM(Y5:Y55)</f>
        <v>40714376.878756009</v>
      </c>
      <c r="Z56" s="208">
        <f>SUM(Z5:Z55)</f>
        <v>0</v>
      </c>
      <c r="AB56" s="183">
        <f>ROUND(SUM(D56:H56)-SUM(M56:Q56)-SUM(V56:Z56),0)</f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17" priority="7" operator="equal">
      <formula>0</formula>
    </cfRule>
    <cfRule type="cellIs" dxfId="16" priority="8" operator="notEqual">
      <formula>0</formula>
    </cfRule>
  </conditionalFormatting>
  <conditionalFormatting sqref="AB5">
    <cfRule type="cellIs" dxfId="15" priority="5" operator="equal">
      <formula>0</formula>
    </cfRule>
    <cfRule type="cellIs" dxfId="14" priority="6" operator="notEqual">
      <formula>0</formula>
    </cfRule>
  </conditionalFormatting>
  <conditionalFormatting sqref="AB6:AB48 AB55:AB56">
    <cfRule type="cellIs" dxfId="13" priority="3" operator="equal">
      <formula>0</formula>
    </cfRule>
    <cfRule type="cellIs" dxfId="12" priority="4" operator="notEqual">
      <formula>0</formula>
    </cfRule>
  </conditionalFormatting>
  <conditionalFormatting sqref="AB49:AB54">
    <cfRule type="cellIs" dxfId="11" priority="1" operator="equal">
      <formula>0</formula>
    </cfRule>
    <cfRule type="cellIs" dxfId="1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40" sqref="B40"/>
    </sheetView>
  </sheetViews>
  <sheetFormatPr defaultRowHeight="15" x14ac:dyDescent="0.25"/>
  <cols>
    <col min="1" max="1" width="4.5703125" customWidth="1"/>
    <col min="2" max="2" width="50.5703125" bestFit="1" customWidth="1"/>
    <col min="3" max="4" width="13.140625" bestFit="1" customWidth="1"/>
  </cols>
  <sheetData>
    <row r="1" spans="1:4" x14ac:dyDescent="0.25">
      <c r="A1" s="225" t="s">
        <v>110</v>
      </c>
      <c r="B1" s="226"/>
      <c r="C1" s="226"/>
      <c r="D1" s="226"/>
    </row>
    <row r="2" spans="1:4" x14ac:dyDescent="0.25">
      <c r="A2" s="225" t="s">
        <v>112</v>
      </c>
      <c r="B2" s="226"/>
      <c r="C2" s="226"/>
      <c r="D2" s="226"/>
    </row>
    <row r="3" spans="1:4" x14ac:dyDescent="0.25">
      <c r="A3" s="225" t="s">
        <v>113</v>
      </c>
      <c r="B3" s="226"/>
      <c r="C3" s="226"/>
      <c r="D3" s="226"/>
    </row>
    <row r="4" spans="1:4" x14ac:dyDescent="0.25">
      <c r="A4" s="225"/>
      <c r="B4" s="226"/>
      <c r="C4" s="226"/>
      <c r="D4" s="226"/>
    </row>
    <row r="5" spans="1:4" x14ac:dyDescent="0.25">
      <c r="A5" s="227" t="s">
        <v>126</v>
      </c>
      <c r="B5" s="226"/>
      <c r="C5" s="226"/>
      <c r="D5" s="226"/>
    </row>
    <row r="6" spans="1:4" x14ac:dyDescent="0.25">
      <c r="A6" s="226"/>
      <c r="B6" s="226"/>
      <c r="C6" s="226"/>
      <c r="D6" s="226"/>
    </row>
    <row r="7" spans="1:4" x14ac:dyDescent="0.25">
      <c r="A7" s="228" t="s">
        <v>115</v>
      </c>
      <c r="B7" s="228" t="s">
        <v>116</v>
      </c>
      <c r="C7" s="228">
        <v>2022</v>
      </c>
      <c r="D7" s="228">
        <v>2023</v>
      </c>
    </row>
    <row r="8" spans="1:4" x14ac:dyDescent="0.25">
      <c r="A8" s="226"/>
      <c r="B8" s="226"/>
      <c r="C8" s="226"/>
      <c r="D8" s="226"/>
    </row>
    <row r="9" spans="1:4" x14ac:dyDescent="0.25">
      <c r="A9" s="229">
        <v>9</v>
      </c>
      <c r="B9" s="226" t="s">
        <v>66</v>
      </c>
      <c r="C9" s="240">
        <v>2.6200000000000001E-2</v>
      </c>
      <c r="D9" s="240">
        <f>'Rev Req Comparison'!R31</f>
        <v>2.5499999999999998E-2</v>
      </c>
    </row>
    <row r="10" spans="1:4" x14ac:dyDescent="0.25">
      <c r="A10" s="229">
        <v>10</v>
      </c>
      <c r="B10" s="226" t="s">
        <v>67</v>
      </c>
      <c r="C10" s="240">
        <v>7.2300000000000003E-2</v>
      </c>
      <c r="D10" s="240">
        <f>'Rev Req Comparison'!R32</f>
        <v>7.1599999999999997E-2</v>
      </c>
    </row>
    <row r="11" spans="1:4" x14ac:dyDescent="0.25">
      <c r="A11" s="229">
        <v>11</v>
      </c>
      <c r="B11" s="226" t="s">
        <v>68</v>
      </c>
      <c r="C11" s="240">
        <v>0.21</v>
      </c>
      <c r="D11" s="240">
        <f>'Rev Req Comparison'!R33</f>
        <v>0.21</v>
      </c>
    </row>
    <row r="12" spans="1:4" x14ac:dyDescent="0.25">
      <c r="A12" s="229">
        <v>12</v>
      </c>
      <c r="B12" s="226" t="s">
        <v>69</v>
      </c>
      <c r="C12" s="240">
        <v>0.75480100000000006</v>
      </c>
      <c r="D12" s="240">
        <f>'Rev Req Comparison'!R34</f>
        <v>0.75480100000000006</v>
      </c>
    </row>
    <row r="13" spans="1:4" x14ac:dyDescent="0.25">
      <c r="A13" s="229">
        <v>13</v>
      </c>
      <c r="B13" s="226" t="s">
        <v>106</v>
      </c>
      <c r="C13" s="241">
        <v>263916344.05486456</v>
      </c>
      <c r="D13" s="241">
        <f>'Rev Req Comparison'!R14</f>
        <v>334493403.3409487</v>
      </c>
    </row>
    <row r="14" spans="1:4" x14ac:dyDescent="0.25">
      <c r="A14" s="229">
        <v>14</v>
      </c>
      <c r="B14" s="226"/>
      <c r="C14" s="241"/>
      <c r="D14" s="242"/>
    </row>
    <row r="15" spans="1:4" x14ac:dyDescent="0.25">
      <c r="A15" s="229">
        <v>15</v>
      </c>
      <c r="B15" s="226" t="s">
        <v>117</v>
      </c>
      <c r="C15" s="241">
        <v>-4562846.2311439998</v>
      </c>
      <c r="D15" s="241">
        <f>'Rev Req Comparison'!R17+'Rev Req Comparison'!R19</f>
        <v>-15825245.001215998</v>
      </c>
    </row>
    <row r="16" spans="1:4" x14ac:dyDescent="0.25">
      <c r="A16" s="229">
        <v>16</v>
      </c>
      <c r="B16" s="226" t="s">
        <v>118</v>
      </c>
      <c r="C16" s="232">
        <v>1296670.5468090023</v>
      </c>
      <c r="D16" s="232">
        <f>'Rev Req Comparison'!R18+'Rev Req Comparison'!R20</f>
        <v>3645192.0389554403</v>
      </c>
    </row>
    <row r="17" spans="1:4" x14ac:dyDescent="0.25">
      <c r="A17" s="229">
        <v>17</v>
      </c>
      <c r="B17" s="226" t="s">
        <v>119</v>
      </c>
      <c r="C17" s="233">
        <f>SUM(C15:C16)</f>
        <v>-3266175.6843349976</v>
      </c>
      <c r="D17" s="233">
        <f t="shared" ref="D17" si="0">SUM(D15:D16)</f>
        <v>-12180052.962260557</v>
      </c>
    </row>
    <row r="18" spans="1:4" x14ac:dyDescent="0.25">
      <c r="A18" s="229">
        <v>18</v>
      </c>
      <c r="B18" s="226" t="s">
        <v>120</v>
      </c>
      <c r="C18" s="232">
        <f>C13*C9*C11</f>
        <v>1452067.7249898647</v>
      </c>
      <c r="D18" s="232">
        <f t="shared" ref="D18" si="1">D13*D9*D11</f>
        <v>1791212.1748907804</v>
      </c>
    </row>
    <row r="19" spans="1:4" x14ac:dyDescent="0.25">
      <c r="A19" s="229">
        <v>19</v>
      </c>
      <c r="B19" s="226" t="s">
        <v>121</v>
      </c>
      <c r="C19" s="233">
        <f>SUM(C17:C18)</f>
        <v>-1814107.9593451328</v>
      </c>
      <c r="D19" s="233">
        <f t="shared" ref="D19" si="2">SUM(D17:D18)</f>
        <v>-10388840.787369777</v>
      </c>
    </row>
    <row r="20" spans="1:4" x14ac:dyDescent="0.25">
      <c r="A20" s="229">
        <v>20</v>
      </c>
      <c r="B20" s="226" t="s">
        <v>122</v>
      </c>
      <c r="C20" s="232">
        <f>C13*C10</f>
        <v>19081151.675166707</v>
      </c>
      <c r="D20" s="232">
        <f t="shared" ref="D20" si="3">D13*D10</f>
        <v>23949727.679211926</v>
      </c>
    </row>
    <row r="21" spans="1:4" x14ac:dyDescent="0.25">
      <c r="A21" s="229">
        <v>21</v>
      </c>
      <c r="B21" s="226" t="s">
        <v>64</v>
      </c>
      <c r="C21" s="234">
        <f>C20-C19</f>
        <v>20895259.63451184</v>
      </c>
      <c r="D21" s="234">
        <f t="shared" ref="D21" si="4">D20-D19</f>
        <v>34338568.466581702</v>
      </c>
    </row>
    <row r="22" spans="1:4" x14ac:dyDescent="0.25">
      <c r="A22" s="229">
        <v>22</v>
      </c>
      <c r="B22" s="226" t="s">
        <v>123</v>
      </c>
      <c r="C22" s="243">
        <f>C21/C12</f>
        <v>27683137.190480456</v>
      </c>
      <c r="D22" s="243">
        <f t="shared" ref="D22" si="5">D21/D12</f>
        <v>45493538.650030538</v>
      </c>
    </row>
    <row r="23" spans="1:4" x14ac:dyDescent="0.25">
      <c r="A23" s="229">
        <v>23</v>
      </c>
      <c r="B23" s="226" t="s">
        <v>563</v>
      </c>
      <c r="C23" s="231">
        <f>C22</f>
        <v>27683137.190480456</v>
      </c>
      <c r="D23" s="231">
        <f>C22</f>
        <v>27683137.190480456</v>
      </c>
    </row>
    <row r="24" spans="1:4" x14ac:dyDescent="0.25">
      <c r="A24" s="229">
        <v>24</v>
      </c>
      <c r="B24" s="226"/>
      <c r="C24" s="236"/>
      <c r="D24" s="236"/>
    </row>
    <row r="25" spans="1:4" ht="15.75" thickBot="1" x14ac:dyDescent="0.3">
      <c r="A25" s="229">
        <v>25</v>
      </c>
      <c r="B25" s="226" t="s">
        <v>565</v>
      </c>
      <c r="C25" s="237">
        <f>C22-C23</f>
        <v>0</v>
      </c>
      <c r="D25" s="239">
        <f>D22-D23</f>
        <v>17810401.459550083</v>
      </c>
    </row>
    <row r="26" spans="1:4" ht="15.75" thickTop="1" x14ac:dyDescent="0.25">
      <c r="A26" s="229">
        <v>26</v>
      </c>
      <c r="B26" s="226" t="s">
        <v>564</v>
      </c>
      <c r="D26" s="238">
        <f>'Rev Req Comparison'!C29-'Elec Rev Req for COS'!C23-'Elec Rev Req for COS'!D25-'Rev Req Comparison'!G29</f>
        <v>6.9849193096160889E-9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P1" workbookViewId="0">
      <selection activeCell="B40" sqref="B40"/>
    </sheetView>
  </sheetViews>
  <sheetFormatPr defaultColWidth="8.7109375" defaultRowHeight="15" x14ac:dyDescent="0.25"/>
  <cols>
    <col min="1" max="1" width="41.42578125" style="181" bestFit="1" customWidth="1"/>
    <col min="2" max="2" width="41.42578125" style="181" customWidth="1"/>
    <col min="3" max="3" width="9.140625" style="182" bestFit="1" customWidth="1"/>
    <col min="4" max="5" width="14.7109375" style="181" bestFit="1" customWidth="1"/>
    <col min="6" max="8" width="16.140625" style="181" bestFit="1" customWidth="1"/>
    <col min="9" max="9" width="4.85546875" style="181" customWidth="1"/>
    <col min="10" max="10" width="41.5703125" style="181" bestFit="1" customWidth="1"/>
    <col min="11" max="11" width="41.42578125" style="181" customWidth="1"/>
    <col min="12" max="12" width="9.140625" style="181" bestFit="1" customWidth="1"/>
    <col min="13" max="13" width="12.5703125" style="181" bestFit="1" customWidth="1"/>
    <col min="14" max="14" width="13.7109375" style="181" bestFit="1" customWidth="1"/>
    <col min="15" max="17" width="14.7109375" style="181" bestFit="1" customWidth="1"/>
    <col min="18" max="18" width="3" style="181" customWidth="1"/>
    <col min="19" max="19" width="41.5703125" style="181" bestFit="1" customWidth="1"/>
    <col min="20" max="20" width="41.42578125" style="181" customWidth="1"/>
    <col min="21" max="21" width="9.140625" style="181" bestFit="1" customWidth="1"/>
    <col min="22" max="22" width="12.5703125" style="181" bestFit="1" customWidth="1"/>
    <col min="23" max="24" width="13.7109375" style="181" bestFit="1" customWidth="1"/>
    <col min="25" max="26" width="14.7109375" style="181" bestFit="1" customWidth="1"/>
    <col min="27" max="27" width="5.140625" style="181" customWidth="1"/>
    <col min="28" max="28" width="5.7109375" style="181" customWidth="1"/>
    <col min="29" max="16384" width="8.7109375" style="181"/>
  </cols>
  <sheetData>
    <row r="1" spans="1:28" x14ac:dyDescent="0.25">
      <c r="A1" s="181" t="s">
        <v>33</v>
      </c>
      <c r="C1" s="203" t="s">
        <v>34</v>
      </c>
      <c r="D1" s="202">
        <v>0.34060000000000001</v>
      </c>
      <c r="E1" s="223" t="s">
        <v>35</v>
      </c>
      <c r="F1" s="202">
        <v>0.65939999999999999</v>
      </c>
    </row>
    <row r="2" spans="1:28" x14ac:dyDescent="0.25">
      <c r="J2" s="200" t="s">
        <v>37</v>
      </c>
      <c r="S2" s="200" t="s">
        <v>38</v>
      </c>
    </row>
    <row r="3" spans="1:28" ht="45" x14ac:dyDescent="0.25">
      <c r="A3" s="201" t="s">
        <v>0</v>
      </c>
      <c r="B3" s="201" t="s">
        <v>227</v>
      </c>
      <c r="C3" s="200" t="s">
        <v>40</v>
      </c>
      <c r="D3" s="222" t="s">
        <v>560</v>
      </c>
      <c r="E3" s="222" t="s">
        <v>559</v>
      </c>
      <c r="F3" s="222" t="s">
        <v>558</v>
      </c>
      <c r="G3" s="222" t="s">
        <v>557</v>
      </c>
      <c r="H3" s="222" t="s">
        <v>556</v>
      </c>
      <c r="J3" s="201" t="s">
        <v>0</v>
      </c>
      <c r="K3" s="201" t="s">
        <v>227</v>
      </c>
      <c r="L3" s="221" t="s">
        <v>40</v>
      </c>
      <c r="M3" s="220" t="s">
        <v>560</v>
      </c>
      <c r="N3" s="220" t="s">
        <v>559</v>
      </c>
      <c r="O3" s="220" t="s">
        <v>558</v>
      </c>
      <c r="P3" s="220" t="s">
        <v>557</v>
      </c>
      <c r="Q3" s="220" t="s">
        <v>556</v>
      </c>
      <c r="S3" s="201" t="s">
        <v>0</v>
      </c>
      <c r="T3" s="201" t="s">
        <v>227</v>
      </c>
      <c r="U3" s="200" t="s">
        <v>40</v>
      </c>
      <c r="V3" s="220" t="s">
        <v>560</v>
      </c>
      <c r="W3" s="220" t="s">
        <v>559</v>
      </c>
      <c r="X3" s="220" t="s">
        <v>558</v>
      </c>
      <c r="Y3" s="220" t="s">
        <v>557</v>
      </c>
      <c r="Z3" s="220" t="s">
        <v>556</v>
      </c>
      <c r="AB3" s="219" t="s">
        <v>550</v>
      </c>
    </row>
    <row r="4" spans="1:28" x14ac:dyDescent="0.25">
      <c r="A4" s="198" t="s">
        <v>221</v>
      </c>
      <c r="B4" s="198"/>
      <c r="C4" s="197"/>
      <c r="D4" s="187">
        <v>2</v>
      </c>
      <c r="E4" s="187">
        <v>3</v>
      </c>
      <c r="F4" s="187">
        <v>4</v>
      </c>
      <c r="G4" s="187">
        <v>5</v>
      </c>
      <c r="H4" s="187">
        <v>6</v>
      </c>
      <c r="J4" s="198"/>
      <c r="K4" s="198"/>
      <c r="L4" s="197"/>
      <c r="M4" s="187"/>
      <c r="N4" s="187"/>
      <c r="O4" s="187"/>
      <c r="P4" s="187"/>
      <c r="Q4" s="187"/>
      <c r="S4" s="196"/>
      <c r="T4" s="198"/>
      <c r="U4" s="196"/>
      <c r="V4" s="196"/>
      <c r="W4" s="196"/>
      <c r="X4" s="196"/>
      <c r="Y4" s="196"/>
      <c r="Z4" s="196"/>
    </row>
    <row r="5" spans="1:28" x14ac:dyDescent="0.25">
      <c r="A5" s="185" t="s">
        <v>220</v>
      </c>
      <c r="B5" s="185" t="s">
        <v>160</v>
      </c>
      <c r="C5" s="216" t="str">
        <f>VLOOKUP(A5,'Calc Program Gross Plant'!$A$5:$C$55,3,FALSE)</f>
        <v>C</v>
      </c>
      <c r="D5" s="188">
        <v>0</v>
      </c>
      <c r="E5" s="183">
        <v>2227016.1100000003</v>
      </c>
      <c r="F5" s="183">
        <v>2835072.12</v>
      </c>
      <c r="G5" s="183">
        <v>2835072.12</v>
      </c>
      <c r="H5" s="183">
        <v>0</v>
      </c>
      <c r="J5" s="185" t="str">
        <f t="shared" ref="J5:J47" si="0">A5</f>
        <v>AMI Meters and Modules Deployment - Common</v>
      </c>
      <c r="K5" s="185" t="str">
        <f t="shared" ref="K5:K47" si="1">B5</f>
        <v>Programmatic</v>
      </c>
      <c r="L5" s="218" t="str">
        <f t="shared" ref="L5:L47" si="2">C5</f>
        <v>C</v>
      </c>
      <c r="M5" s="217">
        <f t="shared" ref="M5:M50" si="3">IF($L5="C",D5*$F$1,IF($L5="G",0,D5))</f>
        <v>0</v>
      </c>
      <c r="N5" s="217">
        <f t="shared" ref="N5:N50" si="4">IF($L5="C",E5*$F$1,IF($L5="G",0,E5))</f>
        <v>1468494.4229340001</v>
      </c>
      <c r="O5" s="217">
        <f t="shared" ref="O5:O50" si="5">IF($L5="C",F5*$F$1,IF($L5="G",0,F5))</f>
        <v>1869446.555928</v>
      </c>
      <c r="P5" s="217">
        <f t="shared" ref="P5:P50" si="6">IF($L5="C",G5*$F$1,IF($L5="G",0,G5))</f>
        <v>1869446.555928</v>
      </c>
      <c r="Q5" s="217">
        <f t="shared" ref="Q5:Q50" si="7">IF($L5="C",H5*$F$1,IF($L5="G",0,H5))</f>
        <v>0</v>
      </c>
      <c r="S5" s="185" t="str">
        <f t="shared" ref="S5:S47" si="8">A5</f>
        <v>AMI Meters and Modules Deployment - Common</v>
      </c>
      <c r="T5" s="185" t="str">
        <f t="shared" ref="T5:T47" si="9">B5</f>
        <v>Programmatic</v>
      </c>
      <c r="U5" s="218" t="str">
        <f t="shared" ref="U5:U47" si="10">C5</f>
        <v>C</v>
      </c>
      <c r="V5" s="217">
        <f t="shared" ref="V5:V50" si="11">IF($U5="C",D5*$D$1,IF($U5="E",0,D5))</f>
        <v>0</v>
      </c>
      <c r="W5" s="217">
        <f t="shared" ref="W5:W50" si="12">IF($U5="C",E5*$D$1,IF($U5="E",0,E5))</f>
        <v>758521.68706600019</v>
      </c>
      <c r="X5" s="217">
        <f t="shared" ref="X5:X50" si="13">IF($U5="C",F5*$D$1,IF($U5="E",0,F5))</f>
        <v>965625.5640720001</v>
      </c>
      <c r="Y5" s="217">
        <f t="shared" ref="Y5:Y50" si="14">IF($U5="C",G5*$D$1,IF($U5="E",0,G5))</f>
        <v>965625.5640720001</v>
      </c>
      <c r="Z5" s="217">
        <f t="shared" ref="Z5:Z50" si="15">IF($U5="C",H5*$D$1,IF($U5="E",0,H5))</f>
        <v>0</v>
      </c>
      <c r="AB5" s="183">
        <f t="shared" ref="AB5:AB36" si="16">SUM(D5:H5)-SUM(M5:Q5)-SUM(V5:Z5)</f>
        <v>0</v>
      </c>
    </row>
    <row r="6" spans="1:28" x14ac:dyDescent="0.25">
      <c r="A6" s="185" t="s">
        <v>219</v>
      </c>
      <c r="B6" s="185" t="s">
        <v>160</v>
      </c>
      <c r="C6" s="216" t="str">
        <f>VLOOKUP(A6,'Calc Program Gross Plant'!$A$5:$C$55,3,FALSE)</f>
        <v>E</v>
      </c>
      <c r="D6" s="188">
        <v>0</v>
      </c>
      <c r="E6" s="183">
        <v>40156.720000000001</v>
      </c>
      <c r="F6" s="183">
        <v>250052.86</v>
      </c>
      <c r="G6" s="183">
        <v>5009098.5600000005</v>
      </c>
      <c r="H6" s="183">
        <v>0</v>
      </c>
      <c r="J6" s="185" t="str">
        <f t="shared" si="0"/>
        <v>AMI Meters and Modules Deployment - Electric</v>
      </c>
      <c r="K6" s="185" t="str">
        <f t="shared" si="1"/>
        <v>Programmatic</v>
      </c>
      <c r="L6" s="182" t="str">
        <f t="shared" si="2"/>
        <v>E</v>
      </c>
      <c r="M6" s="217">
        <f t="shared" si="3"/>
        <v>0</v>
      </c>
      <c r="N6" s="217">
        <f t="shared" si="4"/>
        <v>40156.720000000001</v>
      </c>
      <c r="O6" s="217">
        <f t="shared" si="5"/>
        <v>250052.86</v>
      </c>
      <c r="P6" s="217">
        <f t="shared" si="6"/>
        <v>5009098.5600000005</v>
      </c>
      <c r="Q6" s="217">
        <f t="shared" si="7"/>
        <v>0</v>
      </c>
      <c r="S6" s="185" t="str">
        <f t="shared" si="8"/>
        <v>AMI Meters and Modules Deployment - Electric</v>
      </c>
      <c r="T6" s="185" t="str">
        <f t="shared" si="9"/>
        <v>Programmatic</v>
      </c>
      <c r="U6" s="182" t="str">
        <f t="shared" si="10"/>
        <v>E</v>
      </c>
      <c r="V6" s="217">
        <f t="shared" si="11"/>
        <v>0</v>
      </c>
      <c r="W6" s="217">
        <f t="shared" si="12"/>
        <v>0</v>
      </c>
      <c r="X6" s="217">
        <f t="shared" si="13"/>
        <v>0</v>
      </c>
      <c r="Y6" s="217">
        <f t="shared" si="14"/>
        <v>0</v>
      </c>
      <c r="Z6" s="217">
        <f t="shared" si="15"/>
        <v>0</v>
      </c>
      <c r="AB6" s="183">
        <f t="shared" si="16"/>
        <v>0</v>
      </c>
    </row>
    <row r="7" spans="1:28" x14ac:dyDescent="0.25">
      <c r="A7" s="185" t="s">
        <v>218</v>
      </c>
      <c r="B7" s="185" t="s">
        <v>160</v>
      </c>
      <c r="C7" s="216" t="str">
        <f>VLOOKUP(A7,'Calc Program Gross Plant'!$A$5:$C$55,3,FALSE)</f>
        <v>G</v>
      </c>
      <c r="D7" s="188">
        <v>0</v>
      </c>
      <c r="E7" s="183">
        <v>0</v>
      </c>
      <c r="F7" s="183">
        <v>146947.57999999999</v>
      </c>
      <c r="G7" s="183">
        <v>3526742.04</v>
      </c>
      <c r="H7" s="183">
        <v>0</v>
      </c>
      <c r="J7" s="185" t="str">
        <f t="shared" si="0"/>
        <v>AMI Meters and Modules Deployment - Gas</v>
      </c>
      <c r="K7" s="185" t="str">
        <f t="shared" si="1"/>
        <v>Programmatic</v>
      </c>
      <c r="L7" s="182" t="str">
        <f t="shared" si="2"/>
        <v>G</v>
      </c>
      <c r="M7" s="217">
        <f t="shared" si="3"/>
        <v>0</v>
      </c>
      <c r="N7" s="217">
        <f t="shared" si="4"/>
        <v>0</v>
      </c>
      <c r="O7" s="217">
        <f t="shared" si="5"/>
        <v>0</v>
      </c>
      <c r="P7" s="217">
        <f t="shared" si="6"/>
        <v>0</v>
      </c>
      <c r="Q7" s="217">
        <f t="shared" si="7"/>
        <v>0</v>
      </c>
      <c r="S7" s="185" t="str">
        <f t="shared" si="8"/>
        <v>AMI Meters and Modules Deployment - Gas</v>
      </c>
      <c r="T7" s="185" t="str">
        <f t="shared" si="9"/>
        <v>Programmatic</v>
      </c>
      <c r="U7" s="182" t="str">
        <f t="shared" si="10"/>
        <v>G</v>
      </c>
      <c r="V7" s="217">
        <f t="shared" si="11"/>
        <v>0</v>
      </c>
      <c r="W7" s="217">
        <f t="shared" si="12"/>
        <v>0</v>
      </c>
      <c r="X7" s="217">
        <f t="shared" si="13"/>
        <v>146947.57999999999</v>
      </c>
      <c r="Y7" s="217">
        <f t="shared" si="14"/>
        <v>3526742.04</v>
      </c>
      <c r="Z7" s="217">
        <f t="shared" si="15"/>
        <v>0</v>
      </c>
      <c r="AB7" s="183">
        <f t="shared" si="16"/>
        <v>0</v>
      </c>
    </row>
    <row r="8" spans="1:28" x14ac:dyDescent="0.25">
      <c r="A8" s="185" t="s">
        <v>1</v>
      </c>
      <c r="B8" s="185" t="s">
        <v>173</v>
      </c>
      <c r="C8" s="216" t="str">
        <f>VLOOKUP(A8,'Calc Program Gross Plant'!$A$5:$C$55,3,FALSE)</f>
        <v>E</v>
      </c>
      <c r="D8" s="188">
        <v>0</v>
      </c>
      <c r="E8" s="183">
        <v>8308.9</v>
      </c>
      <c r="F8" s="183">
        <v>549581.3600000001</v>
      </c>
      <c r="G8" s="183">
        <v>978189.3</v>
      </c>
      <c r="H8" s="183">
        <v>0</v>
      </c>
      <c r="J8" s="185" t="str">
        <f t="shared" si="0"/>
        <v>Bainbridge Tlines Trans</v>
      </c>
      <c r="K8" s="185" t="str">
        <f t="shared" si="1"/>
        <v>Specific</v>
      </c>
      <c r="L8" s="182" t="str">
        <f t="shared" si="2"/>
        <v>E</v>
      </c>
      <c r="M8" s="217">
        <f t="shared" si="3"/>
        <v>0</v>
      </c>
      <c r="N8" s="217">
        <f t="shared" si="4"/>
        <v>8308.9</v>
      </c>
      <c r="O8" s="217">
        <f t="shared" si="5"/>
        <v>549581.3600000001</v>
      </c>
      <c r="P8" s="217">
        <f t="shared" si="6"/>
        <v>978189.3</v>
      </c>
      <c r="Q8" s="217">
        <f t="shared" si="7"/>
        <v>0</v>
      </c>
      <c r="S8" s="185" t="str">
        <f t="shared" si="8"/>
        <v>Bainbridge Tlines Trans</v>
      </c>
      <c r="T8" s="185" t="str">
        <f t="shared" si="9"/>
        <v>Specific</v>
      </c>
      <c r="U8" s="182" t="str">
        <f t="shared" si="10"/>
        <v>E</v>
      </c>
      <c r="V8" s="217">
        <f t="shared" si="11"/>
        <v>0</v>
      </c>
      <c r="W8" s="217">
        <f t="shared" si="12"/>
        <v>0</v>
      </c>
      <c r="X8" s="217">
        <f t="shared" si="13"/>
        <v>0</v>
      </c>
      <c r="Y8" s="217">
        <f t="shared" si="14"/>
        <v>0</v>
      </c>
      <c r="Z8" s="217">
        <f t="shared" si="15"/>
        <v>0</v>
      </c>
      <c r="AB8" s="183">
        <f t="shared" si="16"/>
        <v>0</v>
      </c>
    </row>
    <row r="9" spans="1:28" x14ac:dyDescent="0.25">
      <c r="A9" s="185" t="s">
        <v>2</v>
      </c>
      <c r="B9" s="185" t="s">
        <v>160</v>
      </c>
      <c r="C9" s="216" t="str">
        <f>VLOOKUP(A9,'Calc Program Gross Plant'!$A$5:$C$55,3,FALSE)</f>
        <v>E</v>
      </c>
      <c r="D9" s="188">
        <v>0</v>
      </c>
      <c r="E9" s="183">
        <v>43951.69</v>
      </c>
      <c r="F9" s="183">
        <v>575102.18999999994</v>
      </c>
      <c r="G9" s="183">
        <v>2067048.9299999997</v>
      </c>
      <c r="H9" s="183">
        <v>0</v>
      </c>
      <c r="J9" s="185" t="str">
        <f t="shared" si="0"/>
        <v>Capacity Electric</v>
      </c>
      <c r="K9" s="185" t="str">
        <f t="shared" si="1"/>
        <v>Programmatic</v>
      </c>
      <c r="L9" s="182" t="str">
        <f t="shared" si="2"/>
        <v>E</v>
      </c>
      <c r="M9" s="217">
        <f t="shared" si="3"/>
        <v>0</v>
      </c>
      <c r="N9" s="217">
        <f t="shared" si="4"/>
        <v>43951.69</v>
      </c>
      <c r="O9" s="217">
        <f t="shared" si="5"/>
        <v>575102.18999999994</v>
      </c>
      <c r="P9" s="217">
        <f t="shared" si="6"/>
        <v>2067048.9299999997</v>
      </c>
      <c r="Q9" s="217">
        <f t="shared" si="7"/>
        <v>0</v>
      </c>
      <c r="S9" s="185" t="str">
        <f t="shared" si="8"/>
        <v>Capacity Electric</v>
      </c>
      <c r="T9" s="185" t="str">
        <f t="shared" si="9"/>
        <v>Programmatic</v>
      </c>
      <c r="U9" s="182" t="str">
        <f t="shared" si="10"/>
        <v>E</v>
      </c>
      <c r="V9" s="217">
        <f t="shared" si="11"/>
        <v>0</v>
      </c>
      <c r="W9" s="217">
        <f t="shared" si="12"/>
        <v>0</v>
      </c>
      <c r="X9" s="217">
        <f t="shared" si="13"/>
        <v>0</v>
      </c>
      <c r="Y9" s="217">
        <f t="shared" si="14"/>
        <v>0</v>
      </c>
      <c r="Z9" s="217">
        <f t="shared" si="15"/>
        <v>0</v>
      </c>
      <c r="AB9" s="183">
        <f t="shared" si="16"/>
        <v>0</v>
      </c>
    </row>
    <row r="10" spans="1:28" x14ac:dyDescent="0.25">
      <c r="A10" s="185" t="s">
        <v>3</v>
      </c>
      <c r="B10" s="185" t="s">
        <v>160</v>
      </c>
      <c r="C10" s="216" t="str">
        <f>VLOOKUP(A10,'Calc Program Gross Plant'!$A$5:$C$55,3,FALSE)</f>
        <v>G</v>
      </c>
      <c r="D10" s="188">
        <v>0</v>
      </c>
      <c r="E10" s="183">
        <v>73988.02</v>
      </c>
      <c r="F10" s="183">
        <v>226437.33000000002</v>
      </c>
      <c r="G10" s="183">
        <v>1049377.4200000002</v>
      </c>
      <c r="H10" s="183">
        <v>0</v>
      </c>
      <c r="J10" s="185" t="str">
        <f t="shared" si="0"/>
        <v>Capacity Gas</v>
      </c>
      <c r="K10" s="185" t="str">
        <f t="shared" si="1"/>
        <v>Programmatic</v>
      </c>
      <c r="L10" s="182" t="str">
        <f t="shared" si="2"/>
        <v>G</v>
      </c>
      <c r="M10" s="217">
        <f t="shared" si="3"/>
        <v>0</v>
      </c>
      <c r="N10" s="217">
        <f t="shared" si="4"/>
        <v>0</v>
      </c>
      <c r="O10" s="217">
        <f t="shared" si="5"/>
        <v>0</v>
      </c>
      <c r="P10" s="217">
        <f t="shared" si="6"/>
        <v>0</v>
      </c>
      <c r="Q10" s="217">
        <f t="shared" si="7"/>
        <v>0</v>
      </c>
      <c r="S10" s="185" t="str">
        <f t="shared" si="8"/>
        <v>Capacity Gas</v>
      </c>
      <c r="T10" s="185" t="str">
        <f t="shared" si="9"/>
        <v>Programmatic</v>
      </c>
      <c r="U10" s="182" t="str">
        <f t="shared" si="10"/>
        <v>G</v>
      </c>
      <c r="V10" s="217">
        <f t="shared" si="11"/>
        <v>0</v>
      </c>
      <c r="W10" s="217">
        <f t="shared" si="12"/>
        <v>73988.02</v>
      </c>
      <c r="X10" s="217">
        <f t="shared" si="13"/>
        <v>226437.33000000002</v>
      </c>
      <c r="Y10" s="217">
        <f t="shared" si="14"/>
        <v>1049377.4200000002</v>
      </c>
      <c r="Z10" s="217">
        <f t="shared" si="15"/>
        <v>0</v>
      </c>
      <c r="AB10" s="183">
        <f t="shared" si="16"/>
        <v>0</v>
      </c>
    </row>
    <row r="11" spans="1:28" x14ac:dyDescent="0.25">
      <c r="A11" s="185" t="s">
        <v>4</v>
      </c>
      <c r="B11" s="185" t="s">
        <v>172</v>
      </c>
      <c r="C11" s="216" t="str">
        <f>VLOOKUP(A11,'Calc Program Gross Plant'!$A$5:$C$55,3,FALSE)</f>
        <v>E</v>
      </c>
      <c r="D11" s="188">
        <v>0</v>
      </c>
      <c r="E11" s="183">
        <v>-278046.06000000006</v>
      </c>
      <c r="F11" s="183">
        <v>-689614.44</v>
      </c>
      <c r="G11" s="183">
        <v>-903486.12</v>
      </c>
      <c r="H11" s="183">
        <v>0</v>
      </c>
      <c r="J11" s="185" t="str">
        <f t="shared" si="0"/>
        <v>CIAC - Electric</v>
      </c>
      <c r="K11" s="185" t="str">
        <f t="shared" si="1"/>
        <v>Programmatic Customer Drive</v>
      </c>
      <c r="L11" s="182" t="str">
        <f t="shared" si="2"/>
        <v>E</v>
      </c>
      <c r="M11" s="217">
        <f t="shared" si="3"/>
        <v>0</v>
      </c>
      <c r="N11" s="217">
        <f t="shared" si="4"/>
        <v>-278046.06000000006</v>
      </c>
      <c r="O11" s="217">
        <f t="shared" si="5"/>
        <v>-689614.44</v>
      </c>
      <c r="P11" s="217">
        <f t="shared" si="6"/>
        <v>-903486.12</v>
      </c>
      <c r="Q11" s="217">
        <f t="shared" si="7"/>
        <v>0</v>
      </c>
      <c r="S11" s="185" t="str">
        <f t="shared" si="8"/>
        <v>CIAC - Electric</v>
      </c>
      <c r="T11" s="185" t="str">
        <f t="shared" si="9"/>
        <v>Programmatic Customer Drive</v>
      </c>
      <c r="U11" s="182" t="str">
        <f t="shared" si="10"/>
        <v>E</v>
      </c>
      <c r="V11" s="217">
        <f t="shared" si="11"/>
        <v>0</v>
      </c>
      <c r="W11" s="217">
        <f t="shared" si="12"/>
        <v>0</v>
      </c>
      <c r="X11" s="217">
        <f t="shared" si="13"/>
        <v>0</v>
      </c>
      <c r="Y11" s="217">
        <f t="shared" si="14"/>
        <v>0</v>
      </c>
      <c r="Z11" s="217">
        <f t="shared" si="15"/>
        <v>0</v>
      </c>
      <c r="AB11" s="183">
        <f t="shared" si="16"/>
        <v>0</v>
      </c>
    </row>
    <row r="12" spans="1:28" x14ac:dyDescent="0.25">
      <c r="A12" s="185" t="s">
        <v>5</v>
      </c>
      <c r="B12" s="185" t="s">
        <v>172</v>
      </c>
      <c r="C12" s="216" t="str">
        <f>VLOOKUP(A12,'Calc Program Gross Plant'!$A$5:$C$55,3,FALSE)</f>
        <v>G</v>
      </c>
      <c r="D12" s="188">
        <v>0</v>
      </c>
      <c r="E12" s="183">
        <v>-19094.519999999997</v>
      </c>
      <c r="F12" s="183">
        <v>-83789.279999999984</v>
      </c>
      <c r="G12" s="183">
        <v>-166318.56</v>
      </c>
      <c r="H12" s="183">
        <v>0</v>
      </c>
      <c r="J12" s="185" t="str">
        <f t="shared" si="0"/>
        <v>CIAC - Gas</v>
      </c>
      <c r="K12" s="185" t="str">
        <f t="shared" si="1"/>
        <v>Programmatic Customer Drive</v>
      </c>
      <c r="L12" s="182" t="str">
        <f t="shared" si="2"/>
        <v>G</v>
      </c>
      <c r="M12" s="217">
        <f t="shared" si="3"/>
        <v>0</v>
      </c>
      <c r="N12" s="217">
        <f t="shared" si="4"/>
        <v>0</v>
      </c>
      <c r="O12" s="217">
        <f t="shared" si="5"/>
        <v>0</v>
      </c>
      <c r="P12" s="217">
        <f t="shared" si="6"/>
        <v>0</v>
      </c>
      <c r="Q12" s="217">
        <f t="shared" si="7"/>
        <v>0</v>
      </c>
      <c r="S12" s="185" t="str">
        <f t="shared" si="8"/>
        <v>CIAC - Gas</v>
      </c>
      <c r="T12" s="185" t="str">
        <f t="shared" si="9"/>
        <v>Programmatic Customer Drive</v>
      </c>
      <c r="U12" s="182" t="str">
        <f t="shared" si="10"/>
        <v>G</v>
      </c>
      <c r="V12" s="217">
        <f t="shared" si="11"/>
        <v>0</v>
      </c>
      <c r="W12" s="217">
        <f t="shared" si="12"/>
        <v>-19094.519999999997</v>
      </c>
      <c r="X12" s="217">
        <f t="shared" si="13"/>
        <v>-83789.279999999984</v>
      </c>
      <c r="Y12" s="217">
        <f t="shared" si="14"/>
        <v>-166318.56</v>
      </c>
      <c r="Z12" s="217">
        <f t="shared" si="15"/>
        <v>0</v>
      </c>
      <c r="AB12" s="183">
        <f t="shared" si="16"/>
        <v>0</v>
      </c>
    </row>
    <row r="13" spans="1:28" x14ac:dyDescent="0.25">
      <c r="A13" s="185" t="s">
        <v>217</v>
      </c>
      <c r="B13" s="185" t="s">
        <v>160</v>
      </c>
      <c r="C13" s="216" t="str">
        <f>VLOOKUP(A13,'Calc Program Gross Plant'!$A$5:$C$55,3,FALSE)</f>
        <v>E</v>
      </c>
      <c r="D13" s="188">
        <v>0</v>
      </c>
      <c r="E13" s="183">
        <v>35785.859999999993</v>
      </c>
      <c r="F13" s="183">
        <v>212727.2999999999</v>
      </c>
      <c r="G13" s="183">
        <v>1044088.62</v>
      </c>
      <c r="H13" s="183">
        <v>0</v>
      </c>
      <c r="J13" s="185" t="str">
        <f t="shared" si="0"/>
        <v>Colstrip 3&amp;4</v>
      </c>
      <c r="K13" s="185" t="str">
        <f t="shared" si="1"/>
        <v>Programmatic</v>
      </c>
      <c r="L13" s="182" t="str">
        <f t="shared" si="2"/>
        <v>E</v>
      </c>
      <c r="M13" s="217">
        <f t="shared" si="3"/>
        <v>0</v>
      </c>
      <c r="N13" s="217">
        <f t="shared" si="4"/>
        <v>35785.859999999993</v>
      </c>
      <c r="O13" s="217">
        <f t="shared" si="5"/>
        <v>212727.2999999999</v>
      </c>
      <c r="P13" s="217">
        <f t="shared" si="6"/>
        <v>1044088.62</v>
      </c>
      <c r="Q13" s="217">
        <f t="shared" si="7"/>
        <v>0</v>
      </c>
      <c r="S13" s="185" t="str">
        <f t="shared" si="8"/>
        <v>Colstrip 3&amp;4</v>
      </c>
      <c r="T13" s="185" t="str">
        <f t="shared" si="9"/>
        <v>Programmatic</v>
      </c>
      <c r="U13" s="182" t="str">
        <f t="shared" si="10"/>
        <v>E</v>
      </c>
      <c r="V13" s="217">
        <f t="shared" si="11"/>
        <v>0</v>
      </c>
      <c r="W13" s="217">
        <f t="shared" si="12"/>
        <v>0</v>
      </c>
      <c r="X13" s="217">
        <f t="shared" si="13"/>
        <v>0</v>
      </c>
      <c r="Y13" s="217">
        <f t="shared" si="14"/>
        <v>0</v>
      </c>
      <c r="Z13" s="217">
        <f t="shared" si="15"/>
        <v>0</v>
      </c>
      <c r="AB13" s="183">
        <f t="shared" si="16"/>
        <v>0</v>
      </c>
    </row>
    <row r="14" spans="1:28" x14ac:dyDescent="0.25">
      <c r="A14" s="185" t="s">
        <v>216</v>
      </c>
      <c r="B14" s="185" t="s">
        <v>173</v>
      </c>
      <c r="C14" s="216" t="str">
        <f>VLOOKUP(A14,'Calc Program Gross Plant'!$A$5:$C$55,3,FALSE)</f>
        <v>C</v>
      </c>
      <c r="D14" s="188">
        <v>0</v>
      </c>
      <c r="E14" s="183">
        <v>0</v>
      </c>
      <c r="F14" s="183">
        <v>0</v>
      </c>
      <c r="G14" s="183">
        <v>0</v>
      </c>
      <c r="H14" s="183">
        <v>0</v>
      </c>
      <c r="J14" s="185" t="str">
        <f t="shared" si="0"/>
        <v>Control Center</v>
      </c>
      <c r="K14" s="185" t="str">
        <f t="shared" si="1"/>
        <v>Specific</v>
      </c>
      <c r="L14" s="182" t="str">
        <f t="shared" si="2"/>
        <v>C</v>
      </c>
      <c r="M14" s="217">
        <f t="shared" si="3"/>
        <v>0</v>
      </c>
      <c r="N14" s="217">
        <f t="shared" si="4"/>
        <v>0</v>
      </c>
      <c r="O14" s="217">
        <f t="shared" si="5"/>
        <v>0</v>
      </c>
      <c r="P14" s="217">
        <f t="shared" si="6"/>
        <v>0</v>
      </c>
      <c r="Q14" s="217">
        <f t="shared" si="7"/>
        <v>0</v>
      </c>
      <c r="S14" s="185" t="str">
        <f t="shared" si="8"/>
        <v>Control Center</v>
      </c>
      <c r="T14" s="185" t="str">
        <f t="shared" si="9"/>
        <v>Specific</v>
      </c>
      <c r="U14" s="182" t="str">
        <f t="shared" si="10"/>
        <v>C</v>
      </c>
      <c r="V14" s="217">
        <f t="shared" si="11"/>
        <v>0</v>
      </c>
      <c r="W14" s="217">
        <f t="shared" si="12"/>
        <v>0</v>
      </c>
      <c r="X14" s="217">
        <f t="shared" si="13"/>
        <v>0</v>
      </c>
      <c r="Y14" s="217">
        <f t="shared" si="14"/>
        <v>0</v>
      </c>
      <c r="Z14" s="217">
        <f t="shared" si="15"/>
        <v>0</v>
      </c>
      <c r="AB14" s="183">
        <f t="shared" si="16"/>
        <v>0</v>
      </c>
    </row>
    <row r="15" spans="1:28" x14ac:dyDescent="0.25">
      <c r="A15" s="185" t="s">
        <v>6</v>
      </c>
      <c r="B15" s="185" t="s">
        <v>172</v>
      </c>
      <c r="C15" s="216" t="str">
        <f>VLOOKUP(A15,'Calc Program Gross Plant'!$A$5:$C$55,3,FALSE)</f>
        <v>E</v>
      </c>
      <c r="D15" s="188">
        <v>0</v>
      </c>
      <c r="E15" s="183">
        <v>158974.63999999998</v>
      </c>
      <c r="F15" s="183">
        <v>339805.33999999997</v>
      </c>
      <c r="G15" s="183">
        <v>512149.08999999997</v>
      </c>
      <c r="H15" s="183">
        <v>0</v>
      </c>
      <c r="J15" s="185" t="str">
        <f t="shared" si="0"/>
        <v>Customer Construction Electric</v>
      </c>
      <c r="K15" s="185" t="str">
        <f t="shared" si="1"/>
        <v>Programmatic Customer Drive</v>
      </c>
      <c r="L15" s="182" t="str">
        <f t="shared" si="2"/>
        <v>E</v>
      </c>
      <c r="M15" s="217">
        <f t="shared" si="3"/>
        <v>0</v>
      </c>
      <c r="N15" s="217">
        <f t="shared" si="4"/>
        <v>158974.63999999998</v>
      </c>
      <c r="O15" s="217">
        <f t="shared" si="5"/>
        <v>339805.33999999997</v>
      </c>
      <c r="P15" s="217">
        <f t="shared" si="6"/>
        <v>512149.08999999997</v>
      </c>
      <c r="Q15" s="217">
        <f t="shared" si="7"/>
        <v>0</v>
      </c>
      <c r="S15" s="185" t="str">
        <f t="shared" si="8"/>
        <v>Customer Construction Electric</v>
      </c>
      <c r="T15" s="185" t="str">
        <f t="shared" si="9"/>
        <v>Programmatic Customer Drive</v>
      </c>
      <c r="U15" s="182" t="str">
        <f t="shared" si="10"/>
        <v>E</v>
      </c>
      <c r="V15" s="217">
        <f t="shared" si="11"/>
        <v>0</v>
      </c>
      <c r="W15" s="217">
        <f t="shared" si="12"/>
        <v>0</v>
      </c>
      <c r="X15" s="217">
        <f t="shared" si="13"/>
        <v>0</v>
      </c>
      <c r="Y15" s="217">
        <f t="shared" si="14"/>
        <v>0</v>
      </c>
      <c r="Z15" s="217">
        <f t="shared" si="15"/>
        <v>0</v>
      </c>
      <c r="AB15" s="183">
        <f t="shared" si="16"/>
        <v>0</v>
      </c>
    </row>
    <row r="16" spans="1:28" x14ac:dyDescent="0.25">
      <c r="A16" s="185" t="s">
        <v>7</v>
      </c>
      <c r="B16" s="185" t="s">
        <v>172</v>
      </c>
      <c r="C16" s="216" t="str">
        <f>VLOOKUP(A16,'Calc Program Gross Plant'!$A$5:$C$55,3,FALSE)</f>
        <v>G</v>
      </c>
      <c r="D16" s="188">
        <v>0</v>
      </c>
      <c r="E16" s="183">
        <v>1297662.5799999998</v>
      </c>
      <c r="F16" s="183">
        <v>3268140.6999999997</v>
      </c>
      <c r="G16" s="183">
        <v>5676321.3499999912</v>
      </c>
      <c r="H16" s="183">
        <v>0</v>
      </c>
      <c r="J16" s="185" t="str">
        <f t="shared" si="0"/>
        <v>Customer Construction Gas</v>
      </c>
      <c r="K16" s="185" t="str">
        <f t="shared" si="1"/>
        <v>Programmatic Customer Drive</v>
      </c>
      <c r="L16" s="182" t="str">
        <f t="shared" si="2"/>
        <v>G</v>
      </c>
      <c r="M16" s="217">
        <f t="shared" si="3"/>
        <v>0</v>
      </c>
      <c r="N16" s="217">
        <f t="shared" si="4"/>
        <v>0</v>
      </c>
      <c r="O16" s="217">
        <f t="shared" si="5"/>
        <v>0</v>
      </c>
      <c r="P16" s="217">
        <f t="shared" si="6"/>
        <v>0</v>
      </c>
      <c r="Q16" s="217">
        <f t="shared" si="7"/>
        <v>0</v>
      </c>
      <c r="S16" s="185" t="str">
        <f t="shared" si="8"/>
        <v>Customer Construction Gas</v>
      </c>
      <c r="T16" s="185" t="str">
        <f t="shared" si="9"/>
        <v>Programmatic Customer Drive</v>
      </c>
      <c r="U16" s="182" t="str">
        <f t="shared" si="10"/>
        <v>G</v>
      </c>
      <c r="V16" s="217">
        <f t="shared" si="11"/>
        <v>0</v>
      </c>
      <c r="W16" s="217">
        <f t="shared" si="12"/>
        <v>1297662.5799999998</v>
      </c>
      <c r="X16" s="217">
        <f t="shared" si="13"/>
        <v>3268140.6999999997</v>
      </c>
      <c r="Y16" s="217">
        <f t="shared" si="14"/>
        <v>5676321.3499999912</v>
      </c>
      <c r="Z16" s="217">
        <f t="shared" si="15"/>
        <v>0</v>
      </c>
      <c r="AB16" s="183">
        <f t="shared" si="16"/>
        <v>0</v>
      </c>
    </row>
    <row r="17" spans="1:28" x14ac:dyDescent="0.25">
      <c r="A17" s="185" t="s">
        <v>8</v>
      </c>
      <c r="B17" s="185" t="s">
        <v>160</v>
      </c>
      <c r="C17" s="216" t="str">
        <f>VLOOKUP(A17,'Calc Program Gross Plant'!$A$5:$C$55,3,FALSE)</f>
        <v>E</v>
      </c>
      <c r="D17" s="188">
        <v>0</v>
      </c>
      <c r="E17" s="183">
        <v>25865.45</v>
      </c>
      <c r="F17" s="183">
        <v>82433.7</v>
      </c>
      <c r="G17" s="183">
        <v>224211</v>
      </c>
      <c r="H17" s="183">
        <v>0</v>
      </c>
      <c r="J17" s="185" t="str">
        <f t="shared" si="0"/>
        <v>Customer Sited Energy Storage</v>
      </c>
      <c r="K17" s="185" t="str">
        <f t="shared" si="1"/>
        <v>Programmatic</v>
      </c>
      <c r="L17" s="182" t="str">
        <f t="shared" si="2"/>
        <v>E</v>
      </c>
      <c r="M17" s="217">
        <f t="shared" si="3"/>
        <v>0</v>
      </c>
      <c r="N17" s="217">
        <f t="shared" si="4"/>
        <v>25865.45</v>
      </c>
      <c r="O17" s="217">
        <f t="shared" si="5"/>
        <v>82433.7</v>
      </c>
      <c r="P17" s="217">
        <f t="shared" si="6"/>
        <v>224211</v>
      </c>
      <c r="Q17" s="217">
        <f t="shared" si="7"/>
        <v>0</v>
      </c>
      <c r="S17" s="185" t="str">
        <f t="shared" si="8"/>
        <v>Customer Sited Energy Storage</v>
      </c>
      <c r="T17" s="185" t="str">
        <f t="shared" si="9"/>
        <v>Programmatic</v>
      </c>
      <c r="U17" s="182" t="str">
        <f t="shared" si="10"/>
        <v>E</v>
      </c>
      <c r="V17" s="217">
        <f t="shared" si="11"/>
        <v>0</v>
      </c>
      <c r="W17" s="217">
        <f t="shared" si="12"/>
        <v>0</v>
      </c>
      <c r="X17" s="217">
        <f t="shared" si="13"/>
        <v>0</v>
      </c>
      <c r="Y17" s="217">
        <f t="shared" si="14"/>
        <v>0</v>
      </c>
      <c r="Z17" s="217">
        <f t="shared" si="15"/>
        <v>0</v>
      </c>
      <c r="AB17" s="183">
        <f t="shared" si="16"/>
        <v>0</v>
      </c>
    </row>
    <row r="18" spans="1:28" x14ac:dyDescent="0.25">
      <c r="A18" s="185" t="s">
        <v>9</v>
      </c>
      <c r="B18" s="185" t="s">
        <v>160</v>
      </c>
      <c r="C18" s="216" t="str">
        <f>VLOOKUP(A18,'Calc Program Gross Plant'!$A$5:$C$55,3,FALSE)</f>
        <v>C</v>
      </c>
      <c r="D18" s="188">
        <v>0</v>
      </c>
      <c r="E18" s="183">
        <v>0</v>
      </c>
      <c r="F18" s="183">
        <v>165822.90000000002</v>
      </c>
      <c r="G18" s="183">
        <v>3979749.48</v>
      </c>
      <c r="H18" s="183">
        <v>0</v>
      </c>
      <c r="J18" s="185" t="str">
        <f t="shared" si="0"/>
        <v>Data Center Hardware Refresh</v>
      </c>
      <c r="K18" s="185" t="str">
        <f t="shared" si="1"/>
        <v>Programmatic</v>
      </c>
      <c r="L18" s="182" t="str">
        <f t="shared" si="2"/>
        <v>C</v>
      </c>
      <c r="M18" s="217">
        <f t="shared" si="3"/>
        <v>0</v>
      </c>
      <c r="N18" s="217">
        <f t="shared" si="4"/>
        <v>0</v>
      </c>
      <c r="O18" s="217">
        <f t="shared" si="5"/>
        <v>109343.62026000001</v>
      </c>
      <c r="P18" s="217">
        <f t="shared" si="6"/>
        <v>2624246.807112</v>
      </c>
      <c r="Q18" s="217">
        <f t="shared" si="7"/>
        <v>0</v>
      </c>
      <c r="S18" s="185" t="str">
        <f t="shared" si="8"/>
        <v>Data Center Hardware Refresh</v>
      </c>
      <c r="T18" s="185" t="str">
        <f t="shared" si="9"/>
        <v>Programmatic</v>
      </c>
      <c r="U18" s="182" t="str">
        <f t="shared" si="10"/>
        <v>C</v>
      </c>
      <c r="V18" s="217">
        <f t="shared" si="11"/>
        <v>0</v>
      </c>
      <c r="W18" s="217">
        <f t="shared" si="12"/>
        <v>0</v>
      </c>
      <c r="X18" s="217">
        <f t="shared" si="13"/>
        <v>56479.279740000013</v>
      </c>
      <c r="Y18" s="217">
        <f t="shared" si="14"/>
        <v>1355502.672888</v>
      </c>
      <c r="Z18" s="217">
        <f t="shared" si="15"/>
        <v>0</v>
      </c>
      <c r="AB18" s="183">
        <f t="shared" si="16"/>
        <v>0</v>
      </c>
    </row>
    <row r="19" spans="1:28" x14ac:dyDescent="0.25">
      <c r="A19" s="185" t="s">
        <v>10</v>
      </c>
      <c r="B19" s="185" t="s">
        <v>160</v>
      </c>
      <c r="C19" s="216" t="str">
        <f>VLOOKUP(A19,'Calc Program Gross Plant'!$A$5:$C$55,3,FALSE)</f>
        <v>E</v>
      </c>
      <c r="D19" s="188">
        <v>0</v>
      </c>
      <c r="E19" s="183">
        <v>909886.96</v>
      </c>
      <c r="F19" s="183">
        <v>2837921.7</v>
      </c>
      <c r="G19" s="183">
        <v>4719268.7400000012</v>
      </c>
      <c r="H19" s="183">
        <v>0</v>
      </c>
      <c r="J19" s="185" t="str">
        <f t="shared" si="0"/>
        <v>Emergent Electric</v>
      </c>
      <c r="K19" s="185" t="str">
        <f t="shared" si="1"/>
        <v>Programmatic</v>
      </c>
      <c r="L19" s="182" t="str">
        <f t="shared" si="2"/>
        <v>E</v>
      </c>
      <c r="M19" s="217">
        <f t="shared" si="3"/>
        <v>0</v>
      </c>
      <c r="N19" s="217">
        <f t="shared" si="4"/>
        <v>909886.96</v>
      </c>
      <c r="O19" s="217">
        <f t="shared" si="5"/>
        <v>2837921.7</v>
      </c>
      <c r="P19" s="217">
        <f t="shared" si="6"/>
        <v>4719268.7400000012</v>
      </c>
      <c r="Q19" s="217">
        <f t="shared" si="7"/>
        <v>0</v>
      </c>
      <c r="S19" s="185" t="str">
        <f t="shared" si="8"/>
        <v>Emergent Electric</v>
      </c>
      <c r="T19" s="185" t="str">
        <f t="shared" si="9"/>
        <v>Programmatic</v>
      </c>
      <c r="U19" s="182" t="str">
        <f t="shared" si="10"/>
        <v>E</v>
      </c>
      <c r="V19" s="217">
        <f t="shared" si="11"/>
        <v>0</v>
      </c>
      <c r="W19" s="217">
        <f t="shared" si="12"/>
        <v>0</v>
      </c>
      <c r="X19" s="217">
        <f t="shared" si="13"/>
        <v>0</v>
      </c>
      <c r="Y19" s="217">
        <f t="shared" si="14"/>
        <v>0</v>
      </c>
      <c r="Z19" s="217">
        <f t="shared" si="15"/>
        <v>0</v>
      </c>
      <c r="AB19" s="183">
        <f t="shared" si="16"/>
        <v>0</v>
      </c>
    </row>
    <row r="20" spans="1:28" x14ac:dyDescent="0.25">
      <c r="A20" s="185" t="s">
        <v>11</v>
      </c>
      <c r="B20" s="185" t="s">
        <v>160</v>
      </c>
      <c r="C20" s="216" t="str">
        <f>VLOOKUP(A20,'Calc Program Gross Plant'!$A$5:$C$55,3,FALSE)</f>
        <v>G</v>
      </c>
      <c r="D20" s="188">
        <v>0</v>
      </c>
      <c r="E20" s="183">
        <v>282680.40999999997</v>
      </c>
      <c r="F20" s="183">
        <v>1066733.1299999999</v>
      </c>
      <c r="G20" s="183">
        <v>1895286.0299999996</v>
      </c>
      <c r="H20" s="183">
        <v>0</v>
      </c>
      <c r="J20" s="185" t="str">
        <f t="shared" si="0"/>
        <v>Emergent Gas</v>
      </c>
      <c r="K20" s="185" t="str">
        <f t="shared" si="1"/>
        <v>Programmatic</v>
      </c>
      <c r="L20" s="182" t="str">
        <f t="shared" si="2"/>
        <v>G</v>
      </c>
      <c r="M20" s="217">
        <f t="shared" si="3"/>
        <v>0</v>
      </c>
      <c r="N20" s="217">
        <f t="shared" si="4"/>
        <v>0</v>
      </c>
      <c r="O20" s="217">
        <f t="shared" si="5"/>
        <v>0</v>
      </c>
      <c r="P20" s="217">
        <f t="shared" si="6"/>
        <v>0</v>
      </c>
      <c r="Q20" s="217">
        <f t="shared" si="7"/>
        <v>0</v>
      </c>
      <c r="S20" s="185" t="str">
        <f t="shared" si="8"/>
        <v>Emergent Gas</v>
      </c>
      <c r="T20" s="185" t="str">
        <f t="shared" si="9"/>
        <v>Programmatic</v>
      </c>
      <c r="U20" s="182" t="str">
        <f t="shared" si="10"/>
        <v>G</v>
      </c>
      <c r="V20" s="217">
        <f t="shared" si="11"/>
        <v>0</v>
      </c>
      <c r="W20" s="217">
        <f t="shared" si="12"/>
        <v>282680.40999999997</v>
      </c>
      <c r="X20" s="217">
        <f t="shared" si="13"/>
        <v>1066733.1299999999</v>
      </c>
      <c r="Y20" s="217">
        <f t="shared" si="14"/>
        <v>1895286.0299999996</v>
      </c>
      <c r="Z20" s="217">
        <f t="shared" si="15"/>
        <v>0</v>
      </c>
      <c r="AB20" s="183">
        <f t="shared" si="16"/>
        <v>0</v>
      </c>
    </row>
    <row r="21" spans="1:28" x14ac:dyDescent="0.25">
      <c r="A21" s="185" t="s">
        <v>215</v>
      </c>
      <c r="B21" s="185" t="s">
        <v>173</v>
      </c>
      <c r="C21" s="216" t="str">
        <f>VLOOKUP(A21,'Calc Program Gross Plant'!$A$5:$C$55,3,FALSE)</f>
        <v>E</v>
      </c>
      <c r="D21" s="188">
        <v>0</v>
      </c>
      <c r="E21" s="183">
        <v>0</v>
      </c>
      <c r="F21" s="183">
        <v>0</v>
      </c>
      <c r="G21" s="183">
        <v>0</v>
      </c>
      <c r="H21" s="183">
        <v>0</v>
      </c>
      <c r="J21" s="185" t="str">
        <f t="shared" si="0"/>
        <v>EMS Upgrade</v>
      </c>
      <c r="K21" s="185" t="str">
        <f t="shared" si="1"/>
        <v>Specific</v>
      </c>
      <c r="L21" s="182" t="str">
        <f t="shared" si="2"/>
        <v>E</v>
      </c>
      <c r="M21" s="217">
        <f t="shared" si="3"/>
        <v>0</v>
      </c>
      <c r="N21" s="217">
        <f t="shared" si="4"/>
        <v>0</v>
      </c>
      <c r="O21" s="217">
        <f t="shared" si="5"/>
        <v>0</v>
      </c>
      <c r="P21" s="217">
        <f t="shared" si="6"/>
        <v>0</v>
      </c>
      <c r="Q21" s="217">
        <f t="shared" si="7"/>
        <v>0</v>
      </c>
      <c r="S21" s="185" t="str">
        <f t="shared" si="8"/>
        <v>EMS Upgrade</v>
      </c>
      <c r="T21" s="185" t="str">
        <f t="shared" si="9"/>
        <v>Specific</v>
      </c>
      <c r="U21" s="182" t="str">
        <f t="shared" si="10"/>
        <v>E</v>
      </c>
      <c r="V21" s="217">
        <f t="shared" si="11"/>
        <v>0</v>
      </c>
      <c r="W21" s="217">
        <f t="shared" si="12"/>
        <v>0</v>
      </c>
      <c r="X21" s="217">
        <f t="shared" si="13"/>
        <v>0</v>
      </c>
      <c r="Y21" s="217">
        <f t="shared" si="14"/>
        <v>0</v>
      </c>
      <c r="Z21" s="217">
        <f t="shared" si="15"/>
        <v>0</v>
      </c>
      <c r="AB21" s="183">
        <f t="shared" si="16"/>
        <v>0</v>
      </c>
    </row>
    <row r="22" spans="1:28" x14ac:dyDescent="0.25">
      <c r="A22" s="185" t="s">
        <v>12</v>
      </c>
      <c r="B22" s="185" t="s">
        <v>173</v>
      </c>
      <c r="C22" s="216" t="str">
        <f>VLOOKUP(A22,'Calc Program Gross Plant'!$A$5:$C$55,3,FALSE)</f>
        <v>E</v>
      </c>
      <c r="D22" s="188">
        <v>0</v>
      </c>
      <c r="E22" s="183">
        <v>0</v>
      </c>
      <c r="F22" s="183">
        <v>162971.99</v>
      </c>
      <c r="G22" s="183">
        <v>2008612.7999999996</v>
      </c>
      <c r="H22" s="183">
        <v>0</v>
      </c>
      <c r="J22" s="185" t="str">
        <f t="shared" si="0"/>
        <v>Energize Eastside</v>
      </c>
      <c r="K22" s="185" t="str">
        <f t="shared" si="1"/>
        <v>Specific</v>
      </c>
      <c r="L22" s="182" t="str">
        <f t="shared" si="2"/>
        <v>E</v>
      </c>
      <c r="M22" s="217">
        <f t="shared" si="3"/>
        <v>0</v>
      </c>
      <c r="N22" s="217">
        <f t="shared" si="4"/>
        <v>0</v>
      </c>
      <c r="O22" s="217">
        <f t="shared" si="5"/>
        <v>162971.99</v>
      </c>
      <c r="P22" s="217">
        <f t="shared" si="6"/>
        <v>2008612.7999999996</v>
      </c>
      <c r="Q22" s="217">
        <f t="shared" si="7"/>
        <v>0</v>
      </c>
      <c r="S22" s="185" t="str">
        <f t="shared" si="8"/>
        <v>Energize Eastside</v>
      </c>
      <c r="T22" s="185" t="str">
        <f t="shared" si="9"/>
        <v>Specific</v>
      </c>
      <c r="U22" s="182" t="str">
        <f t="shared" si="10"/>
        <v>E</v>
      </c>
      <c r="V22" s="217">
        <f t="shared" si="11"/>
        <v>0</v>
      </c>
      <c r="W22" s="217">
        <f t="shared" si="12"/>
        <v>0</v>
      </c>
      <c r="X22" s="217">
        <f t="shared" si="13"/>
        <v>0</v>
      </c>
      <c r="Y22" s="217">
        <f t="shared" si="14"/>
        <v>0</v>
      </c>
      <c r="Z22" s="217">
        <f t="shared" si="15"/>
        <v>0</v>
      </c>
      <c r="AB22" s="183">
        <f t="shared" si="16"/>
        <v>0</v>
      </c>
    </row>
    <row r="23" spans="1:28" x14ac:dyDescent="0.25">
      <c r="A23" s="185" t="s">
        <v>127</v>
      </c>
      <c r="B23" s="185" t="s">
        <v>160</v>
      </c>
      <c r="C23" s="216" t="str">
        <f>VLOOKUP(A23,'Calc Program Gross Plant'!$A$5:$C$55,3,FALSE)</f>
        <v>E</v>
      </c>
      <c r="D23" s="188">
        <v>0</v>
      </c>
      <c r="E23" s="183">
        <v>225688.98</v>
      </c>
      <c r="F23" s="183">
        <v>968107.02</v>
      </c>
      <c r="G23" s="183">
        <v>2295023.04</v>
      </c>
      <c r="H23" s="183">
        <v>0</v>
      </c>
      <c r="J23" s="185" t="str">
        <f t="shared" si="0"/>
        <v>EV Circuit</v>
      </c>
      <c r="K23" s="185" t="str">
        <f t="shared" si="1"/>
        <v>Programmatic</v>
      </c>
      <c r="L23" s="182" t="str">
        <f t="shared" si="2"/>
        <v>E</v>
      </c>
      <c r="M23" s="217">
        <f t="shared" si="3"/>
        <v>0</v>
      </c>
      <c r="N23" s="217">
        <f t="shared" si="4"/>
        <v>225688.98</v>
      </c>
      <c r="O23" s="217">
        <f t="shared" si="5"/>
        <v>968107.02</v>
      </c>
      <c r="P23" s="217">
        <f t="shared" si="6"/>
        <v>2295023.04</v>
      </c>
      <c r="Q23" s="217">
        <f t="shared" si="7"/>
        <v>0</v>
      </c>
      <c r="S23" s="185" t="str">
        <f t="shared" si="8"/>
        <v>EV Circuit</v>
      </c>
      <c r="T23" s="185" t="str">
        <f t="shared" si="9"/>
        <v>Programmatic</v>
      </c>
      <c r="U23" s="182" t="str">
        <f t="shared" si="10"/>
        <v>E</v>
      </c>
      <c r="V23" s="217">
        <f t="shared" si="11"/>
        <v>0</v>
      </c>
      <c r="W23" s="217">
        <f t="shared" si="12"/>
        <v>0</v>
      </c>
      <c r="X23" s="217">
        <f t="shared" si="13"/>
        <v>0</v>
      </c>
      <c r="Y23" s="217">
        <f t="shared" si="14"/>
        <v>0</v>
      </c>
      <c r="Z23" s="217">
        <f t="shared" si="15"/>
        <v>0</v>
      </c>
      <c r="AB23" s="183">
        <f t="shared" si="16"/>
        <v>0</v>
      </c>
    </row>
    <row r="24" spans="1:28" x14ac:dyDescent="0.25">
      <c r="A24" s="185" t="s">
        <v>214</v>
      </c>
      <c r="B24" s="185" t="s">
        <v>173</v>
      </c>
      <c r="C24" s="216" t="str">
        <f>VLOOKUP(A24,'Calc Program Gross Plant'!$A$5:$C$55,3,FALSE)</f>
        <v>E</v>
      </c>
      <c r="D24" s="188">
        <v>0</v>
      </c>
      <c r="E24" s="183">
        <v>1.67</v>
      </c>
      <c r="F24" s="183">
        <v>85.37</v>
      </c>
      <c r="G24" s="183">
        <v>16308.59</v>
      </c>
      <c r="H24" s="183">
        <v>0</v>
      </c>
      <c r="J24" s="185" t="str">
        <f t="shared" si="0"/>
        <v>Freddy Hot Gas Path</v>
      </c>
      <c r="K24" s="185" t="str">
        <f t="shared" si="1"/>
        <v>Specific</v>
      </c>
      <c r="L24" s="182" t="str">
        <f t="shared" si="2"/>
        <v>E</v>
      </c>
      <c r="M24" s="217">
        <f t="shared" si="3"/>
        <v>0</v>
      </c>
      <c r="N24" s="217">
        <f t="shared" si="4"/>
        <v>1.67</v>
      </c>
      <c r="O24" s="217">
        <f t="shared" si="5"/>
        <v>85.37</v>
      </c>
      <c r="P24" s="217">
        <f t="shared" si="6"/>
        <v>16308.59</v>
      </c>
      <c r="Q24" s="217">
        <f t="shared" si="7"/>
        <v>0</v>
      </c>
      <c r="S24" s="185" t="str">
        <f t="shared" si="8"/>
        <v>Freddy Hot Gas Path</v>
      </c>
      <c r="T24" s="185" t="str">
        <f t="shared" si="9"/>
        <v>Specific</v>
      </c>
      <c r="U24" s="182" t="str">
        <f t="shared" si="10"/>
        <v>E</v>
      </c>
      <c r="V24" s="217">
        <f t="shared" si="11"/>
        <v>0</v>
      </c>
      <c r="W24" s="217">
        <f t="shared" si="12"/>
        <v>0</v>
      </c>
      <c r="X24" s="217">
        <f t="shared" si="13"/>
        <v>0</v>
      </c>
      <c r="Y24" s="217">
        <f t="shared" si="14"/>
        <v>0</v>
      </c>
      <c r="Z24" s="217">
        <f t="shared" si="15"/>
        <v>0</v>
      </c>
      <c r="AB24" s="183">
        <f t="shared" si="16"/>
        <v>0</v>
      </c>
    </row>
    <row r="25" spans="1:28" x14ac:dyDescent="0.25">
      <c r="A25" s="185" t="s">
        <v>13</v>
      </c>
      <c r="B25" s="185" t="s">
        <v>160</v>
      </c>
      <c r="C25" s="216" t="str">
        <f>VLOOKUP(A25,'Calc Program Gross Plant'!$A$5:$C$55,3,FALSE)</f>
        <v>G</v>
      </c>
      <c r="D25" s="188">
        <v>0</v>
      </c>
      <c r="E25" s="183">
        <v>349802.67999999993</v>
      </c>
      <c r="F25" s="183">
        <v>1173323.6500000001</v>
      </c>
      <c r="G25" s="183">
        <v>2096380.2500000009</v>
      </c>
      <c r="H25" s="183">
        <v>0</v>
      </c>
      <c r="J25" s="185" t="str">
        <f t="shared" si="0"/>
        <v>Gas Modernization</v>
      </c>
      <c r="K25" s="185" t="str">
        <f t="shared" si="1"/>
        <v>Programmatic</v>
      </c>
      <c r="L25" s="182" t="str">
        <f t="shared" si="2"/>
        <v>G</v>
      </c>
      <c r="M25" s="217">
        <f t="shared" si="3"/>
        <v>0</v>
      </c>
      <c r="N25" s="217">
        <f t="shared" si="4"/>
        <v>0</v>
      </c>
      <c r="O25" s="217">
        <f t="shared" si="5"/>
        <v>0</v>
      </c>
      <c r="P25" s="217">
        <f t="shared" si="6"/>
        <v>0</v>
      </c>
      <c r="Q25" s="217">
        <f t="shared" si="7"/>
        <v>0</v>
      </c>
      <c r="S25" s="185" t="str">
        <f t="shared" si="8"/>
        <v>Gas Modernization</v>
      </c>
      <c r="T25" s="185" t="str">
        <f t="shared" si="9"/>
        <v>Programmatic</v>
      </c>
      <c r="U25" s="182" t="str">
        <f t="shared" si="10"/>
        <v>G</v>
      </c>
      <c r="V25" s="217">
        <f t="shared" si="11"/>
        <v>0</v>
      </c>
      <c r="W25" s="217">
        <f t="shared" si="12"/>
        <v>349802.67999999993</v>
      </c>
      <c r="X25" s="217">
        <f t="shared" si="13"/>
        <v>1173323.6500000001</v>
      </c>
      <c r="Y25" s="217">
        <f t="shared" si="14"/>
        <v>2096380.2500000009</v>
      </c>
      <c r="Z25" s="217">
        <f t="shared" si="15"/>
        <v>0</v>
      </c>
      <c r="AB25" s="183">
        <f t="shared" si="16"/>
        <v>0</v>
      </c>
    </row>
    <row r="26" spans="1:28" x14ac:dyDescent="0.25">
      <c r="A26" s="185" t="s">
        <v>14</v>
      </c>
      <c r="B26" s="185" t="s">
        <v>173</v>
      </c>
      <c r="C26" s="216" t="str">
        <f>VLOOKUP(A26,'Calc Program Gross Plant'!$A$5:$C$55,3,FALSE)</f>
        <v>E</v>
      </c>
      <c r="D26" s="188">
        <v>0</v>
      </c>
      <c r="E26" s="183">
        <v>-410476.32</v>
      </c>
      <c r="F26" s="183">
        <v>-634896</v>
      </c>
      <c r="G26" s="183">
        <v>-634896</v>
      </c>
      <c r="H26" s="183">
        <v>0</v>
      </c>
      <c r="J26" s="185" t="str">
        <f t="shared" si="0"/>
        <v>Goldendale MM</v>
      </c>
      <c r="K26" s="185" t="str">
        <f t="shared" si="1"/>
        <v>Specific</v>
      </c>
      <c r="L26" s="182" t="str">
        <f t="shared" si="2"/>
        <v>E</v>
      </c>
      <c r="M26" s="217">
        <f t="shared" si="3"/>
        <v>0</v>
      </c>
      <c r="N26" s="217">
        <f t="shared" si="4"/>
        <v>-410476.32</v>
      </c>
      <c r="O26" s="217">
        <f t="shared" si="5"/>
        <v>-634896</v>
      </c>
      <c r="P26" s="217">
        <f t="shared" si="6"/>
        <v>-634896</v>
      </c>
      <c r="Q26" s="217">
        <f t="shared" si="7"/>
        <v>0</v>
      </c>
      <c r="S26" s="185" t="str">
        <f t="shared" si="8"/>
        <v>Goldendale MM</v>
      </c>
      <c r="T26" s="185" t="str">
        <f t="shared" si="9"/>
        <v>Specific</v>
      </c>
      <c r="U26" s="182" t="str">
        <f t="shared" si="10"/>
        <v>E</v>
      </c>
      <c r="V26" s="217">
        <f t="shared" si="11"/>
        <v>0</v>
      </c>
      <c r="W26" s="217">
        <f t="shared" si="12"/>
        <v>0</v>
      </c>
      <c r="X26" s="217">
        <f t="shared" si="13"/>
        <v>0</v>
      </c>
      <c r="Y26" s="217">
        <f t="shared" si="14"/>
        <v>0</v>
      </c>
      <c r="Z26" s="217">
        <f t="shared" si="15"/>
        <v>0</v>
      </c>
      <c r="AB26" s="183">
        <f t="shared" si="16"/>
        <v>0</v>
      </c>
    </row>
    <row r="27" spans="1:28" x14ac:dyDescent="0.25">
      <c r="A27" s="185" t="s">
        <v>15</v>
      </c>
      <c r="B27" s="185" t="s">
        <v>160</v>
      </c>
      <c r="C27" s="216" t="str">
        <f>VLOOKUP(A27,'Calc Program Gross Plant'!$A$5:$C$55,3,FALSE)</f>
        <v>E</v>
      </c>
      <c r="D27" s="188">
        <v>0</v>
      </c>
      <c r="E27" s="183">
        <v>2012225.1500000001</v>
      </c>
      <c r="F27" s="183">
        <v>8404993.799999997</v>
      </c>
      <c r="G27" s="183">
        <v>17924183.249999996</v>
      </c>
      <c r="H27" s="183">
        <v>0</v>
      </c>
      <c r="J27" s="185" t="str">
        <f t="shared" si="0"/>
        <v>Grid Modernization</v>
      </c>
      <c r="K27" s="185" t="str">
        <f t="shared" si="1"/>
        <v>Programmatic</v>
      </c>
      <c r="L27" s="182" t="str">
        <f t="shared" si="2"/>
        <v>E</v>
      </c>
      <c r="M27" s="217">
        <f t="shared" si="3"/>
        <v>0</v>
      </c>
      <c r="N27" s="217">
        <f t="shared" si="4"/>
        <v>2012225.1500000001</v>
      </c>
      <c r="O27" s="217">
        <f t="shared" si="5"/>
        <v>8404993.799999997</v>
      </c>
      <c r="P27" s="217">
        <f t="shared" si="6"/>
        <v>17924183.249999996</v>
      </c>
      <c r="Q27" s="217">
        <f t="shared" si="7"/>
        <v>0</v>
      </c>
      <c r="S27" s="185" t="str">
        <f t="shared" si="8"/>
        <v>Grid Modernization</v>
      </c>
      <c r="T27" s="185" t="str">
        <f t="shared" si="9"/>
        <v>Programmatic</v>
      </c>
      <c r="U27" s="182" t="str">
        <f t="shared" si="10"/>
        <v>E</v>
      </c>
      <c r="V27" s="217">
        <f t="shared" si="11"/>
        <v>0</v>
      </c>
      <c r="W27" s="217">
        <f t="shared" si="12"/>
        <v>0</v>
      </c>
      <c r="X27" s="217">
        <f t="shared" si="13"/>
        <v>0</v>
      </c>
      <c r="Y27" s="217">
        <f t="shared" si="14"/>
        <v>0</v>
      </c>
      <c r="Z27" s="217">
        <f t="shared" si="15"/>
        <v>0</v>
      </c>
      <c r="AB27" s="183">
        <f t="shared" si="16"/>
        <v>0</v>
      </c>
    </row>
    <row r="28" spans="1:28" x14ac:dyDescent="0.25">
      <c r="A28" s="185" t="s">
        <v>213</v>
      </c>
      <c r="B28" s="185" t="s">
        <v>160</v>
      </c>
      <c r="C28" s="216" t="str">
        <f>VLOOKUP(A28,'Calc Program Gross Plant'!$A$5:$C$55,3,FALSE)</f>
        <v>C</v>
      </c>
      <c r="D28" s="188">
        <v>0</v>
      </c>
      <c r="E28" s="183">
        <v>2959556.2800000003</v>
      </c>
      <c r="F28" s="183">
        <v>8882416.4400000013</v>
      </c>
      <c r="G28" s="183">
        <v>15427506.660000002</v>
      </c>
      <c r="H28" s="183">
        <v>0</v>
      </c>
      <c r="J28" s="185" t="str">
        <f t="shared" si="0"/>
        <v>IT Operational Program - Common</v>
      </c>
      <c r="K28" s="185" t="str">
        <f t="shared" si="1"/>
        <v>Programmatic</v>
      </c>
      <c r="L28" s="182" t="str">
        <f t="shared" si="2"/>
        <v>C</v>
      </c>
      <c r="M28" s="217">
        <f t="shared" si="3"/>
        <v>0</v>
      </c>
      <c r="N28" s="217">
        <f t="shared" si="4"/>
        <v>1951531.4110320001</v>
      </c>
      <c r="O28" s="217">
        <f t="shared" si="5"/>
        <v>5857065.4005360007</v>
      </c>
      <c r="P28" s="217">
        <f t="shared" si="6"/>
        <v>10172897.891604001</v>
      </c>
      <c r="Q28" s="217">
        <f t="shared" si="7"/>
        <v>0</v>
      </c>
      <c r="S28" s="185" t="str">
        <f t="shared" si="8"/>
        <v>IT Operational Program - Common</v>
      </c>
      <c r="T28" s="185" t="str">
        <f t="shared" si="9"/>
        <v>Programmatic</v>
      </c>
      <c r="U28" s="182" t="str">
        <f t="shared" si="10"/>
        <v>C</v>
      </c>
      <c r="V28" s="217">
        <f t="shared" si="11"/>
        <v>0</v>
      </c>
      <c r="W28" s="217">
        <f t="shared" si="12"/>
        <v>1008024.8689680002</v>
      </c>
      <c r="X28" s="217">
        <f t="shared" si="13"/>
        <v>3025351.0394640006</v>
      </c>
      <c r="Y28" s="217">
        <f t="shared" si="14"/>
        <v>5254608.7683960013</v>
      </c>
      <c r="Z28" s="217">
        <f t="shared" si="15"/>
        <v>0</v>
      </c>
      <c r="AB28" s="183">
        <f t="shared" si="16"/>
        <v>0</v>
      </c>
    </row>
    <row r="29" spans="1:28" x14ac:dyDescent="0.25">
      <c r="A29" s="185" t="s">
        <v>18</v>
      </c>
      <c r="B29" s="185" t="s">
        <v>173</v>
      </c>
      <c r="C29" s="216" t="str">
        <f>VLOOKUP(A29,'Calc Program Gross Plant'!$A$5:$C$55,3,FALSE)</f>
        <v>E</v>
      </c>
      <c r="D29" s="188">
        <v>0</v>
      </c>
      <c r="E29" s="183">
        <v>0</v>
      </c>
      <c r="F29" s="183">
        <v>0</v>
      </c>
      <c r="G29" s="183">
        <v>0</v>
      </c>
      <c r="H29" s="183">
        <v>0</v>
      </c>
      <c r="J29" s="185" t="str">
        <f t="shared" si="0"/>
        <v>Lower Baker Dam Grouting Program</v>
      </c>
      <c r="K29" s="185" t="str">
        <f t="shared" si="1"/>
        <v>Specific</v>
      </c>
      <c r="L29" s="182" t="str">
        <f t="shared" si="2"/>
        <v>E</v>
      </c>
      <c r="M29" s="217">
        <f t="shared" si="3"/>
        <v>0</v>
      </c>
      <c r="N29" s="217">
        <f t="shared" si="4"/>
        <v>0</v>
      </c>
      <c r="O29" s="217">
        <f t="shared" si="5"/>
        <v>0</v>
      </c>
      <c r="P29" s="217">
        <f t="shared" si="6"/>
        <v>0</v>
      </c>
      <c r="Q29" s="217">
        <f t="shared" si="7"/>
        <v>0</v>
      </c>
      <c r="S29" s="185" t="str">
        <f t="shared" si="8"/>
        <v>Lower Baker Dam Grouting Program</v>
      </c>
      <c r="T29" s="185" t="str">
        <f t="shared" si="9"/>
        <v>Specific</v>
      </c>
      <c r="U29" s="182" t="str">
        <f t="shared" si="10"/>
        <v>E</v>
      </c>
      <c r="V29" s="217">
        <f t="shared" si="11"/>
        <v>0</v>
      </c>
      <c r="W29" s="217">
        <f t="shared" si="12"/>
        <v>0</v>
      </c>
      <c r="X29" s="217">
        <f t="shared" si="13"/>
        <v>0</v>
      </c>
      <c r="Y29" s="217">
        <f t="shared" si="14"/>
        <v>0</v>
      </c>
      <c r="Z29" s="217">
        <f t="shared" si="15"/>
        <v>0</v>
      </c>
      <c r="AB29" s="183">
        <f t="shared" si="16"/>
        <v>0</v>
      </c>
    </row>
    <row r="30" spans="1:28" x14ac:dyDescent="0.25">
      <c r="A30" s="185" t="s">
        <v>19</v>
      </c>
      <c r="B30" s="185" t="s">
        <v>160</v>
      </c>
      <c r="C30" s="216" t="str">
        <f>VLOOKUP(A30,'Calc Program Gross Plant'!$A$5:$C$55,3,FALSE)</f>
        <v>E</v>
      </c>
      <c r="D30" s="188">
        <v>0</v>
      </c>
      <c r="E30" s="183">
        <v>188428.45999999996</v>
      </c>
      <c r="F30" s="183">
        <v>569820.72</v>
      </c>
      <c r="G30" s="183">
        <v>885393.62</v>
      </c>
      <c r="H30" s="183">
        <v>0</v>
      </c>
      <c r="J30" s="185" t="str">
        <f t="shared" si="0"/>
        <v>Major Projects Electric</v>
      </c>
      <c r="K30" s="185" t="str">
        <f t="shared" si="1"/>
        <v>Programmatic</v>
      </c>
      <c r="L30" s="182" t="str">
        <f t="shared" si="2"/>
        <v>E</v>
      </c>
      <c r="M30" s="217">
        <f t="shared" si="3"/>
        <v>0</v>
      </c>
      <c r="N30" s="217">
        <f t="shared" si="4"/>
        <v>188428.45999999996</v>
      </c>
      <c r="O30" s="217">
        <f t="shared" si="5"/>
        <v>569820.72</v>
      </c>
      <c r="P30" s="217">
        <f t="shared" si="6"/>
        <v>885393.62</v>
      </c>
      <c r="Q30" s="217">
        <f t="shared" si="7"/>
        <v>0</v>
      </c>
      <c r="S30" s="185" t="str">
        <f t="shared" si="8"/>
        <v>Major Projects Electric</v>
      </c>
      <c r="T30" s="185" t="str">
        <f t="shared" si="9"/>
        <v>Programmatic</v>
      </c>
      <c r="U30" s="182" t="str">
        <f t="shared" si="10"/>
        <v>E</v>
      </c>
      <c r="V30" s="217">
        <f t="shared" si="11"/>
        <v>0</v>
      </c>
      <c r="W30" s="217">
        <f t="shared" si="12"/>
        <v>0</v>
      </c>
      <c r="X30" s="217">
        <f t="shared" si="13"/>
        <v>0</v>
      </c>
      <c r="Y30" s="217">
        <f t="shared" si="14"/>
        <v>0</v>
      </c>
      <c r="Z30" s="217">
        <f t="shared" si="15"/>
        <v>0</v>
      </c>
      <c r="AB30" s="183">
        <f t="shared" si="16"/>
        <v>0</v>
      </c>
    </row>
    <row r="31" spans="1:28" x14ac:dyDescent="0.25">
      <c r="A31" s="185" t="s">
        <v>20</v>
      </c>
      <c r="B31" s="185" t="s">
        <v>160</v>
      </c>
      <c r="C31" s="216" t="str">
        <f>VLOOKUP(A31,'Calc Program Gross Plant'!$A$5:$C$55,3,FALSE)</f>
        <v>G</v>
      </c>
      <c r="D31" s="188">
        <v>0</v>
      </c>
      <c r="E31" s="183">
        <v>16119.35</v>
      </c>
      <c r="F31" s="183">
        <v>98082.9</v>
      </c>
      <c r="G31" s="183">
        <v>117898.74</v>
      </c>
      <c r="H31" s="183">
        <v>0</v>
      </c>
      <c r="J31" s="185" t="str">
        <f t="shared" si="0"/>
        <v>Major Projects Gas</v>
      </c>
      <c r="K31" s="185" t="str">
        <f t="shared" si="1"/>
        <v>Programmatic</v>
      </c>
      <c r="L31" s="182" t="str">
        <f t="shared" si="2"/>
        <v>G</v>
      </c>
      <c r="M31" s="217">
        <f t="shared" si="3"/>
        <v>0</v>
      </c>
      <c r="N31" s="217">
        <f t="shared" si="4"/>
        <v>0</v>
      </c>
      <c r="O31" s="217">
        <f t="shared" si="5"/>
        <v>0</v>
      </c>
      <c r="P31" s="217">
        <f t="shared" si="6"/>
        <v>0</v>
      </c>
      <c r="Q31" s="217">
        <f t="shared" si="7"/>
        <v>0</v>
      </c>
      <c r="S31" s="185" t="str">
        <f t="shared" si="8"/>
        <v>Major Projects Gas</v>
      </c>
      <c r="T31" s="185" t="str">
        <f t="shared" si="9"/>
        <v>Programmatic</v>
      </c>
      <c r="U31" s="182" t="str">
        <f t="shared" si="10"/>
        <v>G</v>
      </c>
      <c r="V31" s="217">
        <f t="shared" si="11"/>
        <v>0</v>
      </c>
      <c r="W31" s="217">
        <f t="shared" si="12"/>
        <v>16119.35</v>
      </c>
      <c r="X31" s="217">
        <f t="shared" si="13"/>
        <v>98082.9</v>
      </c>
      <c r="Y31" s="217">
        <f t="shared" si="14"/>
        <v>117898.74</v>
      </c>
      <c r="Z31" s="217">
        <f t="shared" si="15"/>
        <v>0</v>
      </c>
      <c r="AB31" s="183">
        <f t="shared" si="16"/>
        <v>0</v>
      </c>
    </row>
    <row r="32" spans="1:28" x14ac:dyDescent="0.25">
      <c r="A32" s="185" t="s">
        <v>21</v>
      </c>
      <c r="B32" s="185" t="s">
        <v>173</v>
      </c>
      <c r="C32" s="216" t="str">
        <f>VLOOKUP(A32,'Calc Program Gross Plant'!$A$5:$C$55,3,FALSE)</f>
        <v>G</v>
      </c>
      <c r="D32" s="188">
        <v>0</v>
      </c>
      <c r="E32" s="183">
        <v>16135.4</v>
      </c>
      <c r="F32" s="183">
        <v>32753.52</v>
      </c>
      <c r="G32" s="183">
        <v>32753.52</v>
      </c>
      <c r="H32" s="183">
        <v>0</v>
      </c>
      <c r="J32" s="185" t="str">
        <f t="shared" si="0"/>
        <v>Marine Crossing</v>
      </c>
      <c r="K32" s="185" t="str">
        <f t="shared" si="1"/>
        <v>Specific</v>
      </c>
      <c r="L32" s="182" t="str">
        <f t="shared" si="2"/>
        <v>G</v>
      </c>
      <c r="M32" s="217">
        <f t="shared" si="3"/>
        <v>0</v>
      </c>
      <c r="N32" s="217">
        <f t="shared" si="4"/>
        <v>0</v>
      </c>
      <c r="O32" s="217">
        <f t="shared" si="5"/>
        <v>0</v>
      </c>
      <c r="P32" s="217">
        <f t="shared" si="6"/>
        <v>0</v>
      </c>
      <c r="Q32" s="217">
        <f t="shared" si="7"/>
        <v>0</v>
      </c>
      <c r="S32" s="185" t="str">
        <f t="shared" si="8"/>
        <v>Marine Crossing</v>
      </c>
      <c r="T32" s="185" t="str">
        <f t="shared" si="9"/>
        <v>Specific</v>
      </c>
      <c r="U32" s="182" t="str">
        <f t="shared" si="10"/>
        <v>G</v>
      </c>
      <c r="V32" s="217">
        <f t="shared" si="11"/>
        <v>0</v>
      </c>
      <c r="W32" s="217">
        <f t="shared" si="12"/>
        <v>16135.4</v>
      </c>
      <c r="X32" s="217">
        <f t="shared" si="13"/>
        <v>32753.52</v>
      </c>
      <c r="Y32" s="217">
        <f t="shared" si="14"/>
        <v>32753.52</v>
      </c>
      <c r="Z32" s="217">
        <f t="shared" si="15"/>
        <v>0</v>
      </c>
      <c r="AB32" s="183">
        <f t="shared" si="16"/>
        <v>0</v>
      </c>
    </row>
    <row r="33" spans="1:28" x14ac:dyDescent="0.25">
      <c r="A33" s="185" t="s">
        <v>22</v>
      </c>
      <c r="B33" s="185" t="s">
        <v>173</v>
      </c>
      <c r="C33" s="216" t="str">
        <f>VLOOKUP(A33,'Calc Program Gross Plant'!$A$5:$C$55,3,FALSE)</f>
        <v>E</v>
      </c>
      <c r="D33" s="188">
        <v>0</v>
      </c>
      <c r="E33" s="183">
        <v>664313.1</v>
      </c>
      <c r="F33" s="183">
        <v>1492167.54</v>
      </c>
      <c r="G33" s="183">
        <v>1246443.8400000001</v>
      </c>
      <c r="H33" s="183">
        <v>0</v>
      </c>
      <c r="J33" s="185" t="str">
        <f t="shared" si="0"/>
        <v>Mint Farm MM</v>
      </c>
      <c r="K33" s="185" t="str">
        <f t="shared" si="1"/>
        <v>Specific</v>
      </c>
      <c r="L33" s="182" t="str">
        <f t="shared" si="2"/>
        <v>E</v>
      </c>
      <c r="M33" s="217">
        <f t="shared" si="3"/>
        <v>0</v>
      </c>
      <c r="N33" s="217">
        <f t="shared" si="4"/>
        <v>664313.1</v>
      </c>
      <c r="O33" s="217">
        <f t="shared" si="5"/>
        <v>1492167.54</v>
      </c>
      <c r="P33" s="217">
        <f t="shared" si="6"/>
        <v>1246443.8400000001</v>
      </c>
      <c r="Q33" s="217">
        <f t="shared" si="7"/>
        <v>0</v>
      </c>
      <c r="S33" s="185" t="str">
        <f t="shared" si="8"/>
        <v>Mint Farm MM</v>
      </c>
      <c r="T33" s="185" t="str">
        <f t="shared" si="9"/>
        <v>Specific</v>
      </c>
      <c r="U33" s="182" t="str">
        <f t="shared" si="10"/>
        <v>E</v>
      </c>
      <c r="V33" s="217">
        <f t="shared" si="11"/>
        <v>0</v>
      </c>
      <c r="W33" s="217">
        <f t="shared" si="12"/>
        <v>0</v>
      </c>
      <c r="X33" s="217">
        <f t="shared" si="13"/>
        <v>0</v>
      </c>
      <c r="Y33" s="217">
        <f t="shared" si="14"/>
        <v>0</v>
      </c>
      <c r="Z33" s="217">
        <f t="shared" si="15"/>
        <v>0</v>
      </c>
      <c r="AB33" s="183">
        <f t="shared" si="16"/>
        <v>0</v>
      </c>
    </row>
    <row r="34" spans="1:28" x14ac:dyDescent="0.25">
      <c r="A34" s="185" t="s">
        <v>23</v>
      </c>
      <c r="B34" s="185" t="s">
        <v>172</v>
      </c>
      <c r="C34" s="216" t="str">
        <f>VLOOKUP(A34,'Calc Program Gross Plant'!$A$5:$C$55,3,FALSE)</f>
        <v>E</v>
      </c>
      <c r="D34" s="188">
        <v>0</v>
      </c>
      <c r="E34" s="183">
        <v>250436.62</v>
      </c>
      <c r="F34" s="183">
        <v>619316.9</v>
      </c>
      <c r="G34" s="183">
        <v>974354.43000000017</v>
      </c>
      <c r="H34" s="183">
        <v>0</v>
      </c>
      <c r="J34" s="185" t="str">
        <f t="shared" si="0"/>
        <v>PI Electric</v>
      </c>
      <c r="K34" s="185" t="str">
        <f t="shared" si="1"/>
        <v>Programmatic Customer Drive</v>
      </c>
      <c r="L34" s="182" t="str">
        <f t="shared" si="2"/>
        <v>E</v>
      </c>
      <c r="M34" s="217">
        <f t="shared" si="3"/>
        <v>0</v>
      </c>
      <c r="N34" s="217">
        <f t="shared" si="4"/>
        <v>250436.62</v>
      </c>
      <c r="O34" s="217">
        <f t="shared" si="5"/>
        <v>619316.9</v>
      </c>
      <c r="P34" s="217">
        <f t="shared" si="6"/>
        <v>974354.43000000017</v>
      </c>
      <c r="Q34" s="217">
        <f t="shared" si="7"/>
        <v>0</v>
      </c>
      <c r="S34" s="185" t="str">
        <f t="shared" si="8"/>
        <v>PI Electric</v>
      </c>
      <c r="T34" s="185" t="str">
        <f t="shared" si="9"/>
        <v>Programmatic Customer Drive</v>
      </c>
      <c r="U34" s="182" t="str">
        <f t="shared" si="10"/>
        <v>E</v>
      </c>
      <c r="V34" s="217">
        <f t="shared" si="11"/>
        <v>0</v>
      </c>
      <c r="W34" s="217">
        <f t="shared" si="12"/>
        <v>0</v>
      </c>
      <c r="X34" s="217">
        <f t="shared" si="13"/>
        <v>0</v>
      </c>
      <c r="Y34" s="217">
        <f t="shared" si="14"/>
        <v>0</v>
      </c>
      <c r="Z34" s="217">
        <f t="shared" si="15"/>
        <v>0</v>
      </c>
      <c r="AB34" s="183">
        <f t="shared" si="16"/>
        <v>0</v>
      </c>
    </row>
    <row r="35" spans="1:28" x14ac:dyDescent="0.25">
      <c r="A35" s="185" t="s">
        <v>24</v>
      </c>
      <c r="B35" s="185" t="s">
        <v>172</v>
      </c>
      <c r="C35" s="216" t="str">
        <f>VLOOKUP(A35,'Calc Program Gross Plant'!$A$5:$C$55,3,FALSE)</f>
        <v>G</v>
      </c>
      <c r="D35" s="188">
        <v>0</v>
      </c>
      <c r="E35" s="183">
        <v>61544.98</v>
      </c>
      <c r="F35" s="183">
        <v>234606.16999999995</v>
      </c>
      <c r="G35" s="183">
        <v>236036.75999999992</v>
      </c>
      <c r="H35" s="183">
        <v>0</v>
      </c>
      <c r="J35" s="185" t="str">
        <f t="shared" si="0"/>
        <v>PI Gas</v>
      </c>
      <c r="K35" s="185" t="str">
        <f t="shared" si="1"/>
        <v>Programmatic Customer Drive</v>
      </c>
      <c r="L35" s="182" t="str">
        <f t="shared" si="2"/>
        <v>G</v>
      </c>
      <c r="M35" s="217">
        <f t="shared" si="3"/>
        <v>0</v>
      </c>
      <c r="N35" s="217">
        <f t="shared" si="4"/>
        <v>0</v>
      </c>
      <c r="O35" s="217">
        <f t="shared" si="5"/>
        <v>0</v>
      </c>
      <c r="P35" s="217">
        <f t="shared" si="6"/>
        <v>0</v>
      </c>
      <c r="Q35" s="217">
        <f t="shared" si="7"/>
        <v>0</v>
      </c>
      <c r="S35" s="185" t="str">
        <f t="shared" si="8"/>
        <v>PI Gas</v>
      </c>
      <c r="T35" s="185" t="str">
        <f t="shared" si="9"/>
        <v>Programmatic Customer Drive</v>
      </c>
      <c r="U35" s="182" t="str">
        <f t="shared" si="10"/>
        <v>G</v>
      </c>
      <c r="V35" s="217">
        <f t="shared" si="11"/>
        <v>0</v>
      </c>
      <c r="W35" s="217">
        <f t="shared" si="12"/>
        <v>61544.98</v>
      </c>
      <c r="X35" s="217">
        <f t="shared" si="13"/>
        <v>234606.16999999995</v>
      </c>
      <c r="Y35" s="217">
        <f t="shared" si="14"/>
        <v>236036.75999999992</v>
      </c>
      <c r="Z35" s="217">
        <f t="shared" si="15"/>
        <v>0</v>
      </c>
      <c r="AB35" s="183">
        <f t="shared" si="16"/>
        <v>0</v>
      </c>
    </row>
    <row r="36" spans="1:28" x14ac:dyDescent="0.25">
      <c r="A36" s="185" t="s">
        <v>25</v>
      </c>
      <c r="B36" s="185" t="s">
        <v>160</v>
      </c>
      <c r="C36" s="216" t="str">
        <f>VLOOKUP(A36,'Calc Program Gross Plant'!$A$5:$C$55,3,FALSE)</f>
        <v>G</v>
      </c>
      <c r="D36" s="188">
        <v>0</v>
      </c>
      <c r="E36" s="183">
        <v>725787.04</v>
      </c>
      <c r="F36" s="183">
        <v>2678130.2400000002</v>
      </c>
      <c r="G36" s="183">
        <v>4756418.09</v>
      </c>
      <c r="H36" s="183">
        <v>0</v>
      </c>
      <c r="J36" s="185" t="str">
        <f t="shared" si="0"/>
        <v>Pipe Replacement</v>
      </c>
      <c r="K36" s="185" t="str">
        <f t="shared" si="1"/>
        <v>Programmatic</v>
      </c>
      <c r="L36" s="182" t="str">
        <f t="shared" si="2"/>
        <v>G</v>
      </c>
      <c r="M36" s="217">
        <f t="shared" si="3"/>
        <v>0</v>
      </c>
      <c r="N36" s="217">
        <f t="shared" si="4"/>
        <v>0</v>
      </c>
      <c r="O36" s="217">
        <f t="shared" si="5"/>
        <v>0</v>
      </c>
      <c r="P36" s="217">
        <f t="shared" si="6"/>
        <v>0</v>
      </c>
      <c r="Q36" s="217">
        <f t="shared" si="7"/>
        <v>0</v>
      </c>
      <c r="S36" s="185" t="str">
        <f t="shared" si="8"/>
        <v>Pipe Replacement</v>
      </c>
      <c r="T36" s="185" t="str">
        <f t="shared" si="9"/>
        <v>Programmatic</v>
      </c>
      <c r="U36" s="182" t="str">
        <f t="shared" si="10"/>
        <v>G</v>
      </c>
      <c r="V36" s="217">
        <f t="shared" si="11"/>
        <v>0</v>
      </c>
      <c r="W36" s="217">
        <f t="shared" si="12"/>
        <v>725787.04</v>
      </c>
      <c r="X36" s="217">
        <f t="shared" si="13"/>
        <v>2678130.2400000002</v>
      </c>
      <c r="Y36" s="217">
        <f t="shared" si="14"/>
        <v>4756418.09</v>
      </c>
      <c r="Z36" s="217">
        <f t="shared" si="15"/>
        <v>0</v>
      </c>
      <c r="AB36" s="183">
        <f t="shared" si="16"/>
        <v>0</v>
      </c>
    </row>
    <row r="37" spans="1:28" x14ac:dyDescent="0.25">
      <c r="A37" s="185" t="s">
        <v>212</v>
      </c>
      <c r="B37" s="185" t="s">
        <v>26</v>
      </c>
      <c r="C37" s="216" t="str">
        <f>VLOOKUP(A37,'Calc Program Gross Plant'!$A$5:$C$55,3,FALSE)</f>
        <v>C</v>
      </c>
      <c r="D37" s="188">
        <v>0</v>
      </c>
      <c r="E37" s="183">
        <v>1511738.0699999996</v>
      </c>
      <c r="F37" s="183">
        <v>10311442.470000001</v>
      </c>
      <c r="G37" s="183">
        <v>24209227.430000003</v>
      </c>
      <c r="H37" s="183">
        <v>0</v>
      </c>
      <c r="J37" s="185" t="str">
        <f t="shared" si="0"/>
        <v>Projected - Common</v>
      </c>
      <c r="K37" s="185" t="str">
        <f t="shared" si="1"/>
        <v>Projected</v>
      </c>
      <c r="L37" s="182" t="str">
        <f t="shared" si="2"/>
        <v>C</v>
      </c>
      <c r="M37" s="217">
        <f t="shared" si="3"/>
        <v>0</v>
      </c>
      <c r="N37" s="217">
        <f t="shared" si="4"/>
        <v>996840.08335799968</v>
      </c>
      <c r="O37" s="217">
        <f t="shared" si="5"/>
        <v>6799365.1647180002</v>
      </c>
      <c r="P37" s="217">
        <f t="shared" si="6"/>
        <v>15963564.567342002</v>
      </c>
      <c r="Q37" s="217">
        <f t="shared" si="7"/>
        <v>0</v>
      </c>
      <c r="S37" s="185" t="str">
        <f t="shared" si="8"/>
        <v>Projected - Common</v>
      </c>
      <c r="T37" s="185" t="str">
        <f t="shared" si="9"/>
        <v>Projected</v>
      </c>
      <c r="U37" s="182" t="str">
        <f t="shared" si="10"/>
        <v>C</v>
      </c>
      <c r="V37" s="217">
        <f t="shared" si="11"/>
        <v>0</v>
      </c>
      <c r="W37" s="217">
        <f t="shared" si="12"/>
        <v>514897.98664199986</v>
      </c>
      <c r="X37" s="217">
        <f t="shared" si="13"/>
        <v>3512077.3052820005</v>
      </c>
      <c r="Y37" s="217">
        <f t="shared" si="14"/>
        <v>8245662.8626580015</v>
      </c>
      <c r="Z37" s="217">
        <f t="shared" si="15"/>
        <v>0</v>
      </c>
      <c r="AB37" s="183">
        <f t="shared" ref="AB37:AB56" si="17">SUM(D37:H37)-SUM(M37:Q37)-SUM(V37:Z37)</f>
        <v>0</v>
      </c>
    </row>
    <row r="38" spans="1:28" x14ac:dyDescent="0.25">
      <c r="A38" s="185" t="s">
        <v>211</v>
      </c>
      <c r="B38" s="185" t="s">
        <v>26</v>
      </c>
      <c r="C38" s="216" t="str">
        <f>VLOOKUP(A38,'Calc Program Gross Plant'!$A$5:$C$55,3,FALSE)</f>
        <v>E</v>
      </c>
      <c r="D38" s="188">
        <v>0</v>
      </c>
      <c r="E38" s="183">
        <v>1713086.3499999996</v>
      </c>
      <c r="F38" s="183">
        <v>7723735.8300000019</v>
      </c>
      <c r="G38" s="183">
        <v>14538698.85</v>
      </c>
      <c r="H38" s="183">
        <v>0</v>
      </c>
      <c r="J38" s="185" t="str">
        <f t="shared" si="0"/>
        <v>Projected - Electric</v>
      </c>
      <c r="K38" s="185" t="str">
        <f t="shared" si="1"/>
        <v>Projected</v>
      </c>
      <c r="L38" s="182" t="str">
        <f t="shared" si="2"/>
        <v>E</v>
      </c>
      <c r="M38" s="217">
        <f t="shared" si="3"/>
        <v>0</v>
      </c>
      <c r="N38" s="217">
        <f t="shared" si="4"/>
        <v>1713086.3499999996</v>
      </c>
      <c r="O38" s="217">
        <f t="shared" si="5"/>
        <v>7723735.8300000019</v>
      </c>
      <c r="P38" s="217">
        <f t="shared" si="6"/>
        <v>14538698.85</v>
      </c>
      <c r="Q38" s="217">
        <f t="shared" si="7"/>
        <v>0</v>
      </c>
      <c r="S38" s="185" t="str">
        <f t="shared" si="8"/>
        <v>Projected - Electric</v>
      </c>
      <c r="T38" s="185" t="str">
        <f t="shared" si="9"/>
        <v>Projected</v>
      </c>
      <c r="U38" s="182" t="str">
        <f t="shared" si="10"/>
        <v>E</v>
      </c>
      <c r="V38" s="217">
        <f t="shared" si="11"/>
        <v>0</v>
      </c>
      <c r="W38" s="217">
        <f t="shared" si="12"/>
        <v>0</v>
      </c>
      <c r="X38" s="217">
        <f t="shared" si="13"/>
        <v>0</v>
      </c>
      <c r="Y38" s="217">
        <f t="shared" si="14"/>
        <v>0</v>
      </c>
      <c r="Z38" s="217">
        <f t="shared" si="15"/>
        <v>0</v>
      </c>
      <c r="AB38" s="183">
        <f t="shared" si="17"/>
        <v>0</v>
      </c>
    </row>
    <row r="39" spans="1:28" x14ac:dyDescent="0.25">
      <c r="A39" s="185" t="s">
        <v>210</v>
      </c>
      <c r="B39" s="185" t="s">
        <v>26</v>
      </c>
      <c r="C39" s="216" t="str">
        <f>VLOOKUP(A39,'Calc Program Gross Plant'!$A$5:$C$55,3,FALSE)</f>
        <v>G</v>
      </c>
      <c r="D39" s="188">
        <v>0</v>
      </c>
      <c r="E39" s="183">
        <v>167926.62</v>
      </c>
      <c r="F39" s="183">
        <v>1480381.7699999996</v>
      </c>
      <c r="G39" s="183">
        <v>2515580.2000000007</v>
      </c>
      <c r="H39" s="183">
        <v>0</v>
      </c>
      <c r="J39" s="185" t="str">
        <f t="shared" si="0"/>
        <v>Projected - Gas</v>
      </c>
      <c r="K39" s="185" t="str">
        <f t="shared" si="1"/>
        <v>Projected</v>
      </c>
      <c r="L39" s="182" t="str">
        <f t="shared" si="2"/>
        <v>G</v>
      </c>
      <c r="M39" s="217">
        <f t="shared" si="3"/>
        <v>0</v>
      </c>
      <c r="N39" s="217">
        <f t="shared" si="4"/>
        <v>0</v>
      </c>
      <c r="O39" s="217">
        <f t="shared" si="5"/>
        <v>0</v>
      </c>
      <c r="P39" s="217">
        <f t="shared" si="6"/>
        <v>0</v>
      </c>
      <c r="Q39" s="217">
        <f t="shared" si="7"/>
        <v>0</v>
      </c>
      <c r="S39" s="185" t="str">
        <f t="shared" si="8"/>
        <v>Projected - Gas</v>
      </c>
      <c r="T39" s="185" t="str">
        <f t="shared" si="9"/>
        <v>Projected</v>
      </c>
      <c r="U39" s="182" t="str">
        <f t="shared" si="10"/>
        <v>G</v>
      </c>
      <c r="V39" s="217">
        <f t="shared" si="11"/>
        <v>0</v>
      </c>
      <c r="W39" s="217">
        <f t="shared" si="12"/>
        <v>167926.62</v>
      </c>
      <c r="X39" s="217">
        <f t="shared" si="13"/>
        <v>1480381.7699999996</v>
      </c>
      <c r="Y39" s="217">
        <f t="shared" si="14"/>
        <v>2515580.2000000007</v>
      </c>
      <c r="Z39" s="217">
        <f t="shared" si="15"/>
        <v>0</v>
      </c>
      <c r="AB39" s="183">
        <f t="shared" si="17"/>
        <v>0</v>
      </c>
    </row>
    <row r="40" spans="1:28" x14ac:dyDescent="0.25">
      <c r="A40" s="185" t="s">
        <v>31</v>
      </c>
      <c r="B40" s="185" t="s">
        <v>160</v>
      </c>
      <c r="C40" s="216" t="str">
        <f>VLOOKUP(A40,'Calc Program Gross Plant'!$A$5:$C$55,3,FALSE)</f>
        <v>E</v>
      </c>
      <c r="D40" s="188">
        <v>0</v>
      </c>
      <c r="E40" s="183">
        <v>16663.02</v>
      </c>
      <c r="F40" s="183">
        <v>109206.72</v>
      </c>
      <c r="G40" s="183">
        <v>342571.02</v>
      </c>
      <c r="H40" s="183">
        <v>0</v>
      </c>
      <c r="J40" s="185" t="str">
        <f t="shared" si="0"/>
        <v>Resilience Enhancement</v>
      </c>
      <c r="K40" s="185" t="str">
        <f t="shared" si="1"/>
        <v>Programmatic</v>
      </c>
      <c r="L40" s="182" t="str">
        <f t="shared" si="2"/>
        <v>E</v>
      </c>
      <c r="M40" s="217">
        <f t="shared" si="3"/>
        <v>0</v>
      </c>
      <c r="N40" s="217">
        <f t="shared" si="4"/>
        <v>16663.02</v>
      </c>
      <c r="O40" s="217">
        <f t="shared" si="5"/>
        <v>109206.72</v>
      </c>
      <c r="P40" s="217">
        <f t="shared" si="6"/>
        <v>342571.02</v>
      </c>
      <c r="Q40" s="217">
        <f t="shared" si="7"/>
        <v>0</v>
      </c>
      <c r="S40" s="185" t="str">
        <f t="shared" si="8"/>
        <v>Resilience Enhancement</v>
      </c>
      <c r="T40" s="185" t="str">
        <f t="shared" si="9"/>
        <v>Programmatic</v>
      </c>
      <c r="U40" s="182" t="str">
        <f t="shared" si="10"/>
        <v>E</v>
      </c>
      <c r="V40" s="217">
        <f t="shared" si="11"/>
        <v>0</v>
      </c>
      <c r="W40" s="217">
        <f t="shared" si="12"/>
        <v>0</v>
      </c>
      <c r="X40" s="217">
        <f t="shared" si="13"/>
        <v>0</v>
      </c>
      <c r="Y40" s="217">
        <f t="shared" si="14"/>
        <v>0</v>
      </c>
      <c r="Z40" s="217">
        <f t="shared" si="15"/>
        <v>0</v>
      </c>
      <c r="AB40" s="183">
        <f t="shared" si="17"/>
        <v>0</v>
      </c>
    </row>
    <row r="41" spans="1:28" x14ac:dyDescent="0.25">
      <c r="A41" s="185" t="s">
        <v>209</v>
      </c>
      <c r="B41" s="185" t="s">
        <v>160</v>
      </c>
      <c r="C41" s="216" t="str">
        <f>VLOOKUP(A41,'Calc Program Gross Plant'!$A$5:$C$55,3,FALSE)</f>
        <v>G</v>
      </c>
      <c r="D41" s="188">
        <v>0</v>
      </c>
      <c r="E41" s="183">
        <v>0</v>
      </c>
      <c r="F41" s="183">
        <v>0</v>
      </c>
      <c r="G41" s="183">
        <v>0</v>
      </c>
      <c r="H41" s="183">
        <v>0</v>
      </c>
      <c r="J41" s="185" t="str">
        <f t="shared" si="0"/>
        <v>RNG</v>
      </c>
      <c r="K41" s="185" t="str">
        <f t="shared" si="1"/>
        <v>Programmatic</v>
      </c>
      <c r="L41" s="182" t="str">
        <f t="shared" si="2"/>
        <v>G</v>
      </c>
      <c r="M41" s="217">
        <f t="shared" si="3"/>
        <v>0</v>
      </c>
      <c r="N41" s="217">
        <f t="shared" si="4"/>
        <v>0</v>
      </c>
      <c r="O41" s="217">
        <f t="shared" si="5"/>
        <v>0</v>
      </c>
      <c r="P41" s="217">
        <f t="shared" si="6"/>
        <v>0</v>
      </c>
      <c r="Q41" s="217">
        <f t="shared" si="7"/>
        <v>0</v>
      </c>
      <c r="S41" s="185" t="str">
        <f t="shared" si="8"/>
        <v>RNG</v>
      </c>
      <c r="T41" s="185" t="str">
        <f t="shared" si="9"/>
        <v>Programmatic</v>
      </c>
      <c r="U41" s="182" t="str">
        <f t="shared" si="10"/>
        <v>G</v>
      </c>
      <c r="V41" s="217">
        <f t="shared" si="11"/>
        <v>0</v>
      </c>
      <c r="W41" s="217">
        <f t="shared" si="12"/>
        <v>0</v>
      </c>
      <c r="X41" s="217">
        <f t="shared" si="13"/>
        <v>0</v>
      </c>
      <c r="Y41" s="217">
        <f t="shared" si="14"/>
        <v>0</v>
      </c>
      <c r="Z41" s="217">
        <f t="shared" si="15"/>
        <v>0</v>
      </c>
      <c r="AB41" s="183">
        <f t="shared" si="17"/>
        <v>0</v>
      </c>
    </row>
    <row r="42" spans="1:28" x14ac:dyDescent="0.25">
      <c r="A42" s="185" t="s">
        <v>208</v>
      </c>
      <c r="B42" s="185" t="s">
        <v>173</v>
      </c>
      <c r="C42" s="216" t="str">
        <f>VLOOKUP(A42,'Calc Program Gross Plant'!$A$5:$C$55,3,FALSE)</f>
        <v>E</v>
      </c>
      <c r="D42" s="188">
        <v>0</v>
      </c>
      <c r="E42" s="183">
        <v>0</v>
      </c>
      <c r="F42" s="183">
        <v>89063.22</v>
      </c>
      <c r="G42" s="183">
        <v>285680.94</v>
      </c>
      <c r="H42" s="183">
        <v>0</v>
      </c>
      <c r="J42" s="185" t="str">
        <f t="shared" si="0"/>
        <v>Rooftop Solar</v>
      </c>
      <c r="K42" s="185" t="str">
        <f t="shared" si="1"/>
        <v>Specific</v>
      </c>
      <c r="L42" s="182" t="str">
        <f t="shared" si="2"/>
        <v>E</v>
      </c>
      <c r="M42" s="217">
        <f t="shared" si="3"/>
        <v>0</v>
      </c>
      <c r="N42" s="217">
        <f t="shared" si="4"/>
        <v>0</v>
      </c>
      <c r="O42" s="217">
        <f t="shared" si="5"/>
        <v>89063.22</v>
      </c>
      <c r="P42" s="217">
        <f t="shared" si="6"/>
        <v>285680.94</v>
      </c>
      <c r="Q42" s="217">
        <f t="shared" si="7"/>
        <v>0</v>
      </c>
      <c r="S42" s="185" t="str">
        <f t="shared" si="8"/>
        <v>Rooftop Solar</v>
      </c>
      <c r="T42" s="185" t="str">
        <f t="shared" si="9"/>
        <v>Specific</v>
      </c>
      <c r="U42" s="182" t="str">
        <f t="shared" si="10"/>
        <v>E</v>
      </c>
      <c r="V42" s="217">
        <f t="shared" si="11"/>
        <v>0</v>
      </c>
      <c r="W42" s="217">
        <f t="shared" si="12"/>
        <v>0</v>
      </c>
      <c r="X42" s="217">
        <f t="shared" si="13"/>
        <v>0</v>
      </c>
      <c r="Y42" s="217">
        <f t="shared" si="14"/>
        <v>0</v>
      </c>
      <c r="Z42" s="217">
        <f t="shared" si="15"/>
        <v>0</v>
      </c>
      <c r="AB42" s="183">
        <f t="shared" si="17"/>
        <v>0</v>
      </c>
    </row>
    <row r="43" spans="1:28" x14ac:dyDescent="0.25">
      <c r="A43" s="185" t="s">
        <v>28</v>
      </c>
      <c r="B43" s="185" t="s">
        <v>173</v>
      </c>
      <c r="C43" s="216" t="str">
        <f>VLOOKUP(A43,'Calc Program Gross Plant'!$A$5:$C$55,3,FALSE)</f>
        <v>E</v>
      </c>
      <c r="D43" s="188">
        <v>0</v>
      </c>
      <c r="E43" s="183">
        <v>27300.53</v>
      </c>
      <c r="F43" s="183">
        <v>722230.56</v>
      </c>
      <c r="G43" s="183">
        <v>840975.84000000008</v>
      </c>
      <c r="H43" s="183">
        <v>0</v>
      </c>
      <c r="J43" s="185" t="str">
        <f t="shared" si="0"/>
        <v>Sammamish Juanita 115Kv Tline</v>
      </c>
      <c r="K43" s="185" t="str">
        <f t="shared" si="1"/>
        <v>Specific</v>
      </c>
      <c r="L43" s="182" t="str">
        <f t="shared" si="2"/>
        <v>E</v>
      </c>
      <c r="M43" s="217">
        <f t="shared" si="3"/>
        <v>0</v>
      </c>
      <c r="N43" s="217">
        <f t="shared" si="4"/>
        <v>27300.53</v>
      </c>
      <c r="O43" s="217">
        <f t="shared" si="5"/>
        <v>722230.56</v>
      </c>
      <c r="P43" s="217">
        <f t="shared" si="6"/>
        <v>840975.84000000008</v>
      </c>
      <c r="Q43" s="217">
        <f t="shared" si="7"/>
        <v>0</v>
      </c>
      <c r="S43" s="185" t="str">
        <f t="shared" si="8"/>
        <v>Sammamish Juanita 115Kv Tline</v>
      </c>
      <c r="T43" s="185" t="str">
        <f t="shared" si="9"/>
        <v>Specific</v>
      </c>
      <c r="U43" s="182" t="str">
        <f t="shared" si="10"/>
        <v>E</v>
      </c>
      <c r="V43" s="217">
        <f t="shared" si="11"/>
        <v>0</v>
      </c>
      <c r="W43" s="217">
        <f t="shared" si="12"/>
        <v>0</v>
      </c>
      <c r="X43" s="217">
        <f t="shared" si="13"/>
        <v>0</v>
      </c>
      <c r="Y43" s="217">
        <f t="shared" si="14"/>
        <v>0</v>
      </c>
      <c r="Z43" s="217">
        <f t="shared" si="15"/>
        <v>0</v>
      </c>
      <c r="AB43" s="183">
        <f t="shared" si="17"/>
        <v>0</v>
      </c>
    </row>
    <row r="44" spans="1:28" x14ac:dyDescent="0.25">
      <c r="A44" s="185" t="s">
        <v>133</v>
      </c>
      <c r="B44" s="185" t="s">
        <v>173</v>
      </c>
      <c r="C44" s="216" t="str">
        <f>VLOOKUP(A44,'Calc Program Gross Plant'!$A$5:$C$55,3,FALSE)</f>
        <v>C</v>
      </c>
      <c r="D44" s="188">
        <v>0</v>
      </c>
      <c r="E44" s="183">
        <v>0</v>
      </c>
      <c r="F44" s="183">
        <v>0</v>
      </c>
      <c r="G44" s="183">
        <v>501539.7</v>
      </c>
      <c r="H44" s="183">
        <v>0</v>
      </c>
      <c r="J44" s="185" t="str">
        <f t="shared" si="0"/>
        <v>SAP S/4 Hana</v>
      </c>
      <c r="K44" s="185" t="str">
        <f t="shared" si="1"/>
        <v>Specific</v>
      </c>
      <c r="L44" s="182" t="str">
        <f t="shared" si="2"/>
        <v>C</v>
      </c>
      <c r="M44" s="217">
        <f t="shared" si="3"/>
        <v>0</v>
      </c>
      <c r="N44" s="217">
        <f t="shared" si="4"/>
        <v>0</v>
      </c>
      <c r="O44" s="217">
        <f t="shared" si="5"/>
        <v>0</v>
      </c>
      <c r="P44" s="217">
        <f t="shared" si="6"/>
        <v>330715.27818000002</v>
      </c>
      <c r="Q44" s="217">
        <f t="shared" si="7"/>
        <v>0</v>
      </c>
      <c r="S44" s="185" t="str">
        <f t="shared" si="8"/>
        <v>SAP S/4 Hana</v>
      </c>
      <c r="T44" s="185" t="str">
        <f t="shared" si="9"/>
        <v>Specific</v>
      </c>
      <c r="U44" s="182" t="str">
        <f t="shared" si="10"/>
        <v>C</v>
      </c>
      <c r="V44" s="217">
        <f t="shared" si="11"/>
        <v>0</v>
      </c>
      <c r="W44" s="217">
        <f t="shared" si="12"/>
        <v>0</v>
      </c>
      <c r="X44" s="217">
        <f t="shared" si="13"/>
        <v>0</v>
      </c>
      <c r="Y44" s="217">
        <f t="shared" si="14"/>
        <v>170824.42182000002</v>
      </c>
      <c r="Z44" s="217">
        <f t="shared" si="15"/>
        <v>0</v>
      </c>
      <c r="AB44" s="183">
        <f t="shared" si="17"/>
        <v>0</v>
      </c>
    </row>
    <row r="45" spans="1:28" x14ac:dyDescent="0.25">
      <c r="A45" s="185" t="s">
        <v>29</v>
      </c>
      <c r="B45" s="185" t="s">
        <v>173</v>
      </c>
      <c r="C45" s="216" t="str">
        <f>VLOOKUP(A45,'Calc Program Gross Plant'!$A$5:$C$55,3,FALSE)</f>
        <v>E</v>
      </c>
      <c r="D45" s="188">
        <v>0</v>
      </c>
      <c r="E45" s="183">
        <v>16285.32</v>
      </c>
      <c r="F45" s="183">
        <v>528091.31999999995</v>
      </c>
      <c r="G45" s="183">
        <v>655763.16</v>
      </c>
      <c r="H45" s="183">
        <v>0</v>
      </c>
      <c r="J45" s="185" t="str">
        <f t="shared" si="0"/>
        <v>Thurston Transmission Capacity</v>
      </c>
      <c r="K45" s="185" t="str">
        <f t="shared" si="1"/>
        <v>Specific</v>
      </c>
      <c r="L45" s="182" t="str">
        <f t="shared" si="2"/>
        <v>E</v>
      </c>
      <c r="M45" s="217">
        <f t="shared" si="3"/>
        <v>0</v>
      </c>
      <c r="N45" s="217">
        <f t="shared" si="4"/>
        <v>16285.32</v>
      </c>
      <c r="O45" s="217">
        <f t="shared" si="5"/>
        <v>528091.31999999995</v>
      </c>
      <c r="P45" s="217">
        <f t="shared" si="6"/>
        <v>655763.16</v>
      </c>
      <c r="Q45" s="217">
        <f t="shared" si="7"/>
        <v>0</v>
      </c>
      <c r="S45" s="185" t="str">
        <f t="shared" si="8"/>
        <v>Thurston Transmission Capacity</v>
      </c>
      <c r="T45" s="185" t="str">
        <f t="shared" si="9"/>
        <v>Specific</v>
      </c>
      <c r="U45" s="182" t="str">
        <f t="shared" si="10"/>
        <v>E</v>
      </c>
      <c r="V45" s="217">
        <f t="shared" si="11"/>
        <v>0</v>
      </c>
      <c r="W45" s="217">
        <f t="shared" si="12"/>
        <v>0</v>
      </c>
      <c r="X45" s="217">
        <f t="shared" si="13"/>
        <v>0</v>
      </c>
      <c r="Y45" s="217">
        <f t="shared" si="14"/>
        <v>0</v>
      </c>
      <c r="Z45" s="217">
        <f t="shared" si="15"/>
        <v>0</v>
      </c>
      <c r="AB45" s="183">
        <f t="shared" si="17"/>
        <v>0</v>
      </c>
    </row>
    <row r="46" spans="1:28" x14ac:dyDescent="0.25">
      <c r="A46" s="185" t="s">
        <v>30</v>
      </c>
      <c r="B46" s="185" t="s">
        <v>173</v>
      </c>
      <c r="C46" s="216" t="str">
        <f>VLOOKUP(A46,'Calc Program Gross Plant'!$A$5:$C$55,3,FALSE)</f>
        <v>C</v>
      </c>
      <c r="D46" s="188">
        <v>0</v>
      </c>
      <c r="E46" s="183">
        <v>0</v>
      </c>
      <c r="F46" s="183">
        <v>0</v>
      </c>
      <c r="G46" s="183">
        <v>94754.469999999987</v>
      </c>
      <c r="H46" s="183">
        <v>0</v>
      </c>
      <c r="J46" s="185" t="str">
        <f t="shared" si="0"/>
        <v>Transport Network Modernization</v>
      </c>
      <c r="K46" s="185" t="str">
        <f t="shared" si="1"/>
        <v>Specific</v>
      </c>
      <c r="L46" s="182" t="str">
        <f t="shared" si="2"/>
        <v>C</v>
      </c>
      <c r="M46" s="217">
        <f t="shared" si="3"/>
        <v>0</v>
      </c>
      <c r="N46" s="217">
        <f t="shared" si="4"/>
        <v>0</v>
      </c>
      <c r="O46" s="217">
        <f t="shared" si="5"/>
        <v>0</v>
      </c>
      <c r="P46" s="217">
        <f t="shared" si="6"/>
        <v>62481.097517999988</v>
      </c>
      <c r="Q46" s="217">
        <f t="shared" si="7"/>
        <v>0</v>
      </c>
      <c r="S46" s="185" t="str">
        <f t="shared" si="8"/>
        <v>Transport Network Modernization</v>
      </c>
      <c r="T46" s="185" t="str">
        <f t="shared" si="9"/>
        <v>Specific</v>
      </c>
      <c r="U46" s="182" t="str">
        <f t="shared" si="10"/>
        <v>C</v>
      </c>
      <c r="V46" s="217">
        <f t="shared" si="11"/>
        <v>0</v>
      </c>
      <c r="W46" s="217">
        <f t="shared" si="12"/>
        <v>0</v>
      </c>
      <c r="X46" s="217">
        <f t="shared" si="13"/>
        <v>0</v>
      </c>
      <c r="Y46" s="217">
        <f t="shared" si="14"/>
        <v>32273.372481999995</v>
      </c>
      <c r="Z46" s="217">
        <f t="shared" si="15"/>
        <v>0</v>
      </c>
      <c r="AB46" s="183">
        <f t="shared" si="17"/>
        <v>0</v>
      </c>
    </row>
    <row r="47" spans="1:28" x14ac:dyDescent="0.25">
      <c r="A47" s="185" t="s">
        <v>207</v>
      </c>
      <c r="B47" s="185" t="s">
        <v>160</v>
      </c>
      <c r="C47" s="216" t="str">
        <f>VLOOKUP(A47,'Calc Program Gross Plant'!$A$5:$C$55,3,FALSE)</f>
        <v>E</v>
      </c>
      <c r="D47" s="188">
        <v>0</v>
      </c>
      <c r="E47" s="183">
        <v>0</v>
      </c>
      <c r="F47" s="183">
        <v>91470.12</v>
      </c>
      <c r="G47" s="183">
        <v>610760.16</v>
      </c>
      <c r="H47" s="183">
        <v>0</v>
      </c>
      <c r="J47" s="185" t="str">
        <f t="shared" si="0"/>
        <v>UG Feeders</v>
      </c>
      <c r="K47" s="185" t="str">
        <f t="shared" si="1"/>
        <v>Programmatic</v>
      </c>
      <c r="L47" s="182" t="str">
        <f t="shared" si="2"/>
        <v>E</v>
      </c>
      <c r="M47" s="217">
        <f t="shared" si="3"/>
        <v>0</v>
      </c>
      <c r="N47" s="217">
        <f t="shared" si="4"/>
        <v>0</v>
      </c>
      <c r="O47" s="217">
        <f t="shared" si="5"/>
        <v>91470.12</v>
      </c>
      <c r="P47" s="217">
        <f t="shared" si="6"/>
        <v>610760.16</v>
      </c>
      <c r="Q47" s="217">
        <f t="shared" si="7"/>
        <v>0</v>
      </c>
      <c r="S47" s="185" t="str">
        <f t="shared" si="8"/>
        <v>UG Feeders</v>
      </c>
      <c r="T47" s="185" t="str">
        <f t="shared" si="9"/>
        <v>Programmatic</v>
      </c>
      <c r="U47" s="182" t="str">
        <f t="shared" si="10"/>
        <v>E</v>
      </c>
      <c r="V47" s="217">
        <f t="shared" si="11"/>
        <v>0</v>
      </c>
      <c r="W47" s="217">
        <f t="shared" si="12"/>
        <v>0</v>
      </c>
      <c r="X47" s="217">
        <f t="shared" si="13"/>
        <v>0</v>
      </c>
      <c r="Y47" s="217">
        <f t="shared" si="14"/>
        <v>0</v>
      </c>
      <c r="Z47" s="217">
        <f t="shared" si="15"/>
        <v>0</v>
      </c>
      <c r="AB47" s="183">
        <f t="shared" si="17"/>
        <v>0</v>
      </c>
    </row>
    <row r="48" spans="1:28" x14ac:dyDescent="0.25">
      <c r="A48" s="185"/>
      <c r="B48" s="185"/>
      <c r="C48" s="216"/>
      <c r="D48" s="188"/>
      <c r="E48" s="183"/>
      <c r="F48" s="183"/>
      <c r="G48" s="183"/>
      <c r="H48" s="183"/>
      <c r="J48" s="185"/>
      <c r="K48" s="185"/>
      <c r="L48" s="182"/>
      <c r="M48" s="217">
        <f t="shared" si="3"/>
        <v>0</v>
      </c>
      <c r="N48" s="217">
        <f t="shared" si="4"/>
        <v>0</v>
      </c>
      <c r="O48" s="217">
        <f t="shared" si="5"/>
        <v>0</v>
      </c>
      <c r="P48" s="217">
        <f t="shared" si="6"/>
        <v>0</v>
      </c>
      <c r="Q48" s="217">
        <f t="shared" si="7"/>
        <v>0</v>
      </c>
      <c r="S48" s="185"/>
      <c r="T48" s="185"/>
      <c r="U48" s="182"/>
      <c r="V48" s="217">
        <f t="shared" si="11"/>
        <v>0</v>
      </c>
      <c r="W48" s="217">
        <f t="shared" si="12"/>
        <v>0</v>
      </c>
      <c r="X48" s="217">
        <f t="shared" si="13"/>
        <v>0</v>
      </c>
      <c r="Y48" s="217">
        <f t="shared" si="14"/>
        <v>0</v>
      </c>
      <c r="Z48" s="217">
        <f t="shared" si="15"/>
        <v>0</v>
      </c>
      <c r="AB48" s="183">
        <f t="shared" si="17"/>
        <v>0</v>
      </c>
    </row>
    <row r="49" spans="1:28" s="211" customFormat="1" x14ac:dyDescent="0.25">
      <c r="A49" s="185"/>
      <c r="B49" s="185"/>
      <c r="C49" s="216"/>
      <c r="D49" s="213"/>
      <c r="E49" s="212"/>
      <c r="F49" s="212"/>
      <c r="G49" s="212"/>
      <c r="H49" s="212"/>
      <c r="J49" s="215"/>
      <c r="K49" s="185"/>
      <c r="L49" s="214"/>
      <c r="M49" s="213">
        <f t="shared" si="3"/>
        <v>0</v>
      </c>
      <c r="N49" s="213">
        <f t="shared" si="4"/>
        <v>0</v>
      </c>
      <c r="O49" s="213">
        <f t="shared" si="5"/>
        <v>0</v>
      </c>
      <c r="P49" s="213">
        <f t="shared" si="6"/>
        <v>0</v>
      </c>
      <c r="Q49" s="213">
        <f t="shared" si="7"/>
        <v>0</v>
      </c>
      <c r="S49" s="215"/>
      <c r="T49" s="185"/>
      <c r="U49" s="214"/>
      <c r="V49" s="213">
        <f t="shared" si="11"/>
        <v>0</v>
      </c>
      <c r="W49" s="213">
        <f t="shared" si="12"/>
        <v>0</v>
      </c>
      <c r="X49" s="213">
        <f t="shared" si="13"/>
        <v>0</v>
      </c>
      <c r="Y49" s="213">
        <f t="shared" si="14"/>
        <v>0</v>
      </c>
      <c r="Z49" s="213">
        <f t="shared" si="15"/>
        <v>0</v>
      </c>
      <c r="AB49" s="212">
        <f t="shared" si="17"/>
        <v>0</v>
      </c>
    </row>
    <row r="50" spans="1:28" s="211" customFormat="1" x14ac:dyDescent="0.25">
      <c r="A50" s="185"/>
      <c r="B50" s="185"/>
      <c r="C50" s="216"/>
      <c r="D50" s="213"/>
      <c r="E50" s="212"/>
      <c r="F50" s="212"/>
      <c r="G50" s="212"/>
      <c r="H50" s="212"/>
      <c r="J50" s="215"/>
      <c r="K50" s="185"/>
      <c r="L50" s="214"/>
      <c r="M50" s="213">
        <f t="shared" si="3"/>
        <v>0</v>
      </c>
      <c r="N50" s="213">
        <f t="shared" si="4"/>
        <v>0</v>
      </c>
      <c r="O50" s="213">
        <f t="shared" si="5"/>
        <v>0</v>
      </c>
      <c r="P50" s="213">
        <f t="shared" si="6"/>
        <v>0</v>
      </c>
      <c r="Q50" s="213">
        <f t="shared" si="7"/>
        <v>0</v>
      </c>
      <c r="S50" s="215"/>
      <c r="T50" s="185"/>
      <c r="U50" s="214"/>
      <c r="V50" s="213">
        <f t="shared" si="11"/>
        <v>0</v>
      </c>
      <c r="W50" s="213">
        <f t="shared" si="12"/>
        <v>0</v>
      </c>
      <c r="X50" s="213">
        <f t="shared" si="13"/>
        <v>0</v>
      </c>
      <c r="Y50" s="213">
        <f t="shared" si="14"/>
        <v>0</v>
      </c>
      <c r="Z50" s="213">
        <f t="shared" si="15"/>
        <v>0</v>
      </c>
      <c r="AB50" s="212">
        <f t="shared" si="17"/>
        <v>0</v>
      </c>
    </row>
    <row r="51" spans="1:28" s="211" customFormat="1" x14ac:dyDescent="0.25">
      <c r="A51" s="185"/>
      <c r="B51" s="185"/>
      <c r="C51" s="216"/>
      <c r="D51" s="213"/>
      <c r="E51" s="212"/>
      <c r="F51" s="212"/>
      <c r="G51" s="212"/>
      <c r="H51" s="212"/>
      <c r="J51" s="215"/>
      <c r="K51" s="185"/>
      <c r="L51" s="214"/>
      <c r="M51" s="213"/>
      <c r="N51" s="213"/>
      <c r="O51" s="213"/>
      <c r="P51" s="213"/>
      <c r="Q51" s="213"/>
      <c r="S51" s="215"/>
      <c r="T51" s="185"/>
      <c r="U51" s="214"/>
      <c r="V51" s="213"/>
      <c r="W51" s="213"/>
      <c r="X51" s="213"/>
      <c r="Y51" s="213"/>
      <c r="Z51" s="213"/>
      <c r="AB51" s="212">
        <f t="shared" si="17"/>
        <v>0</v>
      </c>
    </row>
    <row r="52" spans="1:28" s="211" customFormat="1" x14ac:dyDescent="0.25">
      <c r="A52" s="185"/>
      <c r="B52" s="185"/>
      <c r="C52" s="216"/>
      <c r="D52" s="213"/>
      <c r="E52" s="212"/>
      <c r="F52" s="212"/>
      <c r="G52" s="212"/>
      <c r="H52" s="212"/>
      <c r="J52" s="215"/>
      <c r="K52" s="185"/>
      <c r="L52" s="214"/>
      <c r="M52" s="213"/>
      <c r="N52" s="213"/>
      <c r="O52" s="213"/>
      <c r="P52" s="213"/>
      <c r="Q52" s="213"/>
      <c r="S52" s="215"/>
      <c r="T52" s="185"/>
      <c r="U52" s="214"/>
      <c r="V52" s="213"/>
      <c r="W52" s="213"/>
      <c r="X52" s="213"/>
      <c r="Y52" s="213"/>
      <c r="Z52" s="213"/>
      <c r="AB52" s="212">
        <f t="shared" si="17"/>
        <v>0</v>
      </c>
    </row>
    <row r="53" spans="1:28" s="211" customFormat="1" x14ac:dyDescent="0.25">
      <c r="A53" s="185"/>
      <c r="B53" s="185"/>
      <c r="C53" s="216"/>
      <c r="D53" s="213"/>
      <c r="E53" s="212"/>
      <c r="F53" s="212"/>
      <c r="G53" s="212"/>
      <c r="H53" s="212"/>
      <c r="J53" s="215"/>
      <c r="K53" s="185"/>
      <c r="L53" s="214"/>
      <c r="M53" s="213"/>
      <c r="N53" s="213"/>
      <c r="O53" s="213"/>
      <c r="P53" s="213"/>
      <c r="Q53" s="213"/>
      <c r="S53" s="215"/>
      <c r="T53" s="185"/>
      <c r="U53" s="214"/>
      <c r="V53" s="213"/>
      <c r="W53" s="213"/>
      <c r="X53" s="213"/>
      <c r="Y53" s="213"/>
      <c r="Z53" s="213"/>
      <c r="AB53" s="212">
        <f t="shared" si="17"/>
        <v>0</v>
      </c>
    </row>
    <row r="54" spans="1:28" s="211" customFormat="1" x14ac:dyDescent="0.25">
      <c r="A54" s="185"/>
      <c r="B54" s="185"/>
      <c r="C54" s="216"/>
      <c r="D54" s="213"/>
      <c r="E54" s="212"/>
      <c r="F54" s="212"/>
      <c r="G54" s="212"/>
      <c r="H54" s="212"/>
      <c r="J54" s="215"/>
      <c r="K54" s="185"/>
      <c r="L54" s="214"/>
      <c r="M54" s="213"/>
      <c r="N54" s="213"/>
      <c r="O54" s="213"/>
      <c r="P54" s="213"/>
      <c r="Q54" s="213"/>
      <c r="S54" s="215"/>
      <c r="T54" s="185"/>
      <c r="U54" s="214"/>
      <c r="V54" s="213"/>
      <c r="W54" s="213"/>
      <c r="X54" s="213"/>
      <c r="Y54" s="213"/>
      <c r="Z54" s="213"/>
      <c r="AB54" s="212">
        <f t="shared" si="17"/>
        <v>0</v>
      </c>
    </row>
    <row r="55" spans="1:28" x14ac:dyDescent="0.25">
      <c r="A55" s="190"/>
      <c r="B55" s="190"/>
      <c r="C55" s="210"/>
      <c r="D55" s="186"/>
      <c r="E55" s="189"/>
      <c r="F55" s="189"/>
      <c r="G55" s="189"/>
      <c r="H55" s="189"/>
      <c r="J55" s="190"/>
      <c r="K55" s="190"/>
      <c r="L55" s="187"/>
      <c r="M55" s="209"/>
      <c r="N55" s="209"/>
      <c r="O55" s="209"/>
      <c r="P55" s="209"/>
      <c r="Q55" s="209"/>
      <c r="S55" s="190"/>
      <c r="T55" s="190"/>
      <c r="U55" s="187"/>
      <c r="V55" s="209"/>
      <c r="W55" s="209"/>
      <c r="X55" s="209"/>
      <c r="Y55" s="209"/>
      <c r="Z55" s="209"/>
      <c r="AB55" s="212">
        <f t="shared" si="17"/>
        <v>0</v>
      </c>
    </row>
    <row r="56" spans="1:28" x14ac:dyDescent="0.25">
      <c r="A56" s="185" t="s">
        <v>128</v>
      </c>
      <c r="B56" s="185"/>
      <c r="D56" s="183">
        <f>SUM(D5:D55)</f>
        <v>0</v>
      </c>
      <c r="E56" s="183">
        <f>SUM(E5:E55)</f>
        <v>15319700.059999997</v>
      </c>
      <c r="F56" s="183">
        <f>SUM(F5:F55)</f>
        <v>57520876.75999999</v>
      </c>
      <c r="G56" s="183">
        <f>SUM(G5:G55)</f>
        <v>124424767.36</v>
      </c>
      <c r="H56" s="183">
        <f>SUM(H5:H55)</f>
        <v>0</v>
      </c>
      <c r="J56" s="185" t="s">
        <v>128</v>
      </c>
      <c r="K56" s="185"/>
      <c r="L56" s="182"/>
      <c r="M56" s="208">
        <f>SUM(M5:M55)</f>
        <v>0</v>
      </c>
      <c r="N56" s="208">
        <f>SUM(N5:N55)</f>
        <v>10065702.957324</v>
      </c>
      <c r="O56" s="208">
        <f>SUM(O5:O55)</f>
        <v>39639595.861442</v>
      </c>
      <c r="P56" s="208">
        <f>SUM(P5:P55)</f>
        <v>86663793.857683986</v>
      </c>
      <c r="Q56" s="208">
        <f>SUM(Q5:Q55)</f>
        <v>0</v>
      </c>
      <c r="S56" s="185" t="s">
        <v>128</v>
      </c>
      <c r="T56" s="185"/>
      <c r="U56" s="182"/>
      <c r="V56" s="208">
        <f>SUM(V5:V55)</f>
        <v>0</v>
      </c>
      <c r="W56" s="208">
        <f>SUM(W5:W55)</f>
        <v>5253997.1026760004</v>
      </c>
      <c r="X56" s="208">
        <f>SUM(X5:X55)</f>
        <v>17881280.898557998</v>
      </c>
      <c r="Y56" s="208">
        <f>SUM(Y5:Y55)</f>
        <v>37760973.502315998</v>
      </c>
      <c r="Z56" s="208">
        <f>SUM(Z5:Z55)</f>
        <v>0</v>
      </c>
      <c r="AB56" s="183">
        <f t="shared" si="17"/>
        <v>0</v>
      </c>
    </row>
    <row r="57" spans="1:28" x14ac:dyDescent="0.25">
      <c r="A57" s="185" t="s">
        <v>108</v>
      </c>
      <c r="B57" s="185"/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K57" s="185"/>
      <c r="T57" s="185"/>
    </row>
  </sheetData>
  <conditionalFormatting sqref="D57:H57">
    <cfRule type="cellIs" dxfId="9" priority="9" operator="equal">
      <formula>0</formula>
    </cfRule>
    <cfRule type="cellIs" dxfId="8" priority="10" operator="notEqual">
      <formula>0</formula>
    </cfRule>
  </conditionalFormatting>
  <conditionalFormatting sqref="AB5">
    <cfRule type="cellIs" dxfId="7" priority="7" operator="equal">
      <formula>0</formula>
    </cfRule>
    <cfRule type="cellIs" dxfId="6" priority="8" operator="notEqual">
      <formula>0</formula>
    </cfRule>
  </conditionalFormatting>
  <conditionalFormatting sqref="AB6:AB48 AB56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B49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B50:AB55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Detail'!$B$6:$B$61,'Electric Closings Summary'!$B4,'2023 YE Gross Plant Detail'!$E$6:$E$61)</f>
        <v>17674943.040000662</v>
      </c>
      <c r="D4" s="7">
        <f>SUMIF('2023 YE Accum Depr Detail'!$B$6:$B$61,'Electric Closings Summary'!$B4,'2023 YE Accum Depr Detail'!$E$6:$E$61)</f>
        <v>668168.24326409539</v>
      </c>
      <c r="E4" s="7">
        <f>SUMIF('2023 YE Def Tax Detail'!$B$6:$B$61,'Electric Closings Summary'!$B4,'2023 YE Def Tax Detail'!$E$6:$E$61)</f>
        <v>1141185.4513657968</v>
      </c>
      <c r="G4" s="7">
        <f>SUMIF('2023 YE Depr Expense'!$B$6:$B$62,'Electric Closings Summary'!$B4,'2023 YE Depr Expense'!$E$6:$E$62)</f>
        <v>933763.59176151617</v>
      </c>
    </row>
    <row r="5" spans="1:16" x14ac:dyDescent="0.25">
      <c r="A5" s="26">
        <f>A4+1</f>
        <v>2</v>
      </c>
      <c r="B5" t="s">
        <v>1</v>
      </c>
      <c r="C5" s="7">
        <f>SUMIF('2023 YE Gross Plant Detail'!$B$6:$B$61,'Electric Closings Summary'!$B5,'2023 YE Gross Plant Detail'!$E$6:$E$61)</f>
        <v>163258.24333333335</v>
      </c>
      <c r="D5" s="7">
        <f>SUMIF('2023 YE Accum Depr Detail'!$B$6:$B$61,'Electric Closings Summary'!$B5,'2023 YE Accum Depr Detail'!$E$6:$E$61)</f>
        <v>1713.3318589166668</v>
      </c>
      <c r="E5" s="7">
        <f>SUMIF('2023 YE Def Tax Detail'!$B$6:$B$61,'Electric Closings Summary'!$B5,'2023 YE Def Tax Detail'!$E$6:$E$61)</f>
        <v>7953.1627200601843</v>
      </c>
      <c r="G5" s="7">
        <f>SUMIF('2023 YE Depr Expense'!$B$6:$B$62,'Electric Closings Summary'!$B5,'2023 YE Depr Expense'!$E$6:$E$62)</f>
        <v>14509.210332333334</v>
      </c>
    </row>
    <row r="6" spans="1:16" x14ac:dyDescent="0.25">
      <c r="A6" s="26">
        <f t="shared" ref="A6:A31" si="0">A5+1</f>
        <v>3</v>
      </c>
      <c r="B6" t="s">
        <v>2</v>
      </c>
      <c r="C6" s="7">
        <f>SUMIF('2023 YE Gross Plant Detail'!$B$6:$B$61,'Electric Closings Summary'!$B6,'2023 YE Gross Plant Detail'!$E$6:$E$61)</f>
        <v>5006137.7654166659</v>
      </c>
      <c r="D6" s="7">
        <f>SUMIF('2023 YE Accum Depr Detail'!$B$6:$B$61,'Electric Closings Summary'!$B6,'2023 YE Accum Depr Detail'!$E$6:$E$61)</f>
        <v>89858.451288883618</v>
      </c>
      <c r="E6" s="7">
        <f>SUMIF('2023 YE Def Tax Detail'!$B$6:$B$61,'Electric Closings Summary'!$B6,'2023 YE Def Tax Detail'!$E$6:$E$61)</f>
        <v>107382.38246529897</v>
      </c>
      <c r="G6" s="7">
        <f>SUMIF('2023 YE Depr Expense'!$B$6:$B$62,'Electric Closings Summary'!$B6,'2023 YE Depr Expense'!$E$6:$E$62)</f>
        <v>169609.75651247142</v>
      </c>
    </row>
    <row r="7" spans="1:16" x14ac:dyDescent="0.25">
      <c r="A7" s="26">
        <f t="shared" si="0"/>
        <v>4</v>
      </c>
      <c r="B7" t="s">
        <v>4</v>
      </c>
      <c r="C7" s="7">
        <f>SUMIF('2023 YE Gross Plant Detail'!$B$6:$B$61,'Electric Closings Summary'!$B7,'2023 YE Gross Plant Detail'!$E$6:$E$61)</f>
        <v>-14236237.534166669</v>
      </c>
      <c r="D7" s="7">
        <f>SUMIF('2023 YE Accum Depr Detail'!$B$6:$B$61,'Electric Closings Summary'!$B7,'2023 YE Accum Depr Detail'!$E$6:$E$61)</f>
        <v>-414628.32214930793</v>
      </c>
      <c r="E7" s="7">
        <f>SUMIF('2023 YE Def Tax Detail'!$B$6:$B$61,'Electric Closings Summary'!$B7,'2023 YE Def Tax Detail'!$E$6:$E$61)</f>
        <v>-60662.983759304043</v>
      </c>
      <c r="G7" s="7">
        <f>SUMIF('2023 YE Depr Expense'!$B$6:$B$62,'Electric Closings Summary'!$B7,'2023 YE Depr Expense'!$E$6:$E$62)</f>
        <v>-631668.08080489072</v>
      </c>
      <c r="P7" s="2"/>
    </row>
    <row r="8" spans="1:16" x14ac:dyDescent="0.25">
      <c r="A8" s="26">
        <f t="shared" si="0"/>
        <v>5</v>
      </c>
      <c r="B8" t="s">
        <v>6</v>
      </c>
      <c r="C8" s="7">
        <f>SUMIF('2023 YE Gross Plant Detail'!$B$6:$B$61,'Electric Closings Summary'!$B8,'2023 YE Gross Plant Detail'!$E$6:$E$61)</f>
        <v>79257830.225416675</v>
      </c>
      <c r="D8" s="7">
        <f>SUMIF('2023 YE Accum Depr Detail'!$B$6:$B$61,'Electric Closings Summary'!$B8,'2023 YE Accum Depr Detail'!$E$6:$E$61)</f>
        <v>2261286.2438486847</v>
      </c>
      <c r="E8" s="7">
        <f>SUMIF('2023 YE Def Tax Detail'!$B$6:$B$61,'Electric Closings Summary'!$B8,'2023 YE Def Tax Detail'!$E$6:$E$61)</f>
        <v>799870.02381538227</v>
      </c>
      <c r="G8" s="7">
        <f>SUMIF('2023 YE Depr Expense'!$B$6:$B$62,'Electric Closings Summary'!$B8,'2023 YE Depr Expense'!$E$6:$E$62)</f>
        <v>3262097.4905843786</v>
      </c>
      <c r="P8" s="2"/>
    </row>
    <row r="9" spans="1:16" x14ac:dyDescent="0.25">
      <c r="A9" s="26">
        <f t="shared" si="0"/>
        <v>6</v>
      </c>
      <c r="B9" t="s">
        <v>7</v>
      </c>
      <c r="C9" s="7">
        <f>SUMIF('2023 YE Gross Plant Detail'!$B$6:$B$61,'Electric Closings Summary'!$B9,'2023 YE Gross Plant Detail'!$E$6:$E$61)</f>
        <v>2832.6887500000003</v>
      </c>
      <c r="D9" s="7">
        <f>SUMIF('2023 YE Accum Depr Detail'!$B$6:$B$61,'Electric Closings Summary'!$B9,'2023 YE Accum Depr Detail'!$E$6:$E$61)</f>
        <v>285.57772366386803</v>
      </c>
      <c r="E9" s="7">
        <f>SUMIF('2023 YE Def Tax Detail'!$B$6:$B$61,'Electric Closings Summary'!$B9,'2023 YE Def Tax Detail'!$E$6:$E$61)</f>
        <v>65.394046855606078</v>
      </c>
      <c r="G9" s="7">
        <f>SUMIF('2023 YE Depr Expense'!$B$6:$B$62,'Electric Closings Summary'!$B9,'2023 YE Depr Expense'!$E$6:$E$62)</f>
        <v>204.80034065348721</v>
      </c>
      <c r="P9" s="2"/>
    </row>
    <row r="10" spans="1:16" x14ac:dyDescent="0.25">
      <c r="A10" s="26">
        <f t="shared" si="0"/>
        <v>7</v>
      </c>
      <c r="B10" t="s">
        <v>8</v>
      </c>
      <c r="C10" s="7">
        <f>SUMIF('2023 YE Gross Plant Detail'!$B$6:$B$61,'Electric Closings Summary'!$B10,'2023 YE Gross Plant Detail'!$E$6:$E$61)</f>
        <v>9261.4049999999825</v>
      </c>
      <c r="D10" s="7">
        <f>SUMIF('2023 YE Accum Depr Detail'!$B$6:$B$61,'Electric Closings Summary'!$B10,'2023 YE Accum Depr Detail'!$E$6:$E$61)</f>
        <v>1067.5246145833332</v>
      </c>
      <c r="E10" s="7">
        <f>SUMIF('2023 YE Def Tax Detail'!$B$6:$B$61,'Electric Closings Summary'!$B10,'2023 YE Def Tax Detail'!$E$6:$E$61)</f>
        <v>6830.9920522102666</v>
      </c>
      <c r="G10" s="7">
        <f>SUMIF('2023 YE Depr Expense'!$B$6:$B$62,'Electric Closings Summary'!$B10,'2023 YE Depr Expense'!$E$6:$E$62)</f>
        <v>770.07891666666524</v>
      </c>
      <c r="P10" s="2"/>
    </row>
    <row r="11" spans="1:16" x14ac:dyDescent="0.25">
      <c r="A11" s="26">
        <f t="shared" si="0"/>
        <v>8</v>
      </c>
      <c r="B11" t="s">
        <v>9</v>
      </c>
      <c r="C11" s="7">
        <f>SUMIF('2023 YE Gross Plant Detail'!$B$6:$B$61,'Electric Closings Summary'!$B11,'2023 YE Gross Plant Detail'!$E$6:$E$61)</f>
        <v>5179821.9019085001</v>
      </c>
      <c r="D11" s="7">
        <f>SUMIF('2023 YE Accum Depr Detail'!$B$6:$B$61,'Electric Closings Summary'!$B11,'2023 YE Accum Depr Detail'!$E$6:$E$61)</f>
        <v>1015983.7057397708</v>
      </c>
      <c r="E11" s="7">
        <f>SUMIF('2023 YE Def Tax Detail'!$B$6:$B$61,'Electric Closings Summary'!$B11,'2023 YE Def Tax Detail'!$E$6:$E$61)</f>
        <v>379675.07577025512</v>
      </c>
      <c r="G11" s="7">
        <f>SUMIF('2023 YE Depr Expense'!$B$6:$B$62,'Electric Closings Summary'!$B11,'2023 YE Depr Expense'!$E$6:$E$62)</f>
        <v>1133177.3872265001</v>
      </c>
      <c r="P11" s="2"/>
    </row>
    <row r="12" spans="1:16" x14ac:dyDescent="0.25">
      <c r="A12" s="26">
        <f t="shared" si="0"/>
        <v>9</v>
      </c>
      <c r="B12" t="s">
        <v>10</v>
      </c>
      <c r="C12" s="7">
        <f>SUMIF('2023 YE Gross Plant Detail'!$B$6:$B$61,'Electric Closings Summary'!$B12,'2023 YE Gross Plant Detail'!$E$6:$E$61)</f>
        <v>105587700.83374995</v>
      </c>
      <c r="D12" s="7">
        <f>SUMIF('2023 YE Accum Depr Detail'!$B$6:$B$61,'Electric Closings Summary'!$B12,'2023 YE Accum Depr Detail'!$E$6:$E$61)</f>
        <v>2790029.4703639331</v>
      </c>
      <c r="E12" s="7">
        <f>SUMIF('2023 YE Def Tax Detail'!$B$6:$B$61,'Electric Closings Summary'!$B12,'2023 YE Def Tax Detail'!$E$6:$E$61)</f>
        <v>1400751.509383799</v>
      </c>
      <c r="G12" s="7">
        <f>SUMIF('2023 YE Depr Expense'!$B$6:$B$62,'Electric Closings Summary'!$B12,'2023 YE Depr Expense'!$E$6:$E$62)</f>
        <v>3739639.2920287163</v>
      </c>
      <c r="P12" s="2"/>
    </row>
    <row r="13" spans="1:16" x14ac:dyDescent="0.25">
      <c r="A13" s="26">
        <f t="shared" si="0"/>
        <v>10</v>
      </c>
      <c r="B13" t="s">
        <v>12</v>
      </c>
      <c r="C13" s="7">
        <f>SUMIF('2023 YE Gross Plant Detail'!$B$6:$B$61,'Electric Closings Summary'!$B13,'2023 YE Gross Plant Detail'!$E$6:$E$61)</f>
        <v>54183824.50166665</v>
      </c>
      <c r="D13" s="7">
        <f>SUMIF('2023 YE Accum Depr Detail'!$B$6:$B$61,'Electric Closings Summary'!$B13,'2023 YE Accum Depr Detail'!$E$6:$E$61)</f>
        <v>177488.0274752673</v>
      </c>
      <c r="E13" s="7">
        <f>SUMIF('2023 YE Def Tax Detail'!$B$6:$B$61,'Electric Closings Summary'!$B13,'2023 YE Def Tax Detail'!$E$6:$E$61)</f>
        <v>1055058.2659856556</v>
      </c>
      <c r="G13" s="7">
        <f>SUMIF('2023 YE Depr Expense'!$B$6:$B$62,'Electric Closings Summary'!$B13,'2023 YE Depr Expense'!$E$6:$E$62)</f>
        <v>1229545.2780046598</v>
      </c>
      <c r="P13" s="2"/>
    </row>
    <row r="14" spans="1:16" x14ac:dyDescent="0.25">
      <c r="A14" s="26">
        <f t="shared" si="0"/>
        <v>11</v>
      </c>
      <c r="B14" t="s">
        <v>127</v>
      </c>
      <c r="C14" s="7">
        <f>SUMIF('2023 YE Gross Plant Detail'!$B$6:$B$61,'Electric Closings Summary'!$B14,'2023 YE Gross Plant Detail'!$E$6:$E$61)</f>
        <v>277146.53916666663</v>
      </c>
      <c r="D14" s="7">
        <f>SUMIF('2023 YE Accum Depr Detail'!$B$6:$B$61,'Electric Closings Summary'!$B14,'2023 YE Accum Depr Detail'!$E$6:$E$61)</f>
        <v>1991.4332651684733</v>
      </c>
      <c r="E14" s="7">
        <f>SUMIF('2023 YE Def Tax Detail'!$B$6:$B$61,'Electric Closings Summary'!$B14,'2023 YE Def Tax Detail'!$E$6:$E$61)</f>
        <v>-20644.571249068267</v>
      </c>
      <c r="G14" s="7">
        <f>SUMIF('2023 YE Depr Expense'!$B$6:$B$62,'Electric Closings Summary'!$B14,'2023 YE Depr Expense'!$E$6:$E$62)</f>
        <v>9665.3951794521654</v>
      </c>
      <c r="P14" s="2"/>
    </row>
    <row r="15" spans="1:16" x14ac:dyDescent="0.25">
      <c r="A15" s="26">
        <f t="shared" si="0"/>
        <v>12</v>
      </c>
      <c r="B15" t="s">
        <v>14</v>
      </c>
      <c r="C15" s="7">
        <f>SUMIF('2023 YE Gross Plant Detail'!$B$6:$B$61,'Electric Closings Summary'!$B15,'2023 YE Gross Plant Detail'!$E$6:$E$61)</f>
        <v>-3595.8600000000006</v>
      </c>
      <c r="D15" s="7">
        <f>SUMIF('2023 YE Accum Depr Detail'!$B$6:$B$61,'Electric Closings Summary'!$B15,'2023 YE Accum Depr Detail'!$E$6:$E$61)</f>
        <v>-328.52681395833332</v>
      </c>
      <c r="E15" s="7">
        <f>SUMIF('2023 YE Def Tax Detail'!$B$6:$B$61,'Electric Closings Summary'!$B15,'2023 YE Def Tax Detail'!$E$6:$E$61)</f>
        <v>-16.704245347448644</v>
      </c>
      <c r="G15" s="7">
        <f>SUMIF('2023 YE Depr Expense'!$B$6:$B$62,'Electric Closings Summary'!$B15,'2023 YE Depr Expense'!$E$6:$E$62)</f>
        <v>-265.55426099999994</v>
      </c>
      <c r="P15" s="2"/>
    </row>
    <row r="16" spans="1:16" x14ac:dyDescent="0.25">
      <c r="A16" s="26">
        <f t="shared" si="0"/>
        <v>13</v>
      </c>
      <c r="B16" t="s">
        <v>15</v>
      </c>
      <c r="C16" s="7">
        <f>SUMIF('2023 YE Gross Plant Detail'!$B$6:$B$61,'Electric Closings Summary'!$B16,'2023 YE Gross Plant Detail'!$E$6:$E$61)</f>
        <v>160280782.9966667</v>
      </c>
      <c r="D16" s="7">
        <f>SUMIF('2023 YE Accum Depr Detail'!$B$6:$B$61,'Electric Closings Summary'!$B16,'2023 YE Accum Depr Detail'!$E$6:$E$61)</f>
        <v>4536779.9114811895</v>
      </c>
      <c r="E16" s="7">
        <f>SUMIF('2023 YE Def Tax Detail'!$B$6:$B$61,'Electric Closings Summary'!$B16,'2023 YE Def Tax Detail'!$E$6:$E$61)</f>
        <v>1655045.275893853</v>
      </c>
      <c r="G16" s="7">
        <f>SUMIF('2023 YE Depr Expense'!$B$6:$B$62,'Electric Closings Summary'!$B16,'2023 YE Depr Expense'!$E$6:$E$62)</f>
        <v>6109532.7676543705</v>
      </c>
      <c r="P16" s="2"/>
    </row>
    <row r="17" spans="1:16" x14ac:dyDescent="0.25">
      <c r="A17" s="26">
        <f t="shared" si="0"/>
        <v>14</v>
      </c>
      <c r="B17" t="s">
        <v>16</v>
      </c>
      <c r="C17" s="7">
        <f>SUMIF('2023 YE Gross Plant Detail'!$B$6:$B$61,'Electric Closings Summary'!$B17,'2023 YE Gross Plant Detail'!$E$6:$E$61)</f>
        <v>-29641.090000000007</v>
      </c>
      <c r="D17" s="7">
        <f>SUMIF('2023 YE Accum Depr Detail'!$B$6:$B$61,'Electric Closings Summary'!$B17,'2023 YE Accum Depr Detail'!$E$6:$E$61)</f>
        <v>-8031.040493055556</v>
      </c>
      <c r="E17" s="7">
        <f>SUMIF('2023 YE Def Tax Detail'!$B$6:$B$61,'Electric Closings Summary'!$B17,'2023 YE Def Tax Detail'!$E$6:$E$61)</f>
        <v>-756.94879326502291</v>
      </c>
      <c r="G17" s="7">
        <f>SUMIF('2023 YE Depr Expense'!$B$6:$B$62,'Electric Closings Summary'!$B17,'2023 YE Depr Expense'!$E$6:$E$62)</f>
        <v>-6422.2361666666666</v>
      </c>
      <c r="P17" s="2"/>
    </row>
    <row r="18" spans="1:16" x14ac:dyDescent="0.25">
      <c r="A18" s="26">
        <f t="shared" si="0"/>
        <v>15</v>
      </c>
      <c r="B18" t="s">
        <v>17</v>
      </c>
      <c r="C18" s="7">
        <f>SUMIF('2023 YE Gross Plant Detail'!$B$6:$B$61,'Electric Closings Summary'!$B18,'2023 YE Gross Plant Detail'!$E$6:$E$61)</f>
        <v>6755776.7903169971</v>
      </c>
      <c r="D18" s="7">
        <f>SUMIF('2023 YE Accum Depr Detail'!$B$6:$B$61,'Electric Closings Summary'!$B18,'2023 YE Accum Depr Detail'!$E$6:$E$61)</f>
        <v>1683700.2802522394</v>
      </c>
      <c r="E18" s="7">
        <f>SUMIF('2023 YE Def Tax Detail'!$B$6:$B$61,'Electric Closings Summary'!$B18,'2023 YE Def Tax Detail'!$E$6:$E$61)</f>
        <v>215405.83529136807</v>
      </c>
      <c r="G18" s="7">
        <f>SUMIF('2023 YE Depr Expense'!$B$6:$B$62,'Electric Closings Summary'!$B18,'2023 YE Depr Expense'!$E$6:$E$62)</f>
        <v>1287180.9076563481</v>
      </c>
      <c r="P18" s="2"/>
    </row>
    <row r="19" spans="1:16" x14ac:dyDescent="0.25">
      <c r="A19" s="26">
        <f t="shared" si="0"/>
        <v>16</v>
      </c>
      <c r="B19" t="s">
        <v>18</v>
      </c>
      <c r="C19" s="7">
        <f>SUMIF('2023 YE Gross Plant Detail'!$B$6:$B$61,'Electric Closings Summary'!$B19,'2023 YE Gross Plant Detail'!$E$6:$E$61)</f>
        <v>0</v>
      </c>
      <c r="D19" s="7">
        <f>SUMIF('2023 YE Accum Depr Detail'!$B$6:$B$61,'Electric Closings Summary'!$B19,'2023 YE Accum Depr Detail'!$E$6:$E$61)</f>
        <v>0</v>
      </c>
      <c r="E19" s="7">
        <f>SUMIF('2023 YE Def Tax Detail'!$B$6:$B$61,'Electric Closings Summary'!$B19,'2023 YE Def Tax Detail'!$E$6:$E$61)</f>
        <v>0</v>
      </c>
      <c r="G19" s="7">
        <f>SUMIF('2023 YE Depr Expense'!$B$6:$B$62,'Electric Closings Summary'!$B19,'2023 YE Depr Expense'!$E$6:$E$62)</f>
        <v>0</v>
      </c>
      <c r="P19" s="2"/>
    </row>
    <row r="20" spans="1:16" x14ac:dyDescent="0.25">
      <c r="A20" s="26">
        <f t="shared" si="0"/>
        <v>17</v>
      </c>
      <c r="B20" t="s">
        <v>19</v>
      </c>
      <c r="C20" s="7">
        <f>SUMIF('2023 YE Gross Plant Detail'!$B$6:$B$61,'Electric Closings Summary'!$B20,'2023 YE Gross Plant Detail'!$E$6:$E$61)</f>
        <v>2677726.1862499998</v>
      </c>
      <c r="D20" s="7">
        <f>SUMIF('2023 YE Accum Depr Detail'!$B$6:$B$61,'Electric Closings Summary'!$B20,'2023 YE Accum Depr Detail'!$E$6:$E$61)</f>
        <v>79875.919268406564</v>
      </c>
      <c r="E20" s="7">
        <f>SUMIF('2023 YE Def Tax Detail'!$B$6:$B$61,'Electric Closings Summary'!$B20,'2023 YE Def Tax Detail'!$E$6:$E$61)</f>
        <v>126527.70782320583</v>
      </c>
      <c r="G20" s="7">
        <f>SUMIF('2023 YE Depr Expense'!$B$6:$B$62,'Electric Closings Summary'!$B20,'2023 YE Depr Expense'!$E$6:$E$62)</f>
        <v>111013.69658944389</v>
      </c>
      <c r="P20" s="2"/>
    </row>
    <row r="21" spans="1:16" x14ac:dyDescent="0.25">
      <c r="A21" s="26">
        <f t="shared" si="0"/>
        <v>18</v>
      </c>
      <c r="B21" t="s">
        <v>22</v>
      </c>
      <c r="C21" s="7">
        <f>SUMIF('2023 YE Gross Plant Detail'!$B$6:$B$61,'Electric Closings Summary'!$B21,'2023 YE Gross Plant Detail'!$E$6:$E$61)</f>
        <v>14435849.020000001</v>
      </c>
      <c r="D21" s="7">
        <f>SUMIF('2023 YE Accum Depr Detail'!$B$6:$B$61,'Electric Closings Summary'!$B21,'2023 YE Accum Depr Detail'!$E$6:$E$61)</f>
        <v>1378362.3740106877</v>
      </c>
      <c r="E21" s="7">
        <f>SUMIF('2023 YE Def Tax Detail'!$B$6:$B$61,'Electric Closings Summary'!$B21,'2023 YE Def Tax Detail'!$E$6:$E$61)</f>
        <v>-12983.695394158094</v>
      </c>
      <c r="G21" s="7">
        <f>SUMIF('2023 YE Depr Expense'!$B$6:$B$62,'Electric Closings Summary'!$B21,'2023 YE Depr Expense'!$E$6:$E$62)</f>
        <v>1788962.5898035003</v>
      </c>
      <c r="P21" s="2"/>
    </row>
    <row r="22" spans="1:16" x14ac:dyDescent="0.25">
      <c r="A22" s="26">
        <f t="shared" si="0"/>
        <v>19</v>
      </c>
      <c r="B22" t="s">
        <v>84</v>
      </c>
      <c r="C22" s="7">
        <f>SUMIF('2023 YE Gross Plant Detail'!$B$6:$B$61,'Electric Closings Summary'!$B22,'2023 YE Gross Plant Detail'!$E$6:$E$61)</f>
        <v>57027650.548933409</v>
      </c>
      <c r="D22" s="7">
        <f>SUMIF('2023 YE Accum Depr Detail'!$B$6:$B$61,'Electric Closings Summary'!$B22,'2023 YE Accum Depr Detail'!$E$6:$E$61)</f>
        <v>3049232.5407993486</v>
      </c>
      <c r="E22" s="7">
        <f>SUMIF('2023 YE Def Tax Detail'!$B$6:$B$61,'Electric Closings Summary'!$B22,'2023 YE Def Tax Detail'!$E$6:$E$61)</f>
        <v>1946357.8381379549</v>
      </c>
      <c r="G22" s="7">
        <f>SUMIF('2023 YE Depr Expense'!$B$6:$B$62,'Electric Closings Summary'!$B22,'2023 YE Depr Expense'!$E$6:$E$62)</f>
        <v>7221749.7544332426</v>
      </c>
      <c r="P22" s="2"/>
    </row>
    <row r="23" spans="1:16" x14ac:dyDescent="0.25">
      <c r="A23" s="26">
        <f t="shared" si="0"/>
        <v>20</v>
      </c>
      <c r="B23" t="s">
        <v>23</v>
      </c>
      <c r="C23" s="7">
        <f>SUMIF('2023 YE Gross Plant Detail'!$B$6:$B$61,'Electric Closings Summary'!$B23,'2023 YE Gross Plant Detail'!$E$6:$E$61)</f>
        <v>34271524.095000081</v>
      </c>
      <c r="D23" s="7">
        <f>SUMIF('2023 YE Accum Depr Detail'!$B$6:$B$61,'Electric Closings Summary'!$B23,'2023 YE Accum Depr Detail'!$E$6:$E$61)</f>
        <v>942974.88288525585</v>
      </c>
      <c r="E23" s="7">
        <f>SUMIF('2023 YE Def Tax Detail'!$B$6:$B$61,'Electric Closings Summary'!$B23,'2023 YE Def Tax Detail'!$E$6:$E$61)</f>
        <v>686173.00898094219</v>
      </c>
      <c r="G23" s="7">
        <f>SUMIF('2023 YE Depr Expense'!$B$6:$B$62,'Electric Closings Summary'!$B23,'2023 YE Depr Expense'!$E$6:$E$62)</f>
        <v>1633228.3674291214</v>
      </c>
      <c r="P23" s="2"/>
    </row>
    <row r="24" spans="1:16" x14ac:dyDescent="0.25">
      <c r="A24" s="26">
        <f t="shared" si="0"/>
        <v>21</v>
      </c>
      <c r="B24" t="s">
        <v>50</v>
      </c>
      <c r="C24" s="7">
        <f>SUMIF('2023 YE Gross Plant Detail'!$B$6:$B$61,'Electric Closings Summary'!$B24,'2023 YE Gross Plant Detail'!$E$6:$E$61)</f>
        <v>71143812.659166664</v>
      </c>
      <c r="D24" s="7">
        <f>SUMIF('2023 YE Accum Depr Detail'!$B$6:$B$61,'Electric Closings Summary'!$B24,'2023 YE Accum Depr Detail'!$E$6:$E$61)</f>
        <v>2529677.1644083103</v>
      </c>
      <c r="E24" s="7">
        <f>SUMIF('2023 YE Def Tax Detail'!$B$6:$B$61,'Electric Closings Summary'!$B24,'2023 YE Def Tax Detail'!$E$6:$E$61)</f>
        <v>2619136.8856605999</v>
      </c>
      <c r="G24" s="7">
        <f>SUMIF('2023 YE Depr Expense'!$B$6:$B$62,'Electric Closings Summary'!$B24,'2023 YE Depr Expense'!$E$6:$E$62)</f>
        <v>3424141.0999305411</v>
      </c>
      <c r="P24" s="2"/>
    </row>
    <row r="25" spans="1:16" x14ac:dyDescent="0.25">
      <c r="A25" s="26">
        <f t="shared" si="0"/>
        <v>22</v>
      </c>
      <c r="B25" s="8" t="s">
        <v>26</v>
      </c>
      <c r="C25" s="7">
        <f>SUMIF('2023 YE Gross Plant Detail'!$B$6:$B$61,'Electric Closings Summary'!$B25,'2023 YE Gross Plant Detail'!$E$6:$E$61)</f>
        <v>184845384.86876714</v>
      </c>
      <c r="D25" s="7">
        <f>SUMIF('2023 YE Accum Depr Detail'!$B$6:$B$61,'Electric Closings Summary'!$B25,'2023 YE Accum Depr Detail'!$E$6:$E$61)</f>
        <v>11306219.526852932</v>
      </c>
      <c r="E25" s="7">
        <f>SUMIF('2023 YE Def Tax Detail'!$B$6:$B$61,'Electric Closings Summary'!$B25,'2023 YE Def Tax Detail'!$E$6:$E$61)</f>
        <v>5317526.0435637468</v>
      </c>
      <c r="G25" s="7">
        <f>SUMIF('2023 YE Depr Expense'!$B$6:$B$62,'Electric Closings Summary'!$B25,'2023 YE Depr Expense'!$E$6:$E$62)</f>
        <v>12907250.881063156</v>
      </c>
      <c r="P25" s="2"/>
    </row>
    <row r="26" spans="1:16" x14ac:dyDescent="0.25">
      <c r="A26" s="26">
        <f t="shared" si="0"/>
        <v>23</v>
      </c>
      <c r="B26" s="77" t="s">
        <v>31</v>
      </c>
      <c r="C26" s="7">
        <f>SUMIF('2023 YE Gross Plant Detail'!$B$6:$B$61,'Electric Closings Summary'!$B26,'2023 YE Gross Plant Detail'!$E$6:$E$61)</f>
        <v>2061746.6195833334</v>
      </c>
      <c r="D26" s="7">
        <f>SUMIF('2023 YE Accum Depr Detail'!$B$6:$B$61,'Electric Closings Summary'!$B26,'2023 YE Accum Depr Detail'!$E$6:$E$61)</f>
        <v>23249.906689138377</v>
      </c>
      <c r="E26" s="7">
        <f>SUMIF('2023 YE Def Tax Detail'!$B$6:$B$61,'Electric Closings Summary'!$B26,'2023 YE Def Tax Detail'!$E$6:$E$61)</f>
        <v>34077.986262483762</v>
      </c>
      <c r="G26" s="7">
        <f>SUMIF('2023 YE Depr Expense'!$B$6:$B$62,'Electric Closings Summary'!$B26,'2023 YE Depr Expense'!$E$6:$E$62)</f>
        <v>49182.104828243551</v>
      </c>
      <c r="P26" s="2"/>
    </row>
    <row r="27" spans="1:16" x14ac:dyDescent="0.25">
      <c r="A27" s="26">
        <f t="shared" si="0"/>
        <v>24</v>
      </c>
      <c r="B27" t="s">
        <v>28</v>
      </c>
      <c r="C27" s="7">
        <f>SUMIF('2023 YE Gross Plant Detail'!$B$6:$B$61,'Electric Closings Summary'!$B27,'2023 YE Gross Plant Detail'!$E$6:$E$61)</f>
        <v>1834414.8974999997</v>
      </c>
      <c r="D27" s="7">
        <f>SUMIF('2023 YE Accum Depr Detail'!$B$6:$B$61,'Electric Closings Summary'!$B27,'2023 YE Accum Depr Detail'!$E$6:$E$61)</f>
        <v>2068.0370027919971</v>
      </c>
      <c r="E27" s="7">
        <f>SUMIF('2023 YE Def Tax Detail'!$B$6:$B$61,'Electric Closings Summary'!$B27,'2023 YE Def Tax Detail'!$E$6:$E$61)</f>
        <v>262480.79237658833</v>
      </c>
      <c r="G27" s="7">
        <f>SUMIF('2023 YE Depr Expense'!$B$6:$B$62,'Electric Closings Summary'!$B27,'2023 YE Depr Expense'!$E$6:$E$62)</f>
        <v>49632.888067007923</v>
      </c>
      <c r="P27" s="2"/>
    </row>
    <row r="28" spans="1:16" x14ac:dyDescent="0.25">
      <c r="A28" s="26">
        <f t="shared" si="0"/>
        <v>25</v>
      </c>
      <c r="B28" t="s">
        <v>133</v>
      </c>
      <c r="C28" s="7">
        <f>SUMIF('2023 YE Gross Plant Detail'!$B$6:$B$61,'Electric Closings Summary'!$B28,'2023 YE Gross Plant Detail'!$E$6:$E$61)</f>
        <v>0</v>
      </c>
      <c r="D28" s="7">
        <f>SUMIF('2023 YE Accum Depr Detail'!$B$6:$B$61,'Electric Closings Summary'!$B28,'2023 YE Accum Depr Detail'!$E$6:$E$61)</f>
        <v>0</v>
      </c>
      <c r="E28" s="7">
        <f>SUMIF('2023 YE Def Tax Detail'!$B$6:$B$61,'Electric Closings Summary'!$B28,'2023 YE Def Tax Detail'!$E$6:$E$61)</f>
        <v>0</v>
      </c>
      <c r="G28" s="7">
        <f>SUMIF('2023 YE Depr Expense'!$B$6:$B$62,'Electric Closings Summary'!$B28,'2023 YE Depr Expense'!$E$6:$E$62)</f>
        <v>0</v>
      </c>
      <c r="P28" s="2"/>
    </row>
    <row r="29" spans="1:16" x14ac:dyDescent="0.25">
      <c r="A29" s="26">
        <f t="shared" si="0"/>
        <v>26</v>
      </c>
      <c r="B29" t="s">
        <v>29</v>
      </c>
      <c r="C29" s="7">
        <f>SUMIF('2023 YE Gross Plant Detail'!$B$6:$B$61,'Electric Closings Summary'!$B29,'2023 YE Gross Plant Detail'!$E$6:$E$61)</f>
        <v>6530908.2300000004</v>
      </c>
      <c r="D29" s="7">
        <f>SUMIF('2023 YE Accum Depr Detail'!$B$6:$B$61,'Electric Closings Summary'!$B29,'2023 YE Accum Depr Detail'!$E$6:$E$61)</f>
        <v>36730.138531472228</v>
      </c>
      <c r="E29" s="7">
        <f>SUMIF('2023 YE Def Tax Detail'!$B$6:$B$61,'Electric Closings Summary'!$B29,'2023 YE Def Tax Detail'!$E$6:$E$61)</f>
        <v>109217.79629341209</v>
      </c>
      <c r="G29" s="7">
        <f>SUMIF('2023 YE Depr Expense'!$B$6:$B$62,'Electric Closings Summary'!$B29,'2023 YE Depr Expense'!$E$6:$E$62)</f>
        <v>168872.81168816669</v>
      </c>
      <c r="P29" s="2"/>
    </row>
    <row r="30" spans="1:16" x14ac:dyDescent="0.25">
      <c r="A30" s="26">
        <f t="shared" si="0"/>
        <v>27</v>
      </c>
      <c r="B30" s="6" t="s">
        <v>30</v>
      </c>
      <c r="C30" s="12">
        <f>SUMIF('2023 YE Gross Plant Detail'!$B$6:$B$61,'Electric Closings Summary'!$B30,'2023 YE Gross Plant Detail'!$E$6:$E$61)</f>
        <v>1158287.94120375</v>
      </c>
      <c r="D30" s="12">
        <f>SUMIF('2023 YE Accum Depr Detail'!$B$6:$B$61,'Electric Closings Summary'!$B30,'2023 YE Accum Depr Detail'!$E$6:$E$61)</f>
        <v>199416.3005986122</v>
      </c>
      <c r="E30" s="12">
        <f>SUMIF('2023 YE Def Tax Detail'!$B$6:$B$61,'Electric Closings Summary'!$B30,'2023 YE Def Tax Detail'!$E$6:$E$61)</f>
        <v>96472.838539197008</v>
      </c>
      <c r="F30" s="6"/>
      <c r="G30" s="12">
        <f>SUMIF('2023 YE Depr Expense'!$B$6:$B$62,'Electric Closings Summary'!$B30,'2023 YE Depr Expense'!$E$6:$E$62)</f>
        <v>241726.87243741119</v>
      </c>
      <c r="P30" s="2"/>
    </row>
    <row r="31" spans="1:16" x14ac:dyDescent="0.25">
      <c r="A31" s="26">
        <f t="shared" si="0"/>
        <v>28</v>
      </c>
      <c r="B31" s="77" t="s">
        <v>32</v>
      </c>
      <c r="C31" s="3">
        <f>SUM(C4:C30)</f>
        <v>796097147.51363051</v>
      </c>
      <c r="D31" s="3">
        <f t="shared" ref="D31:E31" si="1">SUM(D4:D30)</f>
        <v>32353171.102767028</v>
      </c>
      <c r="E31" s="3">
        <f t="shared" si="1"/>
        <v>17872129.362987526</v>
      </c>
      <c r="G31" s="3">
        <f>SUM(G4:G30)</f>
        <v>44847101.151235349</v>
      </c>
      <c r="P31" s="2"/>
    </row>
    <row r="32" spans="1:16" x14ac:dyDescent="0.25">
      <c r="G32" s="3">
        <f>G31-'2023 YE Depr Expense'!E62</f>
        <v>0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2" ySplit="3" topLeftCell="C4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2" max="2" width="41.5703125" bestFit="1" customWidth="1"/>
    <col min="3" max="3" width="15.28515625" bestFit="1" customWidth="1"/>
    <col min="4" max="5" width="14.28515625" bestFit="1" customWidth="1"/>
    <col min="6" max="6" width="3.5703125" customWidth="1"/>
    <col min="7" max="7" width="14.28515625" bestFit="1" customWidth="1"/>
    <col min="16" max="16" width="41.5703125" bestFit="1" customWidth="1"/>
  </cols>
  <sheetData>
    <row r="1" spans="1:16" ht="15.75" x14ac:dyDescent="0.25">
      <c r="B1" s="45" t="s">
        <v>136</v>
      </c>
    </row>
    <row r="2" spans="1:16" x14ac:dyDescent="0.25">
      <c r="A2" s="61" t="s">
        <v>52</v>
      </c>
    </row>
    <row r="3" spans="1:16" x14ac:dyDescent="0.25">
      <c r="A3" s="19" t="s">
        <v>53</v>
      </c>
      <c r="B3" s="1" t="s">
        <v>83</v>
      </c>
      <c r="C3" s="13" t="s">
        <v>36</v>
      </c>
      <c r="D3" s="13" t="s">
        <v>48</v>
      </c>
      <c r="E3" s="13" t="s">
        <v>49</v>
      </c>
      <c r="G3" s="14" t="s">
        <v>51</v>
      </c>
    </row>
    <row r="4" spans="1:16" x14ac:dyDescent="0.25">
      <c r="A4" s="26">
        <v>1</v>
      </c>
      <c r="B4" t="s">
        <v>132</v>
      </c>
      <c r="C4" s="7">
        <f>SUMIF('2023 YE Gross Plant Detail'!$G$6:$G$61,'Gas Closings Summary'!$B4,'2023 YE Gross Plant Detail'!$J$6:$J$61)</f>
        <v>12375459.039999334</v>
      </c>
      <c r="D4" s="7">
        <f>SUMIF('2023 YE Accum Depr Detail'!$G$6:$G$61,'Gas Closings Summary'!$B4,'2023 YE Accum Depr Detail'!$J$6:$J$61)</f>
        <v>422752.50924828887</v>
      </c>
      <c r="E4" s="7">
        <f>SUMIF('2023 YE Def Tax Detail'!$G$6:$G$61,'Gas Closings Summary'!$B4,'2023 YE Def Tax Detail'!$J$6:$J$61)</f>
        <v>1034127.9506777159</v>
      </c>
      <c r="G4" s="7">
        <f>SUMIF('2023 YE Depr Expense'!$G$6:$G$62,'Gas Closings Summary'!$B4,'2023 YE Depr Expense'!$J$6:$J$62)</f>
        <v>732113.12367298314</v>
      </c>
    </row>
    <row r="5" spans="1:16" x14ac:dyDescent="0.25">
      <c r="A5" s="26">
        <f>A4+1</f>
        <v>2</v>
      </c>
      <c r="B5" t="s">
        <v>3</v>
      </c>
      <c r="C5" s="7">
        <f>SUMIF('2023 YE Gross Plant Detail'!$G$6:$G$61,'Gas Closings Summary'!$B5,'2023 YE Gross Plant Detail'!$J$6:$J$61)</f>
        <v>5736257.5908333333</v>
      </c>
      <c r="D5" s="7">
        <f>SUMIF('2023 YE Accum Depr Detail'!$G$6:$G$61,'Gas Closings Summary'!$B5,'2023 YE Accum Depr Detail'!$J$6:$J$61)</f>
        <v>127484.82421287484</v>
      </c>
      <c r="E5" s="7">
        <f>SUMIF('2023 YE Def Tax Detail'!$G$6:$G$61,'Gas Closings Summary'!$B5,'2023 YE Def Tax Detail'!$J$6:$J$61)</f>
        <v>264050.65786646964</v>
      </c>
      <c r="G5" s="7">
        <f>SUMIF('2023 YE Depr Expense'!$G$6:$G$62,'Gas Closings Summary'!$B5,'2023 YE Depr Expense'!$J$6:$J$62)</f>
        <v>181980.89940942632</v>
      </c>
    </row>
    <row r="6" spans="1:16" x14ac:dyDescent="0.25">
      <c r="A6" s="26">
        <f t="shared" ref="A6:A22" si="0">A5+1</f>
        <v>3</v>
      </c>
      <c r="B6" t="s">
        <v>5</v>
      </c>
      <c r="C6" s="7">
        <f>SUMIF('2023 YE Gross Plant Detail'!$G$6:$G$61,'Gas Closings Summary'!$B6,'2023 YE Gross Plant Detail'!$J$6:$J$61)</f>
        <v>-1568587.6816666666</v>
      </c>
      <c r="D6" s="7">
        <f>SUMIF('2023 YE Accum Depr Detail'!$G$6:$G$61,'Gas Closings Summary'!$B6,'2023 YE Accum Depr Detail'!$J$6:$J$61)</f>
        <v>-52607.404029384103</v>
      </c>
      <c r="E6" s="7">
        <f>SUMIF('2023 YE Def Tax Detail'!$G$6:$G$61,'Gas Closings Summary'!$B6,'2023 YE Def Tax Detail'!$J$6:$J$61)</f>
        <v>-31370.699667204364</v>
      </c>
      <c r="G6" s="7">
        <f>SUMIF('2023 YE Depr Expense'!$G$6:$G$62,'Gas Closings Summary'!$B6,'2023 YE Depr Expense'!$J$6:$J$62)</f>
        <v>-53328.032734999993</v>
      </c>
      <c r="P6" s="2"/>
    </row>
    <row r="7" spans="1:16" x14ac:dyDescent="0.25">
      <c r="A7" s="26">
        <f t="shared" si="0"/>
        <v>4</v>
      </c>
      <c r="B7" t="s">
        <v>6</v>
      </c>
      <c r="C7" s="7">
        <f>SUMIF('2023 YE Gross Plant Detail'!$G$6:$G$61,'Gas Closings Summary'!$B7,'2023 YE Gross Plant Detail'!$J$6:$J$61)</f>
        <v>20101.651250000003</v>
      </c>
      <c r="D7" s="7">
        <f>SUMIF('2023 YE Accum Depr Detail'!$G$6:$G$61,'Gas Closings Summary'!$B7,'2023 YE Accum Depr Detail'!$J$6:$J$61)</f>
        <v>634.7029489966045</v>
      </c>
      <c r="E7" s="7">
        <f>SUMIF('2023 YE Def Tax Detail'!$G$6:$G$61,'Gas Closings Summary'!$B7,'2023 YE Def Tax Detail'!$J$6:$J$61)</f>
        <v>615.79252405677221</v>
      </c>
      <c r="G7" s="7">
        <f>SUMIF('2023 YE Depr Expense'!$G$6:$G$62,'Gas Closings Summary'!$B7,'2023 YE Depr Expense'!$J$6:$J$62)</f>
        <v>833.44953175874252</v>
      </c>
      <c r="P7" s="2"/>
    </row>
    <row r="8" spans="1:16" x14ac:dyDescent="0.25">
      <c r="A8" s="26">
        <f t="shared" si="0"/>
        <v>5</v>
      </c>
      <c r="B8" t="s">
        <v>7</v>
      </c>
      <c r="C8" s="7">
        <f>SUMIF('2023 YE Gross Plant Detail'!$G$6:$G$61,'Gas Closings Summary'!$B8,'2023 YE Gross Plant Detail'!$J$6:$J$61)</f>
        <v>118640878.05041665</v>
      </c>
      <c r="D8" s="7">
        <f>SUMIF('2023 YE Accum Depr Detail'!$G$6:$G$61,'Gas Closings Summary'!$B8,'2023 YE Accum Depr Detail'!$J$6:$J$61)</f>
        <v>3263642.4379582289</v>
      </c>
      <c r="E8" s="7">
        <f>SUMIF('2023 YE Def Tax Detail'!$G$6:$G$61,'Gas Closings Summary'!$B8,'2023 YE Def Tax Detail'!$J$6:$J$61)</f>
        <v>4462663.8953570956</v>
      </c>
      <c r="G8" s="7">
        <f>SUMIF('2023 YE Depr Expense'!$G$6:$G$62,'Gas Closings Summary'!$B8,'2023 YE Depr Expense'!$J$6:$J$62)</f>
        <v>4530169.9028064189</v>
      </c>
      <c r="P8" s="2"/>
    </row>
    <row r="9" spans="1:16" x14ac:dyDescent="0.25">
      <c r="A9" s="26">
        <f t="shared" si="0"/>
        <v>6</v>
      </c>
      <c r="B9" t="s">
        <v>9</v>
      </c>
      <c r="C9" s="7">
        <f>SUMIF('2023 YE Gross Plant Detail'!$G$6:$G$61,'Gas Closings Summary'!$B9,'2023 YE Gross Plant Detail'!$J$6:$J$61)</f>
        <v>2675534.3339248337</v>
      </c>
      <c r="D9" s="7">
        <f>SUMIF('2023 YE Accum Depr Detail'!$G$6:$G$61,'Gas Closings Summary'!$B9,'2023 YE Accum Depr Detail'!$J$6:$J$61)</f>
        <v>524786.24533661804</v>
      </c>
      <c r="E9" s="7">
        <f>SUMIF('2023 YE Def Tax Detail'!$G$6:$G$61,'Gas Closings Summary'!$B9,'2023 YE Def Tax Detail'!$J$6:$J$61)</f>
        <v>196113.63483067774</v>
      </c>
      <c r="G9" s="7">
        <f>SUMIF('2023 YE Depr Expense'!$G$6:$G$62,'Gas Closings Summary'!$B9,'2023 YE Depr Expense'!$J$6:$J$62)</f>
        <v>585320.31860683346</v>
      </c>
      <c r="P9" s="2"/>
    </row>
    <row r="10" spans="1:16" x14ac:dyDescent="0.25">
      <c r="A10" s="26">
        <f t="shared" si="0"/>
        <v>7</v>
      </c>
      <c r="B10" t="s">
        <v>11</v>
      </c>
      <c r="C10" s="7">
        <f>SUMIF('2023 YE Gross Plant Detail'!$G$6:$G$61,'Gas Closings Summary'!$B10,'2023 YE Gross Plant Detail'!$J$6:$J$61)</f>
        <v>23739315.732083339</v>
      </c>
      <c r="D10" s="7">
        <f>SUMIF('2023 YE Accum Depr Detail'!$G$6:$G$61,'Gas Closings Summary'!$B10,'2023 YE Accum Depr Detail'!$J$6:$J$61)</f>
        <v>627814.93933698232</v>
      </c>
      <c r="E10" s="7">
        <f>SUMIF('2023 YE Def Tax Detail'!$G$6:$G$61,'Gas Closings Summary'!$B10,'2023 YE Def Tax Detail'!$J$6:$J$61)</f>
        <v>949428.75361364952</v>
      </c>
      <c r="G10" s="7">
        <f>SUMIF('2023 YE Depr Expense'!$G$6:$G$62,'Gas Closings Summary'!$B10,'2023 YE Depr Expense'!$J$6:$J$62)</f>
        <v>943299.32068860729</v>
      </c>
      <c r="P10" s="2"/>
    </row>
    <row r="11" spans="1:16" x14ac:dyDescent="0.25">
      <c r="A11" s="26">
        <f t="shared" si="0"/>
        <v>8</v>
      </c>
      <c r="B11" t="s">
        <v>13</v>
      </c>
      <c r="C11" s="7">
        <f>SUMIF('2023 YE Gross Plant Detail'!$G$6:$G$61,'Gas Closings Summary'!$B11,'2023 YE Gross Plant Detail'!$J$6:$J$61)</f>
        <v>19090948.870416671</v>
      </c>
      <c r="D11" s="7">
        <f>SUMIF('2023 YE Accum Depr Detail'!$G$6:$G$61,'Gas Closings Summary'!$B11,'2023 YE Accum Depr Detail'!$J$6:$J$61)</f>
        <v>471735.11641573103</v>
      </c>
      <c r="E11" s="7">
        <f>SUMIF('2023 YE Def Tax Detail'!$G$6:$G$61,'Gas Closings Summary'!$B11,'2023 YE Def Tax Detail'!$J$6:$J$61)</f>
        <v>729457.39143396297</v>
      </c>
      <c r="G11" s="7">
        <f>SUMIF('2023 YE Depr Expense'!$G$6:$G$62,'Gas Closings Summary'!$B11,'2023 YE Depr Expense'!$J$6:$J$62)</f>
        <v>656078.70053785166</v>
      </c>
      <c r="P11" s="2"/>
    </row>
    <row r="12" spans="1:16" x14ac:dyDescent="0.25">
      <c r="A12" s="26">
        <f t="shared" si="0"/>
        <v>9</v>
      </c>
      <c r="B12" t="s">
        <v>17</v>
      </c>
      <c r="C12" s="7">
        <f>SUMIF('2023 YE Gross Plant Detail'!$G$6:$G$61,'Gas Closings Summary'!$B12,'2023 YE Gross Plant Detail'!$J$6:$J$61)</f>
        <v>3523713.8280163319</v>
      </c>
      <c r="D12" s="7">
        <f>SUMIF('2023 YE Accum Depr Detail'!$G$6:$G$61,'Gas Closings Summary'!$B12,'2023 YE Accum Depr Detail'!$J$6:$J$61)</f>
        <v>894532.64940980601</v>
      </c>
      <c r="E12" s="7">
        <f>SUMIF('2023 YE Def Tax Detail'!$G$6:$G$61,'Gas Closings Summary'!$B12,'2023 YE Def Tax Detail'!$J$6:$J$61)</f>
        <v>107561.08483241909</v>
      </c>
      <c r="G12" s="7">
        <f>SUMIF('2023 YE Depr Expense'!$G$6:$G$62,'Gas Closings Summary'!$B12,'2023 YE Depr Expense'!$J$6:$J$62)</f>
        <v>681578.4361085688</v>
      </c>
      <c r="P12" s="2"/>
    </row>
    <row r="13" spans="1:16" x14ac:dyDescent="0.25">
      <c r="A13" s="26">
        <f t="shared" si="0"/>
        <v>10</v>
      </c>
      <c r="B13" t="s">
        <v>20</v>
      </c>
      <c r="C13" s="7">
        <f>SUMIF('2023 YE Gross Plant Detail'!$G$6:$G$61,'Gas Closings Summary'!$B13,'2023 YE Gross Plant Detail'!$J$6:$J$61)</f>
        <v>1560532.325</v>
      </c>
      <c r="D13" s="7">
        <f>SUMIF('2023 YE Accum Depr Detail'!$G$6:$G$61,'Gas Closings Summary'!$B13,'2023 YE Accum Depr Detail'!$J$6:$J$61)</f>
        <v>2530.2505838263887</v>
      </c>
      <c r="E13" s="7">
        <f>SUMIF('2023 YE Def Tax Detail'!$G$6:$G$61,'Gas Closings Summary'!$B13,'2023 YE Def Tax Detail'!$J$6:$J$61)</f>
        <v>16464.086238965152</v>
      </c>
      <c r="G13" s="7">
        <f>SUMIF('2023 YE Depr Expense'!$G$6:$G$62,'Gas Closings Summary'!$B13,'2023 YE Depr Expense'!$J$6:$J$62)</f>
        <v>9050.9312311666654</v>
      </c>
      <c r="P13" s="2"/>
    </row>
    <row r="14" spans="1:16" x14ac:dyDescent="0.25">
      <c r="A14" s="26">
        <f t="shared" si="0"/>
        <v>11</v>
      </c>
      <c r="B14" t="s">
        <v>21</v>
      </c>
      <c r="C14" s="7">
        <f>SUMIF('2023 YE Gross Plant Detail'!$G$6:$G$61,'Gas Closings Summary'!$B14,'2023 YE Gross Plant Detail'!$J$6:$J$61)</f>
        <v>506294.4120833333</v>
      </c>
      <c r="D14" s="7">
        <f>SUMIF('2023 YE Accum Depr Detail'!$G$6:$G$61,'Gas Closings Summary'!$B14,'2023 YE Accum Depr Detail'!$J$6:$J$61)</f>
        <v>20370.790299451386</v>
      </c>
      <c r="E14" s="7">
        <f>SUMIF('2023 YE Def Tax Detail'!$G$6:$G$61,'Gas Closings Summary'!$B14,'2023 YE Def Tax Detail'!$J$6:$J$61)</f>
        <v>10175.062828016216</v>
      </c>
      <c r="G14" s="7">
        <f>SUMIF('2023 YE Depr Expense'!$G$6:$G$62,'Gas Closings Summary'!$B14,'2023 YE Depr Expense'!$J$6:$J$62)</f>
        <v>15917.254481833334</v>
      </c>
      <c r="P14" s="2"/>
    </row>
    <row r="15" spans="1:16" x14ac:dyDescent="0.25">
      <c r="A15" s="26">
        <f t="shared" si="0"/>
        <v>12</v>
      </c>
      <c r="B15" t="s">
        <v>84</v>
      </c>
      <c r="C15" s="7">
        <f>SUMIF('2023 YE Gross Plant Detail'!$G$6:$G$61,'Gas Closings Summary'!$B15,'2023 YE Gross Plant Detail'!$J$6:$J$61)</f>
        <v>17892030.681483246</v>
      </c>
      <c r="D15" s="7">
        <f>SUMIF('2023 YE Accum Depr Detail'!$G$6:$G$61,'Gas Closings Summary'!$B15,'2023 YE Accum Depr Detail'!$J$6:$J$61)</f>
        <v>1271514.4225139413</v>
      </c>
      <c r="E15" s="7">
        <f>SUMIF('2023 YE Def Tax Detail'!$G$6:$G$61,'Gas Closings Summary'!$B15,'2023 YE Def Tax Detail'!$J$6:$J$61)</f>
        <v>925235.31432993058</v>
      </c>
      <c r="G15" s="7">
        <f>SUMIF('2023 YE Depr Expense'!$G$6:$G$62,'Gas Closings Summary'!$B15,'2023 YE Depr Expense'!$J$6:$J$62)</f>
        <v>2562103.0115419044</v>
      </c>
      <c r="P15" s="2"/>
    </row>
    <row r="16" spans="1:16" x14ac:dyDescent="0.25">
      <c r="A16" s="26">
        <f t="shared" si="0"/>
        <v>13</v>
      </c>
      <c r="B16" t="s">
        <v>24</v>
      </c>
      <c r="C16" s="7">
        <f>SUMIF('2023 YE Gross Plant Detail'!$G$6:$G$61,'Gas Closings Summary'!$B16,'2023 YE Gross Plant Detail'!$J$6:$J$61)</f>
        <v>48534662.120833345</v>
      </c>
      <c r="D16" s="7">
        <f>SUMIF('2023 YE Accum Depr Detail'!$G$6:$G$61,'Gas Closings Summary'!$B16,'2023 YE Accum Depr Detail'!$J$6:$J$61)</f>
        <v>819483.89911246474</v>
      </c>
      <c r="E16" s="7">
        <f>SUMIF('2023 YE Def Tax Detail'!$G$6:$G$61,'Gas Closings Summary'!$B16,'2023 YE Def Tax Detail'!$J$6:$J$61)</f>
        <v>1890061.7372362106</v>
      </c>
      <c r="G16" s="7">
        <f>SUMIF('2023 YE Depr Expense'!$G$6:$G$62,'Gas Closings Summary'!$B16,'2023 YE Depr Expense'!$J$6:$J$62)</f>
        <v>1326797.8207572035</v>
      </c>
      <c r="P16" s="2"/>
    </row>
    <row r="17" spans="1:16" x14ac:dyDescent="0.25">
      <c r="A17" s="26">
        <f t="shared" si="0"/>
        <v>14</v>
      </c>
      <c r="B17" t="s">
        <v>25</v>
      </c>
      <c r="C17" s="7">
        <f>SUMIF('2023 YE Gross Plant Detail'!$G$6:$G$61,'Gas Closings Summary'!$B17,'2023 YE Gross Plant Detail'!$J$6:$J$61)</f>
        <v>60557014.25833334</v>
      </c>
      <c r="D17" s="7">
        <f>SUMIF('2023 YE Accum Depr Detail'!$G$6:$G$61,'Gas Closings Summary'!$B17,'2023 YE Accum Depr Detail'!$J$6:$J$61)</f>
        <v>1303797.2430099526</v>
      </c>
      <c r="E17" s="7">
        <f>SUMIF('2023 YE Def Tax Detail'!$G$6:$G$61,'Gas Closings Summary'!$B17,'2023 YE Def Tax Detail'!$J$6:$J$61)</f>
        <v>2815729.3854248286</v>
      </c>
      <c r="G17" s="7">
        <f>SUMIF('2023 YE Depr Expense'!$G$6:$G$62,'Gas Closings Summary'!$B17,'2023 YE Depr Expense'!$J$6:$J$62)</f>
        <v>1884037.7668192282</v>
      </c>
      <c r="P17" s="2"/>
    </row>
    <row r="18" spans="1:16" x14ac:dyDescent="0.25">
      <c r="A18" s="26">
        <f t="shared" si="0"/>
        <v>15</v>
      </c>
      <c r="B18" t="s">
        <v>50</v>
      </c>
      <c r="C18" s="7">
        <f>SUMIF('2023 YE Gross Plant Detail'!$G$6:$G$61,'Gas Closings Summary'!$B18,'2023 YE Gross Plant Detail'!$J$6:$J$61)</f>
        <v>21865008.785833333</v>
      </c>
      <c r="D18" s="7">
        <f>SUMIF('2023 YE Accum Depr Detail'!$G$6:$G$61,'Gas Closings Summary'!$B18,'2023 YE Accum Depr Detail'!$J$6:$J$61)</f>
        <v>950232.76538122701</v>
      </c>
      <c r="E18" s="7">
        <f>SUMIF('2023 YE Def Tax Detail'!$G$6:$G$61,'Gas Closings Summary'!$B18,'2023 YE Def Tax Detail'!$J$6:$J$61)</f>
        <v>1073249.3370517879</v>
      </c>
      <c r="G18" s="7">
        <f>SUMIF('2023 YE Depr Expense'!$G$6:$G$62,'Gas Closings Summary'!$B18,'2023 YE Depr Expense'!$J$6:$J$62)</f>
        <v>1025279.7349748376</v>
      </c>
      <c r="P18" s="2"/>
    </row>
    <row r="19" spans="1:16" x14ac:dyDescent="0.25">
      <c r="A19" s="26">
        <f t="shared" si="0"/>
        <v>16</v>
      </c>
      <c r="B19" t="s">
        <v>26</v>
      </c>
      <c r="C19" s="7">
        <f>SUMIF('2023 YE Gross Plant Detail'!$G$6:$G$61,'Gas Closings Summary'!$B19,'2023 YE Gross Plant Detail'!$J$6:$J$61)</f>
        <v>29741262.788316168</v>
      </c>
      <c r="D19" s="7">
        <f>SUMIF('2023 YE Accum Depr Detail'!$G$6:$G$61,'Gas Closings Summary'!$B19,'2023 YE Accum Depr Detail'!$J$6:$J$61)</f>
        <v>2742667.0232619201</v>
      </c>
      <c r="E19" s="7">
        <f>SUMIF('2023 YE Def Tax Detail'!$G$6:$G$61,'Gas Closings Summary'!$B19,'2023 YE Def Tax Detail'!$J$6:$J$61)</f>
        <v>1218647.5287606472</v>
      </c>
      <c r="G19" s="7">
        <f>SUMIF('2023 YE Depr Expense'!$G$6:$G$62,'Gas Closings Summary'!$B19,'2023 YE Depr Expense'!$J$6:$J$62)</f>
        <v>3001779.9752537399</v>
      </c>
      <c r="P19" s="2"/>
    </row>
    <row r="20" spans="1:16" x14ac:dyDescent="0.25">
      <c r="A20" s="26">
        <f t="shared" si="0"/>
        <v>17</v>
      </c>
      <c r="B20" t="s">
        <v>133</v>
      </c>
      <c r="C20" s="7">
        <f>SUMIF('2023 YE Gross Plant Detail'!$G$6:$G$61,'Gas Closings Summary'!$B20,'2023 YE Gross Plant Detail'!$J$6:$J$61)</f>
        <v>0</v>
      </c>
      <c r="D20" s="7">
        <f>SUMIF('2023 YE Accum Depr Detail'!$G$6:$G$61,'Gas Closings Summary'!$B20,'2023 YE Accum Depr Detail'!$J$6:$J$61)</f>
        <v>0</v>
      </c>
      <c r="E20" s="7">
        <f>SUMIF('2023 YE Def Tax Detail'!$G$6:$G$61,'Gas Closings Summary'!$B20,'2023 YE Def Tax Detail'!$J$6:$J$61)</f>
        <v>0</v>
      </c>
      <c r="G20" s="7">
        <f>SUMIF('2023 YE Depr Expense'!$G$6:$G$62,'Gas Closings Summary'!$B20,'2023 YE Depr Expense'!$J$6:$J$62)</f>
        <v>0</v>
      </c>
      <c r="P20" s="2"/>
    </row>
    <row r="21" spans="1:16" x14ac:dyDescent="0.25">
      <c r="A21" s="26">
        <f t="shared" si="0"/>
        <v>18</v>
      </c>
      <c r="B21" s="6" t="s">
        <v>30</v>
      </c>
      <c r="C21" s="12">
        <f>SUMIF('2023 YE Gross Plant Detail'!$G$6:$G$61,'Gas Closings Summary'!$B21,'2023 YE Gross Plant Detail'!$J$6:$J$61)</f>
        <v>598290.67754625005</v>
      </c>
      <c r="D21" s="12">
        <f>SUMIF('2023 YE Accum Depr Detail'!$G$6:$G$61,'Gas Closings Summary'!$B21,'2023 YE Accum Depr Detail'!$J$6:$J$61)</f>
        <v>103004.53743386005</v>
      </c>
      <c r="E21" s="12">
        <f>SUMIF('2023 YE Def Tax Detail'!$G$6:$G$61,'Gas Closings Summary'!$B21,'2023 YE Def Tax Detail'!$J$6:$J$61)</f>
        <v>49831.132554520023</v>
      </c>
      <c r="G21" s="12">
        <f>SUMIF('2023 YE Depr Expense'!$G$6:$G$62,'Gas Closings Summary'!$B21,'2023 YE Depr Expense'!$J$6:$J$62)</f>
        <v>124859.22467725546</v>
      </c>
      <c r="P21" s="2"/>
    </row>
    <row r="22" spans="1:16" x14ac:dyDescent="0.25">
      <c r="A22" s="26">
        <f t="shared" si="0"/>
        <v>19</v>
      </c>
      <c r="B22" s="77" t="s">
        <v>105</v>
      </c>
      <c r="C22" s="3">
        <f>SUM(C4:C21)</f>
        <v>365488717.4647029</v>
      </c>
      <c r="D22" s="3">
        <f>SUM(D4:D21)</f>
        <v>13494376.952434786</v>
      </c>
      <c r="E22" s="3">
        <f>SUM(E4:E21)</f>
        <v>15712042.045893751</v>
      </c>
      <c r="G22" s="3">
        <f>SUM(G4:G21)</f>
        <v>18207871.838364616</v>
      </c>
      <c r="P22" s="2"/>
    </row>
    <row r="23" spans="1:16" x14ac:dyDescent="0.25">
      <c r="G23" s="3">
        <f>G22-'2023 YE Depr Expense'!J62</f>
        <v>0</v>
      </c>
      <c r="P23" s="2"/>
    </row>
    <row r="24" spans="1:16" x14ac:dyDescent="0.25">
      <c r="P24" s="2"/>
    </row>
    <row r="25" spans="1:16" x14ac:dyDescent="0.25">
      <c r="P25" s="2"/>
    </row>
    <row r="26" spans="1:16" x14ac:dyDescent="0.25">
      <c r="P26" s="2"/>
    </row>
    <row r="27" spans="1:16" x14ac:dyDescent="0.25">
      <c r="P27" s="2"/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"/>
  <sheetViews>
    <sheetView zoomScale="90" zoomScaleNormal="90" workbookViewId="0">
      <pane xSplit="2" ySplit="6" topLeftCell="H7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5"/>
    <col min="2" max="2" width="39.85546875" style="15" bestFit="1" customWidth="1"/>
    <col min="3" max="3" width="20.42578125" style="15" bestFit="1" customWidth="1"/>
    <col min="4" max="4" width="17.28515625" style="15" bestFit="1" customWidth="1"/>
    <col min="5" max="5" width="16.140625" style="15" bestFit="1" customWidth="1"/>
    <col min="6" max="6" width="5.140625" style="15" customWidth="1"/>
    <col min="7" max="7" width="15" style="15" bestFit="1" customWidth="1"/>
    <col min="8" max="8" width="16.140625" style="15" bestFit="1" customWidth="1"/>
    <col min="9" max="9" width="5.140625" style="15" customWidth="1"/>
    <col min="10" max="10" width="8.85546875" style="15"/>
    <col min="11" max="11" width="39.85546875" style="15" bestFit="1" customWidth="1"/>
    <col min="12" max="12" width="20.42578125" style="15" bestFit="1" customWidth="1"/>
    <col min="13" max="13" width="17.28515625" style="15" bestFit="1" customWidth="1"/>
    <col min="14" max="14" width="16.140625" style="15" bestFit="1" customWidth="1"/>
    <col min="15" max="15" width="5.140625" style="15" customWidth="1"/>
    <col min="16" max="16" width="8.85546875" style="15"/>
    <col min="17" max="17" width="39.85546875" style="15" customWidth="1"/>
    <col min="18" max="18" width="20.42578125" style="15" customWidth="1"/>
    <col min="19" max="19" width="17.28515625" style="15" customWidth="1"/>
    <col min="20" max="20" width="15.7109375" style="15" customWidth="1"/>
    <col min="21" max="21" width="7.85546875" style="15" customWidth="1"/>
    <col min="22" max="22" width="17.7109375" style="15" customWidth="1"/>
    <col min="23" max="24" width="11.5703125" style="15" customWidth="1"/>
    <col min="25" max="25" width="18.85546875" style="15" customWidth="1"/>
    <col min="26" max="27" width="8.85546875" style="15"/>
    <col min="28" max="28" width="14.42578125" style="15" bestFit="1" customWidth="1"/>
    <col min="29" max="29" width="13.42578125" style="15" bestFit="1" customWidth="1"/>
    <col min="30" max="16384" width="8.85546875" style="15"/>
  </cols>
  <sheetData>
    <row r="2" spans="1:25" ht="18.75" x14ac:dyDescent="0.3">
      <c r="B2" s="65" t="s">
        <v>561</v>
      </c>
      <c r="C2" s="62"/>
      <c r="D2" s="16"/>
      <c r="E2" s="16"/>
      <c r="F2" s="63"/>
      <c r="I2" s="63"/>
      <c r="K2" s="65" t="s">
        <v>562</v>
      </c>
      <c r="L2" s="62"/>
      <c r="M2" s="16"/>
      <c r="N2" s="16"/>
      <c r="O2" s="63"/>
      <c r="Q2" s="65" t="s">
        <v>102</v>
      </c>
      <c r="R2" s="62"/>
      <c r="S2" s="16"/>
      <c r="T2" s="16"/>
    </row>
    <row r="3" spans="1:25" ht="18.75" x14ac:dyDescent="0.3">
      <c r="B3" s="65"/>
      <c r="C3" s="62"/>
      <c r="D3" s="16"/>
      <c r="E3" s="16"/>
      <c r="F3" s="63"/>
      <c r="I3" s="63"/>
      <c r="K3" s="65"/>
      <c r="L3" s="62"/>
      <c r="M3" s="16"/>
      <c r="N3" s="16"/>
      <c r="O3" s="63"/>
      <c r="Q3" s="65"/>
      <c r="R3" s="62"/>
      <c r="S3" s="16"/>
      <c r="T3" s="16"/>
    </row>
    <row r="4" spans="1:25" x14ac:dyDescent="0.25">
      <c r="C4" s="61" t="s">
        <v>101</v>
      </c>
      <c r="D4" s="16" t="s">
        <v>137</v>
      </c>
      <c r="E4" s="17"/>
      <c r="F4" s="63"/>
      <c r="I4" s="63"/>
      <c r="L4" s="61" t="s">
        <v>101</v>
      </c>
      <c r="M4" s="16" t="s">
        <v>137</v>
      </c>
      <c r="N4" s="17"/>
      <c r="O4" s="63"/>
      <c r="R4" s="61" t="s">
        <v>101</v>
      </c>
      <c r="S4" s="16" t="s">
        <v>137</v>
      </c>
      <c r="T4" s="17"/>
    </row>
    <row r="5" spans="1:25" ht="15.75" x14ac:dyDescent="0.25">
      <c r="A5" s="61" t="s">
        <v>52</v>
      </c>
      <c r="C5" s="18" t="s">
        <v>201</v>
      </c>
      <c r="D5" s="18" t="s">
        <v>201</v>
      </c>
      <c r="E5" s="18" t="s">
        <v>104</v>
      </c>
      <c r="F5" s="63"/>
      <c r="G5" s="16" t="s">
        <v>12</v>
      </c>
      <c r="H5" s="178"/>
      <c r="I5" s="63"/>
      <c r="J5" s="61" t="s">
        <v>52</v>
      </c>
      <c r="L5" s="18" t="s">
        <v>201</v>
      </c>
      <c r="M5" s="18" t="s">
        <v>201</v>
      </c>
      <c r="N5" s="18" t="s">
        <v>104</v>
      </c>
      <c r="O5" s="63"/>
      <c r="P5" s="61" t="s">
        <v>52</v>
      </c>
      <c r="R5" s="18" t="s">
        <v>201</v>
      </c>
      <c r="S5" s="18" t="s">
        <v>201</v>
      </c>
      <c r="T5" s="18" t="s">
        <v>104</v>
      </c>
    </row>
    <row r="6" spans="1:25" x14ac:dyDescent="0.25">
      <c r="A6" s="19" t="s">
        <v>53</v>
      </c>
      <c r="B6" s="75"/>
      <c r="C6" s="19" t="s">
        <v>199</v>
      </c>
      <c r="D6" s="19" t="s">
        <v>200</v>
      </c>
      <c r="E6" s="19" t="s">
        <v>103</v>
      </c>
      <c r="F6" s="76"/>
      <c r="G6" s="224" t="s">
        <v>109</v>
      </c>
      <c r="H6" s="19" t="s">
        <v>107</v>
      </c>
      <c r="I6" s="76"/>
      <c r="J6" s="19" t="s">
        <v>53</v>
      </c>
      <c r="K6" s="75"/>
      <c r="L6" s="19" t="s">
        <v>199</v>
      </c>
      <c r="M6" s="19" t="s">
        <v>200</v>
      </c>
      <c r="N6" s="19" t="s">
        <v>103</v>
      </c>
      <c r="O6" s="76"/>
      <c r="P6" s="19" t="s">
        <v>53</v>
      </c>
      <c r="Q6" s="75"/>
      <c r="R6" s="19" t="s">
        <v>199</v>
      </c>
      <c r="S6" s="19" t="s">
        <v>200</v>
      </c>
      <c r="T6" s="19" t="s">
        <v>103</v>
      </c>
      <c r="V6" s="20"/>
    </row>
    <row r="7" spans="1:25" x14ac:dyDescent="0.25">
      <c r="A7" s="26">
        <v>1</v>
      </c>
      <c r="B7" s="52" t="s">
        <v>94</v>
      </c>
      <c r="C7" s="18"/>
      <c r="D7" s="18"/>
      <c r="E7" s="18"/>
      <c r="F7" s="63"/>
      <c r="I7" s="63"/>
      <c r="J7" s="26">
        <v>1</v>
      </c>
      <c r="K7" s="52" t="s">
        <v>94</v>
      </c>
      <c r="L7" s="18"/>
      <c r="M7" s="18"/>
      <c r="N7" s="18"/>
      <c r="O7" s="63"/>
      <c r="P7" s="26">
        <v>1</v>
      </c>
      <c r="Q7" s="52" t="s">
        <v>94</v>
      </c>
      <c r="R7" s="18"/>
      <c r="S7" s="18"/>
      <c r="T7" s="18"/>
      <c r="V7" s="20"/>
    </row>
    <row r="8" spans="1:25" x14ac:dyDescent="0.25">
      <c r="A8" s="26">
        <f>A7+1</f>
        <v>2</v>
      </c>
      <c r="B8" s="15" t="s">
        <v>54</v>
      </c>
      <c r="C8" s="109">
        <f>'2022 GRC SEF-23 Adds'!I96</f>
        <v>728952322.59723783</v>
      </c>
      <c r="D8" s="109">
        <f>'Electric Closings Summary'!C31</f>
        <v>796097147.51363051</v>
      </c>
      <c r="E8" s="109">
        <f t="shared" ref="E8:E13" si="0">(D8-C8)*C$32/C$34</f>
        <v>6390027.9309816724</v>
      </c>
      <c r="F8" s="63"/>
      <c r="G8" s="179">
        <f>'Calc Program Gross Plant'!$O$22</f>
        <v>8358294.1899999995</v>
      </c>
      <c r="H8" s="179">
        <f>'Electric Closings Summary'!C13</f>
        <v>54183824.50166665</v>
      </c>
      <c r="I8" s="63"/>
      <c r="J8" s="26">
        <f>J7+1</f>
        <v>2</v>
      </c>
      <c r="K8" s="15" t="s">
        <v>54</v>
      </c>
      <c r="L8" s="109">
        <f>C8-G8</f>
        <v>720594028.40723777</v>
      </c>
      <c r="M8" s="109">
        <f>D8-H8</f>
        <v>741913323.01196384</v>
      </c>
      <c r="N8" s="109">
        <f t="shared" ref="N8:N13" si="1">(M8-L8)*L$32/L$34</f>
        <v>2028911.2103972021</v>
      </c>
      <c r="O8" s="63"/>
      <c r="P8" s="26">
        <f>P7+1</f>
        <v>2</v>
      </c>
      <c r="Q8" s="15" t="s">
        <v>54</v>
      </c>
      <c r="R8" s="109">
        <f>'2022 GRC SEF-24 Adds'!I96</f>
        <v>358874908.13276201</v>
      </c>
      <c r="S8" s="109">
        <f>'Gas Closings Summary'!C22</f>
        <v>365488717.4647029</v>
      </c>
      <c r="T8" s="109">
        <f t="shared" ref="T8:T13" si="2">(S8-R8)*R$32/R$34</f>
        <v>627382.24799247435</v>
      </c>
      <c r="V8" s="175">
        <f>S8+D8</f>
        <v>1161585864.9783335</v>
      </c>
      <c r="W8" s="176" t="s">
        <v>202</v>
      </c>
      <c r="X8" s="176"/>
      <c r="Y8" s="177" t="e">
        <f>#REF!</f>
        <v>#REF!</v>
      </c>
    </row>
    <row r="9" spans="1:25" x14ac:dyDescent="0.25">
      <c r="A9" s="26">
        <f t="shared" ref="A9:A34" si="3">A8+1</f>
        <v>3</v>
      </c>
      <c r="B9" s="15" t="s">
        <v>55</v>
      </c>
      <c r="C9" s="21">
        <f>'2022 GRC SEF-23 Adds'!I97</f>
        <v>-27237621.228534006</v>
      </c>
      <c r="D9" s="21">
        <f>-'Electric Closings Summary'!D31</f>
        <v>-32353171.102767028</v>
      </c>
      <c r="E9" s="21">
        <f t="shared" si="0"/>
        <v>-486835.83015343075</v>
      </c>
      <c r="F9" s="63"/>
      <c r="G9" s="21">
        <f>-'Calc Program Accum Depreciation'!$O$22</f>
        <v>-17655.300000000003</v>
      </c>
      <c r="H9" s="21">
        <f>-'Electric Closings Summary'!D13</f>
        <v>-177488.0274752673</v>
      </c>
      <c r="I9" s="63"/>
      <c r="J9" s="26">
        <f t="shared" ref="J9:J34" si="4">J8+1</f>
        <v>3</v>
      </c>
      <c r="K9" s="15" t="s">
        <v>55</v>
      </c>
      <c r="L9" s="21">
        <f t="shared" ref="L9:L13" si="5">C9-G9</f>
        <v>-27219965.928534005</v>
      </c>
      <c r="M9" s="21">
        <f t="shared" ref="M9:M13" si="6">D9-H9</f>
        <v>-32175683.07529176</v>
      </c>
      <c r="N9" s="21">
        <f t="shared" si="1"/>
        <v>-471624.89477421599</v>
      </c>
      <c r="O9" s="63"/>
      <c r="P9" s="26">
        <f t="shared" ref="P9:P34" si="7">P8+1</f>
        <v>3</v>
      </c>
      <c r="Q9" s="15" t="s">
        <v>55</v>
      </c>
      <c r="R9" s="21">
        <f>'2022 GRC SEF-24 Adds'!I97</f>
        <v>-13228601.641466003</v>
      </c>
      <c r="S9" s="21">
        <f>-'Gas Closings Summary'!D22</f>
        <v>-13494376.952434786</v>
      </c>
      <c r="T9" s="21">
        <f t="shared" si="2"/>
        <v>-25211.297103958317</v>
      </c>
    </row>
    <row r="10" spans="1:25" x14ac:dyDescent="0.25">
      <c r="A10" s="26">
        <f t="shared" si="3"/>
        <v>4</v>
      </c>
      <c r="B10" s="15" t="s">
        <v>56</v>
      </c>
      <c r="C10" s="22">
        <f>'2022 GRC SEF-23 Adds'!I98</f>
        <v>-12669342.306336001</v>
      </c>
      <c r="D10" s="22">
        <f>-'Electric Closings Summary'!E31</f>
        <v>-17872129.362987526</v>
      </c>
      <c r="E10" s="21">
        <f t="shared" si="0"/>
        <v>-495138.00434136699</v>
      </c>
      <c r="F10" s="63"/>
      <c r="G10" s="21">
        <v>-130134.42000000001</v>
      </c>
      <c r="H10" s="21">
        <f>-'Electric Closings Summary'!E13</f>
        <v>-1055058.2659856556</v>
      </c>
      <c r="I10" s="63"/>
      <c r="J10" s="26">
        <f t="shared" si="4"/>
        <v>4</v>
      </c>
      <c r="K10" s="15" t="s">
        <v>56</v>
      </c>
      <c r="L10" s="22">
        <f t="shared" si="5"/>
        <v>-12539207.886336001</v>
      </c>
      <c r="M10" s="22">
        <f t="shared" si="6"/>
        <v>-16817071.097001869</v>
      </c>
      <c r="N10" s="21">
        <f t="shared" si="1"/>
        <v>-407115.00007799</v>
      </c>
      <c r="O10" s="63"/>
      <c r="P10" s="26">
        <f t="shared" si="7"/>
        <v>4</v>
      </c>
      <c r="Q10" s="15" t="s">
        <v>56</v>
      </c>
      <c r="R10" s="22">
        <f>'2022 GRC SEF-24 Adds'!I98</f>
        <v>-5569572.8036639998</v>
      </c>
      <c r="S10" s="22">
        <f>-'Gas Closings Summary'!E22</f>
        <v>-15712042.045893751</v>
      </c>
      <c r="T10" s="21">
        <f t="shared" si="2"/>
        <v>-962108.95023145201</v>
      </c>
    </row>
    <row r="11" spans="1:25" x14ac:dyDescent="0.25">
      <c r="A11" s="26">
        <f t="shared" si="3"/>
        <v>5</v>
      </c>
      <c r="B11" s="15" t="s">
        <v>57</v>
      </c>
      <c r="C11" s="22">
        <v>0</v>
      </c>
      <c r="D11" s="22">
        <v>0</v>
      </c>
      <c r="E11" s="21">
        <f t="shared" si="0"/>
        <v>0</v>
      </c>
      <c r="F11" s="63"/>
      <c r="I11" s="63"/>
      <c r="J11" s="26">
        <f t="shared" si="4"/>
        <v>5</v>
      </c>
      <c r="K11" s="15" t="s">
        <v>57</v>
      </c>
      <c r="L11" s="22">
        <f t="shared" si="5"/>
        <v>0</v>
      </c>
      <c r="M11" s="22">
        <f t="shared" si="6"/>
        <v>0</v>
      </c>
      <c r="N11" s="21">
        <f t="shared" si="1"/>
        <v>0</v>
      </c>
      <c r="O11" s="63"/>
      <c r="P11" s="26">
        <f t="shared" si="7"/>
        <v>5</v>
      </c>
      <c r="Q11" s="15" t="s">
        <v>57</v>
      </c>
      <c r="R11" s="22">
        <v>0</v>
      </c>
      <c r="S11" s="22">
        <v>0</v>
      </c>
      <c r="T11" s="21">
        <f t="shared" si="2"/>
        <v>0</v>
      </c>
    </row>
    <row r="12" spans="1:25" x14ac:dyDescent="0.25">
      <c r="A12" s="26">
        <f t="shared" si="3"/>
        <v>6</v>
      </c>
      <c r="B12" s="15" t="s">
        <v>58</v>
      </c>
      <c r="C12" s="22">
        <f>'2022 GRC SEF-23 Retires'!J32</f>
        <v>7224733.0119979996</v>
      </c>
      <c r="D12" s="23">
        <f>'2023 Retirement Depr Adj'!F13</f>
        <v>5152670.594475029</v>
      </c>
      <c r="E12" s="21">
        <f t="shared" si="0"/>
        <v>-197193.7038959596</v>
      </c>
      <c r="F12" s="63"/>
      <c r="I12" s="63"/>
      <c r="J12" s="26">
        <f t="shared" si="4"/>
        <v>6</v>
      </c>
      <c r="K12" s="15" t="s">
        <v>58</v>
      </c>
      <c r="L12" s="22">
        <f t="shared" si="5"/>
        <v>7224733.0119979996</v>
      </c>
      <c r="M12" s="23">
        <f t="shared" si="6"/>
        <v>5152670.594475029</v>
      </c>
      <c r="N12" s="21">
        <f t="shared" si="1"/>
        <v>-197193.7038959596</v>
      </c>
      <c r="O12" s="63"/>
      <c r="P12" s="26">
        <f t="shared" si="7"/>
        <v>6</v>
      </c>
      <c r="Q12" s="15" t="s">
        <v>58</v>
      </c>
      <c r="R12" s="22">
        <f>'2022 GRC SEF-24 Retires'!J32</f>
        <v>1640749.1780020001</v>
      </c>
      <c r="S12" s="23">
        <f>'2023 Retirement Depr Adj'!F23</f>
        <v>1738668.6731881651</v>
      </c>
      <c r="T12" s="21">
        <f t="shared" si="2"/>
        <v>9288.5884562015835</v>
      </c>
    </row>
    <row r="13" spans="1:25" x14ac:dyDescent="0.25">
      <c r="A13" s="26">
        <f t="shared" si="3"/>
        <v>7</v>
      </c>
      <c r="B13" s="15" t="s">
        <v>59</v>
      </c>
      <c r="C13" s="22">
        <f>'2022 GRC SEF-23 Retires'!J33+'2022 GRC SEF-23 Retires'!J34</f>
        <v>-14233687.99806273</v>
      </c>
      <c r="D13" s="23">
        <f>'2023 Retirement Depr Adj'!F15+'2023 Retirement Depr Adj'!F16</f>
        <v>-19043982.511188123</v>
      </c>
      <c r="E13" s="21">
        <f t="shared" si="0"/>
        <v>-457785.33689518669</v>
      </c>
      <c r="F13" s="63"/>
      <c r="I13" s="63"/>
      <c r="J13" s="26">
        <f t="shared" si="4"/>
        <v>7</v>
      </c>
      <c r="K13" s="15" t="s">
        <v>59</v>
      </c>
      <c r="L13" s="22">
        <f t="shared" si="5"/>
        <v>-14233687.99806273</v>
      </c>
      <c r="M13" s="23">
        <f t="shared" si="6"/>
        <v>-19043982.511188123</v>
      </c>
      <c r="N13" s="21">
        <f t="shared" si="1"/>
        <v>-457785.33689518669</v>
      </c>
      <c r="O13" s="63"/>
      <c r="P13" s="26">
        <f t="shared" si="7"/>
        <v>7</v>
      </c>
      <c r="Q13" s="15" t="s">
        <v>59</v>
      </c>
      <c r="R13" s="22">
        <f>'2022 GRC SEF-24 Retires'!J33+'2022 GRC SEF-24 Retires'!J34-'2022 GRC SEF-24 Retires'!J34</f>
        <v>-7224079.5246852636</v>
      </c>
      <c r="S13" s="23">
        <f>'2023 Retirement Depr Adj'!F25+'2023 Retirement Depr Adj'!F26</f>
        <v>-10641099.779641626</v>
      </c>
      <c r="T13" s="21">
        <f t="shared" si="2"/>
        <v>-324136.62707770069</v>
      </c>
      <c r="U13"/>
      <c r="V13"/>
    </row>
    <row r="14" spans="1:25" ht="15.75" thickBot="1" x14ac:dyDescent="0.3">
      <c r="A14" s="26">
        <f t="shared" si="3"/>
        <v>8</v>
      </c>
      <c r="B14" s="53" t="s">
        <v>95</v>
      </c>
      <c r="C14" s="54">
        <f>SUM(C8:C13)</f>
        <v>682036404.07630312</v>
      </c>
      <c r="D14" s="54">
        <f>SUM(D8:D13)</f>
        <v>731980535.13116288</v>
      </c>
      <c r="E14" s="54">
        <f>SUM(E8:E13)</f>
        <v>4753075.0556957284</v>
      </c>
      <c r="F14" s="108">
        <f>(D14-C14)*$C$32/$C$34-E14</f>
        <v>0</v>
      </c>
      <c r="G14" s="54">
        <f>SUM(G8:G13)</f>
        <v>8210504.4699999997</v>
      </c>
      <c r="H14" s="54">
        <f>SUM(H8:H13)</f>
        <v>52951278.20820573</v>
      </c>
      <c r="I14" s="108"/>
      <c r="J14" s="26">
        <f t="shared" si="4"/>
        <v>8</v>
      </c>
      <c r="K14" s="53" t="s">
        <v>95</v>
      </c>
      <c r="L14" s="54">
        <f>SUM(L8:L13)</f>
        <v>673825899.6063031</v>
      </c>
      <c r="M14" s="54">
        <f>SUM(M8:M13)</f>
        <v>679029256.92295706</v>
      </c>
      <c r="N14" s="54">
        <f>SUM(N8:N13)</f>
        <v>495192.27475384972</v>
      </c>
      <c r="O14" s="108"/>
      <c r="P14" s="26">
        <f t="shared" si="7"/>
        <v>8</v>
      </c>
      <c r="Q14" s="53" t="s">
        <v>95</v>
      </c>
      <c r="R14" s="54">
        <f>SUM(R8:R13)</f>
        <v>334493403.3409487</v>
      </c>
      <c r="S14" s="54">
        <f>SUM(S8:S13)</f>
        <v>327379867.35992092</v>
      </c>
      <c r="T14" s="54">
        <f>SUM(T8:T13)</f>
        <v>-674786.03796443506</v>
      </c>
      <c r="U14" s="111">
        <f>(S14-R14)*$R$32/$R$34-T14</f>
        <v>5.8207660913467407E-9</v>
      </c>
    </row>
    <row r="15" spans="1:25" x14ac:dyDescent="0.25">
      <c r="A15" s="26">
        <f t="shared" si="3"/>
        <v>9</v>
      </c>
      <c r="B15" s="56"/>
      <c r="C15" s="57"/>
      <c r="D15" s="57"/>
      <c r="E15" s="55"/>
      <c r="F15" s="64"/>
      <c r="I15" s="64"/>
      <c r="J15" s="26">
        <f t="shared" si="4"/>
        <v>9</v>
      </c>
      <c r="K15" s="56"/>
      <c r="L15" s="57"/>
      <c r="M15" s="57"/>
      <c r="N15" s="55"/>
      <c r="O15" s="64"/>
      <c r="P15" s="26">
        <f t="shared" si="7"/>
        <v>9</v>
      </c>
      <c r="Q15" s="56"/>
      <c r="R15" s="57"/>
      <c r="S15" s="57"/>
      <c r="T15" s="55"/>
      <c r="U15" s="56"/>
    </row>
    <row r="16" spans="1:25" x14ac:dyDescent="0.25">
      <c r="A16" s="26">
        <f t="shared" si="3"/>
        <v>10</v>
      </c>
      <c r="B16" s="52" t="s">
        <v>96</v>
      </c>
      <c r="E16" s="25"/>
      <c r="F16" s="63"/>
      <c r="I16" s="63"/>
      <c r="J16" s="26">
        <f t="shared" si="4"/>
        <v>10</v>
      </c>
      <c r="K16" s="52" t="s">
        <v>96</v>
      </c>
      <c r="N16" s="25"/>
      <c r="O16" s="63"/>
      <c r="P16" s="26">
        <f t="shared" si="7"/>
        <v>10</v>
      </c>
      <c r="Q16" s="52" t="s">
        <v>96</v>
      </c>
      <c r="T16" s="25"/>
      <c r="U16" s="112"/>
    </row>
    <row r="17" spans="1:29" x14ac:dyDescent="0.25">
      <c r="A17" s="26">
        <f t="shared" si="3"/>
        <v>11</v>
      </c>
      <c r="B17" s="15" t="s">
        <v>60</v>
      </c>
      <c r="C17" s="21">
        <f>-'2022 GRC SEF-23 Adds'!I88</f>
        <v>-39430019.821441993</v>
      </c>
      <c r="D17" s="21">
        <f>-'Electric Closings Summary'!G31</f>
        <v>-44847101.151235349</v>
      </c>
      <c r="E17" s="24">
        <f>(D17-C17)/C$34</f>
        <v>-7200166.5833195187</v>
      </c>
      <c r="F17" s="63"/>
      <c r="G17" s="21">
        <f>-'Calc Program Deprec Exp'!$F$22*0.79</f>
        <v>-128747.87209999999</v>
      </c>
      <c r="H17" s="21">
        <f>-'Electric Closings Summary'!G13*0.79</f>
        <v>-971340.76962368132</v>
      </c>
      <c r="I17" s="63"/>
      <c r="J17" s="26">
        <f t="shared" si="4"/>
        <v>11</v>
      </c>
      <c r="K17" s="15" t="s">
        <v>60</v>
      </c>
      <c r="L17" s="21">
        <f t="shared" ref="L17:L20" si="8">C17-G17</f>
        <v>-39301271.94934199</v>
      </c>
      <c r="M17" s="21">
        <f t="shared" ref="M17:M20" si="9">D17-H17</f>
        <v>-43875760.381611668</v>
      </c>
      <c r="N17" s="24">
        <f>(M17-L17)/L$34</f>
        <v>-6080226.000052738</v>
      </c>
      <c r="O17" s="63"/>
      <c r="P17" s="26">
        <f t="shared" si="7"/>
        <v>11</v>
      </c>
      <c r="Q17" s="15" t="s">
        <v>60</v>
      </c>
      <c r="R17" s="21">
        <f>-'2022 GRC SEF-24 Adds'!I88</f>
        <v>-17881280.898557998</v>
      </c>
      <c r="S17" s="21">
        <f>-'Gas Closings Summary'!G22</f>
        <v>-18207871.838364616</v>
      </c>
      <c r="T17" s="24">
        <f>(S17-R17)/R$34</f>
        <v>-432684.82660544669</v>
      </c>
      <c r="U17" s="112"/>
    </row>
    <row r="18" spans="1:29" x14ac:dyDescent="0.25">
      <c r="A18" s="26">
        <f t="shared" si="3"/>
        <v>12</v>
      </c>
      <c r="B18" s="15" t="s">
        <v>61</v>
      </c>
      <c r="C18" s="22">
        <f>-'2022 GRC SEF-23 Adds'!I92</f>
        <v>8280304.1625028178</v>
      </c>
      <c r="D18" s="22">
        <f>D17*-C33</f>
        <v>9417891.2417594232</v>
      </c>
      <c r="E18" s="24">
        <f>(D18-C18)/C$34</f>
        <v>1512034.9824970996</v>
      </c>
      <c r="F18" s="63"/>
      <c r="G18" s="21">
        <f>-G17*0.21</f>
        <v>27037.053140999997</v>
      </c>
      <c r="H18" s="21">
        <f>-H17*0.21</f>
        <v>203981.56162097308</v>
      </c>
      <c r="I18" s="63"/>
      <c r="J18" s="26">
        <f t="shared" si="4"/>
        <v>12</v>
      </c>
      <c r="K18" s="15" t="s">
        <v>61</v>
      </c>
      <c r="L18" s="22">
        <f t="shared" si="8"/>
        <v>8253267.1093618181</v>
      </c>
      <c r="M18" s="22">
        <f t="shared" si="9"/>
        <v>9213909.6801384501</v>
      </c>
      <c r="N18" s="24">
        <f>(M18-L18)/L$34</f>
        <v>1276847.4600110746</v>
      </c>
      <c r="O18" s="63"/>
      <c r="P18" s="26">
        <f t="shared" si="7"/>
        <v>12</v>
      </c>
      <c r="Q18" s="15" t="s">
        <v>61</v>
      </c>
      <c r="R18" s="22">
        <f>-'2022 GRC SEF-24 Adds'!I92</f>
        <v>3755068.9886971796</v>
      </c>
      <c r="S18" s="22">
        <f>S17*-R33</f>
        <v>3823653.0860565691</v>
      </c>
      <c r="T18" s="24">
        <f>(S18-R18)/R$34</f>
        <v>90863.813587143537</v>
      </c>
      <c r="U18" s="112"/>
      <c r="AB18" s="21"/>
      <c r="AC18" s="180"/>
    </row>
    <row r="19" spans="1:29" x14ac:dyDescent="0.25">
      <c r="A19" s="26">
        <f t="shared" si="3"/>
        <v>13</v>
      </c>
      <c r="B19" s="15" t="s">
        <v>62</v>
      </c>
      <c r="C19" s="22">
        <f>-'2022 GRC SEF-23 Retires'!J20</f>
        <v>9407514.2826580107</v>
      </c>
      <c r="D19" s="23">
        <f>-'2023 Retirement Depr Adj'!C13</f>
        <v>5152670.594475029</v>
      </c>
      <c r="E19" s="24">
        <f>(D19-C19)/C$34</f>
        <v>-5655367.0649932306</v>
      </c>
      <c r="F19" s="63"/>
      <c r="I19" s="63"/>
      <c r="J19" s="26">
        <f t="shared" si="4"/>
        <v>13</v>
      </c>
      <c r="K19" s="15" t="s">
        <v>62</v>
      </c>
      <c r="L19" s="22">
        <f t="shared" si="8"/>
        <v>9407514.2826580107</v>
      </c>
      <c r="M19" s="23">
        <f t="shared" si="9"/>
        <v>5152670.594475029</v>
      </c>
      <c r="N19" s="24">
        <f>(M19-L19)/L$34</f>
        <v>-5655367.0649932306</v>
      </c>
      <c r="O19" s="63"/>
      <c r="P19" s="26">
        <f t="shared" si="7"/>
        <v>13</v>
      </c>
      <c r="Q19" s="15" t="s">
        <v>62</v>
      </c>
      <c r="R19" s="22">
        <f>-'2022 GRC SEF-24 Retires'!J16</f>
        <v>2056035.8973419995</v>
      </c>
      <c r="S19" s="23">
        <f>'2023 Retirement Depr Adj'!F23</f>
        <v>1738668.6731881651</v>
      </c>
      <c r="T19" s="24">
        <f>(S19-R19)/R$34</f>
        <v>-420464.76376400451</v>
      </c>
      <c r="U19" s="112"/>
    </row>
    <row r="20" spans="1:29" x14ac:dyDescent="0.25">
      <c r="A20" s="26">
        <f t="shared" si="3"/>
        <v>14</v>
      </c>
      <c r="B20" s="15" t="s">
        <v>63</v>
      </c>
      <c r="C20" s="22">
        <f>-'2022 GRC SEF-23 Retires'!J27</f>
        <v>-2074592.5999582589</v>
      </c>
      <c r="D20" s="23">
        <f>SUM('2023 Retirement Depr Adj'!C15:C17)</f>
        <v>2210870.6328982385</v>
      </c>
      <c r="E20" s="24">
        <f>(D20-C20)/C$34</f>
        <v>5696065.331999518</v>
      </c>
      <c r="F20" s="63"/>
      <c r="I20" s="63"/>
      <c r="J20" s="26">
        <f t="shared" si="4"/>
        <v>14</v>
      </c>
      <c r="K20" s="15" t="s">
        <v>63</v>
      </c>
      <c r="L20" s="22">
        <f t="shared" si="8"/>
        <v>-2074592.5999582589</v>
      </c>
      <c r="M20" s="23">
        <f t="shared" si="9"/>
        <v>2210870.6328982385</v>
      </c>
      <c r="N20" s="24">
        <f>(M20-L20)/L$34</f>
        <v>5696065.331999518</v>
      </c>
      <c r="O20" s="63"/>
      <c r="P20" s="26">
        <f t="shared" si="7"/>
        <v>14</v>
      </c>
      <c r="Q20" s="15" t="s">
        <v>63</v>
      </c>
      <c r="R20" s="22">
        <f>-'2022 GRC SEF-24 Retires'!J27</f>
        <v>-109876.9497417392</v>
      </c>
      <c r="S20" s="23">
        <f>SUM('2023 Retirement Depr Adj'!C25:C27)</f>
        <v>313739.15431103786</v>
      </c>
      <c r="T20" s="24">
        <f>(S20-R20)/R$34</f>
        <v>561228.85906719393</v>
      </c>
      <c r="U20" s="112"/>
      <c r="AB20" s="21"/>
    </row>
    <row r="21" spans="1:29" x14ac:dyDescent="0.25">
      <c r="A21" s="26">
        <f t="shared" si="3"/>
        <v>15</v>
      </c>
      <c r="B21" s="58" t="s">
        <v>98</v>
      </c>
      <c r="C21" s="59">
        <f>SUM(C17:C20)</f>
        <v>-23816793.976239424</v>
      </c>
      <c r="D21" s="59">
        <f>SUM(D17:D20)</f>
        <v>-28065668.682102654</v>
      </c>
      <c r="E21" s="59">
        <f>SUM(E17:E20)</f>
        <v>-5647433.3338161316</v>
      </c>
      <c r="F21" s="63"/>
      <c r="G21" s="59">
        <f>SUM(G17:G20)</f>
        <v>-101710.818959</v>
      </c>
      <c r="H21" s="59">
        <f>SUM(H17:H20)</f>
        <v>-767359.20800270827</v>
      </c>
      <c r="I21" s="63"/>
      <c r="J21" s="26">
        <f t="shared" si="4"/>
        <v>15</v>
      </c>
      <c r="K21" s="58" t="s">
        <v>98</v>
      </c>
      <c r="L21" s="59">
        <f>SUM(L17:L20)</f>
        <v>-23715083.157280419</v>
      </c>
      <c r="M21" s="59">
        <f>SUM(M17:M20)</f>
        <v>-27298309.474099953</v>
      </c>
      <c r="N21" s="59">
        <f>SUM(N17:N20)</f>
        <v>-4762680.2730353773</v>
      </c>
      <c r="O21" s="63"/>
      <c r="P21" s="26">
        <f t="shared" si="7"/>
        <v>15</v>
      </c>
      <c r="Q21" s="58" t="s">
        <v>98</v>
      </c>
      <c r="R21" s="59">
        <f>SUM(R17:R20)</f>
        <v>-12180052.962260559</v>
      </c>
      <c r="S21" s="59">
        <f>SUM(S17:S20)</f>
        <v>-12331810.924808843</v>
      </c>
      <c r="T21" s="59">
        <f>SUM(T17:T20)</f>
        <v>-201056.91771511373</v>
      </c>
      <c r="U21" s="112"/>
    </row>
    <row r="22" spans="1:29" x14ac:dyDescent="0.25">
      <c r="A22" s="26">
        <f t="shared" si="3"/>
        <v>16</v>
      </c>
      <c r="F22" s="63"/>
      <c r="I22" s="63"/>
      <c r="J22" s="26">
        <f t="shared" si="4"/>
        <v>16</v>
      </c>
      <c r="O22" s="63"/>
      <c r="P22" s="26">
        <f t="shared" si="7"/>
        <v>16</v>
      </c>
      <c r="U22" s="112"/>
    </row>
    <row r="23" spans="1:29" x14ac:dyDescent="0.25">
      <c r="A23" s="26">
        <f t="shared" si="3"/>
        <v>17</v>
      </c>
      <c r="B23" s="15" t="s">
        <v>99</v>
      </c>
      <c r="C23" s="22">
        <f>C14*C31*C33</f>
        <v>3652304.9438286028</v>
      </c>
      <c r="D23" s="22">
        <f>D14*C31*C33</f>
        <v>3919755.7656273772</v>
      </c>
      <c r="E23" s="24">
        <f>(D23-C23)/C$34</f>
        <v>355484.87322975777</v>
      </c>
      <c r="F23" s="63"/>
      <c r="G23" s="21">
        <f>G14*C31*C33</f>
        <v>43967.251436849991</v>
      </c>
      <c r="H23" s="21">
        <f>H14*C31*C33</f>
        <v>283554.09480494162</v>
      </c>
      <c r="I23" s="63"/>
      <c r="J23" s="26">
        <f t="shared" si="4"/>
        <v>17</v>
      </c>
      <c r="K23" s="15" t="s">
        <v>99</v>
      </c>
      <c r="L23" s="22">
        <f>C23-G23</f>
        <v>3608337.6923917527</v>
      </c>
      <c r="M23" s="22">
        <f>D23-H23</f>
        <v>3636201.6708224355</v>
      </c>
      <c r="N23" s="24">
        <f>(M23-L23)/L$34</f>
        <v>37035.679208196656</v>
      </c>
      <c r="O23" s="63"/>
      <c r="P23" s="26">
        <f t="shared" si="7"/>
        <v>17</v>
      </c>
      <c r="Q23" s="15" t="s">
        <v>99</v>
      </c>
      <c r="R23" s="22">
        <f>R14*R31*R33</f>
        <v>1791212.1748907804</v>
      </c>
      <c r="S23" s="22">
        <f>S14*R31*R33</f>
        <v>1753119.1897123763</v>
      </c>
      <c r="T23" s="24">
        <f>(S23-R23)/R$34</f>
        <v>-50467.587057256176</v>
      </c>
      <c r="U23" s="112"/>
      <c r="AB23" s="21"/>
    </row>
    <row r="24" spans="1:29" ht="15.75" thickBot="1" x14ac:dyDescent="0.3">
      <c r="A24" s="26">
        <f t="shared" si="3"/>
        <v>18</v>
      </c>
      <c r="B24" s="53" t="s">
        <v>97</v>
      </c>
      <c r="C24" s="54">
        <f>C21+C23</f>
        <v>-20164489.032410823</v>
      </c>
      <c r="D24" s="54">
        <f>D21+D23</f>
        <v>-24145912.916475277</v>
      </c>
      <c r="E24" s="54">
        <f>E21+E23</f>
        <v>-5291948.4605863737</v>
      </c>
      <c r="F24" s="63"/>
      <c r="G24" s="54">
        <f>G21+G23</f>
        <v>-57743.567522150006</v>
      </c>
      <c r="H24" s="54">
        <f>H21+H23</f>
        <v>-483805.11319776665</v>
      </c>
      <c r="I24" s="63"/>
      <c r="J24" s="26">
        <f t="shared" si="4"/>
        <v>18</v>
      </c>
      <c r="K24" s="53" t="s">
        <v>97</v>
      </c>
      <c r="L24" s="54">
        <f>L21+L23</f>
        <v>-20106745.464888666</v>
      </c>
      <c r="M24" s="54">
        <f>M21+M23</f>
        <v>-23662107.803277519</v>
      </c>
      <c r="N24" s="54">
        <f>N21+N23</f>
        <v>-4725644.5938271806</v>
      </c>
      <c r="O24" s="63"/>
      <c r="P24" s="26">
        <f t="shared" si="7"/>
        <v>18</v>
      </c>
      <c r="Q24" s="53" t="s">
        <v>97</v>
      </c>
      <c r="R24" s="54">
        <f>R21+R23</f>
        <v>-10388840.787369778</v>
      </c>
      <c r="S24" s="54">
        <f>S21+S23</f>
        <v>-10578691.735096466</v>
      </c>
      <c r="T24" s="54">
        <f>T21+T23</f>
        <v>-251524.5047723699</v>
      </c>
      <c r="U24" s="112"/>
    </row>
    <row r="25" spans="1:29" x14ac:dyDescent="0.25">
      <c r="A25" s="26">
        <f t="shared" si="3"/>
        <v>19</v>
      </c>
      <c r="C25" s="21"/>
      <c r="D25" s="21"/>
      <c r="E25" s="21"/>
      <c r="F25" s="63"/>
      <c r="I25" s="63"/>
      <c r="J25" s="26">
        <f t="shared" si="4"/>
        <v>19</v>
      </c>
      <c r="L25" s="21"/>
      <c r="M25" s="21"/>
      <c r="N25" s="21"/>
      <c r="O25" s="63"/>
      <c r="P25" s="26">
        <f t="shared" si="7"/>
        <v>19</v>
      </c>
      <c r="R25" s="21"/>
      <c r="S25" s="21"/>
      <c r="T25" s="21"/>
      <c r="U25" s="112"/>
    </row>
    <row r="26" spans="1:29" x14ac:dyDescent="0.25">
      <c r="A26" s="26">
        <f t="shared" si="3"/>
        <v>20</v>
      </c>
      <c r="B26" s="15" t="s">
        <v>100</v>
      </c>
      <c r="C26" s="22">
        <f>C14*C32</f>
        <v>48833806.531863302</v>
      </c>
      <c r="D26" s="22">
        <f>D14*C32</f>
        <v>52409806.315391257</v>
      </c>
      <c r="E26" s="22"/>
      <c r="F26" s="108">
        <f>(D26-C26)/C34-E14</f>
        <v>0</v>
      </c>
      <c r="G26" s="21">
        <f>G14*C32</f>
        <v>587872.12005199993</v>
      </c>
      <c r="H26" s="21">
        <f>H14*C32</f>
        <v>3791311.5197075303</v>
      </c>
      <c r="I26" s="108"/>
      <c r="J26" s="26">
        <f t="shared" si="4"/>
        <v>20</v>
      </c>
      <c r="K26" s="15" t="s">
        <v>100</v>
      </c>
      <c r="L26" s="22">
        <f>C26-G26</f>
        <v>48245934.4118113</v>
      </c>
      <c r="M26" s="22">
        <f>D26-H26</f>
        <v>48618494.795683727</v>
      </c>
      <c r="N26" s="22"/>
      <c r="O26" s="108"/>
      <c r="P26" s="26">
        <f t="shared" si="7"/>
        <v>20</v>
      </c>
      <c r="Q26" s="15" t="s">
        <v>100</v>
      </c>
      <c r="R26" s="22">
        <f>R14*R32</f>
        <v>23949727.679211926</v>
      </c>
      <c r="S26" s="22">
        <f>S14*R32</f>
        <v>23440398.502970338</v>
      </c>
      <c r="T26" s="22"/>
      <c r="U26" s="111">
        <f>(S26-R26)/R34-T14</f>
        <v>7.5669959187507629E-9</v>
      </c>
    </row>
    <row r="27" spans="1:29" ht="15.75" thickBot="1" x14ac:dyDescent="0.3">
      <c r="A27" s="26">
        <f t="shared" si="3"/>
        <v>21</v>
      </c>
      <c r="B27" s="53" t="s">
        <v>64</v>
      </c>
      <c r="C27" s="54">
        <f>C26-C24</f>
        <v>68998295.564274132</v>
      </c>
      <c r="D27" s="54">
        <f>D26-D24</f>
        <v>76555719.231866539</v>
      </c>
      <c r="E27" s="22"/>
      <c r="F27" s="108">
        <f>E27/C34</f>
        <v>0</v>
      </c>
      <c r="G27" s="54">
        <f>G26-G24</f>
        <v>645615.68757414992</v>
      </c>
      <c r="H27" s="54">
        <f>H26-H24</f>
        <v>4275116.632905297</v>
      </c>
      <c r="I27" s="108"/>
      <c r="J27" s="26">
        <f t="shared" si="4"/>
        <v>21</v>
      </c>
      <c r="K27" s="53" t="s">
        <v>64</v>
      </c>
      <c r="L27" s="54">
        <f>L26-L24</f>
        <v>68352679.876699969</v>
      </c>
      <c r="M27" s="54">
        <f>M26-M24</f>
        <v>72280602.598961249</v>
      </c>
      <c r="N27" s="22"/>
      <c r="O27" s="108"/>
      <c r="P27" s="26">
        <f t="shared" si="7"/>
        <v>21</v>
      </c>
      <c r="Q27" s="53" t="s">
        <v>64</v>
      </c>
      <c r="R27" s="54">
        <f>R26-R24</f>
        <v>34338568.466581702</v>
      </c>
      <c r="S27" s="54">
        <f>S26-S24</f>
        <v>34019090.238066807</v>
      </c>
      <c r="T27" s="22"/>
      <c r="U27" s="111">
        <f>T27/R34</f>
        <v>0</v>
      </c>
    </row>
    <row r="28" spans="1:29" x14ac:dyDescent="0.25">
      <c r="A28" s="26">
        <f t="shared" si="3"/>
        <v>22</v>
      </c>
      <c r="C28" s="21"/>
      <c r="D28" s="21"/>
      <c r="E28" s="21"/>
      <c r="F28" s="63"/>
      <c r="G28" s="21"/>
      <c r="H28" s="21"/>
      <c r="I28" s="63"/>
      <c r="J28" s="26">
        <f t="shared" si="4"/>
        <v>22</v>
      </c>
      <c r="L28" s="21"/>
      <c r="M28" s="21"/>
      <c r="N28" s="21"/>
      <c r="O28" s="63"/>
      <c r="P28" s="26">
        <f t="shared" si="7"/>
        <v>22</v>
      </c>
      <c r="R28" s="21"/>
      <c r="S28" s="21"/>
      <c r="T28" s="21"/>
      <c r="U28" s="112"/>
      <c r="W28"/>
      <c r="X28"/>
    </row>
    <row r="29" spans="1:29" ht="15.75" thickBot="1" x14ac:dyDescent="0.3">
      <c r="A29" s="26">
        <f t="shared" si="3"/>
        <v>23</v>
      </c>
      <c r="B29" s="60" t="s">
        <v>65</v>
      </c>
      <c r="C29" s="110">
        <f>C27/C34</f>
        <v>91709758.776474044</v>
      </c>
      <c r="D29" s="110">
        <f>D27/C34</f>
        <v>101754782.29275613</v>
      </c>
      <c r="E29" s="110">
        <f>E14-E24</f>
        <v>10045023.516282102</v>
      </c>
      <c r="F29" s="108">
        <f>(D29-C29)-E29</f>
        <v>-2.0489096641540527E-8</v>
      </c>
      <c r="G29" s="110">
        <f>G27/C34</f>
        <v>858126.39986994164</v>
      </c>
      <c r="H29" s="110">
        <f>H27/C34</f>
        <v>5682313.047571023</v>
      </c>
      <c r="I29" s="108"/>
      <c r="J29" s="26">
        <f t="shared" si="4"/>
        <v>23</v>
      </c>
      <c r="K29" s="60" t="s">
        <v>65</v>
      </c>
      <c r="L29" s="110">
        <f>L27/L34</f>
        <v>90851632.376604095</v>
      </c>
      <c r="M29" s="110">
        <f>M27/L34</f>
        <v>96072469.245185122</v>
      </c>
      <c r="N29" s="110">
        <f>N14-N24</f>
        <v>5220836.8685810305</v>
      </c>
      <c r="O29" s="108"/>
      <c r="P29" s="26">
        <f t="shared" si="7"/>
        <v>23</v>
      </c>
      <c r="Q29" s="60" t="s">
        <v>65</v>
      </c>
      <c r="R29" s="110">
        <f>R27/R34</f>
        <v>45493538.650030538</v>
      </c>
      <c r="S29" s="110">
        <f>S27/R34</f>
        <v>45070277.116838485</v>
      </c>
      <c r="T29" s="110">
        <f>T14-T24</f>
        <v>-423261.5331920652</v>
      </c>
      <c r="U29" s="111">
        <f>(S29-R29)-T29</f>
        <v>1.1757947504520416E-8</v>
      </c>
      <c r="W29"/>
      <c r="X29"/>
    </row>
    <row r="30" spans="1:29" ht="15.75" thickTop="1" x14ac:dyDescent="0.25">
      <c r="A30" s="26">
        <f t="shared" si="3"/>
        <v>24</v>
      </c>
      <c r="E30" s="125"/>
      <c r="F30" s="63"/>
      <c r="I30" s="63"/>
      <c r="J30" s="26">
        <f t="shared" si="4"/>
        <v>24</v>
      </c>
      <c r="N30" s="125"/>
      <c r="O30" s="63"/>
      <c r="P30" s="26">
        <f t="shared" si="7"/>
        <v>24</v>
      </c>
    </row>
    <row r="31" spans="1:29" x14ac:dyDescent="0.25">
      <c r="A31" s="26">
        <f t="shared" si="3"/>
        <v>25</v>
      </c>
      <c r="B31" s="15" t="s">
        <v>66</v>
      </c>
      <c r="C31" s="27">
        <f>'SEF-23'!D9</f>
        <v>2.5499999999999998E-2</v>
      </c>
      <c r="E31" s="113"/>
      <c r="F31" s="63"/>
      <c r="I31" s="63"/>
      <c r="J31" s="26">
        <f t="shared" si="4"/>
        <v>25</v>
      </c>
      <c r="K31" s="15" t="s">
        <v>66</v>
      </c>
      <c r="L31" s="27">
        <f>C31</f>
        <v>2.5499999999999998E-2</v>
      </c>
      <c r="N31" s="113"/>
      <c r="O31" s="63"/>
      <c r="P31" s="26">
        <f t="shared" si="7"/>
        <v>25</v>
      </c>
      <c r="Q31" s="15" t="s">
        <v>66</v>
      </c>
      <c r="R31" s="27">
        <f>'SEF-24'!D9</f>
        <v>2.5499999999999998E-2</v>
      </c>
      <c r="T31" s="113"/>
      <c r="U31" s="113"/>
    </row>
    <row r="32" spans="1:29" x14ac:dyDescent="0.25">
      <c r="A32" s="26">
        <f t="shared" si="3"/>
        <v>26</v>
      </c>
      <c r="B32" s="15" t="s">
        <v>67</v>
      </c>
      <c r="C32" s="27">
        <f>'SEF-23'!D10</f>
        <v>7.1599999999999997E-2</v>
      </c>
      <c r="F32" s="63"/>
      <c r="I32" s="63"/>
      <c r="J32" s="26">
        <f t="shared" si="4"/>
        <v>26</v>
      </c>
      <c r="K32" s="15" t="s">
        <v>67</v>
      </c>
      <c r="L32" s="27">
        <f t="shared" ref="L32:L34" si="10">C32</f>
        <v>7.1599999999999997E-2</v>
      </c>
      <c r="O32" s="63"/>
      <c r="P32" s="26">
        <f t="shared" si="7"/>
        <v>26</v>
      </c>
      <c r="Q32" s="15" t="s">
        <v>67</v>
      </c>
      <c r="R32" s="27">
        <f>'SEF-24'!D10</f>
        <v>7.1599999999999997E-2</v>
      </c>
    </row>
    <row r="33" spans="1:18" x14ac:dyDescent="0.25">
      <c r="A33" s="26">
        <f t="shared" si="3"/>
        <v>27</v>
      </c>
      <c r="B33" s="15" t="s">
        <v>68</v>
      </c>
      <c r="C33" s="27">
        <f>'SEF-23'!C11</f>
        <v>0.21</v>
      </c>
      <c r="F33" s="63"/>
      <c r="I33" s="63"/>
      <c r="J33" s="26">
        <f t="shared" si="4"/>
        <v>27</v>
      </c>
      <c r="K33" s="15" t="s">
        <v>68</v>
      </c>
      <c r="L33" s="27">
        <f t="shared" si="10"/>
        <v>0.21</v>
      </c>
      <c r="O33" s="63"/>
      <c r="P33" s="26">
        <f t="shared" si="7"/>
        <v>27</v>
      </c>
      <c r="Q33" s="15" t="s">
        <v>68</v>
      </c>
      <c r="R33" s="27">
        <f>'SEF-24'!C11</f>
        <v>0.21</v>
      </c>
    </row>
    <row r="34" spans="1:18" x14ac:dyDescent="0.25">
      <c r="A34" s="26">
        <f t="shared" si="3"/>
        <v>28</v>
      </c>
      <c r="B34" s="15" t="s">
        <v>69</v>
      </c>
      <c r="C34" s="80">
        <f>'SEF-23'!C12</f>
        <v>0.752355</v>
      </c>
      <c r="F34" s="63"/>
      <c r="I34" s="63"/>
      <c r="J34" s="26">
        <f t="shared" si="4"/>
        <v>28</v>
      </c>
      <c r="K34" s="15" t="s">
        <v>69</v>
      </c>
      <c r="L34" s="27">
        <f t="shared" si="10"/>
        <v>0.752355</v>
      </c>
      <c r="O34" s="63"/>
      <c r="P34" s="26">
        <f t="shared" si="7"/>
        <v>28</v>
      </c>
      <c r="Q34" s="15" t="s">
        <v>69</v>
      </c>
      <c r="R34" s="80">
        <f>'SEF-24'!C12</f>
        <v>0.75480100000000006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5.855468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/>
      <c r="B1" s="127" t="s">
        <v>110</v>
      </c>
      <c r="C1" s="127"/>
      <c r="D1" s="127"/>
      <c r="E1" s="127"/>
      <c r="F1" s="128"/>
      <c r="J1" t="s">
        <v>187</v>
      </c>
      <c r="K1" s="129"/>
    </row>
    <row r="2" spans="1:11" ht="15.75" thickBot="1" x14ac:dyDescent="0.3">
      <c r="A2" s="126"/>
      <c r="B2" s="127" t="s">
        <v>112</v>
      </c>
      <c r="C2" s="127"/>
      <c r="D2" s="127"/>
      <c r="E2" s="127"/>
      <c r="F2" s="128"/>
      <c r="J2" t="s">
        <v>188</v>
      </c>
      <c r="K2" s="130"/>
    </row>
    <row r="3" spans="1:11" x14ac:dyDescent="0.25">
      <c r="A3" s="126"/>
      <c r="B3" s="127" t="s">
        <v>113</v>
      </c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/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 t="s">
        <v>114</v>
      </c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 t="s">
        <v>189</v>
      </c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190</v>
      </c>
      <c r="C12" s="134"/>
      <c r="D12" s="141">
        <v>0</v>
      </c>
      <c r="E12" s="141">
        <v>0</v>
      </c>
      <c r="F12" s="141">
        <v>3273093.5500000003</v>
      </c>
      <c r="G12" s="141">
        <v>3273093.5500000003</v>
      </c>
      <c r="H12" s="142">
        <v>9840603.2199999969</v>
      </c>
      <c r="I12" s="142">
        <v>13113696.769999998</v>
      </c>
      <c r="J12" s="142">
        <v>18030677.910000019</v>
      </c>
      <c r="K12" s="142">
        <v>31144374.680000015</v>
      </c>
    </row>
    <row r="13" spans="1:11" x14ac:dyDescent="0.25">
      <c r="A13" s="135">
        <v>3</v>
      </c>
      <c r="B13" s="134" t="s">
        <v>191</v>
      </c>
      <c r="C13" s="134"/>
      <c r="D13" s="141">
        <v>0</v>
      </c>
      <c r="E13" s="141">
        <v>0</v>
      </c>
      <c r="F13" s="141">
        <v>1623965.1964619998</v>
      </c>
      <c r="G13" s="141">
        <v>1623965.1964619998</v>
      </c>
      <c r="H13" s="142">
        <v>578426.5767839998</v>
      </c>
      <c r="I13" s="142">
        <v>2202391.7732459996</v>
      </c>
      <c r="J13" s="142">
        <v>2489754.1390260002</v>
      </c>
      <c r="K13" s="142">
        <v>4692145.9122719998</v>
      </c>
    </row>
    <row r="14" spans="1:11" x14ac:dyDescent="0.25">
      <c r="A14" s="135">
        <v>4</v>
      </c>
      <c r="B14" s="134" t="s">
        <v>192</v>
      </c>
      <c r="C14" s="134"/>
      <c r="D14" s="141">
        <v>0</v>
      </c>
      <c r="E14" s="141">
        <v>0</v>
      </c>
      <c r="F14" s="141">
        <v>190269.56</v>
      </c>
      <c r="G14" s="141">
        <v>190269.56</v>
      </c>
      <c r="H14" s="142">
        <v>588293.76</v>
      </c>
      <c r="I14" s="142">
        <v>778563.32000000007</v>
      </c>
      <c r="J14" s="142">
        <v>2170084.3599999994</v>
      </c>
      <c r="K14" s="142">
        <v>2948647.6799999997</v>
      </c>
    </row>
    <row r="15" spans="1:11" x14ac:dyDescent="0.25">
      <c r="A15" s="135">
        <v>5</v>
      </c>
      <c r="B15" s="134" t="s">
        <v>193</v>
      </c>
      <c r="C15" s="134"/>
      <c r="D15" s="143">
        <v>0</v>
      </c>
      <c r="E15" s="143">
        <v>0</v>
      </c>
      <c r="F15" s="143">
        <v>1796060.637504</v>
      </c>
      <c r="G15" s="143">
        <v>1796060.637504</v>
      </c>
      <c r="H15" s="144">
        <v>3837403.1659739995</v>
      </c>
      <c r="I15" s="144">
        <v>5633463.8034779998</v>
      </c>
      <c r="J15" s="144">
        <v>4340981.5388940005</v>
      </c>
      <c r="K15" s="144">
        <v>9974445.3423720002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6883388.9439660003</v>
      </c>
      <c r="G16" s="141">
        <v>6883388.9439660003</v>
      </c>
      <c r="H16" s="142">
        <v>14844726.722757995</v>
      </c>
      <c r="I16" s="142">
        <v>21728115.666723996</v>
      </c>
      <c r="J16" s="142">
        <v>27031497.947920021</v>
      </c>
      <c r="K16" s="142">
        <v>48759613.614644013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6883388.9439660003</v>
      </c>
      <c r="G18" s="141">
        <v>6883388.9439660003</v>
      </c>
      <c r="H18" s="142">
        <v>14844726.722757995</v>
      </c>
      <c r="I18" s="142">
        <v>21728115.666723996</v>
      </c>
      <c r="J18" s="142">
        <v>27031497.947920021</v>
      </c>
      <c r="K18" s="142">
        <v>48759613.614644013</v>
      </c>
    </row>
    <row r="19" spans="1:11" x14ac:dyDescent="0.25">
      <c r="A19" s="135">
        <v>9</v>
      </c>
      <c r="B19" s="134"/>
      <c r="C19" s="134"/>
      <c r="D19" s="141"/>
      <c r="E19" s="141"/>
      <c r="F19" s="141"/>
      <c r="G19" s="141"/>
      <c r="H19" s="142"/>
      <c r="I19" s="142"/>
      <c r="J19" s="142"/>
      <c r="K19" s="142"/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-1445511.6782328601</v>
      </c>
      <c r="G20" s="143">
        <v>-1445511.6782328601</v>
      </c>
      <c r="H20" s="144">
        <v>-3117392.611779179</v>
      </c>
      <c r="I20" s="144">
        <v>-4562904.2900120392</v>
      </c>
      <c r="J20" s="144">
        <v>-5676614.5690632043</v>
      </c>
      <c r="K20" s="144">
        <v>-10239518.859075243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-5437877.2657331405</v>
      </c>
      <c r="G22" s="146">
        <v>-5437877.2657331405</v>
      </c>
      <c r="H22" s="147">
        <v>-11727334.110978816</v>
      </c>
      <c r="I22" s="147">
        <v>-17165211.376711957</v>
      </c>
      <c r="J22" s="147">
        <v>-21354883.378856815</v>
      </c>
      <c r="K22" s="147">
        <v>-38520094.755568773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194</v>
      </c>
      <c r="C24" s="134"/>
      <c r="D24" s="141">
        <v>0</v>
      </c>
      <c r="E24" s="141">
        <v>0</v>
      </c>
      <c r="F24" s="141">
        <v>275144876.54060608</v>
      </c>
      <c r="G24" s="141">
        <v>275144876.54060608</v>
      </c>
      <c r="H24" s="142">
        <v>156248807.7365998</v>
      </c>
      <c r="I24" s="142">
        <v>431393684.27720588</v>
      </c>
      <c r="J24" s="142">
        <v>519951689.80276006</v>
      </c>
      <c r="K24" s="142">
        <v>951345374.07996595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-6883388.9439660003</v>
      </c>
      <c r="G25" s="141">
        <v>-6883388.9439660003</v>
      </c>
      <c r="H25" s="142">
        <v>-9398218.0489399992</v>
      </c>
      <c r="I25" s="142">
        <v>-16281606.992906</v>
      </c>
      <c r="J25" s="142">
        <v>-35005245.804460004</v>
      </c>
      <c r="K25" s="142">
        <v>-51286852.797366001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-2634322.4648799994</v>
      </c>
      <c r="G26" s="144">
        <v>-2634322.4648799994</v>
      </c>
      <c r="H26" s="144">
        <v>-5049179.8292279989</v>
      </c>
      <c r="I26" s="144">
        <v>-7683502.2941079987</v>
      </c>
      <c r="J26" s="144">
        <v>-12452260.163154002</v>
      </c>
      <c r="K26" s="144">
        <v>-20135762.457262002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265627165.13176009</v>
      </c>
      <c r="G27" s="142">
        <v>265627165.13176009</v>
      </c>
      <c r="H27" s="142">
        <v>141801409.85843182</v>
      </c>
      <c r="I27" s="142">
        <v>407428574.99019194</v>
      </c>
      <c r="J27" s="142">
        <v>472494183.83514607</v>
      </c>
      <c r="K27" s="142">
        <v>879922758.82533789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190</v>
      </c>
      <c r="C30" s="134"/>
      <c r="D30" s="141">
        <v>0</v>
      </c>
      <c r="E30" s="141">
        <v>0</v>
      </c>
      <c r="F30" s="141">
        <v>124018.31999999996</v>
      </c>
      <c r="G30" s="141">
        <v>124018.31999999996</v>
      </c>
      <c r="H30" s="142">
        <v>97835.560000000245</v>
      </c>
      <c r="I30" s="142">
        <v>221853.88000000021</v>
      </c>
      <c r="J30" s="142">
        <v>241632.77999999971</v>
      </c>
      <c r="K30" s="142">
        <v>463486.65999999992</v>
      </c>
    </row>
    <row r="31" spans="1:11" x14ac:dyDescent="0.25">
      <c r="A31" s="135">
        <v>21</v>
      </c>
      <c r="B31" s="134" t="s">
        <v>191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192</v>
      </c>
      <c r="C32" s="134"/>
      <c r="D32" s="141">
        <v>0</v>
      </c>
      <c r="E32" s="141">
        <v>0</v>
      </c>
      <c r="F32" s="141">
        <v>7346.88</v>
      </c>
      <c r="G32" s="141">
        <v>7346.88</v>
      </c>
      <c r="H32" s="142">
        <v>40307.040000000001</v>
      </c>
      <c r="I32" s="142">
        <v>47653.919999999998</v>
      </c>
      <c r="J32" s="142">
        <v>71876.820000000007</v>
      </c>
      <c r="K32" s="142">
        <v>119530.74</v>
      </c>
    </row>
    <row r="33" spans="1:11" x14ac:dyDescent="0.25">
      <c r="A33" s="135">
        <v>23</v>
      </c>
      <c r="B33" s="134" t="s">
        <v>193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131365.19999999995</v>
      </c>
      <c r="G34" s="141">
        <v>131365.19999999995</v>
      </c>
      <c r="H34" s="142">
        <v>138142.60000000024</v>
      </c>
      <c r="I34" s="142">
        <v>269507.80000000022</v>
      </c>
      <c r="J34" s="142">
        <v>313509.59999999974</v>
      </c>
      <c r="K34" s="142">
        <v>583017.39999999991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131365.19999999995</v>
      </c>
      <c r="G36" s="141">
        <v>131365.19999999995</v>
      </c>
      <c r="H36" s="142">
        <v>138142.60000000024</v>
      </c>
      <c r="I36" s="142">
        <v>269507.80000000022</v>
      </c>
      <c r="J36" s="142">
        <v>313509.59999999974</v>
      </c>
      <c r="K36" s="142">
        <v>583017.39999999991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-27586.691999999988</v>
      </c>
      <c r="G38" s="143">
        <v>-27586.691999999988</v>
      </c>
      <c r="H38" s="144">
        <v>-29009.946000000051</v>
      </c>
      <c r="I38" s="144">
        <v>-56596.638000000043</v>
      </c>
      <c r="J38" s="144">
        <v>-65837.015999999945</v>
      </c>
      <c r="K38" s="144">
        <v>-122433.65399999998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-103778.50799999997</v>
      </c>
      <c r="G40" s="146">
        <v>-103778.50799999997</v>
      </c>
      <c r="H40" s="147">
        <v>-109132.65400000018</v>
      </c>
      <c r="I40" s="147">
        <v>-212911.16200000019</v>
      </c>
      <c r="J40" s="147">
        <v>-247672.5839999998</v>
      </c>
      <c r="K40" s="147">
        <v>-460583.74599999993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194</v>
      </c>
      <c r="C42" s="134"/>
      <c r="D42" s="141">
        <v>0</v>
      </c>
      <c r="E42" s="141">
        <v>0</v>
      </c>
      <c r="F42" s="141">
        <v>4064845.8499999996</v>
      </c>
      <c r="G42" s="141">
        <v>4064845.8499999996</v>
      </c>
      <c r="H42" s="142">
        <v>4047296.6800000016</v>
      </c>
      <c r="I42" s="142">
        <v>8112142.5300000012</v>
      </c>
      <c r="J42" s="142">
        <v>8832345.3599999994</v>
      </c>
      <c r="K42" s="142">
        <v>16944487.890000001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-131365.19999999992</v>
      </c>
      <c r="G43" s="141">
        <v>-131365.19999999992</v>
      </c>
      <c r="H43" s="142">
        <v>-111605.50000000009</v>
      </c>
      <c r="I43" s="142">
        <v>-242970.7</v>
      </c>
      <c r="J43" s="142">
        <v>-419360.21</v>
      </c>
      <c r="K43" s="142">
        <v>-662330.91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-12153.700000000004</v>
      </c>
      <c r="G44" s="143">
        <v>-12153.700000000004</v>
      </c>
      <c r="H44" s="144">
        <v>-50860.449999999975</v>
      </c>
      <c r="I44" s="144">
        <v>-63014.14999999998</v>
      </c>
      <c r="J44" s="144">
        <v>-150990.09000000003</v>
      </c>
      <c r="K44" s="144">
        <v>-214004.24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3921326.9499999997</v>
      </c>
      <c r="G45" s="141">
        <v>3921326.9499999997</v>
      </c>
      <c r="H45" s="142">
        <v>3884830.7300000014</v>
      </c>
      <c r="I45" s="142">
        <v>7806157.6800000006</v>
      </c>
      <c r="J45" s="142">
        <v>8261995.0599999987</v>
      </c>
      <c r="K45" s="142">
        <v>16068152.74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190</v>
      </c>
      <c r="C48" s="134"/>
      <c r="D48" s="141">
        <v>0</v>
      </c>
      <c r="E48" s="141">
        <v>0</v>
      </c>
      <c r="F48" s="142">
        <v>305733.2</v>
      </c>
      <c r="G48" s="142">
        <v>305733.2</v>
      </c>
      <c r="H48" s="142">
        <v>2603562.1599999997</v>
      </c>
      <c r="I48" s="142">
        <v>2909295.36</v>
      </c>
      <c r="J48" s="142">
        <v>2487783.1100000008</v>
      </c>
      <c r="K48" s="142">
        <v>5397078.4700000007</v>
      </c>
    </row>
    <row r="49" spans="1:11" x14ac:dyDescent="0.25">
      <c r="A49" s="135">
        <v>39</v>
      </c>
      <c r="B49" s="134" t="s">
        <v>191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8266.4296259999992</v>
      </c>
      <c r="K49" s="142">
        <v>8266.4296259999992</v>
      </c>
    </row>
    <row r="50" spans="1:11" x14ac:dyDescent="0.25">
      <c r="A50" s="135">
        <v>40</v>
      </c>
      <c r="B50" s="134" t="s">
        <v>192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193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384929.94607200002</v>
      </c>
      <c r="K51" s="144">
        <v>384929.94607200002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305733.2</v>
      </c>
      <c r="G52" s="142">
        <v>305733.2</v>
      </c>
      <c r="H52" s="142">
        <v>2603562.1599999997</v>
      </c>
      <c r="I52" s="142">
        <v>2909295.36</v>
      </c>
      <c r="J52" s="142">
        <v>2880979.485698001</v>
      </c>
      <c r="K52" s="142">
        <v>5790274.8456980009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305733.2</v>
      </c>
      <c r="G54" s="142">
        <v>305733.2</v>
      </c>
      <c r="H54" s="142">
        <v>2603562.1599999997</v>
      </c>
      <c r="I54" s="142">
        <v>2909295.36</v>
      </c>
      <c r="J54" s="142">
        <v>2880979.485698001</v>
      </c>
      <c r="K54" s="142">
        <v>5790274.8456980009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-64203.972000000002</v>
      </c>
      <c r="G56" s="144">
        <v>-64203.972000000002</v>
      </c>
      <c r="H56" s="144">
        <v>-546748.05359999987</v>
      </c>
      <c r="I56" s="144">
        <v>-610952.02559999994</v>
      </c>
      <c r="J56" s="144">
        <v>-605005.69199658022</v>
      </c>
      <c r="K56" s="144">
        <v>-1215957.71759658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-241529.228</v>
      </c>
      <c r="G58" s="147">
        <v>-241529.228</v>
      </c>
      <c r="H58" s="147">
        <v>-2056814.1063999999</v>
      </c>
      <c r="I58" s="147">
        <v>-2298343.3344000001</v>
      </c>
      <c r="J58" s="147">
        <v>-2275973.7937014205</v>
      </c>
      <c r="K58" s="147">
        <v>-4574317.1281014206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194</v>
      </c>
      <c r="C60" s="134"/>
      <c r="D60" s="141">
        <v>0</v>
      </c>
      <c r="E60" s="141">
        <v>0</v>
      </c>
      <c r="F60" s="142">
        <v>52149803.800000004</v>
      </c>
      <c r="G60" s="142">
        <v>52149803.800000004</v>
      </c>
      <c r="H60" s="142">
        <v>24986915.770000003</v>
      </c>
      <c r="I60" s="142">
        <v>77136719.570000008</v>
      </c>
      <c r="J60" s="142">
        <v>113711032.41329603</v>
      </c>
      <c r="K60" s="142">
        <v>190847751.98329604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-305733.2</v>
      </c>
      <c r="G61" s="142">
        <v>-305733.2</v>
      </c>
      <c r="H61" s="142">
        <v>-1322746.5400000003</v>
      </c>
      <c r="I61" s="142">
        <v>-1628479.7400000002</v>
      </c>
      <c r="J61" s="142">
        <v>-3862878.1017119996</v>
      </c>
      <c r="K61" s="142">
        <v>-5491357.8417119998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-483369.39</v>
      </c>
      <c r="G62" s="144">
        <v>-483369.39</v>
      </c>
      <c r="H62" s="144">
        <v>-725942.25000000012</v>
      </c>
      <c r="I62" s="144">
        <v>-1209311.6400000001</v>
      </c>
      <c r="J62" s="144">
        <v>-3246538.5508959997</v>
      </c>
      <c r="K62" s="144">
        <v>-4455850.1908959998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51360701.210000001</v>
      </c>
      <c r="G63" s="142">
        <v>51360701.210000001</v>
      </c>
      <c r="H63" s="142">
        <v>22938226.980000004</v>
      </c>
      <c r="I63" s="142">
        <v>74298928.190000013</v>
      </c>
      <c r="J63" s="142">
        <v>106601615.76068802</v>
      </c>
      <c r="K63" s="142">
        <v>180900543.95068803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190</v>
      </c>
      <c r="C66" s="134"/>
      <c r="D66" s="141">
        <v>0</v>
      </c>
      <c r="E66" s="141">
        <v>0</v>
      </c>
      <c r="F66" s="141">
        <v>856213.49000000034</v>
      </c>
      <c r="G66" s="141">
        <v>856213.49000000034</v>
      </c>
      <c r="H66" s="141">
        <v>4000634.0700000003</v>
      </c>
      <c r="I66" s="141">
        <v>4856847.5600000005</v>
      </c>
      <c r="J66" s="141">
        <v>3367889.5700000022</v>
      </c>
      <c r="K66" s="141">
        <v>8224737.1300000027</v>
      </c>
    </row>
    <row r="67" spans="1:11" x14ac:dyDescent="0.25">
      <c r="A67" s="135">
        <v>57</v>
      </c>
      <c r="B67" s="134" t="s">
        <v>191</v>
      </c>
      <c r="C67" s="134"/>
      <c r="D67" s="141">
        <v>0</v>
      </c>
      <c r="E67" s="141">
        <v>0</v>
      </c>
      <c r="F67" s="141">
        <v>37040.739959999999</v>
      </c>
      <c r="G67" s="141">
        <v>37040.739959999999</v>
      </c>
      <c r="H67" s="141">
        <v>268195.00570799998</v>
      </c>
      <c r="I67" s="141">
        <v>305235.74566799996</v>
      </c>
      <c r="J67" s="141">
        <v>388831.84666200064</v>
      </c>
      <c r="K67" s="141">
        <v>694067.5923300006</v>
      </c>
    </row>
    <row r="68" spans="1:11" x14ac:dyDescent="0.25">
      <c r="A68" s="135">
        <v>58</v>
      </c>
      <c r="B68" s="134" t="s">
        <v>192</v>
      </c>
      <c r="C68" s="134"/>
      <c r="D68" s="141">
        <v>0</v>
      </c>
      <c r="E68" s="141">
        <v>0</v>
      </c>
      <c r="F68" s="142">
        <v>856872.86</v>
      </c>
      <c r="G68" s="142">
        <v>856872.86</v>
      </c>
      <c r="H68" s="142">
        <v>2010015.4100000001</v>
      </c>
      <c r="I68" s="142">
        <v>2866888.27</v>
      </c>
      <c r="J68" s="142">
        <v>3447073.4500000007</v>
      </c>
      <c r="K68" s="142">
        <v>6313961.7200000007</v>
      </c>
    </row>
    <row r="69" spans="1:11" x14ac:dyDescent="0.25">
      <c r="A69" s="135">
        <v>59</v>
      </c>
      <c r="B69" s="134" t="s">
        <v>193</v>
      </c>
      <c r="C69" s="134"/>
      <c r="D69" s="143">
        <v>0</v>
      </c>
      <c r="E69" s="143">
        <v>0</v>
      </c>
      <c r="F69" s="144">
        <v>959799.34339799988</v>
      </c>
      <c r="G69" s="144">
        <v>959799.34339799988</v>
      </c>
      <c r="H69" s="144">
        <v>5534330.0756519986</v>
      </c>
      <c r="I69" s="144">
        <v>6494129.4190499987</v>
      </c>
      <c r="J69" s="144">
        <v>8775367.555962</v>
      </c>
      <c r="K69" s="144">
        <v>15269496.975011999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2709926.4333580006</v>
      </c>
      <c r="G70" s="142">
        <v>2709926.4333580006</v>
      </c>
      <c r="H70" s="142">
        <v>11813174.561359998</v>
      </c>
      <c r="I70" s="142">
        <v>14523100.994717998</v>
      </c>
      <c r="J70" s="142">
        <v>15979162.422624003</v>
      </c>
      <c r="K70" s="142">
        <v>30502263.417342003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2709926.4333580006</v>
      </c>
      <c r="G72" s="142">
        <v>2709926.4333580006</v>
      </c>
      <c r="H72" s="142">
        <v>11813174.561359998</v>
      </c>
      <c r="I72" s="142">
        <v>14523100.994717998</v>
      </c>
      <c r="J72" s="142">
        <v>15979162.422624003</v>
      </c>
      <c r="K72" s="142">
        <v>30502263.417342003</v>
      </c>
    </row>
    <row r="73" spans="1:11" x14ac:dyDescent="0.25">
      <c r="A73" s="135">
        <v>63</v>
      </c>
      <c r="B73" s="134"/>
      <c r="C73" s="134"/>
      <c r="D73" s="141">
        <v>0</v>
      </c>
      <c r="E73" s="141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-569084.55100518011</v>
      </c>
      <c r="G74" s="144">
        <v>-569084.55100518011</v>
      </c>
      <c r="H74" s="144">
        <v>-2480766.6578855994</v>
      </c>
      <c r="I74" s="144">
        <v>-3049851.2088907794</v>
      </c>
      <c r="J74" s="144">
        <v>-3355624.1087510404</v>
      </c>
      <c r="K74" s="144">
        <v>-6405475.3176418208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-2140841.8823528206</v>
      </c>
      <c r="G76" s="147">
        <v>-2140841.8823528206</v>
      </c>
      <c r="H76" s="147">
        <v>-9332407.903474398</v>
      </c>
      <c r="I76" s="147">
        <v>-11473249.785827219</v>
      </c>
      <c r="J76" s="147">
        <v>-12623538.313872963</v>
      </c>
      <c r="K76" s="147">
        <v>-24096788.099700183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194</v>
      </c>
      <c r="C78" s="134"/>
      <c r="D78" s="141">
        <v>0</v>
      </c>
      <c r="E78" s="141">
        <v>0</v>
      </c>
      <c r="F78" s="142">
        <v>156886692.06526393</v>
      </c>
      <c r="G78" s="142">
        <v>156886692.06526393</v>
      </c>
      <c r="H78" s="142">
        <v>55423084.15476805</v>
      </c>
      <c r="I78" s="142">
        <v>212309776.22003198</v>
      </c>
      <c r="J78" s="142">
        <v>144501948.05288196</v>
      </c>
      <c r="K78" s="142">
        <v>356811724.27291393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-2709926.4333579992</v>
      </c>
      <c r="G79" s="142">
        <v>-2709926.4333579992</v>
      </c>
      <c r="H79" s="142">
        <v>-6374637.362270005</v>
      </c>
      <c r="I79" s="142">
        <v>-9084563.7956280038</v>
      </c>
      <c r="J79" s="142">
        <v>-22358467.786538001</v>
      </c>
      <c r="K79" s="142">
        <v>-31443031.582166005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-1612462.0256759999</v>
      </c>
      <c r="G80" s="144">
        <v>-1612462.0256759999</v>
      </c>
      <c r="H80" s="144">
        <v>-2101052.1965520009</v>
      </c>
      <c r="I80" s="144">
        <v>-3713514.2222280009</v>
      </c>
      <c r="J80" s="144">
        <v>-5394091.8467019992</v>
      </c>
      <c r="K80" s="144">
        <v>-9107606.0689300001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152564303.6062299</v>
      </c>
      <c r="G81" s="142">
        <v>152564303.6062299</v>
      </c>
      <c r="H81" s="142">
        <v>46947394.595946044</v>
      </c>
      <c r="I81" s="142">
        <v>199511698.20217597</v>
      </c>
      <c r="J81" s="142">
        <v>116749388.41964196</v>
      </c>
      <c r="K81" s="142">
        <v>316261086.62181795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190</v>
      </c>
      <c r="C84" s="134"/>
      <c r="D84" s="141">
        <v>0</v>
      </c>
      <c r="E84" s="141">
        <v>0</v>
      </c>
      <c r="F84" s="142">
        <v>4559058.5600000005</v>
      </c>
      <c r="G84" s="142">
        <v>4559058.5600000005</v>
      </c>
      <c r="H84" s="142">
        <v>16542635.009999998</v>
      </c>
      <c r="I84" s="142">
        <v>21101693.57</v>
      </c>
      <c r="J84" s="142">
        <v>24127983.37000002</v>
      </c>
      <c r="K84" s="142">
        <v>45229676.94000002</v>
      </c>
    </row>
    <row r="85" spans="1:11" x14ac:dyDescent="0.25">
      <c r="A85" s="135">
        <v>75</v>
      </c>
      <c r="B85" s="134" t="s">
        <v>191</v>
      </c>
      <c r="C85" s="134"/>
      <c r="D85" s="141">
        <v>0</v>
      </c>
      <c r="E85" s="141">
        <v>0</v>
      </c>
      <c r="F85" s="142">
        <v>1661005.9364219997</v>
      </c>
      <c r="G85" s="142">
        <v>1661005.9364219997</v>
      </c>
      <c r="H85" s="142">
        <v>846621.58249199972</v>
      </c>
      <c r="I85" s="142">
        <v>2507627.5189139992</v>
      </c>
      <c r="J85" s="142">
        <v>2886852.415314001</v>
      </c>
      <c r="K85" s="142">
        <v>5394479.9342280002</v>
      </c>
    </row>
    <row r="86" spans="1:11" x14ac:dyDescent="0.25">
      <c r="A86" s="135">
        <v>76</v>
      </c>
      <c r="B86" s="134" t="s">
        <v>192</v>
      </c>
      <c r="C86" s="134"/>
      <c r="D86" s="141">
        <v>0</v>
      </c>
      <c r="E86" s="141">
        <v>0</v>
      </c>
      <c r="F86" s="142">
        <v>1054489.3</v>
      </c>
      <c r="G86" s="142">
        <v>1054489.3</v>
      </c>
      <c r="H86" s="142">
        <v>2638616.21</v>
      </c>
      <c r="I86" s="142">
        <v>3693105.51</v>
      </c>
      <c r="J86" s="142">
        <v>5689034.6299999999</v>
      </c>
      <c r="K86" s="142">
        <v>9382140.1400000006</v>
      </c>
    </row>
    <row r="87" spans="1:11" x14ac:dyDescent="0.25">
      <c r="A87" s="135">
        <v>77</v>
      </c>
      <c r="B87" s="134" t="s">
        <v>193</v>
      </c>
      <c r="C87" s="134"/>
      <c r="D87" s="143">
        <v>0</v>
      </c>
      <c r="E87" s="143">
        <v>0</v>
      </c>
      <c r="F87" s="144">
        <v>2755859.9809019999</v>
      </c>
      <c r="G87" s="144">
        <v>2755859.9809019999</v>
      </c>
      <c r="H87" s="144">
        <v>9371733.2416259982</v>
      </c>
      <c r="I87" s="144">
        <v>12127593.222527998</v>
      </c>
      <c r="J87" s="144">
        <v>13501279.040927999</v>
      </c>
      <c r="K87" s="144">
        <v>25628872.263455994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10030413.777324</v>
      </c>
      <c r="G88" s="142">
        <v>10030413.777324</v>
      </c>
      <c r="H88" s="142">
        <v>29399606.044117998</v>
      </c>
      <c r="I88" s="142">
        <v>39430019.821441993</v>
      </c>
      <c r="J88" s="142">
        <v>46205149.456242017</v>
      </c>
      <c r="K88" s="142">
        <v>85635169.277684018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10030413.777324</v>
      </c>
      <c r="G90" s="142">
        <v>10030413.777324</v>
      </c>
      <c r="H90" s="142">
        <v>29399606.044117998</v>
      </c>
      <c r="I90" s="142">
        <v>39430019.821441993</v>
      </c>
      <c r="J90" s="142">
        <v>46205149.456242017</v>
      </c>
      <c r="K90" s="142">
        <v>85635169.277684018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-2106386.8932380402</v>
      </c>
      <c r="G92" s="144">
        <v>-2106386.8932380402</v>
      </c>
      <c r="H92" s="144">
        <v>-6173917.2692647791</v>
      </c>
      <c r="I92" s="144">
        <v>-8280304.1625028178</v>
      </c>
      <c r="J92" s="144">
        <v>-9703081.3858108241</v>
      </c>
      <c r="K92" s="144">
        <v>-17983385.548313644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-7924026.8840859607</v>
      </c>
      <c r="G94" s="147">
        <v>-7924026.8840859607</v>
      </c>
      <c r="H94" s="147">
        <v>-23225688.774853218</v>
      </c>
      <c r="I94" s="147">
        <v>-31149715.658939175</v>
      </c>
      <c r="J94" s="147">
        <v>-36502068.070431195</v>
      </c>
      <c r="K94" s="147">
        <v>-67651783.729370371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194</v>
      </c>
      <c r="C96" s="134"/>
      <c r="D96" s="141">
        <v>0</v>
      </c>
      <c r="E96" s="141">
        <v>0</v>
      </c>
      <c r="F96" s="142">
        <v>488246218.25586998</v>
      </c>
      <c r="G96" s="142">
        <v>488246218.25586998</v>
      </c>
      <c r="H96" s="142">
        <v>240706104.34136784</v>
      </c>
      <c r="I96" s="142">
        <v>728952322.59723783</v>
      </c>
      <c r="J96" s="142">
        <v>786997015.62893796</v>
      </c>
      <c r="K96" s="142">
        <v>1515949338.2261758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-10030413.777323999</v>
      </c>
      <c r="G97" s="142">
        <v>-10030413.777323999</v>
      </c>
      <c r="H97" s="142">
        <v>-17207207.451210003</v>
      </c>
      <c r="I97" s="142">
        <v>-27237621.228534006</v>
      </c>
      <c r="J97" s="142">
        <v>-61645951.902710006</v>
      </c>
      <c r="K97" s="142">
        <v>-88883573.131244004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-4742307.5805559997</v>
      </c>
      <c r="G98" s="144">
        <v>-4742307.5805559997</v>
      </c>
      <c r="H98" s="144">
        <v>-7927034.7257800009</v>
      </c>
      <c r="I98" s="144">
        <v>-12669342.306336001</v>
      </c>
      <c r="J98" s="144">
        <v>-21243880.650752001</v>
      </c>
      <c r="K98" s="144">
        <v>-33913222.957088001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473473496.89798999</v>
      </c>
      <c r="G99" s="142">
        <v>473473496.89798999</v>
      </c>
      <c r="H99" s="142">
        <v>215571862.16437784</v>
      </c>
      <c r="I99" s="142">
        <v>689045359.0623678</v>
      </c>
      <c r="J99" s="142">
        <v>704107183.07547605</v>
      </c>
      <c r="K99" s="142">
        <v>1393152542.1378438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187</v>
      </c>
    </row>
    <row r="2" spans="1:12" ht="15.75" thickBot="1" x14ac:dyDescent="0.3">
      <c r="A2" s="126" t="s">
        <v>112</v>
      </c>
      <c r="B2" s="127"/>
      <c r="L2" s="130" t="s">
        <v>195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114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 t="s">
        <v>142</v>
      </c>
      <c r="F6" s="151"/>
      <c r="G6" s="151" t="s">
        <v>142</v>
      </c>
      <c r="H6" s="151"/>
      <c r="I6" s="151" t="s">
        <v>143</v>
      </c>
      <c r="J6" s="151"/>
      <c r="K6" s="151" t="s">
        <v>143</v>
      </c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190</v>
      </c>
      <c r="D12" s="158">
        <v>0</v>
      </c>
      <c r="E12" s="159">
        <v>0</v>
      </c>
      <c r="F12" s="159">
        <v>0</v>
      </c>
      <c r="G12" s="159">
        <v>-2916126.0900000008</v>
      </c>
      <c r="H12" s="159">
        <v>-2916126.0900000008</v>
      </c>
      <c r="I12" s="159">
        <v>-6221238.26000001</v>
      </c>
      <c r="J12" s="159">
        <v>-9137364.3500000108</v>
      </c>
      <c r="K12" s="159">
        <v>-3602864.8999999873</v>
      </c>
      <c r="L12" s="159">
        <v>-12740229.249999998</v>
      </c>
    </row>
    <row r="13" spans="1:12" x14ac:dyDescent="0.25">
      <c r="A13" s="150">
        <v>3</v>
      </c>
      <c r="B13" s="149" t="s">
        <v>191</v>
      </c>
      <c r="D13" s="158">
        <v>0</v>
      </c>
      <c r="E13" s="159">
        <v>0</v>
      </c>
      <c r="F13" s="159">
        <v>0</v>
      </c>
      <c r="G13" s="159">
        <v>-27499.076892000001</v>
      </c>
      <c r="H13" s="159">
        <v>-27499.076892000001</v>
      </c>
      <c r="I13" s="159">
        <v>-169791.72163799999</v>
      </c>
      <c r="J13" s="159">
        <v>-197290.79853</v>
      </c>
      <c r="K13" s="159">
        <v>-147196.12118400002</v>
      </c>
      <c r="L13" s="159">
        <v>-344486.91971400002</v>
      </c>
    </row>
    <row r="14" spans="1:12" x14ac:dyDescent="0.25">
      <c r="A14" s="150">
        <v>4</v>
      </c>
      <c r="B14" s="149" t="s">
        <v>192</v>
      </c>
      <c r="D14" s="158">
        <v>0</v>
      </c>
      <c r="E14" s="159">
        <v>0</v>
      </c>
      <c r="F14" s="159">
        <v>0</v>
      </c>
      <c r="G14" s="159">
        <v>-30109.61</v>
      </c>
      <c r="H14" s="159">
        <v>-30109.61</v>
      </c>
      <c r="I14" s="159">
        <v>-42469.2</v>
      </c>
      <c r="J14" s="159">
        <v>-72578.81</v>
      </c>
      <c r="K14" s="159">
        <v>-42469.2</v>
      </c>
      <c r="L14" s="159">
        <v>-115048.01</v>
      </c>
    </row>
    <row r="15" spans="1:12" x14ac:dyDescent="0.25">
      <c r="A15" s="150">
        <v>5</v>
      </c>
      <c r="B15" s="149" t="s">
        <v>193</v>
      </c>
      <c r="D15" s="160">
        <v>0</v>
      </c>
      <c r="E15" s="161">
        <v>0</v>
      </c>
      <c r="F15" s="161">
        <v>0</v>
      </c>
      <c r="G15" s="161">
        <v>-137.18157599999998</v>
      </c>
      <c r="H15" s="161">
        <v>-137.18157599999998</v>
      </c>
      <c r="I15" s="161">
        <v>-143.14255199999999</v>
      </c>
      <c r="J15" s="161">
        <v>-280.32412799999997</v>
      </c>
      <c r="K15" s="161">
        <v>-143.14255200000002</v>
      </c>
      <c r="L15" s="161">
        <v>-423.46668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-2973871.9584680009</v>
      </c>
      <c r="H16" s="164">
        <v>-2973871.9584680009</v>
      </c>
      <c r="I16" s="164">
        <v>-6433642.3241900094</v>
      </c>
      <c r="J16" s="164">
        <v>-9407514.2826580107</v>
      </c>
      <c r="K16" s="164">
        <v>-3792673.3637359873</v>
      </c>
      <c r="L16" s="164">
        <v>-13200187.646393998</v>
      </c>
    </row>
    <row r="17" spans="1:15" x14ac:dyDescent="0.25">
      <c r="A17" s="150">
        <v>7</v>
      </c>
      <c r="B17" s="162" t="s">
        <v>196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197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198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-2973871.9584680009</v>
      </c>
      <c r="H20" s="159">
        <v>-2973871.9584680009</v>
      </c>
      <c r="I20" s="159">
        <v>-6433642.3241900094</v>
      </c>
      <c r="J20" s="159">
        <v>-9407514.2826580107</v>
      </c>
      <c r="K20" s="159">
        <v>-3792673.3637359873</v>
      </c>
      <c r="L20" s="159">
        <v>-13200187.646393998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-2973871.9584680009</v>
      </c>
      <c r="H22" s="159">
        <v>-2973871.9584680009</v>
      </c>
      <c r="I22" s="159">
        <v>-6433642.3241900094</v>
      </c>
      <c r="J22" s="159">
        <v>-9407514.2826580107</v>
      </c>
      <c r="K22" s="159">
        <v>-3792673.3637359873</v>
      </c>
      <c r="L22" s="159">
        <v>-13200187.646393998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624513.11127828015</v>
      </c>
      <c r="H24" s="164">
        <v>624513.11127828015</v>
      </c>
      <c r="I24" s="164">
        <v>1351064.8880799019</v>
      </c>
      <c r="J24" s="164">
        <v>1975577.9993581821</v>
      </c>
      <c r="K24" s="164">
        <v>796461.40638455737</v>
      </c>
      <c r="L24" s="164">
        <v>2772039.4057427393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399107.57837995887</v>
      </c>
      <c r="H25" s="164">
        <v>399107.57837995887</v>
      </c>
      <c r="I25" s="164">
        <v>426432.45898801833</v>
      </c>
      <c r="J25" s="164">
        <v>825540.0373679772</v>
      </c>
      <c r="K25" s="164">
        <v>116933.38469486125</v>
      </c>
      <c r="L25" s="164">
        <v>942473.42206283845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-648388.07391119981</v>
      </c>
      <c r="H26" s="164">
        <v>-648388.07391119981</v>
      </c>
      <c r="I26" s="164">
        <v>-78137.362856700318</v>
      </c>
      <c r="J26" s="164">
        <v>-726525.43676790013</v>
      </c>
      <c r="K26" s="164">
        <v>-656931.5863849197</v>
      </c>
      <c r="L26" s="164">
        <v>-1383457.0231528198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375232.61574703921</v>
      </c>
      <c r="H27" s="167">
        <v>375232.61574703921</v>
      </c>
      <c r="I27" s="167">
        <v>1699359.9842112199</v>
      </c>
      <c r="J27" s="167">
        <v>2074592.5999582589</v>
      </c>
      <c r="K27" s="167">
        <v>256463.20469449891</v>
      </c>
      <c r="L27" s="167">
        <v>2331055.8046527579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2598639.3427209617</v>
      </c>
      <c r="H29" s="169">
        <v>2598639.3427209617</v>
      </c>
      <c r="I29" s="169">
        <v>4734282.3399787899</v>
      </c>
      <c r="J29" s="169">
        <v>7332921.682699752</v>
      </c>
      <c r="K29" s="169">
        <v>3536210.1590414885</v>
      </c>
      <c r="L29" s="169">
        <v>10869131.84174124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/>
      <c r="E31" s="159"/>
      <c r="F31" s="159"/>
      <c r="G31" s="159"/>
      <c r="H31" s="159"/>
      <c r="I31" s="159"/>
      <c r="J31" s="159"/>
      <c r="K31" s="159"/>
      <c r="L31" s="159"/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2973871.9584680009</v>
      </c>
      <c r="H32" s="159">
        <v>2973871.9584680009</v>
      </c>
      <c r="I32" s="159">
        <v>4250861.0535299983</v>
      </c>
      <c r="J32" s="159">
        <v>7224733.0119979996</v>
      </c>
      <c r="K32" s="159">
        <v>11531408.077932002</v>
      </c>
      <c r="L32" s="159">
        <v>18756141.089930002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-9204702.5529085696</v>
      </c>
      <c r="H33" s="164">
        <v>-9204702.5529085696</v>
      </c>
      <c r="I33" s="164">
        <v>-4247453.0412445068</v>
      </c>
      <c r="J33" s="164">
        <v>-13452155.594153076</v>
      </c>
      <c r="K33" s="164">
        <v>-8769988.962394014</v>
      </c>
      <c r="L33" s="164">
        <v>-22222144.55654709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-399107.57837995887</v>
      </c>
      <c r="H34" s="164">
        <v>-399107.57837995887</v>
      </c>
      <c r="I34" s="164">
        <v>-382424.82552969456</v>
      </c>
      <c r="J34" s="164">
        <v>-781532.40390965343</v>
      </c>
      <c r="K34" s="164">
        <v>-878515.61561004817</v>
      </c>
      <c r="L34" s="164">
        <v>-1660048.0195197016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-6629938.1728205271</v>
      </c>
      <c r="H35" s="167">
        <v>-6629938.1728205271</v>
      </c>
      <c r="I35" s="167">
        <v>-379016.81324420311</v>
      </c>
      <c r="J35" s="167">
        <v>-7008954.9860647302</v>
      </c>
      <c r="K35" s="167">
        <v>1882903.4999279398</v>
      </c>
      <c r="L35" s="167">
        <v>-5126051.4861367904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xSplit="2" ySplit="10" topLeftCell="C80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RowHeight="15" x14ac:dyDescent="0.25"/>
  <cols>
    <col min="1" max="1" width="4.7109375" bestFit="1" customWidth="1"/>
    <col min="2" max="2" width="45.28515625" bestFit="1" customWidth="1"/>
    <col min="3" max="3" width="4.42578125" bestFit="1" customWidth="1"/>
    <col min="4" max="4" width="13.28515625" bestFit="1" customWidth="1"/>
    <col min="5" max="5" width="11.7109375" bestFit="1" customWidth="1"/>
    <col min="6" max="7" width="15.7109375" bestFit="1" customWidth="1"/>
    <col min="8" max="8" width="14.7109375" bestFit="1" customWidth="1"/>
    <col min="9" max="10" width="15.7109375" bestFit="1" customWidth="1"/>
    <col min="11" max="11" width="19.28515625" bestFit="1" customWidth="1"/>
  </cols>
  <sheetData>
    <row r="1" spans="1:11" x14ac:dyDescent="0.25">
      <c r="A1" s="126" t="s">
        <v>110</v>
      </c>
      <c r="B1" s="127"/>
      <c r="C1" s="127"/>
      <c r="D1" s="127"/>
      <c r="E1" s="127"/>
      <c r="F1" s="128"/>
      <c r="K1" s="129" t="s">
        <v>139</v>
      </c>
    </row>
    <row r="2" spans="1:11" ht="15.75" thickBot="1" x14ac:dyDescent="0.3">
      <c r="A2" s="126" t="s">
        <v>112</v>
      </c>
      <c r="B2" s="127"/>
      <c r="C2" s="127"/>
      <c r="D2" s="127"/>
      <c r="E2" s="127"/>
      <c r="F2" s="128"/>
      <c r="K2" s="130" t="s">
        <v>141</v>
      </c>
    </row>
    <row r="3" spans="1:11" x14ac:dyDescent="0.25">
      <c r="A3" s="126" t="s">
        <v>113</v>
      </c>
      <c r="B3" s="127"/>
      <c r="C3" s="127"/>
      <c r="D3" s="127"/>
      <c r="E3" s="127"/>
      <c r="F3" s="128"/>
      <c r="G3" s="131"/>
    </row>
    <row r="4" spans="1:11" x14ac:dyDescent="0.25">
      <c r="A4" s="126"/>
      <c r="B4" s="132" t="s">
        <v>140</v>
      </c>
      <c r="C4" s="127"/>
      <c r="D4" s="127"/>
      <c r="E4" s="127"/>
      <c r="F4" s="128"/>
      <c r="G4" s="127"/>
    </row>
    <row r="5" spans="1:11" x14ac:dyDescent="0.25">
      <c r="A5" s="133" t="s">
        <v>126</v>
      </c>
      <c r="B5" s="134"/>
      <c r="C5" s="134"/>
      <c r="D5" s="135"/>
      <c r="E5" s="135" t="s">
        <v>142</v>
      </c>
      <c r="F5" s="135"/>
      <c r="G5" s="135" t="s">
        <v>142</v>
      </c>
      <c r="H5" s="135"/>
      <c r="I5" s="135" t="s">
        <v>143</v>
      </c>
      <c r="J5" s="135"/>
      <c r="K5" s="135" t="s">
        <v>143</v>
      </c>
    </row>
    <row r="6" spans="1:11" x14ac:dyDescent="0.25">
      <c r="A6" s="134"/>
      <c r="B6" s="134"/>
      <c r="C6" s="134"/>
      <c r="D6" s="135"/>
      <c r="E6" s="135"/>
      <c r="F6" s="135"/>
      <c r="G6" s="135"/>
      <c r="H6" s="135"/>
      <c r="I6" s="135"/>
      <c r="J6" s="135"/>
      <c r="K6" s="135"/>
    </row>
    <row r="7" spans="1:11" x14ac:dyDescent="0.25">
      <c r="A7" s="134"/>
      <c r="B7" s="134"/>
      <c r="C7" s="134"/>
      <c r="D7" s="135"/>
      <c r="E7" s="135" t="s">
        <v>144</v>
      </c>
      <c r="F7" s="135">
        <v>2022</v>
      </c>
      <c r="G7" s="135" t="s">
        <v>145</v>
      </c>
      <c r="H7" s="135">
        <v>2023</v>
      </c>
      <c r="I7" s="135" t="s">
        <v>145</v>
      </c>
      <c r="J7" s="135">
        <v>2024</v>
      </c>
      <c r="K7" s="135" t="s">
        <v>145</v>
      </c>
    </row>
    <row r="8" spans="1:11" x14ac:dyDescent="0.25">
      <c r="A8" s="134"/>
      <c r="B8" s="134"/>
      <c r="C8" s="136"/>
      <c r="D8" s="137" t="s">
        <v>146</v>
      </c>
      <c r="E8" s="135" t="s">
        <v>145</v>
      </c>
      <c r="F8" s="135" t="s">
        <v>147</v>
      </c>
      <c r="G8" s="135" t="s">
        <v>148</v>
      </c>
      <c r="H8" s="135" t="s">
        <v>149</v>
      </c>
      <c r="I8" s="135" t="s">
        <v>148</v>
      </c>
      <c r="J8" s="135" t="s">
        <v>150</v>
      </c>
      <c r="K8" s="135" t="s">
        <v>148</v>
      </c>
    </row>
    <row r="9" spans="1:11" x14ac:dyDescent="0.25">
      <c r="A9" s="135" t="s">
        <v>115</v>
      </c>
      <c r="B9" s="5"/>
      <c r="C9" s="138"/>
      <c r="D9" s="138" t="s">
        <v>151</v>
      </c>
      <c r="E9" s="135" t="s">
        <v>152</v>
      </c>
      <c r="F9" s="135" t="s">
        <v>153</v>
      </c>
      <c r="G9" s="135" t="s">
        <v>154</v>
      </c>
      <c r="H9" s="135" t="s">
        <v>153</v>
      </c>
      <c r="I9" s="135" t="s">
        <v>155</v>
      </c>
      <c r="J9" s="135" t="s">
        <v>153</v>
      </c>
      <c r="K9" s="135" t="s">
        <v>155</v>
      </c>
    </row>
    <row r="10" spans="1:11" x14ac:dyDescent="0.25">
      <c r="A10" s="139" t="s">
        <v>156</v>
      </c>
      <c r="B10" s="139" t="s">
        <v>157</v>
      </c>
      <c r="C10" s="139"/>
      <c r="D10" s="139" t="s">
        <v>158</v>
      </c>
      <c r="E10" s="139" t="s">
        <v>159</v>
      </c>
      <c r="F10" s="139" t="s">
        <v>158</v>
      </c>
      <c r="G10" s="139" t="s">
        <v>149</v>
      </c>
      <c r="H10" s="139" t="s">
        <v>158</v>
      </c>
      <c r="I10" s="139" t="s">
        <v>149</v>
      </c>
      <c r="J10" s="139" t="s">
        <v>158</v>
      </c>
      <c r="K10" s="139" t="s">
        <v>150</v>
      </c>
    </row>
    <row r="11" spans="1:11" ht="18.75" x14ac:dyDescent="0.3">
      <c r="A11" s="135">
        <v>1</v>
      </c>
      <c r="B11" s="140" t="s">
        <v>160</v>
      </c>
      <c r="C11" s="138"/>
      <c r="D11" s="138"/>
      <c r="E11" s="134"/>
      <c r="F11" s="134"/>
      <c r="G11" s="134"/>
      <c r="H11" s="134"/>
      <c r="I11" s="134"/>
      <c r="J11" s="134"/>
      <c r="K11" s="134"/>
    </row>
    <row r="12" spans="1:11" x14ac:dyDescent="0.25">
      <c r="A12" s="135">
        <v>2</v>
      </c>
      <c r="B12" s="134" t="s">
        <v>161</v>
      </c>
      <c r="C12" s="134"/>
      <c r="D12" s="141">
        <v>0</v>
      </c>
      <c r="E12" s="141">
        <v>0</v>
      </c>
      <c r="F12" s="141">
        <v>1447082.16</v>
      </c>
      <c r="G12" s="141">
        <v>1447082.16</v>
      </c>
      <c r="H12" s="142">
        <v>3938648.669999999</v>
      </c>
      <c r="I12" s="142">
        <v>5385730.8299999991</v>
      </c>
      <c r="J12" s="142">
        <v>8049741.3200000031</v>
      </c>
      <c r="K12" s="142">
        <v>13435472.150000002</v>
      </c>
    </row>
    <row r="13" spans="1:11" x14ac:dyDescent="0.25">
      <c r="A13" s="135">
        <v>3</v>
      </c>
      <c r="B13" s="134" t="s">
        <v>162</v>
      </c>
      <c r="C13" s="134"/>
      <c r="D13" s="141">
        <v>0</v>
      </c>
      <c r="E13" s="141">
        <v>0</v>
      </c>
      <c r="F13" s="141">
        <v>838827.03353800008</v>
      </c>
      <c r="G13" s="141">
        <v>838827.03353800008</v>
      </c>
      <c r="H13" s="142">
        <v>298774.78321599995</v>
      </c>
      <c r="I13" s="142">
        <v>1137601.816754</v>
      </c>
      <c r="J13" s="142">
        <v>1286033.1509740001</v>
      </c>
      <c r="K13" s="142">
        <v>2423634.9677280001</v>
      </c>
    </row>
    <row r="14" spans="1:11" x14ac:dyDescent="0.25">
      <c r="A14" s="135">
        <v>4</v>
      </c>
      <c r="B14" s="134" t="s">
        <v>163</v>
      </c>
      <c r="C14" s="134"/>
      <c r="D14" s="141">
        <v>0</v>
      </c>
      <c r="E14" s="141">
        <v>0</v>
      </c>
      <c r="F14" s="141">
        <v>1295.3399999999999</v>
      </c>
      <c r="G14" s="141">
        <v>1295.3399999999999</v>
      </c>
      <c r="H14" s="142">
        <v>2628.66</v>
      </c>
      <c r="I14" s="142">
        <v>3924</v>
      </c>
      <c r="J14" s="142">
        <v>2706.42</v>
      </c>
      <c r="K14" s="142">
        <v>6630.42</v>
      </c>
    </row>
    <row r="15" spans="1:11" x14ac:dyDescent="0.25">
      <c r="A15" s="135">
        <v>5</v>
      </c>
      <c r="B15" s="134" t="s">
        <v>164</v>
      </c>
      <c r="C15" s="134"/>
      <c r="D15" s="143">
        <v>0</v>
      </c>
      <c r="E15" s="143">
        <v>0</v>
      </c>
      <c r="F15" s="143">
        <v>927719.52249600005</v>
      </c>
      <c r="G15" s="143">
        <v>927719.52249600005</v>
      </c>
      <c r="H15" s="144">
        <v>1982134.5440260004</v>
      </c>
      <c r="I15" s="144">
        <v>2909854.0665220004</v>
      </c>
      <c r="J15" s="144">
        <v>2242247.9711060002</v>
      </c>
      <c r="K15" s="144">
        <v>5152102.0376280006</v>
      </c>
    </row>
    <row r="16" spans="1:11" x14ac:dyDescent="0.25">
      <c r="A16" s="135">
        <v>6</v>
      </c>
      <c r="B16" s="134" t="s">
        <v>165</v>
      </c>
      <c r="C16" s="134"/>
      <c r="D16" s="141">
        <v>0</v>
      </c>
      <c r="E16" s="141">
        <v>0</v>
      </c>
      <c r="F16" s="141">
        <v>3214924.0560339997</v>
      </c>
      <c r="G16" s="141">
        <v>3214924.0560339997</v>
      </c>
      <c r="H16" s="142">
        <v>6222186.6572419992</v>
      </c>
      <c r="I16" s="142">
        <v>9437110.7132759988</v>
      </c>
      <c r="J16" s="142">
        <v>11580728.862080004</v>
      </c>
      <c r="K16" s="142">
        <v>21017839.575356003</v>
      </c>
    </row>
    <row r="17" spans="1:11" x14ac:dyDescent="0.25">
      <c r="A17" s="135">
        <v>7</v>
      </c>
      <c r="B17" s="134"/>
      <c r="C17" s="134"/>
      <c r="D17" s="141"/>
      <c r="E17" s="141"/>
      <c r="F17" s="141"/>
      <c r="G17" s="141"/>
      <c r="H17" s="142"/>
      <c r="I17" s="142"/>
      <c r="J17" s="142"/>
      <c r="K17" s="142"/>
    </row>
    <row r="18" spans="1:11" x14ac:dyDescent="0.25">
      <c r="A18" s="135">
        <v>8</v>
      </c>
      <c r="B18" s="134" t="s">
        <v>166</v>
      </c>
      <c r="C18" s="134"/>
      <c r="D18" s="141">
        <v>0</v>
      </c>
      <c r="E18" s="141">
        <v>0</v>
      </c>
      <c r="F18" s="141">
        <v>3214924.0560339997</v>
      </c>
      <c r="G18" s="141">
        <v>3214924.0560339997</v>
      </c>
      <c r="H18" s="142">
        <v>6222186.6572419992</v>
      </c>
      <c r="I18" s="142">
        <v>9437110.7132759988</v>
      </c>
      <c r="J18" s="142">
        <v>11580728.862080004</v>
      </c>
      <c r="K18" s="142">
        <v>21017839.575356003</v>
      </c>
    </row>
    <row r="19" spans="1:11" x14ac:dyDescent="0.25">
      <c r="A19" s="135">
        <v>9</v>
      </c>
      <c r="B19" s="134"/>
      <c r="C19" s="134"/>
      <c r="D19" s="141">
        <v>0</v>
      </c>
      <c r="E19" s="141">
        <v>0</v>
      </c>
      <c r="F19" s="141">
        <v>0</v>
      </c>
      <c r="G19" s="141">
        <v>0</v>
      </c>
      <c r="H19" s="142">
        <v>0</v>
      </c>
      <c r="I19" s="142">
        <v>0</v>
      </c>
      <c r="J19" s="142">
        <v>0</v>
      </c>
      <c r="K19" s="142">
        <v>0</v>
      </c>
    </row>
    <row r="20" spans="1:11" x14ac:dyDescent="0.25">
      <c r="A20" s="135">
        <v>10</v>
      </c>
      <c r="B20" s="134" t="s">
        <v>167</v>
      </c>
      <c r="C20" s="145">
        <v>0.21</v>
      </c>
      <c r="D20" s="143">
        <v>0</v>
      </c>
      <c r="E20" s="143">
        <v>0</v>
      </c>
      <c r="F20" s="143">
        <v>-675134.05176713993</v>
      </c>
      <c r="G20" s="143">
        <v>-675134.05176713993</v>
      </c>
      <c r="H20" s="144">
        <v>-1306659.1980208198</v>
      </c>
      <c r="I20" s="144">
        <v>-1981793.2497879597</v>
      </c>
      <c r="J20" s="144">
        <v>-2431953.061036801</v>
      </c>
      <c r="K20" s="144">
        <v>-4413746.3108247602</v>
      </c>
    </row>
    <row r="21" spans="1:11" x14ac:dyDescent="0.25">
      <c r="A21" s="135">
        <v>11</v>
      </c>
      <c r="B21" s="134"/>
      <c r="C21" s="134"/>
      <c r="D21" s="141"/>
      <c r="E21" s="141"/>
      <c r="F21" s="141"/>
      <c r="G21" s="141"/>
      <c r="H21" s="142"/>
      <c r="I21" s="142"/>
      <c r="J21" s="142"/>
      <c r="K21" s="142"/>
    </row>
    <row r="22" spans="1:11" ht="15.75" thickBot="1" x14ac:dyDescent="0.3">
      <c r="A22" s="135">
        <v>12</v>
      </c>
      <c r="B22" s="114" t="s">
        <v>168</v>
      </c>
      <c r="C22" s="134"/>
      <c r="D22" s="146">
        <v>0</v>
      </c>
      <c r="E22" s="146">
        <v>0</v>
      </c>
      <c r="F22" s="146">
        <v>-2539790.00426686</v>
      </c>
      <c r="G22" s="146">
        <v>-2539790.00426686</v>
      </c>
      <c r="H22" s="147">
        <v>-4915527.4592211796</v>
      </c>
      <c r="I22" s="147">
        <v>-7455317.4634880386</v>
      </c>
      <c r="J22" s="147">
        <v>-9148775.8010432031</v>
      </c>
      <c r="K22" s="147">
        <v>-16604093.264531244</v>
      </c>
    </row>
    <row r="23" spans="1:11" ht="15.75" thickTop="1" x14ac:dyDescent="0.25">
      <c r="A23" s="135">
        <v>13</v>
      </c>
      <c r="B23" s="134"/>
      <c r="C23" s="134"/>
      <c r="D23" s="141"/>
      <c r="E23" s="141"/>
      <c r="F23" s="141"/>
      <c r="G23" s="141"/>
      <c r="H23" s="142"/>
      <c r="I23" s="142"/>
      <c r="J23" s="142"/>
      <c r="K23" s="142"/>
    </row>
    <row r="24" spans="1:11" x14ac:dyDescent="0.25">
      <c r="A24" s="135">
        <v>14</v>
      </c>
      <c r="B24" s="134" t="s">
        <v>169</v>
      </c>
      <c r="C24" s="134"/>
      <c r="D24" s="141">
        <v>0</v>
      </c>
      <c r="E24" s="141">
        <v>0</v>
      </c>
      <c r="F24" s="141">
        <v>123742113.26939401</v>
      </c>
      <c r="G24" s="141">
        <v>123742113.26939401</v>
      </c>
      <c r="H24" s="142">
        <v>58558976.493400007</v>
      </c>
      <c r="I24" s="142">
        <v>182301089.76279402</v>
      </c>
      <c r="J24" s="142">
        <v>213051242.67724001</v>
      </c>
      <c r="K24" s="142">
        <v>395352332.44003403</v>
      </c>
    </row>
    <row r="25" spans="1:11" x14ac:dyDescent="0.25">
      <c r="A25" s="135">
        <v>15</v>
      </c>
      <c r="B25" s="134" t="s">
        <v>170</v>
      </c>
      <c r="C25" s="134"/>
      <c r="D25" s="141">
        <v>0</v>
      </c>
      <c r="E25" s="141">
        <v>0</v>
      </c>
      <c r="F25" s="141">
        <v>-3214924.0560340001</v>
      </c>
      <c r="G25" s="141">
        <v>-3214924.0560340001</v>
      </c>
      <c r="H25" s="142">
        <v>-4147223.9910600004</v>
      </c>
      <c r="I25" s="142">
        <v>-7362148.0470940005</v>
      </c>
      <c r="J25" s="142">
        <v>-15191827.695540005</v>
      </c>
      <c r="K25" s="142">
        <v>-22553975.742634006</v>
      </c>
    </row>
    <row r="26" spans="1:11" x14ac:dyDescent="0.25">
      <c r="A26" s="135">
        <v>16</v>
      </c>
      <c r="B26" s="134" t="s">
        <v>49</v>
      </c>
      <c r="C26" s="134"/>
      <c r="D26" s="143">
        <v>0</v>
      </c>
      <c r="E26" s="143">
        <v>0</v>
      </c>
      <c r="F26" s="144">
        <v>-1026111.84512</v>
      </c>
      <c r="G26" s="144">
        <v>-1026111.84512</v>
      </c>
      <c r="H26" s="144">
        <v>-2552947.7107720003</v>
      </c>
      <c r="I26" s="144">
        <v>-3579059.555892</v>
      </c>
      <c r="J26" s="144">
        <v>-5979722.9368460011</v>
      </c>
      <c r="K26" s="144">
        <v>-9558782.492738001</v>
      </c>
    </row>
    <row r="27" spans="1:11" x14ac:dyDescent="0.25">
      <c r="A27" s="135">
        <v>17</v>
      </c>
      <c r="B27" s="114" t="s">
        <v>171</v>
      </c>
      <c r="C27" s="134"/>
      <c r="D27" s="141">
        <v>0</v>
      </c>
      <c r="E27" s="141">
        <v>0</v>
      </c>
      <c r="F27" s="142">
        <v>119501077.36824001</v>
      </c>
      <c r="G27" s="142">
        <v>119501077.36824001</v>
      </c>
      <c r="H27" s="142">
        <v>51858804.791568004</v>
      </c>
      <c r="I27" s="142">
        <v>171359882.15980804</v>
      </c>
      <c r="J27" s="142">
        <v>191879692.04485402</v>
      </c>
      <c r="K27" s="142">
        <v>363239574.20466202</v>
      </c>
    </row>
    <row r="28" spans="1:11" x14ac:dyDescent="0.25">
      <c r="A28" s="135">
        <v>18</v>
      </c>
      <c r="B28" s="134"/>
      <c r="C28" s="134"/>
      <c r="D28" s="141"/>
      <c r="E28" s="141"/>
      <c r="F28" s="141"/>
      <c r="G28" s="141"/>
      <c r="H28" s="148"/>
      <c r="I28" s="148"/>
      <c r="J28" s="148"/>
      <c r="K28" s="148"/>
    </row>
    <row r="29" spans="1:11" ht="18.75" x14ac:dyDescent="0.3">
      <c r="A29" s="135">
        <v>19</v>
      </c>
      <c r="B29" s="140" t="s">
        <v>172</v>
      </c>
      <c r="C29" s="134"/>
      <c r="D29" s="141"/>
      <c r="E29" s="141"/>
      <c r="F29" s="141"/>
      <c r="G29" s="141"/>
      <c r="H29" s="148"/>
      <c r="I29" s="148"/>
      <c r="J29" s="148"/>
      <c r="K29" s="148"/>
    </row>
    <row r="30" spans="1:11" x14ac:dyDescent="0.25">
      <c r="A30" s="135">
        <v>20</v>
      </c>
      <c r="B30" s="134" t="s">
        <v>161</v>
      </c>
      <c r="C30" s="134"/>
      <c r="D30" s="141">
        <v>0</v>
      </c>
      <c r="E30" s="141">
        <v>0</v>
      </c>
      <c r="F30" s="141">
        <v>1340113.0399999996</v>
      </c>
      <c r="G30" s="141">
        <v>1340113.0399999996</v>
      </c>
      <c r="H30" s="142">
        <v>2078844.5500000007</v>
      </c>
      <c r="I30" s="142">
        <v>3418957.5900000003</v>
      </c>
      <c r="J30" s="142">
        <v>2327081.959999992</v>
      </c>
      <c r="K30" s="142">
        <v>5746039.5499999924</v>
      </c>
    </row>
    <row r="31" spans="1:11" x14ac:dyDescent="0.25">
      <c r="A31" s="135">
        <v>21</v>
      </c>
      <c r="B31" s="134" t="s">
        <v>162</v>
      </c>
      <c r="C31" s="134"/>
      <c r="D31" s="141">
        <v>0</v>
      </c>
      <c r="E31" s="141">
        <v>0</v>
      </c>
      <c r="F31" s="141">
        <v>0</v>
      </c>
      <c r="G31" s="141">
        <v>0</v>
      </c>
      <c r="H31" s="142">
        <v>0</v>
      </c>
      <c r="I31" s="142">
        <v>0</v>
      </c>
      <c r="J31" s="142">
        <v>0</v>
      </c>
      <c r="K31" s="142">
        <v>0</v>
      </c>
    </row>
    <row r="32" spans="1:11" x14ac:dyDescent="0.25">
      <c r="A32" s="135">
        <v>22</v>
      </c>
      <c r="B32" s="134" t="s">
        <v>163</v>
      </c>
      <c r="C32" s="134"/>
      <c r="D32" s="141">
        <v>0</v>
      </c>
      <c r="E32" s="141">
        <v>0</v>
      </c>
      <c r="F32" s="141">
        <v>0</v>
      </c>
      <c r="G32" s="141">
        <v>0</v>
      </c>
      <c r="H32" s="142">
        <v>0</v>
      </c>
      <c r="I32" s="142">
        <v>0</v>
      </c>
      <c r="J32" s="142">
        <v>0</v>
      </c>
      <c r="K32" s="142">
        <v>0</v>
      </c>
    </row>
    <row r="33" spans="1:11" x14ac:dyDescent="0.25">
      <c r="A33" s="135">
        <v>23</v>
      </c>
      <c r="B33" s="134" t="s">
        <v>164</v>
      </c>
      <c r="C33" s="134"/>
      <c r="D33" s="143">
        <v>0</v>
      </c>
      <c r="E33" s="143">
        <v>0</v>
      </c>
      <c r="F33" s="143">
        <v>0</v>
      </c>
      <c r="G33" s="143">
        <v>0</v>
      </c>
      <c r="H33" s="144">
        <v>0</v>
      </c>
      <c r="I33" s="144">
        <v>0</v>
      </c>
      <c r="J33" s="144">
        <v>0</v>
      </c>
      <c r="K33" s="144">
        <v>0</v>
      </c>
    </row>
    <row r="34" spans="1:11" x14ac:dyDescent="0.25">
      <c r="A34" s="135">
        <v>24</v>
      </c>
      <c r="B34" s="134" t="s">
        <v>165</v>
      </c>
      <c r="C34" s="134"/>
      <c r="D34" s="141">
        <v>0</v>
      </c>
      <c r="E34" s="141">
        <v>0</v>
      </c>
      <c r="F34" s="141">
        <v>1340113.0399999996</v>
      </c>
      <c r="G34" s="141">
        <v>1340113.0399999996</v>
      </c>
      <c r="H34" s="142">
        <v>2078844.5500000007</v>
      </c>
      <c r="I34" s="142">
        <v>3418957.5900000003</v>
      </c>
      <c r="J34" s="142">
        <v>2327081.959999992</v>
      </c>
      <c r="K34" s="142">
        <v>5746039.5499999924</v>
      </c>
    </row>
    <row r="35" spans="1:11" x14ac:dyDescent="0.25">
      <c r="A35" s="135">
        <v>25</v>
      </c>
      <c r="B35" s="134"/>
      <c r="C35" s="134"/>
      <c r="D35" s="141"/>
      <c r="E35" s="141"/>
      <c r="F35" s="141"/>
      <c r="G35" s="141"/>
      <c r="H35" s="142"/>
      <c r="I35" s="142"/>
      <c r="J35" s="142"/>
      <c r="K35" s="142"/>
    </row>
    <row r="36" spans="1:11" x14ac:dyDescent="0.25">
      <c r="A36" s="135">
        <v>26</v>
      </c>
      <c r="B36" s="134" t="s">
        <v>166</v>
      </c>
      <c r="C36" s="134"/>
      <c r="D36" s="141">
        <v>0</v>
      </c>
      <c r="E36" s="141">
        <v>0</v>
      </c>
      <c r="F36" s="141">
        <v>1340113.0399999996</v>
      </c>
      <c r="G36" s="141">
        <v>1340113.0399999996</v>
      </c>
      <c r="H36" s="142">
        <v>2078844.5500000007</v>
      </c>
      <c r="I36" s="142">
        <v>3418957.5900000003</v>
      </c>
      <c r="J36" s="142">
        <v>2327081.959999992</v>
      </c>
      <c r="K36" s="142">
        <v>5746039.5499999924</v>
      </c>
    </row>
    <row r="37" spans="1:11" x14ac:dyDescent="0.25">
      <c r="A37" s="135">
        <v>27</v>
      </c>
      <c r="B37" s="134"/>
      <c r="C37" s="134"/>
      <c r="D37" s="141"/>
      <c r="E37" s="141"/>
      <c r="F37" s="141"/>
      <c r="G37" s="141"/>
      <c r="H37" s="142"/>
      <c r="I37" s="142"/>
      <c r="J37" s="142"/>
      <c r="K37" s="142"/>
    </row>
    <row r="38" spans="1:11" x14ac:dyDescent="0.25">
      <c r="A38" s="135">
        <v>28</v>
      </c>
      <c r="B38" s="134" t="s">
        <v>167</v>
      </c>
      <c r="C38" s="145">
        <v>0.21</v>
      </c>
      <c r="D38" s="143">
        <v>0</v>
      </c>
      <c r="E38" s="143">
        <v>0</v>
      </c>
      <c r="F38" s="143">
        <v>-281423.73839999991</v>
      </c>
      <c r="G38" s="143">
        <v>-281423.73839999991</v>
      </c>
      <c r="H38" s="144">
        <v>-436557.35550000012</v>
      </c>
      <c r="I38" s="144">
        <v>-717981.09390000009</v>
      </c>
      <c r="J38" s="144">
        <v>-488687.21159999829</v>
      </c>
      <c r="K38" s="144">
        <v>-1206668.3054999984</v>
      </c>
    </row>
    <row r="39" spans="1:11" x14ac:dyDescent="0.25">
      <c r="A39" s="135">
        <v>29</v>
      </c>
      <c r="B39" s="134"/>
      <c r="C39" s="134"/>
      <c r="D39" s="141"/>
      <c r="E39" s="141"/>
      <c r="F39" s="141"/>
      <c r="G39" s="141"/>
      <c r="H39" s="142"/>
      <c r="I39" s="142"/>
      <c r="J39" s="142"/>
      <c r="K39" s="142"/>
    </row>
    <row r="40" spans="1:11" ht="15.75" thickBot="1" x14ac:dyDescent="0.3">
      <c r="A40" s="135">
        <v>30</v>
      </c>
      <c r="B40" s="114" t="s">
        <v>168</v>
      </c>
      <c r="C40" s="134"/>
      <c r="D40" s="146">
        <v>0</v>
      </c>
      <c r="E40" s="146">
        <v>0</v>
      </c>
      <c r="F40" s="146">
        <v>-1058689.3015999997</v>
      </c>
      <c r="G40" s="146">
        <v>-1058689.3015999997</v>
      </c>
      <c r="H40" s="147">
        <v>-1642287.1945000007</v>
      </c>
      <c r="I40" s="147">
        <v>-2700976.4961000001</v>
      </c>
      <c r="J40" s="147">
        <v>-1838394.7483999939</v>
      </c>
      <c r="K40" s="147">
        <v>-4539371.2444999944</v>
      </c>
    </row>
    <row r="41" spans="1:11" ht="15.75" thickTop="1" x14ac:dyDescent="0.25">
      <c r="A41" s="135">
        <v>31</v>
      </c>
      <c r="B41" s="134"/>
      <c r="C41" s="134"/>
      <c r="D41" s="141"/>
      <c r="E41" s="141"/>
      <c r="F41" s="141"/>
      <c r="G41" s="141"/>
      <c r="H41" s="142"/>
      <c r="I41" s="142"/>
      <c r="J41" s="142"/>
      <c r="K41" s="142"/>
    </row>
    <row r="42" spans="1:11" x14ac:dyDescent="0.25">
      <c r="A42" s="135">
        <v>32</v>
      </c>
      <c r="B42" s="134" t="s">
        <v>169</v>
      </c>
      <c r="C42" s="134"/>
      <c r="D42" s="141">
        <v>0</v>
      </c>
      <c r="E42" s="141">
        <v>0</v>
      </c>
      <c r="F42" s="141">
        <v>120233571.84</v>
      </c>
      <c r="G42" s="141">
        <v>120233571.84</v>
      </c>
      <c r="H42" s="142">
        <v>6769603.1400000006</v>
      </c>
      <c r="I42" s="142">
        <v>127003174.98</v>
      </c>
      <c r="J42" s="142">
        <v>85663988.109999999</v>
      </c>
      <c r="K42" s="142">
        <v>212667163.09</v>
      </c>
    </row>
    <row r="43" spans="1:11" x14ac:dyDescent="0.25">
      <c r="A43" s="135">
        <v>33</v>
      </c>
      <c r="B43" s="134" t="s">
        <v>170</v>
      </c>
      <c r="C43" s="134"/>
      <c r="D43" s="141">
        <v>0</v>
      </c>
      <c r="E43" s="141">
        <v>0</v>
      </c>
      <c r="F43" s="141">
        <v>-1340113.0399999998</v>
      </c>
      <c r="G43" s="141">
        <v>-1340113.0399999998</v>
      </c>
      <c r="H43" s="142">
        <v>-1679780.6700000016</v>
      </c>
      <c r="I43" s="142">
        <v>-3019893.7100000014</v>
      </c>
      <c r="J43" s="142">
        <v>-4258615.8499999996</v>
      </c>
      <c r="K43" s="142">
        <v>-7278509.5600000005</v>
      </c>
    </row>
    <row r="44" spans="1:11" x14ac:dyDescent="0.25">
      <c r="A44" s="135">
        <v>34</v>
      </c>
      <c r="B44" s="134" t="s">
        <v>49</v>
      </c>
      <c r="C44" s="134"/>
      <c r="D44" s="143">
        <v>0</v>
      </c>
      <c r="E44" s="143">
        <v>0</v>
      </c>
      <c r="F44" s="143">
        <v>-665426.30999999994</v>
      </c>
      <c r="G44" s="143">
        <v>-665426.30999999994</v>
      </c>
      <c r="H44" s="144">
        <v>-566950.43999999983</v>
      </c>
      <c r="I44" s="144">
        <v>-1232376.7499999998</v>
      </c>
      <c r="J44" s="144">
        <v>-1606280.4200000011</v>
      </c>
      <c r="K44" s="144">
        <v>-2838657.1700000009</v>
      </c>
    </row>
    <row r="45" spans="1:11" x14ac:dyDescent="0.25">
      <c r="A45" s="135">
        <v>35</v>
      </c>
      <c r="B45" s="114" t="s">
        <v>171</v>
      </c>
      <c r="C45" s="134"/>
      <c r="D45" s="141">
        <v>0</v>
      </c>
      <c r="E45" s="141">
        <v>0</v>
      </c>
      <c r="F45" s="141">
        <v>118228032.48999999</v>
      </c>
      <c r="G45" s="141">
        <v>118228032.48999999</v>
      </c>
      <c r="H45" s="142">
        <v>4522872.0299999993</v>
      </c>
      <c r="I45" s="142">
        <v>122750904.52</v>
      </c>
      <c r="J45" s="142">
        <v>79799091.840000004</v>
      </c>
      <c r="K45" s="142">
        <v>202549996.36000001</v>
      </c>
    </row>
    <row r="46" spans="1:11" x14ac:dyDescent="0.25">
      <c r="A46" s="135">
        <v>36</v>
      </c>
      <c r="B46" s="134"/>
      <c r="C46" s="134"/>
      <c r="D46" s="141"/>
      <c r="E46" s="141"/>
      <c r="F46" s="141"/>
      <c r="G46" s="141"/>
      <c r="H46" s="148"/>
      <c r="I46" s="148"/>
      <c r="J46" s="148"/>
      <c r="K46" s="148"/>
    </row>
    <row r="47" spans="1:11" ht="18.75" x14ac:dyDescent="0.3">
      <c r="A47" s="135">
        <v>37</v>
      </c>
      <c r="B47" s="140" t="s">
        <v>173</v>
      </c>
      <c r="C47" s="134"/>
      <c r="D47" s="141"/>
      <c r="E47" s="141"/>
      <c r="F47" s="141"/>
      <c r="G47" s="141"/>
      <c r="H47" s="148"/>
      <c r="I47" s="148"/>
      <c r="J47" s="148"/>
      <c r="K47" s="148"/>
    </row>
    <row r="48" spans="1:11" x14ac:dyDescent="0.25">
      <c r="A48" s="135">
        <v>38</v>
      </c>
      <c r="B48" s="134" t="s">
        <v>161</v>
      </c>
      <c r="C48" s="134"/>
      <c r="D48" s="141">
        <v>0</v>
      </c>
      <c r="E48" s="141">
        <v>0</v>
      </c>
      <c r="F48" s="142">
        <v>16135.4</v>
      </c>
      <c r="G48" s="142">
        <v>16135.4</v>
      </c>
      <c r="H48" s="142">
        <v>16618.120000000003</v>
      </c>
      <c r="I48" s="142">
        <v>32753.52</v>
      </c>
      <c r="J48" s="142">
        <v>0</v>
      </c>
      <c r="K48" s="142">
        <v>32753.52</v>
      </c>
    </row>
    <row r="49" spans="1:11" x14ac:dyDescent="0.25">
      <c r="A49" s="135">
        <v>39</v>
      </c>
      <c r="B49" s="134" t="s">
        <v>162</v>
      </c>
      <c r="C49" s="134"/>
      <c r="D49" s="141">
        <v>0</v>
      </c>
      <c r="E49" s="141">
        <v>0</v>
      </c>
      <c r="F49" s="142">
        <v>0</v>
      </c>
      <c r="G49" s="142">
        <v>0</v>
      </c>
      <c r="H49" s="142">
        <v>0</v>
      </c>
      <c r="I49" s="142">
        <v>0</v>
      </c>
      <c r="J49" s="142">
        <v>4269.8603739999999</v>
      </c>
      <c r="K49" s="142">
        <v>4269.8603739999999</v>
      </c>
    </row>
    <row r="50" spans="1:11" x14ac:dyDescent="0.25">
      <c r="A50" s="135">
        <v>40</v>
      </c>
      <c r="B50" s="134" t="s">
        <v>163</v>
      </c>
      <c r="C50" s="134"/>
      <c r="D50" s="141">
        <v>0</v>
      </c>
      <c r="E50" s="141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</row>
    <row r="51" spans="1:11" x14ac:dyDescent="0.25">
      <c r="A51" s="135">
        <v>41</v>
      </c>
      <c r="B51" s="134" t="s">
        <v>164</v>
      </c>
      <c r="C51" s="134"/>
      <c r="D51" s="143">
        <v>0</v>
      </c>
      <c r="E51" s="143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198827.93392800001</v>
      </c>
      <c r="K51" s="144">
        <v>198827.93392800001</v>
      </c>
    </row>
    <row r="52" spans="1:11" x14ac:dyDescent="0.25">
      <c r="A52" s="135">
        <v>42</v>
      </c>
      <c r="B52" s="134" t="s">
        <v>165</v>
      </c>
      <c r="C52" s="134"/>
      <c r="D52" s="141">
        <v>0</v>
      </c>
      <c r="E52" s="141">
        <v>0</v>
      </c>
      <c r="F52" s="142">
        <v>16135.4</v>
      </c>
      <c r="G52" s="142">
        <v>16135.4</v>
      </c>
      <c r="H52" s="142">
        <v>16618.120000000003</v>
      </c>
      <c r="I52" s="142">
        <v>32753.52</v>
      </c>
      <c r="J52" s="142">
        <v>203097.79430200002</v>
      </c>
      <c r="K52" s="142">
        <v>235851.31430200001</v>
      </c>
    </row>
    <row r="53" spans="1:11" x14ac:dyDescent="0.25">
      <c r="A53" s="135">
        <v>43</v>
      </c>
      <c r="B53" s="134"/>
      <c r="C53" s="134"/>
      <c r="D53" s="141"/>
      <c r="E53" s="141"/>
      <c r="F53" s="142"/>
      <c r="G53" s="142"/>
      <c r="H53" s="142"/>
      <c r="I53" s="142"/>
      <c r="J53" s="142"/>
      <c r="K53" s="142"/>
    </row>
    <row r="54" spans="1:11" x14ac:dyDescent="0.25">
      <c r="A54" s="135">
        <v>44</v>
      </c>
      <c r="B54" s="134" t="s">
        <v>166</v>
      </c>
      <c r="C54" s="134"/>
      <c r="D54" s="141">
        <v>0</v>
      </c>
      <c r="E54" s="141">
        <v>0</v>
      </c>
      <c r="F54" s="142">
        <v>16135.4</v>
      </c>
      <c r="G54" s="142">
        <v>16135.4</v>
      </c>
      <c r="H54" s="142">
        <v>16618.120000000003</v>
      </c>
      <c r="I54" s="142">
        <v>32753.52</v>
      </c>
      <c r="J54" s="142">
        <v>203097.79430200002</v>
      </c>
      <c r="K54" s="142">
        <v>235851.31430200001</v>
      </c>
    </row>
    <row r="55" spans="1:11" x14ac:dyDescent="0.25">
      <c r="A55" s="135">
        <v>45</v>
      </c>
      <c r="B55" s="134"/>
      <c r="C55" s="134"/>
      <c r="D55" s="141"/>
      <c r="E55" s="141"/>
      <c r="F55" s="142"/>
      <c r="G55" s="142"/>
      <c r="H55" s="142"/>
      <c r="I55" s="142"/>
      <c r="J55" s="142"/>
      <c r="K55" s="142"/>
    </row>
    <row r="56" spans="1:11" x14ac:dyDescent="0.25">
      <c r="A56" s="135">
        <v>46</v>
      </c>
      <c r="B56" s="134" t="s">
        <v>167</v>
      </c>
      <c r="C56" s="145">
        <v>0.21</v>
      </c>
      <c r="D56" s="143">
        <v>0</v>
      </c>
      <c r="E56" s="143">
        <v>0</v>
      </c>
      <c r="F56" s="144">
        <v>-3388.4339999999997</v>
      </c>
      <c r="G56" s="144">
        <v>-3388.4339999999997</v>
      </c>
      <c r="H56" s="144">
        <v>-3489.8052000000002</v>
      </c>
      <c r="I56" s="144">
        <v>-6878.2392</v>
      </c>
      <c r="J56" s="144">
        <v>-42650.53680342</v>
      </c>
      <c r="K56" s="144">
        <v>-49528.776003420004</v>
      </c>
    </row>
    <row r="57" spans="1:11" x14ac:dyDescent="0.25">
      <c r="A57" s="135">
        <v>47</v>
      </c>
      <c r="B57" s="134"/>
      <c r="C57" s="134"/>
      <c r="D57" s="141"/>
      <c r="E57" s="141"/>
      <c r="F57" s="142"/>
      <c r="G57" s="142"/>
      <c r="H57" s="142"/>
      <c r="I57" s="142"/>
      <c r="J57" s="142"/>
      <c r="K57" s="142"/>
    </row>
    <row r="58" spans="1:11" ht="15.75" thickBot="1" x14ac:dyDescent="0.3">
      <c r="A58" s="135">
        <v>48</v>
      </c>
      <c r="B58" s="114" t="s">
        <v>168</v>
      </c>
      <c r="C58" s="134"/>
      <c r="D58" s="146">
        <v>0</v>
      </c>
      <c r="E58" s="146">
        <v>0</v>
      </c>
      <c r="F58" s="147">
        <v>-12746.966</v>
      </c>
      <c r="G58" s="147">
        <v>-12746.966</v>
      </c>
      <c r="H58" s="147">
        <v>-13128.314800000002</v>
      </c>
      <c r="I58" s="147">
        <v>-25875.2808</v>
      </c>
      <c r="J58" s="147">
        <v>-160447.25749858003</v>
      </c>
      <c r="K58" s="147">
        <v>-186322.53829858001</v>
      </c>
    </row>
    <row r="59" spans="1:11" ht="15.75" thickTop="1" x14ac:dyDescent="0.25">
      <c r="A59" s="135">
        <v>49</v>
      </c>
      <c r="B59" s="134"/>
      <c r="C59" s="134"/>
      <c r="D59" s="141"/>
      <c r="E59" s="141"/>
      <c r="F59" s="142"/>
      <c r="G59" s="142"/>
      <c r="H59" s="142"/>
      <c r="I59" s="142"/>
      <c r="J59" s="142"/>
      <c r="K59" s="142"/>
    </row>
    <row r="60" spans="1:11" x14ac:dyDescent="0.25">
      <c r="A60" s="135">
        <v>50</v>
      </c>
      <c r="B60" s="134" t="s">
        <v>169</v>
      </c>
      <c r="C60" s="134"/>
      <c r="D60" s="141">
        <v>0</v>
      </c>
      <c r="E60" s="141">
        <v>0</v>
      </c>
      <c r="F60" s="142">
        <v>1256366.2</v>
      </c>
      <c r="G60" s="142">
        <v>1256366.2</v>
      </c>
      <c r="H60" s="142">
        <v>0</v>
      </c>
      <c r="I60" s="142">
        <v>1256366.2</v>
      </c>
      <c r="J60" s="142">
        <v>2055930.3467039999</v>
      </c>
      <c r="K60" s="142">
        <v>3312296.5467039999</v>
      </c>
    </row>
    <row r="61" spans="1:11" x14ac:dyDescent="0.25">
      <c r="A61" s="135">
        <v>51</v>
      </c>
      <c r="B61" s="134" t="s">
        <v>170</v>
      </c>
      <c r="C61" s="134"/>
      <c r="D61" s="141">
        <v>0</v>
      </c>
      <c r="E61" s="141">
        <v>0</v>
      </c>
      <c r="F61" s="142">
        <v>-16135.4</v>
      </c>
      <c r="G61" s="142">
        <v>-16135.4</v>
      </c>
      <c r="H61" s="142">
        <v>-16376.760000000004</v>
      </c>
      <c r="I61" s="142">
        <v>-32512.160000000003</v>
      </c>
      <c r="J61" s="142">
        <v>-91237.418288000001</v>
      </c>
      <c r="K61" s="142">
        <v>-123749.578288</v>
      </c>
    </row>
    <row r="62" spans="1:11" x14ac:dyDescent="0.25">
      <c r="A62" s="135">
        <v>52</v>
      </c>
      <c r="B62" s="134" t="s">
        <v>49</v>
      </c>
      <c r="C62" s="134"/>
      <c r="D62" s="143">
        <v>0</v>
      </c>
      <c r="E62" s="143">
        <v>0</v>
      </c>
      <c r="F62" s="144">
        <v>-6505.43</v>
      </c>
      <c r="G62" s="144">
        <v>-6505.43</v>
      </c>
      <c r="H62" s="144">
        <v>-5636.8000000000011</v>
      </c>
      <c r="I62" s="144">
        <v>-12142.230000000001</v>
      </c>
      <c r="J62" s="144">
        <v>-74473.43910399999</v>
      </c>
      <c r="K62" s="144">
        <v>-86615.669103999986</v>
      </c>
    </row>
    <row r="63" spans="1:11" x14ac:dyDescent="0.25">
      <c r="A63" s="135">
        <v>53</v>
      </c>
      <c r="B63" s="114" t="s">
        <v>171</v>
      </c>
      <c r="C63" s="134"/>
      <c r="D63" s="141">
        <v>0</v>
      </c>
      <c r="E63" s="141">
        <v>0</v>
      </c>
      <c r="F63" s="142">
        <v>1233725.3700000001</v>
      </c>
      <c r="G63" s="142">
        <v>1233725.3700000001</v>
      </c>
      <c r="H63" s="142">
        <v>-22013.560000000005</v>
      </c>
      <c r="I63" s="142">
        <v>1211711.81</v>
      </c>
      <c r="J63" s="142">
        <v>1890219.4893120001</v>
      </c>
      <c r="K63" s="142">
        <v>3101931.2993119997</v>
      </c>
    </row>
    <row r="64" spans="1:11" x14ac:dyDescent="0.25">
      <c r="A64" s="135">
        <v>54</v>
      </c>
      <c r="B64" s="134"/>
      <c r="C64" s="134"/>
      <c r="D64" s="141"/>
      <c r="E64" s="141"/>
      <c r="F64" s="148"/>
      <c r="G64" s="148"/>
      <c r="H64" s="148"/>
      <c r="I64" s="141"/>
      <c r="J64" s="141"/>
      <c r="K64" s="141"/>
    </row>
    <row r="65" spans="1:11" ht="18.75" x14ac:dyDescent="0.3">
      <c r="A65" s="135">
        <v>55</v>
      </c>
      <c r="B65" s="140" t="s">
        <v>26</v>
      </c>
      <c r="C65" s="134"/>
      <c r="D65" s="141"/>
      <c r="E65" s="141"/>
      <c r="F65" s="141"/>
      <c r="G65" s="141"/>
      <c r="H65" s="141"/>
      <c r="I65" s="141"/>
      <c r="J65" s="141"/>
      <c r="K65" s="141"/>
    </row>
    <row r="66" spans="1:11" x14ac:dyDescent="0.25">
      <c r="A66" s="135">
        <v>56</v>
      </c>
      <c r="B66" s="134" t="s">
        <v>161</v>
      </c>
      <c r="C66" s="134"/>
      <c r="D66" s="141">
        <v>0</v>
      </c>
      <c r="E66" s="141">
        <v>0</v>
      </c>
      <c r="F66" s="141">
        <v>152201.17000000004</v>
      </c>
      <c r="G66" s="141">
        <v>152201.17000000004</v>
      </c>
      <c r="H66" s="141">
        <v>651335.60000000009</v>
      </c>
      <c r="I66" s="141">
        <v>803536.77000000014</v>
      </c>
      <c r="J66" s="141">
        <v>547635.70999999985</v>
      </c>
      <c r="K66" s="141">
        <v>1351172.48</v>
      </c>
    </row>
    <row r="67" spans="1:11" x14ac:dyDescent="0.25">
      <c r="A67" s="135">
        <v>57</v>
      </c>
      <c r="B67" s="134" t="s">
        <v>162</v>
      </c>
      <c r="C67" s="134"/>
      <c r="D67" s="141">
        <v>0</v>
      </c>
      <c r="E67" s="141">
        <v>0</v>
      </c>
      <c r="F67" s="141">
        <v>19132.660039999999</v>
      </c>
      <c r="G67" s="141">
        <v>19132.660039999999</v>
      </c>
      <c r="H67" s="141">
        <v>138530.814292</v>
      </c>
      <c r="I67" s="141">
        <v>157663.47433199998</v>
      </c>
      <c r="J67" s="141">
        <v>200843.38333800036</v>
      </c>
      <c r="K67" s="141">
        <v>358506.85767000035</v>
      </c>
    </row>
    <row r="68" spans="1:11" x14ac:dyDescent="0.25">
      <c r="A68" s="135">
        <v>58</v>
      </c>
      <c r="B68" s="134" t="s">
        <v>163</v>
      </c>
      <c r="C68" s="134"/>
      <c r="D68" s="141">
        <v>0</v>
      </c>
      <c r="E68" s="141">
        <v>0</v>
      </c>
      <c r="F68" s="142">
        <v>15725.449999999999</v>
      </c>
      <c r="G68" s="142">
        <v>15725.449999999999</v>
      </c>
      <c r="H68" s="142">
        <v>661119.55000000005</v>
      </c>
      <c r="I68" s="142">
        <v>676845</v>
      </c>
      <c r="J68" s="142">
        <v>487562.7200000002</v>
      </c>
      <c r="K68" s="142">
        <v>1164407.7200000002</v>
      </c>
    </row>
    <row r="69" spans="1:11" x14ac:dyDescent="0.25">
      <c r="A69" s="135">
        <v>59</v>
      </c>
      <c r="B69" s="134" t="s">
        <v>164</v>
      </c>
      <c r="C69" s="134"/>
      <c r="D69" s="143">
        <v>0</v>
      </c>
      <c r="E69" s="143">
        <v>0</v>
      </c>
      <c r="F69" s="144">
        <v>495765.32660200004</v>
      </c>
      <c r="G69" s="144">
        <v>495765.32660200004</v>
      </c>
      <c r="H69" s="144">
        <v>2858648.5043479996</v>
      </c>
      <c r="I69" s="144">
        <v>3354413.8309499999</v>
      </c>
      <c r="J69" s="144">
        <v>4532742.1740380004</v>
      </c>
      <c r="K69" s="144">
        <v>7887156.0049879998</v>
      </c>
    </row>
    <row r="70" spans="1:11" x14ac:dyDescent="0.25">
      <c r="A70" s="135">
        <v>60</v>
      </c>
      <c r="B70" s="134" t="s">
        <v>165</v>
      </c>
      <c r="C70" s="134"/>
      <c r="D70" s="141">
        <v>0</v>
      </c>
      <c r="E70" s="141">
        <v>0</v>
      </c>
      <c r="F70" s="142">
        <v>682824.60664200014</v>
      </c>
      <c r="G70" s="142">
        <v>682824.60664200014</v>
      </c>
      <c r="H70" s="142">
        <v>4309634.4686399996</v>
      </c>
      <c r="I70" s="142">
        <v>4992459.075282</v>
      </c>
      <c r="J70" s="142">
        <v>5768783.9873760007</v>
      </c>
      <c r="K70" s="142">
        <v>10761243.062658001</v>
      </c>
    </row>
    <row r="71" spans="1:11" x14ac:dyDescent="0.25">
      <c r="A71" s="135">
        <v>61</v>
      </c>
      <c r="B71" s="134"/>
      <c r="C71" s="134"/>
      <c r="D71" s="141"/>
      <c r="E71" s="141"/>
      <c r="F71" s="141"/>
      <c r="G71" s="141"/>
      <c r="H71" s="141"/>
      <c r="I71" s="141"/>
      <c r="J71" s="141"/>
      <c r="K71" s="141"/>
    </row>
    <row r="72" spans="1:11" x14ac:dyDescent="0.25">
      <c r="A72" s="135">
        <v>62</v>
      </c>
      <c r="B72" s="134" t="s">
        <v>166</v>
      </c>
      <c r="C72" s="134"/>
      <c r="D72" s="141">
        <v>0</v>
      </c>
      <c r="E72" s="141">
        <v>0</v>
      </c>
      <c r="F72" s="142">
        <v>682824.60664200014</v>
      </c>
      <c r="G72" s="142">
        <v>682824.60664200014</v>
      </c>
      <c r="H72" s="142">
        <v>4309634.4686399996</v>
      </c>
      <c r="I72" s="142">
        <v>4992459.075282</v>
      </c>
      <c r="J72" s="142">
        <v>5768783.9873760007</v>
      </c>
      <c r="K72" s="142">
        <v>10761243.062658001</v>
      </c>
    </row>
    <row r="73" spans="1:11" x14ac:dyDescent="0.25">
      <c r="A73" s="135">
        <v>63</v>
      </c>
      <c r="B73" s="134"/>
      <c r="C73" s="134"/>
      <c r="D73" s="141"/>
      <c r="E73" s="141"/>
      <c r="F73" s="142"/>
      <c r="G73" s="142"/>
      <c r="H73" s="142"/>
      <c r="I73" s="142"/>
      <c r="J73" s="142"/>
      <c r="K73" s="142"/>
    </row>
    <row r="74" spans="1:11" x14ac:dyDescent="0.25">
      <c r="A74" s="135">
        <v>64</v>
      </c>
      <c r="B74" s="134" t="s">
        <v>167</v>
      </c>
      <c r="C74" s="145">
        <v>0.21</v>
      </c>
      <c r="D74" s="143">
        <v>0</v>
      </c>
      <c r="E74" s="143">
        <v>0</v>
      </c>
      <c r="F74" s="144">
        <v>-143393.16739482002</v>
      </c>
      <c r="G74" s="144">
        <v>-143393.16739482002</v>
      </c>
      <c r="H74" s="144">
        <v>-905023.23841439991</v>
      </c>
      <c r="I74" s="144">
        <v>-1048416.4058092199</v>
      </c>
      <c r="J74" s="144">
        <v>-1211444.6373489602</v>
      </c>
      <c r="K74" s="144">
        <v>-2259861.0431581801</v>
      </c>
    </row>
    <row r="75" spans="1:11" x14ac:dyDescent="0.25">
      <c r="A75" s="135">
        <v>65</v>
      </c>
      <c r="B75" s="134"/>
      <c r="C75" s="134"/>
      <c r="D75" s="141"/>
      <c r="E75" s="141"/>
      <c r="F75" s="142"/>
      <c r="G75" s="142"/>
      <c r="H75" s="142"/>
      <c r="I75" s="142"/>
      <c r="J75" s="142"/>
      <c r="K75" s="142"/>
    </row>
    <row r="76" spans="1:11" ht="15.75" thickBot="1" x14ac:dyDescent="0.3">
      <c r="A76" s="135">
        <v>66</v>
      </c>
      <c r="B76" s="114" t="s">
        <v>168</v>
      </c>
      <c r="C76" s="134"/>
      <c r="D76" s="146">
        <v>0</v>
      </c>
      <c r="E76" s="146">
        <v>0</v>
      </c>
      <c r="F76" s="147">
        <v>-539431.43924718013</v>
      </c>
      <c r="G76" s="147">
        <v>-539431.43924718013</v>
      </c>
      <c r="H76" s="147">
        <v>-3404611.2302255998</v>
      </c>
      <c r="I76" s="147">
        <v>-3944042.6694727801</v>
      </c>
      <c r="J76" s="147">
        <v>-4557339.3500270406</v>
      </c>
      <c r="K76" s="147">
        <v>-8501382.0194998197</v>
      </c>
    </row>
    <row r="77" spans="1:11" ht="15.75" thickTop="1" x14ac:dyDescent="0.25">
      <c r="A77" s="135">
        <v>67</v>
      </c>
      <c r="B77" s="134"/>
      <c r="C77" s="134"/>
      <c r="D77" s="141"/>
      <c r="E77" s="141"/>
      <c r="F77" s="148"/>
      <c r="G77" s="148"/>
      <c r="H77" s="148"/>
      <c r="I77" s="148"/>
      <c r="J77" s="148"/>
      <c r="K77" s="148"/>
    </row>
    <row r="78" spans="1:11" x14ac:dyDescent="0.25">
      <c r="A78" s="135">
        <v>68</v>
      </c>
      <c r="B78" s="134" t="s">
        <v>169</v>
      </c>
      <c r="C78" s="134"/>
      <c r="D78" s="141">
        <v>0</v>
      </c>
      <c r="E78" s="141">
        <v>0</v>
      </c>
      <c r="F78" s="142">
        <v>29948655.494736001</v>
      </c>
      <c r="G78" s="142">
        <v>29948655.494736001</v>
      </c>
      <c r="H78" s="142">
        <v>18365621.695232004</v>
      </c>
      <c r="I78" s="142">
        <v>48314277.189968005</v>
      </c>
      <c r="J78" s="142">
        <v>48559199.787118003</v>
      </c>
      <c r="K78" s="142">
        <v>96873476.977086008</v>
      </c>
    </row>
    <row r="79" spans="1:11" x14ac:dyDescent="0.25">
      <c r="A79" s="135">
        <v>69</v>
      </c>
      <c r="B79" s="134" t="s">
        <v>170</v>
      </c>
      <c r="C79" s="134"/>
      <c r="D79" s="141">
        <v>0</v>
      </c>
      <c r="E79" s="141">
        <v>0</v>
      </c>
      <c r="F79" s="142">
        <v>-682824.60664199991</v>
      </c>
      <c r="G79" s="142">
        <v>-682824.60664199991</v>
      </c>
      <c r="H79" s="142">
        <v>-2131223.117730001</v>
      </c>
      <c r="I79" s="142">
        <v>-2814047.7243720009</v>
      </c>
      <c r="J79" s="142">
        <v>-7944094.2734619956</v>
      </c>
      <c r="K79" s="142">
        <v>-10758141.997833997</v>
      </c>
    </row>
    <row r="80" spans="1:11" x14ac:dyDescent="0.25">
      <c r="A80" s="135">
        <v>70</v>
      </c>
      <c r="B80" s="134" t="s">
        <v>49</v>
      </c>
      <c r="C80" s="134"/>
      <c r="D80" s="143">
        <v>0</v>
      </c>
      <c r="E80" s="143">
        <v>0</v>
      </c>
      <c r="F80" s="144">
        <v>-253046.63432400001</v>
      </c>
      <c r="G80" s="144">
        <v>-253046.63432400001</v>
      </c>
      <c r="H80" s="144">
        <v>-492947.63344800007</v>
      </c>
      <c r="I80" s="144">
        <v>-745994.26777200005</v>
      </c>
      <c r="J80" s="144">
        <v>-1323038.6732980001</v>
      </c>
      <c r="K80" s="144">
        <v>-2069032.9410700002</v>
      </c>
    </row>
    <row r="81" spans="1:11" x14ac:dyDescent="0.25">
      <c r="A81" s="135">
        <v>71</v>
      </c>
      <c r="B81" s="114" t="s">
        <v>171</v>
      </c>
      <c r="C81" s="134"/>
      <c r="D81" s="141">
        <v>0</v>
      </c>
      <c r="E81" s="141">
        <v>0</v>
      </c>
      <c r="F81" s="142">
        <v>29012784.253770001</v>
      </c>
      <c r="G81" s="142">
        <v>29012784.253770001</v>
      </c>
      <c r="H81" s="142">
        <v>15741450.944054004</v>
      </c>
      <c r="I81" s="142">
        <v>44754235.197824009</v>
      </c>
      <c r="J81" s="142">
        <v>39292066.840358004</v>
      </c>
      <c r="K81" s="142">
        <v>84046302.038182005</v>
      </c>
    </row>
    <row r="82" spans="1:11" x14ac:dyDescent="0.25">
      <c r="A82" s="135">
        <v>72</v>
      </c>
      <c r="B82" s="134"/>
      <c r="C82" s="134"/>
      <c r="D82" s="141"/>
      <c r="E82" s="141"/>
      <c r="F82" s="148"/>
      <c r="G82" s="148"/>
      <c r="H82" s="148"/>
      <c r="I82" s="148"/>
      <c r="J82" s="148"/>
      <c r="K82" s="148"/>
    </row>
    <row r="83" spans="1:11" ht="18.75" x14ac:dyDescent="0.3">
      <c r="A83" s="135">
        <v>73</v>
      </c>
      <c r="B83" s="140" t="s">
        <v>174</v>
      </c>
      <c r="C83" s="134"/>
      <c r="D83" s="141"/>
      <c r="E83" s="141"/>
      <c r="F83" s="148"/>
      <c r="G83" s="148"/>
      <c r="H83" s="148"/>
      <c r="I83" s="148"/>
      <c r="J83" s="148"/>
      <c r="K83" s="148"/>
    </row>
    <row r="84" spans="1:11" x14ac:dyDescent="0.25">
      <c r="A84" s="135">
        <v>74</v>
      </c>
      <c r="B84" s="134" t="s">
        <v>161</v>
      </c>
      <c r="C84" s="134"/>
      <c r="D84" s="141">
        <v>0</v>
      </c>
      <c r="E84" s="141">
        <v>0</v>
      </c>
      <c r="F84" s="142">
        <v>2955531.7699999996</v>
      </c>
      <c r="G84" s="142">
        <v>2955531.7699999996</v>
      </c>
      <c r="H84" s="142">
        <v>6685446.9399999995</v>
      </c>
      <c r="I84" s="142">
        <v>9640978.709999999</v>
      </c>
      <c r="J84" s="142">
        <v>10924458.989999995</v>
      </c>
      <c r="K84" s="142">
        <v>20565437.699999996</v>
      </c>
    </row>
    <row r="85" spans="1:11" x14ac:dyDescent="0.25">
      <c r="A85" s="135">
        <v>75</v>
      </c>
      <c r="B85" s="134" t="s">
        <v>162</v>
      </c>
      <c r="C85" s="134"/>
      <c r="D85" s="141">
        <v>0</v>
      </c>
      <c r="E85" s="141">
        <v>0</v>
      </c>
      <c r="F85" s="142">
        <v>857959.69357800006</v>
      </c>
      <c r="G85" s="142">
        <v>857959.69357800006</v>
      </c>
      <c r="H85" s="142">
        <v>437305.59750799998</v>
      </c>
      <c r="I85" s="142">
        <v>1295265.2910859999</v>
      </c>
      <c r="J85" s="142">
        <v>1491146.3946860004</v>
      </c>
      <c r="K85" s="142">
        <v>2786411.6857720003</v>
      </c>
    </row>
    <row r="86" spans="1:11" x14ac:dyDescent="0.25">
      <c r="A86" s="135">
        <v>76</v>
      </c>
      <c r="B86" s="134" t="s">
        <v>163</v>
      </c>
      <c r="C86" s="134"/>
      <c r="D86" s="141">
        <v>0</v>
      </c>
      <c r="E86" s="141">
        <v>0</v>
      </c>
      <c r="F86" s="142">
        <v>17020.789999999997</v>
      </c>
      <c r="G86" s="142">
        <v>17020.789999999997</v>
      </c>
      <c r="H86" s="142">
        <v>663748.21000000008</v>
      </c>
      <c r="I86" s="142">
        <v>680769.00000000012</v>
      </c>
      <c r="J86" s="142">
        <v>490269.14000000019</v>
      </c>
      <c r="K86" s="142">
        <v>1171038.1400000004</v>
      </c>
    </row>
    <row r="87" spans="1:11" x14ac:dyDescent="0.25">
      <c r="A87" s="135">
        <v>77</v>
      </c>
      <c r="B87" s="134" t="s">
        <v>164</v>
      </c>
      <c r="C87" s="134"/>
      <c r="D87" s="143">
        <v>0</v>
      </c>
      <c r="E87" s="143">
        <v>0</v>
      </c>
      <c r="F87" s="144">
        <v>1423484.8490980002</v>
      </c>
      <c r="G87" s="144">
        <v>1423484.8490980002</v>
      </c>
      <c r="H87" s="144">
        <v>4840783.048374</v>
      </c>
      <c r="I87" s="144">
        <v>6264267.8974719997</v>
      </c>
      <c r="J87" s="144">
        <v>6973818.0790720005</v>
      </c>
      <c r="K87" s="144">
        <v>13238085.976544</v>
      </c>
    </row>
    <row r="88" spans="1:11" x14ac:dyDescent="0.25">
      <c r="A88" s="135">
        <v>78</v>
      </c>
      <c r="B88" s="134" t="s">
        <v>165</v>
      </c>
      <c r="C88" s="134"/>
      <c r="D88" s="141">
        <v>0</v>
      </c>
      <c r="E88" s="141">
        <v>0</v>
      </c>
      <c r="F88" s="142">
        <v>5253997.1026760004</v>
      </c>
      <c r="G88" s="142">
        <v>5253997.1026760004</v>
      </c>
      <c r="H88" s="142">
        <v>12627283.795882</v>
      </c>
      <c r="I88" s="142">
        <v>17881280.898557998</v>
      </c>
      <c r="J88" s="142">
        <v>19879692.603757996</v>
      </c>
      <c r="K88" s="142">
        <v>37760973.502315998</v>
      </c>
    </row>
    <row r="89" spans="1:11" x14ac:dyDescent="0.25">
      <c r="A89" s="135">
        <v>79</v>
      </c>
      <c r="B89" s="134"/>
      <c r="C89" s="134"/>
      <c r="D89" s="141"/>
      <c r="E89" s="141"/>
      <c r="F89" s="142"/>
      <c r="G89" s="142"/>
      <c r="H89" s="142"/>
      <c r="I89" s="142"/>
      <c r="J89" s="142"/>
      <c r="K89" s="142"/>
    </row>
    <row r="90" spans="1:11" x14ac:dyDescent="0.25">
      <c r="A90" s="135">
        <v>80</v>
      </c>
      <c r="B90" s="134" t="s">
        <v>166</v>
      </c>
      <c r="C90" s="134"/>
      <c r="D90" s="141">
        <v>0</v>
      </c>
      <c r="E90" s="141">
        <v>0</v>
      </c>
      <c r="F90" s="142">
        <v>5253997.1026760004</v>
      </c>
      <c r="G90" s="142">
        <v>5253997.1026760004</v>
      </c>
      <c r="H90" s="142">
        <v>12627283.795882</v>
      </c>
      <c r="I90" s="142">
        <v>17881280.898557998</v>
      </c>
      <c r="J90" s="142">
        <v>19879692.603757996</v>
      </c>
      <c r="K90" s="142">
        <v>37760973.502315998</v>
      </c>
    </row>
    <row r="91" spans="1:11" x14ac:dyDescent="0.25">
      <c r="A91" s="135">
        <v>81</v>
      </c>
      <c r="B91" s="134"/>
      <c r="C91" s="134"/>
      <c r="D91" s="141"/>
      <c r="E91" s="141"/>
      <c r="F91" s="142"/>
      <c r="G91" s="142"/>
      <c r="H91" s="142"/>
      <c r="I91" s="142"/>
      <c r="J91" s="142"/>
      <c r="K91" s="142"/>
    </row>
    <row r="92" spans="1:11" x14ac:dyDescent="0.25">
      <c r="A92" s="135">
        <v>82</v>
      </c>
      <c r="B92" s="134" t="s">
        <v>167</v>
      </c>
      <c r="C92" s="145">
        <v>0.21</v>
      </c>
      <c r="D92" s="143">
        <v>0</v>
      </c>
      <c r="E92" s="143">
        <v>0</v>
      </c>
      <c r="F92" s="144">
        <v>-1103339.3915619601</v>
      </c>
      <c r="G92" s="144">
        <v>-1103339.3915619601</v>
      </c>
      <c r="H92" s="144">
        <v>-2651729.5971352197</v>
      </c>
      <c r="I92" s="144">
        <v>-3755068.9886971796</v>
      </c>
      <c r="J92" s="144">
        <v>-4174735.446789179</v>
      </c>
      <c r="K92" s="144">
        <v>-7929804.4354863595</v>
      </c>
    </row>
    <row r="93" spans="1:11" x14ac:dyDescent="0.25">
      <c r="A93" s="135">
        <v>83</v>
      </c>
      <c r="B93" s="134"/>
      <c r="C93" s="134"/>
      <c r="D93" s="141"/>
      <c r="E93" s="141"/>
      <c r="F93" s="142"/>
      <c r="G93" s="142"/>
      <c r="H93" s="142"/>
      <c r="I93" s="142"/>
      <c r="J93" s="142"/>
      <c r="K93" s="142"/>
    </row>
    <row r="94" spans="1:11" ht="15.75" thickBot="1" x14ac:dyDescent="0.3">
      <c r="A94" s="135">
        <v>84</v>
      </c>
      <c r="B94" s="114" t="s">
        <v>168</v>
      </c>
      <c r="C94" s="134"/>
      <c r="D94" s="146">
        <v>0</v>
      </c>
      <c r="E94" s="146">
        <v>0</v>
      </c>
      <c r="F94" s="147">
        <v>-4150657.7111140406</v>
      </c>
      <c r="G94" s="147">
        <v>-4150657.7111140406</v>
      </c>
      <c r="H94" s="147">
        <v>-9975554.1987467799</v>
      </c>
      <c r="I94" s="147">
        <v>-14126211.90986082</v>
      </c>
      <c r="J94" s="147">
        <v>-15704957.156968817</v>
      </c>
      <c r="K94" s="147">
        <v>-29831169.066829637</v>
      </c>
    </row>
    <row r="95" spans="1:11" ht="15.75" thickTop="1" x14ac:dyDescent="0.25">
      <c r="A95" s="135">
        <v>85</v>
      </c>
      <c r="B95" s="134"/>
      <c r="C95" s="134"/>
      <c r="D95" s="141"/>
      <c r="E95" s="141"/>
      <c r="F95" s="142"/>
      <c r="G95" s="142"/>
      <c r="H95" s="142"/>
      <c r="I95" s="142"/>
      <c r="J95" s="142"/>
      <c r="K95" s="142"/>
    </row>
    <row r="96" spans="1:11" x14ac:dyDescent="0.25">
      <c r="A96" s="135">
        <v>86</v>
      </c>
      <c r="B96" s="134" t="s">
        <v>169</v>
      </c>
      <c r="C96" s="134"/>
      <c r="D96" s="141">
        <v>0</v>
      </c>
      <c r="E96" s="141">
        <v>0</v>
      </c>
      <c r="F96" s="142">
        <v>275180706.80413002</v>
      </c>
      <c r="G96" s="142">
        <v>275180706.80413002</v>
      </c>
      <c r="H96" s="142">
        <v>83694201.328631997</v>
      </c>
      <c r="I96" s="142">
        <v>358874908.13276201</v>
      </c>
      <c r="J96" s="142">
        <v>349330360.92106205</v>
      </c>
      <c r="K96" s="142">
        <v>708205269.05382407</v>
      </c>
    </row>
    <row r="97" spans="1:11" x14ac:dyDescent="0.25">
      <c r="A97" s="135">
        <v>87</v>
      </c>
      <c r="B97" s="134" t="s">
        <v>170</v>
      </c>
      <c r="C97" s="134"/>
      <c r="D97" s="141">
        <v>0</v>
      </c>
      <c r="E97" s="141">
        <v>0</v>
      </c>
      <c r="F97" s="142">
        <v>-5253997.1026760004</v>
      </c>
      <c r="G97" s="142">
        <v>-5253997.1026760004</v>
      </c>
      <c r="H97" s="142">
        <v>-7974604.5387900025</v>
      </c>
      <c r="I97" s="142">
        <v>-13228601.641466003</v>
      </c>
      <c r="J97" s="142">
        <v>-27485775.237290002</v>
      </c>
      <c r="K97" s="142">
        <v>-40714376.878756002</v>
      </c>
    </row>
    <row r="98" spans="1:11" x14ac:dyDescent="0.25">
      <c r="A98" s="135">
        <v>88</v>
      </c>
      <c r="B98" s="134" t="s">
        <v>49</v>
      </c>
      <c r="C98" s="134"/>
      <c r="D98" s="143">
        <v>0</v>
      </c>
      <c r="E98" s="143">
        <v>0</v>
      </c>
      <c r="F98" s="144">
        <v>-1951090.2194439999</v>
      </c>
      <c r="G98" s="144">
        <v>-1951090.2194439999</v>
      </c>
      <c r="H98" s="144">
        <v>-3618482.5842199996</v>
      </c>
      <c r="I98" s="144">
        <v>-5569572.8036639998</v>
      </c>
      <c r="J98" s="144">
        <v>-8983515.4692480043</v>
      </c>
      <c r="K98" s="144">
        <v>-14553088.272912003</v>
      </c>
    </row>
    <row r="99" spans="1:11" x14ac:dyDescent="0.25">
      <c r="A99" s="135">
        <v>89</v>
      </c>
      <c r="B99" s="114" t="s">
        <v>171</v>
      </c>
      <c r="C99" s="134"/>
      <c r="D99" s="141">
        <v>0</v>
      </c>
      <c r="E99" s="141">
        <v>0</v>
      </c>
      <c r="F99" s="142">
        <v>267975619.48201004</v>
      </c>
      <c r="G99" s="142">
        <v>267975619.48201004</v>
      </c>
      <c r="H99" s="142">
        <v>72101114.205621988</v>
      </c>
      <c r="I99" s="142">
        <v>340076733.68763196</v>
      </c>
      <c r="J99" s="142">
        <v>312861070.21452403</v>
      </c>
      <c r="K99" s="142">
        <v>652937803.902156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85546875" defaultRowHeight="15" x14ac:dyDescent="0.25"/>
  <cols>
    <col min="1" max="1" width="8.85546875" style="149"/>
    <col min="2" max="2" width="55.5703125" style="149" bestFit="1" customWidth="1"/>
    <col min="3" max="3" width="4.7109375" style="149" customWidth="1"/>
    <col min="4" max="4" width="16.7109375" style="149" bestFit="1" customWidth="1"/>
    <col min="5" max="11" width="17.42578125" style="149" customWidth="1"/>
    <col min="12" max="12" width="19.28515625" style="149" bestFit="1" customWidth="1"/>
    <col min="13" max="14" width="17.42578125" customWidth="1"/>
    <col min="15" max="31" width="17.42578125" style="149" customWidth="1"/>
    <col min="32" max="16384" width="8.85546875" style="149"/>
  </cols>
  <sheetData>
    <row r="1" spans="1:12" x14ac:dyDescent="0.25">
      <c r="A1" s="126" t="s">
        <v>110</v>
      </c>
      <c r="B1" s="127"/>
      <c r="L1" s="129" t="s">
        <v>139</v>
      </c>
    </row>
    <row r="2" spans="1:12" ht="15.75" thickBot="1" x14ac:dyDescent="0.3">
      <c r="A2" s="126" t="s">
        <v>112</v>
      </c>
      <c r="B2" s="127"/>
      <c r="L2" s="130" t="s">
        <v>175</v>
      </c>
    </row>
    <row r="3" spans="1:12" x14ac:dyDescent="0.25">
      <c r="A3" s="126" t="s">
        <v>113</v>
      </c>
      <c r="B3" s="127"/>
    </row>
    <row r="4" spans="1:12" x14ac:dyDescent="0.25">
      <c r="A4" s="126"/>
      <c r="B4" s="132"/>
    </row>
    <row r="5" spans="1:12" x14ac:dyDescent="0.25">
      <c r="A5" s="133" t="s">
        <v>126</v>
      </c>
      <c r="E5" s="150"/>
      <c r="F5" s="150"/>
      <c r="G5" s="150"/>
      <c r="H5" s="150"/>
      <c r="I5" s="150"/>
      <c r="J5" s="150"/>
      <c r="K5" s="150"/>
      <c r="L5" s="150"/>
    </row>
    <row r="6" spans="1:12" x14ac:dyDescent="0.25">
      <c r="E6" s="151"/>
      <c r="F6" s="151"/>
      <c r="G6" s="151"/>
      <c r="H6" s="151"/>
      <c r="I6" s="151"/>
      <c r="J6" s="151"/>
      <c r="K6" s="151"/>
      <c r="L6" s="151"/>
    </row>
    <row r="7" spans="1:12" x14ac:dyDescent="0.25">
      <c r="E7" s="150" t="s">
        <v>144</v>
      </c>
      <c r="F7" s="150" t="s">
        <v>144</v>
      </c>
      <c r="G7" s="150">
        <v>2022</v>
      </c>
      <c r="H7" s="150" t="s">
        <v>145</v>
      </c>
      <c r="I7" s="150">
        <v>2023</v>
      </c>
      <c r="J7" s="150" t="s">
        <v>145</v>
      </c>
      <c r="K7" s="150">
        <v>2024</v>
      </c>
      <c r="L7" s="150" t="s">
        <v>145</v>
      </c>
    </row>
    <row r="8" spans="1:12" x14ac:dyDescent="0.25">
      <c r="C8" s="152"/>
      <c r="D8" s="153"/>
      <c r="E8" s="150" t="s">
        <v>146</v>
      </c>
      <c r="F8" s="150" t="s">
        <v>145</v>
      </c>
      <c r="G8" s="150" t="s">
        <v>147</v>
      </c>
      <c r="H8" s="150" t="s">
        <v>148</v>
      </c>
      <c r="I8" s="150" t="s">
        <v>149</v>
      </c>
      <c r="J8" s="150" t="s">
        <v>148</v>
      </c>
      <c r="K8" s="150" t="s">
        <v>150</v>
      </c>
      <c r="L8" s="150" t="s">
        <v>148</v>
      </c>
    </row>
    <row r="9" spans="1:12" x14ac:dyDescent="0.25">
      <c r="A9" s="150" t="s">
        <v>115</v>
      </c>
      <c r="B9" s="154"/>
      <c r="C9" s="155"/>
      <c r="D9" s="155"/>
      <c r="E9" s="150" t="s">
        <v>151</v>
      </c>
      <c r="F9" s="150" t="s">
        <v>152</v>
      </c>
      <c r="G9" s="150" t="s">
        <v>153</v>
      </c>
      <c r="H9" s="150" t="s">
        <v>154</v>
      </c>
      <c r="I9" s="150" t="s">
        <v>153</v>
      </c>
      <c r="J9" s="150" t="s">
        <v>155</v>
      </c>
      <c r="K9" s="150" t="s">
        <v>153</v>
      </c>
      <c r="L9" s="150" t="s">
        <v>155</v>
      </c>
    </row>
    <row r="10" spans="1:12" x14ac:dyDescent="0.25">
      <c r="A10" s="156" t="s">
        <v>156</v>
      </c>
      <c r="B10" s="156" t="s">
        <v>157</v>
      </c>
      <c r="C10" s="156"/>
      <c r="D10" s="156"/>
      <c r="E10" s="156" t="s">
        <v>158</v>
      </c>
      <c r="F10" s="156" t="s">
        <v>159</v>
      </c>
      <c r="G10" s="156" t="s">
        <v>158</v>
      </c>
      <c r="H10" s="156" t="s">
        <v>149</v>
      </c>
      <c r="I10" s="156" t="s">
        <v>158</v>
      </c>
      <c r="J10" s="156" t="s">
        <v>149</v>
      </c>
      <c r="K10" s="156" t="s">
        <v>158</v>
      </c>
      <c r="L10" s="156" t="s">
        <v>150</v>
      </c>
    </row>
    <row r="11" spans="1:12" x14ac:dyDescent="0.25">
      <c r="A11" s="150">
        <v>1</v>
      </c>
      <c r="B11" s="157"/>
      <c r="C11" s="155"/>
      <c r="D11" s="155"/>
      <c r="E11" s="155"/>
      <c r="F11" s="155"/>
    </row>
    <row r="12" spans="1:12" x14ac:dyDescent="0.25">
      <c r="A12" s="150">
        <v>2</v>
      </c>
      <c r="B12" s="149" t="s">
        <v>161</v>
      </c>
      <c r="D12" s="158">
        <v>0</v>
      </c>
      <c r="E12" s="159">
        <v>0</v>
      </c>
      <c r="F12" s="159">
        <v>0</v>
      </c>
      <c r="G12" s="159">
        <v>-675312.61000000092</v>
      </c>
      <c r="H12" s="159">
        <v>-675312.61000000092</v>
      </c>
      <c r="I12" s="159">
        <v>-1275355.6999999988</v>
      </c>
      <c r="J12" s="159">
        <v>-1950668.3099999996</v>
      </c>
      <c r="K12" s="159">
        <v>-517188.25</v>
      </c>
      <c r="L12" s="159">
        <v>-2467856.5599999996</v>
      </c>
    </row>
    <row r="13" spans="1:12" x14ac:dyDescent="0.25">
      <c r="A13" s="150">
        <v>3</v>
      </c>
      <c r="B13" s="149" t="s">
        <v>162</v>
      </c>
      <c r="D13" s="158">
        <v>0</v>
      </c>
      <c r="E13" s="159">
        <v>0</v>
      </c>
      <c r="F13" s="159">
        <v>0</v>
      </c>
      <c r="G13" s="159">
        <v>-14204.103108000001</v>
      </c>
      <c r="H13" s="159">
        <v>-14204.103108000001</v>
      </c>
      <c r="I13" s="159">
        <v>-87702.548362000016</v>
      </c>
      <c r="J13" s="159">
        <v>-101906.65147000001</v>
      </c>
      <c r="K13" s="159">
        <v>-76031.238815999997</v>
      </c>
      <c r="L13" s="159">
        <v>-177937.89028600001</v>
      </c>
    </row>
    <row r="14" spans="1:12" x14ac:dyDescent="0.25">
      <c r="A14" s="150">
        <v>4</v>
      </c>
      <c r="B14" s="149" t="s">
        <v>163</v>
      </c>
      <c r="D14" s="158">
        <v>0</v>
      </c>
      <c r="E14" s="159">
        <v>0</v>
      </c>
      <c r="F14" s="159">
        <v>0</v>
      </c>
      <c r="G14" s="159">
        <v>-1563.3</v>
      </c>
      <c r="H14" s="159">
        <v>-1563.3</v>
      </c>
      <c r="I14" s="159">
        <v>-1752.84</v>
      </c>
      <c r="J14" s="159">
        <v>-3316.14</v>
      </c>
      <c r="K14" s="159">
        <v>-1752.8399999999997</v>
      </c>
      <c r="L14" s="159">
        <v>-5068.9799999999996</v>
      </c>
    </row>
    <row r="15" spans="1:12" x14ac:dyDescent="0.25">
      <c r="A15" s="150">
        <v>5</v>
      </c>
      <c r="B15" s="149" t="s">
        <v>164</v>
      </c>
      <c r="D15" s="160">
        <v>0</v>
      </c>
      <c r="E15" s="161">
        <v>0</v>
      </c>
      <c r="F15" s="161">
        <v>0</v>
      </c>
      <c r="G15" s="161">
        <v>-70.858423999999999</v>
      </c>
      <c r="H15" s="161">
        <v>-70.858423999999999</v>
      </c>
      <c r="I15" s="161">
        <v>-73.937448000000003</v>
      </c>
      <c r="J15" s="161">
        <v>-144.795872</v>
      </c>
      <c r="K15" s="161">
        <v>-73.937448000000018</v>
      </c>
      <c r="L15" s="161">
        <v>-218.73332000000002</v>
      </c>
    </row>
    <row r="16" spans="1:12" x14ac:dyDescent="0.25">
      <c r="A16" s="150">
        <v>6</v>
      </c>
      <c r="B16" s="162" t="s">
        <v>176</v>
      </c>
      <c r="D16" s="163">
        <v>0</v>
      </c>
      <c r="E16" s="164">
        <v>0</v>
      </c>
      <c r="F16" s="164">
        <v>0</v>
      </c>
      <c r="G16" s="164">
        <v>-691150.87153200095</v>
      </c>
      <c r="H16" s="164">
        <v>-691150.87153200095</v>
      </c>
      <c r="I16" s="164">
        <v>-1364885.0258099989</v>
      </c>
      <c r="J16" s="164">
        <v>-2056035.8973419995</v>
      </c>
      <c r="K16" s="164">
        <v>-595046.26626399998</v>
      </c>
      <c r="L16" s="164">
        <v>-2651082.1636059997</v>
      </c>
    </row>
    <row r="17" spans="1:15" x14ac:dyDescent="0.25">
      <c r="A17" s="150">
        <v>7</v>
      </c>
      <c r="B17" s="162" t="s">
        <v>177</v>
      </c>
      <c r="D17" s="163">
        <v>0</v>
      </c>
      <c r="E17" s="159">
        <v>0</v>
      </c>
      <c r="F17" s="164">
        <v>0</v>
      </c>
      <c r="G17" s="159">
        <v>0</v>
      </c>
      <c r="H17" s="164">
        <v>0</v>
      </c>
      <c r="I17" s="159">
        <v>0</v>
      </c>
      <c r="J17" s="164">
        <v>0</v>
      </c>
      <c r="K17" s="159">
        <v>0</v>
      </c>
      <c r="L17" s="164">
        <v>0</v>
      </c>
    </row>
    <row r="18" spans="1:15" x14ac:dyDescent="0.25">
      <c r="A18" s="150">
        <v>8</v>
      </c>
      <c r="B18" s="162" t="s">
        <v>178</v>
      </c>
      <c r="D18" s="163">
        <v>0</v>
      </c>
      <c r="E18" s="159">
        <v>0</v>
      </c>
      <c r="F18" s="164">
        <v>0</v>
      </c>
      <c r="G18" s="159">
        <v>0</v>
      </c>
      <c r="H18" s="164">
        <v>0</v>
      </c>
      <c r="I18" s="159">
        <v>0</v>
      </c>
      <c r="J18" s="164">
        <v>0</v>
      </c>
      <c r="K18" s="159">
        <v>0</v>
      </c>
      <c r="L18" s="164">
        <v>0</v>
      </c>
    </row>
    <row r="19" spans="1:15" x14ac:dyDescent="0.25">
      <c r="A19" s="150">
        <v>9</v>
      </c>
      <c r="B19" s="162" t="s">
        <v>179</v>
      </c>
      <c r="D19" s="160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</row>
    <row r="20" spans="1:15" x14ac:dyDescent="0.25">
      <c r="A20" s="150">
        <v>10</v>
      </c>
      <c r="B20" s="162" t="s">
        <v>180</v>
      </c>
      <c r="D20" s="158">
        <v>0</v>
      </c>
      <c r="E20" s="159">
        <v>0</v>
      </c>
      <c r="F20" s="159">
        <v>0</v>
      </c>
      <c r="G20" s="159">
        <v>-691150.87153200095</v>
      </c>
      <c r="H20" s="159">
        <v>-691150.87153200095</v>
      </c>
      <c r="I20" s="159">
        <v>-1364885.0258099989</v>
      </c>
      <c r="J20" s="159">
        <v>-2056035.8973419995</v>
      </c>
      <c r="K20" s="159">
        <v>-595046.26626399998</v>
      </c>
      <c r="L20" s="159">
        <v>-2651082.1636059997</v>
      </c>
    </row>
    <row r="21" spans="1:15" x14ac:dyDescent="0.25">
      <c r="A21" s="150">
        <v>11</v>
      </c>
      <c r="D21" s="158"/>
      <c r="E21" s="159"/>
      <c r="F21" s="159"/>
      <c r="G21" s="159"/>
      <c r="H21" s="159"/>
      <c r="I21" s="159"/>
      <c r="J21" s="159"/>
      <c r="K21" s="159"/>
      <c r="L21" s="159"/>
    </row>
    <row r="22" spans="1:15" x14ac:dyDescent="0.25">
      <c r="A22" s="150">
        <v>12</v>
      </c>
      <c r="B22" s="149" t="s">
        <v>166</v>
      </c>
      <c r="D22" s="158">
        <v>0</v>
      </c>
      <c r="E22" s="159">
        <v>0</v>
      </c>
      <c r="F22" s="159">
        <v>0</v>
      </c>
      <c r="G22" s="159">
        <v>-691150.87153200095</v>
      </c>
      <c r="H22" s="159">
        <v>-691150.87153200095</v>
      </c>
      <c r="I22" s="159">
        <v>-1364885.0258099989</v>
      </c>
      <c r="J22" s="159">
        <v>-2056035.8973419995</v>
      </c>
      <c r="K22" s="159">
        <v>-595046.26626399998</v>
      </c>
      <c r="L22" s="159">
        <v>-2651082.1636059997</v>
      </c>
    </row>
    <row r="23" spans="1:15" x14ac:dyDescent="0.25">
      <c r="A23" s="150">
        <v>13</v>
      </c>
      <c r="D23" s="158"/>
      <c r="E23" s="159"/>
      <c r="F23" s="159"/>
      <c r="G23" s="159"/>
      <c r="H23" s="159"/>
      <c r="I23" s="159"/>
      <c r="J23" s="159"/>
      <c r="K23" s="159"/>
      <c r="L23" s="159"/>
    </row>
    <row r="24" spans="1:15" x14ac:dyDescent="0.25">
      <c r="A24" s="150">
        <v>14</v>
      </c>
      <c r="B24" s="149" t="s">
        <v>167</v>
      </c>
      <c r="C24" s="165">
        <v>0.21</v>
      </c>
      <c r="D24" s="163">
        <v>0</v>
      </c>
      <c r="E24" s="164">
        <v>0</v>
      </c>
      <c r="F24" s="164">
        <v>0</v>
      </c>
      <c r="G24" s="164">
        <v>145141.68302172021</v>
      </c>
      <c r="H24" s="164">
        <v>145141.68302172021</v>
      </c>
      <c r="I24" s="164">
        <v>286625.85542009975</v>
      </c>
      <c r="J24" s="164">
        <v>431767.5384418199</v>
      </c>
      <c r="K24" s="164">
        <v>124959.71591543999</v>
      </c>
      <c r="L24" s="164">
        <v>556727.25435725995</v>
      </c>
    </row>
    <row r="25" spans="1:15" x14ac:dyDescent="0.25">
      <c r="A25" s="150">
        <v>15</v>
      </c>
      <c r="B25" s="149" t="s">
        <v>181</v>
      </c>
      <c r="C25" s="165"/>
      <c r="D25" s="163">
        <v>0</v>
      </c>
      <c r="E25" s="164">
        <v>0</v>
      </c>
      <c r="F25" s="164">
        <v>0</v>
      </c>
      <c r="G25" s="164">
        <v>-155774.18367996253</v>
      </c>
      <c r="H25" s="164">
        <v>-155774.18367996253</v>
      </c>
      <c r="I25" s="164">
        <v>157558.82161198184</v>
      </c>
      <c r="J25" s="164">
        <v>1784.6379320193082</v>
      </c>
      <c r="K25" s="164">
        <v>166216.85420513712</v>
      </c>
      <c r="L25" s="164">
        <v>168001.49213715643</v>
      </c>
    </row>
    <row r="26" spans="1:15" x14ac:dyDescent="0.25">
      <c r="A26" s="150">
        <v>16</v>
      </c>
      <c r="B26" s="149" t="s">
        <v>182</v>
      </c>
      <c r="C26" s="165"/>
      <c r="D26" s="163">
        <v>0</v>
      </c>
      <c r="E26" s="164">
        <v>0</v>
      </c>
      <c r="F26" s="164">
        <v>0</v>
      </c>
      <c r="G26" s="164">
        <v>-182698.65458879992</v>
      </c>
      <c r="H26" s="164">
        <v>-182698.65458879992</v>
      </c>
      <c r="I26" s="164">
        <v>-140976.57204330008</v>
      </c>
      <c r="J26" s="164">
        <v>-323675.22663210001</v>
      </c>
      <c r="K26" s="164">
        <v>-237981.32201508008</v>
      </c>
      <c r="L26" s="164">
        <v>-561656.54864718008</v>
      </c>
    </row>
    <row r="27" spans="1:15" x14ac:dyDescent="0.25">
      <c r="A27" s="150">
        <v>17</v>
      </c>
      <c r="B27" s="149" t="s">
        <v>183</v>
      </c>
      <c r="C27" s="165"/>
      <c r="D27" s="166">
        <v>0</v>
      </c>
      <c r="E27" s="166">
        <v>0</v>
      </c>
      <c r="F27" s="166">
        <v>0</v>
      </c>
      <c r="G27" s="167">
        <v>-193331.15524704225</v>
      </c>
      <c r="H27" s="167">
        <v>-193331.15524704225</v>
      </c>
      <c r="I27" s="167">
        <v>303208.1049887815</v>
      </c>
      <c r="J27" s="167">
        <v>109876.9497417392</v>
      </c>
      <c r="K27" s="167">
        <v>53195.248105497041</v>
      </c>
      <c r="L27" s="167">
        <v>163072.1978472363</v>
      </c>
    </row>
    <row r="28" spans="1:15" x14ac:dyDescent="0.25">
      <c r="A28" s="150">
        <v>18</v>
      </c>
      <c r="D28" s="158"/>
      <c r="E28" s="159"/>
      <c r="F28" s="159"/>
      <c r="G28" s="159"/>
      <c r="H28" s="159"/>
      <c r="I28" s="159"/>
      <c r="J28" s="159"/>
      <c r="K28" s="159"/>
      <c r="L28" s="159"/>
    </row>
    <row r="29" spans="1:15" ht="15.75" thickBot="1" x14ac:dyDescent="0.3">
      <c r="A29" s="150">
        <v>19</v>
      </c>
      <c r="B29" s="149" t="s">
        <v>168</v>
      </c>
      <c r="D29" s="168">
        <v>0</v>
      </c>
      <c r="E29" s="169">
        <v>0</v>
      </c>
      <c r="F29" s="169">
        <v>0</v>
      </c>
      <c r="G29" s="169">
        <v>884482.02677904326</v>
      </c>
      <c r="H29" s="169">
        <v>884482.02677904326</v>
      </c>
      <c r="I29" s="169">
        <v>1061676.9208212174</v>
      </c>
      <c r="J29" s="169">
        <v>1946158.9476002604</v>
      </c>
      <c r="K29" s="169">
        <v>541851.01815850288</v>
      </c>
      <c r="L29" s="169">
        <v>2488009.9657587633</v>
      </c>
    </row>
    <row r="30" spans="1:15" ht="15.75" thickTop="1" x14ac:dyDescent="0.25">
      <c r="A30" s="150">
        <v>20</v>
      </c>
      <c r="D30" s="158"/>
      <c r="E30" s="159"/>
      <c r="F30" s="159"/>
      <c r="G30" s="159"/>
      <c r="H30" s="159"/>
      <c r="I30" s="159"/>
      <c r="J30" s="159"/>
      <c r="K30" s="159"/>
      <c r="L30" s="159"/>
    </row>
    <row r="31" spans="1:15" x14ac:dyDescent="0.25">
      <c r="A31" s="150">
        <v>21</v>
      </c>
      <c r="B31" s="162" t="s">
        <v>184</v>
      </c>
      <c r="D31" s="158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</row>
    <row r="32" spans="1:15" x14ac:dyDescent="0.25">
      <c r="A32" s="150">
        <v>22</v>
      </c>
      <c r="B32" s="162" t="s">
        <v>185</v>
      </c>
      <c r="D32" s="158">
        <v>0</v>
      </c>
      <c r="E32" s="159">
        <v>0</v>
      </c>
      <c r="F32" s="159">
        <v>0</v>
      </c>
      <c r="G32" s="159">
        <v>691150.87153200002</v>
      </c>
      <c r="H32" s="159">
        <v>691150.87153200002</v>
      </c>
      <c r="I32" s="159">
        <v>949598.30647000007</v>
      </c>
      <c r="J32" s="159">
        <v>1640749.1780020001</v>
      </c>
      <c r="K32" s="159">
        <v>2398429.3020679997</v>
      </c>
      <c r="L32" s="159">
        <v>4039178.48007</v>
      </c>
      <c r="O32" s="170"/>
    </row>
    <row r="33" spans="1:12" x14ac:dyDescent="0.25">
      <c r="A33" s="150">
        <v>23</v>
      </c>
      <c r="B33" s="162" t="s">
        <v>47</v>
      </c>
      <c r="D33" s="163">
        <v>0</v>
      </c>
      <c r="E33" s="164">
        <v>0</v>
      </c>
      <c r="F33" s="164">
        <v>0</v>
      </c>
      <c r="G33" s="164">
        <v>-4750426.2986774743</v>
      </c>
      <c r="H33" s="164">
        <v>-4750426.2986774743</v>
      </c>
      <c r="I33" s="164">
        <v>-2473653.2260077894</v>
      </c>
      <c r="J33" s="164">
        <v>-7224079.5246852636</v>
      </c>
      <c r="K33" s="164">
        <v>-4942310.3221434653</v>
      </c>
      <c r="L33" s="164">
        <v>-12166389.846828729</v>
      </c>
    </row>
    <row r="34" spans="1:12" x14ac:dyDescent="0.25">
      <c r="A34" s="150">
        <v>24</v>
      </c>
      <c r="B34" s="162" t="s">
        <v>78</v>
      </c>
      <c r="D34" s="163">
        <v>0</v>
      </c>
      <c r="E34" s="164">
        <v>0</v>
      </c>
      <c r="F34" s="164">
        <v>0</v>
      </c>
      <c r="G34" s="164">
        <v>155774.18367996812</v>
      </c>
      <c r="H34" s="164">
        <v>155774.18367996812</v>
      </c>
      <c r="I34" s="164">
        <v>-826.71926119923592</v>
      </c>
      <c r="J34" s="164">
        <v>154947.46441876888</v>
      </c>
      <c r="K34" s="164">
        <v>-78570.629860848188</v>
      </c>
      <c r="L34" s="164">
        <v>76376.834557920694</v>
      </c>
    </row>
    <row r="35" spans="1:12" x14ac:dyDescent="0.25">
      <c r="A35" s="150">
        <v>25</v>
      </c>
      <c r="B35" s="162" t="s">
        <v>186</v>
      </c>
      <c r="D35" s="166">
        <v>0</v>
      </c>
      <c r="E35" s="167">
        <v>0</v>
      </c>
      <c r="F35" s="167">
        <v>0</v>
      </c>
      <c r="G35" s="167">
        <v>-4059275.4271454741</v>
      </c>
      <c r="H35" s="167">
        <v>-4059275.4271454741</v>
      </c>
      <c r="I35" s="167">
        <v>-1524054.9195377892</v>
      </c>
      <c r="J35" s="167">
        <v>-5583330.3466832638</v>
      </c>
      <c r="K35" s="167">
        <v>-2543881.0200754656</v>
      </c>
      <c r="L35" s="167">
        <v>-8127211.3667587284</v>
      </c>
    </row>
    <row r="36" spans="1:12" x14ac:dyDescent="0.25">
      <c r="A36" s="150">
        <v>26</v>
      </c>
      <c r="D36" s="158"/>
      <c r="E36" s="158"/>
      <c r="F36" s="158"/>
      <c r="G36" s="158"/>
      <c r="H36" s="158"/>
      <c r="I36" s="158"/>
      <c r="J36" s="158"/>
      <c r="K36" s="158"/>
      <c r="L36" s="158"/>
    </row>
    <row r="37" spans="1:12" x14ac:dyDescent="0.25">
      <c r="A37" s="150">
        <v>27</v>
      </c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2" x14ac:dyDescent="0.25">
      <c r="A38" s="150">
        <v>28</v>
      </c>
      <c r="B38" s="162" t="s">
        <v>33</v>
      </c>
      <c r="C38" s="171" t="s">
        <v>34</v>
      </c>
      <c r="D38" s="172"/>
      <c r="E38" s="173">
        <v>0.34060000000000001</v>
      </c>
      <c r="F38" s="174"/>
      <c r="G38" s="158"/>
      <c r="H38" s="158"/>
      <c r="I38" s="158"/>
      <c r="J38" s="158"/>
      <c r="K38" s="158"/>
      <c r="L38" s="158"/>
    </row>
    <row r="39" spans="1:12" x14ac:dyDescent="0.25">
      <c r="A39" s="150">
        <v>29</v>
      </c>
      <c r="C39" s="171" t="s">
        <v>35</v>
      </c>
      <c r="D39" s="172"/>
      <c r="E39" s="173">
        <v>0.65939999999999999</v>
      </c>
      <c r="F39" s="174"/>
      <c r="G39" s="158"/>
      <c r="H39" s="158"/>
      <c r="I39" s="158"/>
      <c r="J39" s="158"/>
      <c r="K39" s="158"/>
      <c r="L39" s="158"/>
    </row>
    <row r="40" spans="1:12" x14ac:dyDescent="0.25">
      <c r="D40" s="158"/>
      <c r="E40" s="158"/>
      <c r="F40" s="158"/>
      <c r="G40" s="158"/>
      <c r="H40" s="158"/>
      <c r="I40" s="158"/>
      <c r="J40" s="158"/>
      <c r="K40" s="158"/>
      <c r="L40" s="158"/>
    </row>
    <row r="41" spans="1:12" x14ac:dyDescent="0.25">
      <c r="D41" s="159"/>
      <c r="E41" s="159"/>
      <c r="F41" s="159"/>
      <c r="G41" s="159"/>
      <c r="H41" s="159"/>
      <c r="I41" s="159"/>
      <c r="J41" s="159"/>
      <c r="K41" s="159"/>
      <c r="L41" s="159"/>
    </row>
    <row r="43" spans="1:12" x14ac:dyDescent="0.25">
      <c r="E43" s="158"/>
      <c r="F43" s="158"/>
      <c r="G43" s="158"/>
      <c r="H43" s="158"/>
      <c r="I43" s="158"/>
      <c r="J43" s="158"/>
      <c r="K43" s="158"/>
      <c r="L43" s="158"/>
    </row>
    <row r="45" spans="1:12" x14ac:dyDescent="0.25">
      <c r="I45" s="158"/>
      <c r="K45" s="158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FFDB28793EEF40B67417AC2FA19C57" ma:contentTypeVersion="7" ma:contentTypeDescription="" ma:contentTypeScope="" ma:versionID="e5057932752f43dccaba120f3cd3e4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2024-10-18T07:00:00+00:00</OpenedDate>
    <SignificantOrder xmlns="dc463f71-b30c-4ab2-9473-d307f9d35888">false</SignificantOrder>
    <Date1 xmlns="dc463f71-b30c-4ab2-9473-d307f9d35888">2024-10-18T07:00:00+00:00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34421E-AC4C-415A-89C8-6204296E71AA}"/>
</file>

<file path=customXml/itemProps2.xml><?xml version="1.0" encoding="utf-8"?>
<ds:datastoreItem xmlns:ds="http://schemas.openxmlformats.org/officeDocument/2006/customXml" ds:itemID="{E8DB17B4-0AEC-473D-B2B9-E168869C4660}"/>
</file>

<file path=customXml/itemProps3.xml><?xml version="1.0" encoding="utf-8"?>
<ds:datastoreItem xmlns:ds="http://schemas.openxmlformats.org/officeDocument/2006/customXml" ds:itemID="{050B2DA4-9FC5-4DC5-AEFF-C025490D71C5}"/>
</file>

<file path=customXml/itemProps4.xml><?xml version="1.0" encoding="utf-8"?>
<ds:datastoreItem xmlns:ds="http://schemas.openxmlformats.org/officeDocument/2006/customXml" ds:itemID="{162EF137-FA62-483D-8582-822660A855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Elec Rev Req for COS</vt:lpstr>
      <vt:lpstr>Gas Rev Req for COS</vt:lpstr>
      <vt:lpstr>Electric Closings Summary</vt:lpstr>
      <vt:lpstr>Gas Closings Summary</vt:lpstr>
      <vt:lpstr>Rev Req Comparison</vt:lpstr>
      <vt:lpstr>2022 GRC SEF-23 Adds</vt:lpstr>
      <vt:lpstr>2022 GRC SEF-23 Retires</vt:lpstr>
      <vt:lpstr>2022 GRC SEF-24 Adds</vt:lpstr>
      <vt:lpstr>2022 GRC SEF-24 Retires</vt:lpstr>
      <vt:lpstr>SEF-23</vt:lpstr>
      <vt:lpstr>SEF-24</vt:lpstr>
      <vt:lpstr>2023 YE Gross Plant Detail</vt:lpstr>
      <vt:lpstr>2023 YE Accum Depr Detail</vt:lpstr>
      <vt:lpstr>2023 YE Def Tax Detail</vt:lpstr>
      <vt:lpstr>2023 YE Depr Expense</vt:lpstr>
      <vt:lpstr>2023 Retirement Depr Adj</vt:lpstr>
      <vt:lpstr>Calc Program Gross Plant</vt:lpstr>
      <vt:lpstr>Calc DG Gross Plant</vt:lpstr>
      <vt:lpstr>Calc Program Accum Depreciation</vt:lpstr>
      <vt:lpstr>Calc Program Deprec Exp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Pavel, Tyler</cp:lastModifiedBy>
  <cp:lastPrinted>2023-03-25T15:36:11Z</cp:lastPrinted>
  <dcterms:created xsi:type="dcterms:W3CDTF">2023-02-14T21:02:27Z</dcterms:created>
  <dcterms:modified xsi:type="dcterms:W3CDTF">2024-10-17T22:01:37Z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0x0101006E56B4D1795A2E4DB2F0B01679ED314A00F0FFDB28793EEF40B67417AC2FA19C57</vt:lpwstr>
  </property>
</Properties>
</file>