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1COL - Colstrip Adjustment Rider\2024\Proposed\Initial\"/>
    </mc:Choice>
  </mc:AlternateContent>
  <bookViews>
    <workbookView xWindow="1500" yWindow="888" windowWidth="25668" windowHeight="13548" tabRatio="931" activeTab="2"/>
  </bookViews>
  <sheets>
    <sheet name="Sch 141COL Rates" sheetId="90" r:id="rId1"/>
    <sheet name="Lighting Rates" sheetId="92" r:id="rId2"/>
    <sheet name="Rate Impacts" sheetId="91" r:id="rId3"/>
    <sheet name="Workpapers -&gt;" sheetId="87" r:id="rId4"/>
    <sheet name="Rate Spread and Design" sheetId="74" r:id="rId5"/>
    <sheet name="Lighting RD" sheetId="88" r:id="rId6"/>
    <sheet name="Inputs" sheetId="8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4" hidden="1">{#N/A,#N/A,FALSE,"schA"}</definedName>
    <definedName name="_______________www1" hidden="1">{#N/A,#N/A,FALSE,"schA"}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4" hidden="1">{#N/A,#N/A,FALSE,"schA"}</definedName>
    <definedName name="______________www1" hidden="1">{#N/A,#N/A,FALSE,"schA"}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4" hidden="1">{#N/A,#N/A,FALSE,"schA"}</definedName>
    <definedName name="_____________www1" hidden="1">{#N/A,#N/A,FALSE,"schA"}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4" hidden="1">{#N/A,#N/A,FALSE,"schA"}</definedName>
    <definedName name="____________www1" hidden="1">{#N/A,#N/A,FALSE,"schA"}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4" hidden="1">{#N/A,#N/A,FALSE,"schA"}</definedName>
    <definedName name="___________www1" hidden="1">{#N/A,#N/A,FALSE,"schA"}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4" hidden="1">{#N/A,#N/A,FALSE,"schA"}</definedName>
    <definedName name="__________www1" hidden="1">{#N/A,#N/A,FALSE,"schA"}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4" hidden="1">{#N/A,#N/A,FALSE,"schA"}</definedName>
    <definedName name="_________www1" hidden="1">{#N/A,#N/A,FALSE,"schA"}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4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4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A" hidden="1">[1]Inputs!#REF!</definedName>
    <definedName name="__123Graph_B" hidden="1">[1]Inputs!#REF!</definedName>
    <definedName name="__123Graph_D" hidden="1">#REF!</definedName>
    <definedName name="__123Graph_ECURRENT" hidden="1">[2]ConsolidatingPL!#REF!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2__123Graph_ABUDG6_Dtons_inv" hidden="1">[3]Quant!#REF!</definedName>
    <definedName name="_3__123Graph_ABUDG6_Dtons_inv" hidden="1">[4]Quant!#REF!</definedName>
    <definedName name="_4__123Graph_ABUDG6_Dtons_inv" hidden="1">'[5]Area D 2011'!#REF!</definedName>
    <definedName name="_6__123Graph_CBUDG6_D_ESCRPR" hidden="1">'[6]2012 Area AB BudgetSummary'!#REF!</definedName>
    <definedName name="_7__123Graph_CBUDG6_D_ESCRPR" hidden="1">'[5]Area D 2011'!#REF!</definedName>
    <definedName name="_7__123Graph_DBUDG6_D_ESCRPR" hidden="1">'[6]2012 Area AB BudgetSummary'!#REF!</definedName>
    <definedName name="_8__123Graph_DBUDG6_D_ESCRPR" hidden="1">'[5]Area D 2011'!#REF!</definedName>
    <definedName name="_ex1" localSheetId="4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4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4" hidden="1">{#N/A,#N/A,FALSE,"Coversheet";#N/A,#N/A,FALSE,"QA"}</definedName>
    <definedName name="HELP" hidden="1">{#N/A,#N/A,FALSE,"Coversheet";#N/A,#N/A,FALSE,"QA"}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'Lighting Rates'!$A$1:$E$163</definedName>
    <definedName name="_xlnm.Print_Area" localSheetId="5">'Lighting RD'!$A$1:$H$171</definedName>
    <definedName name="_xlnm.Print_Area" localSheetId="2">'Rate Impacts'!$A$1:$M$56</definedName>
    <definedName name="_xlnm.Print_Area" localSheetId="4">'Rate Spread and Design'!$A$1:$J$56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4" hidden="1">{#N/A,#N/A,FALSE,"schA"}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hidden="1">{#N/A,#N/A,FALSE,"schA"}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4" hidden="1">{#N/A,#N/A,FALSE,"Coversheet";#N/A,#N/A,FALSE,"QA"}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G34" i="91" l="1"/>
  <c r="G32" i="91"/>
  <c r="G27" i="91"/>
  <c r="G25" i="91"/>
  <c r="G23" i="91"/>
  <c r="G18" i="91"/>
  <c r="G16" i="91"/>
  <c r="G14" i="91"/>
  <c r="J19" i="91" l="1"/>
  <c r="J28" i="91"/>
  <c r="J35" i="91"/>
  <c r="H51" i="74"/>
  <c r="J43" i="91" l="1"/>
  <c r="E126" i="92"/>
  <c r="E57" i="92"/>
  <c r="E56" i="92"/>
  <c r="E55" i="92"/>
  <c r="E54" i="92"/>
  <c r="E53" i="92"/>
  <c r="E52" i="92"/>
  <c r="E51" i="92"/>
  <c r="E50" i="92"/>
  <c r="E49" i="92"/>
  <c r="E42" i="92"/>
  <c r="E43" i="92"/>
  <c r="E44" i="92"/>
  <c r="E45" i="92"/>
  <c r="E46" i="92"/>
  <c r="E41" i="92"/>
  <c r="A1" i="88" l="1"/>
  <c r="C16" i="90"/>
  <c r="C15" i="90"/>
  <c r="C13" i="90"/>
  <c r="C10" i="90"/>
  <c r="A1" i="91"/>
  <c r="A1" i="92"/>
  <c r="A2" i="92"/>
  <c r="A2" i="88"/>
  <c r="J7" i="74"/>
  <c r="I7" i="74"/>
  <c r="G6" i="91" s="1"/>
  <c r="A4" i="74"/>
  <c r="G55" i="74"/>
  <c r="A3" i="90"/>
  <c r="A3" i="92" s="1"/>
  <c r="A3" i="74"/>
  <c r="A2" i="74"/>
  <c r="A1" i="74"/>
  <c r="C14" i="90"/>
  <c r="C20" i="90"/>
  <c r="F58" i="90"/>
  <c r="F48" i="90"/>
  <c r="C32" i="90" l="1"/>
  <c r="C31" i="90"/>
  <c r="C30" i="90"/>
  <c r="C26" i="90"/>
  <c r="C27" i="90"/>
  <c r="C21" i="90"/>
  <c r="C22" i="90"/>
  <c r="A3" i="91"/>
  <c r="A2" i="91"/>
  <c r="D32" i="90" l="1"/>
  <c r="D27" i="90"/>
  <c r="D26" i="90"/>
  <c r="D22" i="90"/>
  <c r="D21" i="90"/>
  <c r="D20" i="90"/>
  <c r="D16" i="90"/>
  <c r="D15" i="90"/>
  <c r="D14" i="90"/>
  <c r="D13" i="90"/>
  <c r="D10" i="90"/>
  <c r="F20" i="90" l="1"/>
  <c r="E7" i="90"/>
  <c r="F21" i="90" l="1"/>
  <c r="F52" i="90"/>
  <c r="E162" i="92"/>
  <c r="E161" i="92"/>
  <c r="E160" i="92"/>
  <c r="E159" i="92"/>
  <c r="E158" i="92"/>
  <c r="E157" i="92"/>
  <c r="E156" i="92"/>
  <c r="E155" i="92"/>
  <c r="E154" i="92"/>
  <c r="E153" i="92"/>
  <c r="E152" i="92"/>
  <c r="E151" i="92"/>
  <c r="E150" i="92"/>
  <c r="E149" i="92"/>
  <c r="E148" i="92"/>
  <c r="E145" i="92"/>
  <c r="E144" i="92"/>
  <c r="E142" i="92"/>
  <c r="E141" i="92"/>
  <c r="E140" i="92"/>
  <c r="E139" i="92"/>
  <c r="E137" i="92"/>
  <c r="E136" i="92"/>
  <c r="E135" i="92"/>
  <c r="E134" i="92"/>
  <c r="E133" i="92"/>
  <c r="E131" i="92"/>
  <c r="E130" i="92"/>
  <c r="E129" i="92"/>
  <c r="E128" i="92"/>
  <c r="E127" i="92"/>
  <c r="E120" i="92"/>
  <c r="E119" i="92"/>
  <c r="E118" i="92"/>
  <c r="E117" i="92"/>
  <c r="E116" i="92"/>
  <c r="E115" i="92"/>
  <c r="E114" i="92"/>
  <c r="E113" i="92"/>
  <c r="E112" i="92"/>
  <c r="E111" i="92"/>
  <c r="E109" i="92"/>
  <c r="E107" i="92"/>
  <c r="E106" i="92"/>
  <c r="E105" i="92"/>
  <c r="E104" i="92"/>
  <c r="E103" i="92"/>
  <c r="E99" i="92"/>
  <c r="E98" i="92"/>
  <c r="E97" i="92"/>
  <c r="E96" i="92"/>
  <c r="E95" i="92"/>
  <c r="E94" i="92"/>
  <c r="E93" i="92"/>
  <c r="E92" i="92"/>
  <c r="E91" i="92"/>
  <c r="E90" i="92"/>
  <c r="E88" i="92"/>
  <c r="E87" i="92"/>
  <c r="E86" i="92"/>
  <c r="E85" i="92"/>
  <c r="E84" i="92"/>
  <c r="E83" i="92"/>
  <c r="E82" i="92"/>
  <c r="E81" i="92"/>
  <c r="E80" i="92"/>
  <c r="E77" i="92"/>
  <c r="E75" i="92"/>
  <c r="E74" i="92"/>
  <c r="E73" i="92"/>
  <c r="E72" i="92"/>
  <c r="E71" i="92"/>
  <c r="E70" i="92"/>
  <c r="E69" i="92"/>
  <c r="E68" i="92"/>
  <c r="E67" i="92"/>
  <c r="E66" i="92"/>
  <c r="E64" i="92"/>
  <c r="E63" i="92"/>
  <c r="E62" i="92"/>
  <c r="E61" i="92"/>
  <c r="E60" i="92"/>
  <c r="E37" i="92"/>
  <c r="E35" i="92"/>
  <c r="E28" i="92"/>
  <c r="E31" i="92" s="1"/>
  <c r="E34" i="92" s="1"/>
  <c r="E26" i="92"/>
  <c r="E25" i="92"/>
  <c r="E24" i="92"/>
  <c r="E23" i="92"/>
  <c r="E22" i="92"/>
  <c r="E21" i="92"/>
  <c r="E20" i="92"/>
  <c r="E19" i="92"/>
  <c r="E18" i="92"/>
  <c r="E14" i="92"/>
  <c r="E13" i="92"/>
  <c r="E12" i="92"/>
  <c r="E11" i="92"/>
  <c r="A8" i="92"/>
  <c r="A9" i="92" s="1"/>
  <c r="A10" i="92" s="1"/>
  <c r="A11" i="92" s="1"/>
  <c r="A12" i="92" s="1"/>
  <c r="A13" i="92" s="1"/>
  <c r="A14" i="92" s="1"/>
  <c r="A15" i="92" s="1"/>
  <c r="A16" i="92" s="1"/>
  <c r="A17" i="92" s="1"/>
  <c r="A18" i="92" s="1"/>
  <c r="A19" i="92" s="1"/>
  <c r="A20" i="92" s="1"/>
  <c r="A21" i="92" s="1"/>
  <c r="A22" i="92" s="1"/>
  <c r="A23" i="92" s="1"/>
  <c r="A24" i="92" s="1"/>
  <c r="A25" i="92" s="1"/>
  <c r="A26" i="92" s="1"/>
  <c r="A27" i="92" s="1"/>
  <c r="A28" i="92" s="1"/>
  <c r="A29" i="92" s="1"/>
  <c r="A30" i="92" s="1"/>
  <c r="A31" i="92" s="1"/>
  <c r="A32" i="92" s="1"/>
  <c r="A33" i="92" s="1"/>
  <c r="A34" i="92" s="1"/>
  <c r="A35" i="92" s="1"/>
  <c r="A36" i="92" s="1"/>
  <c r="A37" i="92" s="1"/>
  <c r="A38" i="92" s="1"/>
  <c r="A39" i="92" s="1"/>
  <c r="A40" i="92" s="1"/>
  <c r="A41" i="92" s="1"/>
  <c r="A42" i="92" s="1"/>
  <c r="A43" i="92" s="1"/>
  <c r="A44" i="92" s="1"/>
  <c r="A45" i="92" s="1"/>
  <c r="A46" i="92" s="1"/>
  <c r="A47" i="92" s="1"/>
  <c r="A48" i="92" s="1"/>
  <c r="A49" i="92" s="1"/>
  <c r="A50" i="92" s="1"/>
  <c r="A51" i="92" s="1"/>
  <c r="A52" i="92" s="1"/>
  <c r="A53" i="92" s="1"/>
  <c r="A54" i="92" s="1"/>
  <c r="A55" i="92" s="1"/>
  <c r="A56" i="92" s="1"/>
  <c r="A57" i="92" s="1"/>
  <c r="A58" i="92" s="1"/>
  <c r="A59" i="92" s="1"/>
  <c r="A60" i="92" s="1"/>
  <c r="A61" i="92" s="1"/>
  <c r="A62" i="92" s="1"/>
  <c r="A63" i="92" s="1"/>
  <c r="A64" i="92" s="1"/>
  <c r="A65" i="92" s="1"/>
  <c r="A66" i="92" s="1"/>
  <c r="A67" i="92" s="1"/>
  <c r="A68" i="92" s="1"/>
  <c r="A69" i="92" s="1"/>
  <c r="A70" i="92" s="1"/>
  <c r="A71" i="92" s="1"/>
  <c r="A72" i="92" s="1"/>
  <c r="A73" i="92" s="1"/>
  <c r="A74" i="92" s="1"/>
  <c r="A75" i="92" s="1"/>
  <c r="A76" i="92" s="1"/>
  <c r="A77" i="92" s="1"/>
  <c r="A78" i="92" s="1"/>
  <c r="A79" i="92" s="1"/>
  <c r="A80" i="92" s="1"/>
  <c r="A81" i="92" s="1"/>
  <c r="A82" i="92" s="1"/>
  <c r="A83" i="92" s="1"/>
  <c r="A84" i="92" s="1"/>
  <c r="A85" i="92" s="1"/>
  <c r="A86" i="92" s="1"/>
  <c r="A87" i="92" s="1"/>
  <c r="A88" i="92" s="1"/>
  <c r="A89" i="92" s="1"/>
  <c r="A90" i="92" s="1"/>
  <c r="A91" i="92" s="1"/>
  <c r="A92" i="92" s="1"/>
  <c r="A93" i="92" s="1"/>
  <c r="A94" i="92" s="1"/>
  <c r="A95" i="92" s="1"/>
  <c r="A96" i="92" s="1"/>
  <c r="A97" i="92" s="1"/>
  <c r="A98" i="92" s="1"/>
  <c r="A99" i="92" s="1"/>
  <c r="A100" i="92" s="1"/>
  <c r="A101" i="92" s="1"/>
  <c r="A102" i="92" s="1"/>
  <c r="A103" i="92" s="1"/>
  <c r="A104" i="92" s="1"/>
  <c r="A105" i="92" s="1"/>
  <c r="A106" i="92" s="1"/>
  <c r="A107" i="92" s="1"/>
  <c r="A108" i="92" s="1"/>
  <c r="A109" i="92" s="1"/>
  <c r="A110" i="92" s="1"/>
  <c r="A111" i="92" s="1"/>
  <c r="A112" i="92" s="1"/>
  <c r="A113" i="92" s="1"/>
  <c r="A114" i="92" s="1"/>
  <c r="A115" i="92" s="1"/>
  <c r="A116" i="92" s="1"/>
  <c r="A117" i="92" s="1"/>
  <c r="A118" i="92" s="1"/>
  <c r="A119" i="92" s="1"/>
  <c r="A120" i="92" s="1"/>
  <c r="A121" i="92" s="1"/>
  <c r="A122" i="92" s="1"/>
  <c r="A123" i="92" s="1"/>
  <c r="A124" i="92" s="1"/>
  <c r="A125" i="92" s="1"/>
  <c r="A126" i="92" s="1"/>
  <c r="A127" i="92" s="1"/>
  <c r="A128" i="92" s="1"/>
  <c r="A129" i="92" s="1"/>
  <c r="A130" i="92" s="1"/>
  <c r="A131" i="92" s="1"/>
  <c r="A132" i="92" s="1"/>
  <c r="A133" i="92" s="1"/>
  <c r="A134" i="92" s="1"/>
  <c r="A135" i="92" s="1"/>
  <c r="A136" i="92" s="1"/>
  <c r="A137" i="92" s="1"/>
  <c r="A138" i="92" s="1"/>
  <c r="A139" i="92" s="1"/>
  <c r="A140" i="92" s="1"/>
  <c r="A141" i="92" s="1"/>
  <c r="A142" i="92" s="1"/>
  <c r="A143" i="92" s="1"/>
  <c r="A144" i="92" s="1"/>
  <c r="A145" i="92" s="1"/>
  <c r="A146" i="92" s="1"/>
  <c r="A147" i="92" s="1"/>
  <c r="A148" i="92" s="1"/>
  <c r="A149" i="92" s="1"/>
  <c r="A150" i="92" s="1"/>
  <c r="A151" i="92" s="1"/>
  <c r="A152" i="92" s="1"/>
  <c r="A153" i="92" s="1"/>
  <c r="A154" i="92" s="1"/>
  <c r="A155" i="92" s="1"/>
  <c r="A156" i="92" s="1"/>
  <c r="A157" i="92" s="1"/>
  <c r="A158" i="92" s="1"/>
  <c r="A159" i="92" s="1"/>
  <c r="A160" i="92" s="1"/>
  <c r="A161" i="92" s="1"/>
  <c r="A162" i="92" s="1"/>
  <c r="E50" i="91"/>
  <c r="D50" i="91"/>
  <c r="C50" i="91"/>
  <c r="A9" i="91"/>
  <c r="A10" i="91" s="1"/>
  <c r="A11" i="91" s="1"/>
  <c r="A12" i="91" s="1"/>
  <c r="A13" i="91" s="1"/>
  <c r="B66" i="90"/>
  <c r="C58" i="90"/>
  <c r="B58" i="90"/>
  <c r="B57" i="90"/>
  <c r="B54" i="90"/>
  <c r="B51" i="90"/>
  <c r="C46" i="90"/>
  <c r="B44" i="90"/>
  <c r="C68" i="90"/>
  <c r="B68" i="90"/>
  <c r="C64" i="90"/>
  <c r="B64" i="90"/>
  <c r="C63" i="90"/>
  <c r="B63" i="90"/>
  <c r="C62" i="90"/>
  <c r="B62" i="90"/>
  <c r="F27" i="90"/>
  <c r="C59" i="90"/>
  <c r="B59" i="90"/>
  <c r="C54" i="90"/>
  <c r="C53" i="90"/>
  <c r="B53" i="90"/>
  <c r="C52" i="90"/>
  <c r="B52" i="90"/>
  <c r="C48" i="90"/>
  <c r="B48" i="90"/>
  <c r="F15" i="90"/>
  <c r="F47" i="90" s="1"/>
  <c r="C47" i="90"/>
  <c r="B47" i="90"/>
  <c r="F14" i="90"/>
  <c r="F46" i="90" s="1"/>
  <c r="B46" i="90"/>
  <c r="F13" i="90"/>
  <c r="C45" i="90"/>
  <c r="B45" i="90"/>
  <c r="C42" i="90"/>
  <c r="B42" i="90"/>
  <c r="A10" i="90"/>
  <c r="A11" i="90" s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A42" i="90" s="1"/>
  <c r="A43" i="90" s="1"/>
  <c r="A44" i="90" s="1"/>
  <c r="A45" i="90" s="1"/>
  <c r="A46" i="90" s="1"/>
  <c r="A47" i="90" s="1"/>
  <c r="A48" i="90" s="1"/>
  <c r="A49" i="90" s="1"/>
  <c r="A50" i="90" s="1"/>
  <c r="A51" i="90" s="1"/>
  <c r="A52" i="90" s="1"/>
  <c r="A53" i="90" s="1"/>
  <c r="A54" i="90" s="1"/>
  <c r="A55" i="90" s="1"/>
  <c r="A56" i="90" s="1"/>
  <c r="A57" i="90" s="1"/>
  <c r="A58" i="90" s="1"/>
  <c r="A59" i="90" s="1"/>
  <c r="A60" i="90" s="1"/>
  <c r="A61" i="90" s="1"/>
  <c r="A62" i="90" s="1"/>
  <c r="A63" i="90" s="1"/>
  <c r="A64" i="90" s="1"/>
  <c r="A65" i="90" s="1"/>
  <c r="A66" i="90" s="1"/>
  <c r="A67" i="90" s="1"/>
  <c r="A68" i="90" s="1"/>
  <c r="A69" i="90" s="1"/>
  <c r="A70" i="90" s="1"/>
  <c r="F162" i="88"/>
  <c r="D162" i="92" s="1"/>
  <c r="F161" i="88"/>
  <c r="D161" i="92" s="1"/>
  <c r="F160" i="88"/>
  <c r="D160" i="92" s="1"/>
  <c r="F159" i="88"/>
  <c r="D159" i="92" s="1"/>
  <c r="F158" i="88"/>
  <c r="D158" i="92" s="1"/>
  <c r="F157" i="88"/>
  <c r="D157" i="92" s="1"/>
  <c r="F156" i="88"/>
  <c r="D156" i="92" s="1"/>
  <c r="F155" i="88"/>
  <c r="D155" i="92" s="1"/>
  <c r="F154" i="88"/>
  <c r="D154" i="92" s="1"/>
  <c r="F153" i="88"/>
  <c r="D153" i="92" s="1"/>
  <c r="F152" i="88"/>
  <c r="D152" i="92" s="1"/>
  <c r="F151" i="88"/>
  <c r="D151" i="92" s="1"/>
  <c r="F150" i="88"/>
  <c r="D150" i="92" s="1"/>
  <c r="F149" i="88"/>
  <c r="D149" i="92" s="1"/>
  <c r="B149" i="88"/>
  <c r="B150" i="88" s="1"/>
  <c r="B151" i="88" s="1"/>
  <c r="B152" i="88" s="1"/>
  <c r="B153" i="88" s="1"/>
  <c r="B154" i="88" s="1"/>
  <c r="B155" i="88" s="1"/>
  <c r="B156" i="88" s="1"/>
  <c r="B157" i="88" s="1"/>
  <c r="B158" i="88" s="1"/>
  <c r="B159" i="88" s="1"/>
  <c r="B160" i="88" s="1"/>
  <c r="B161" i="88" s="1"/>
  <c r="B162" i="88" s="1"/>
  <c r="F148" i="88"/>
  <c r="D148" i="92" s="1"/>
  <c r="F147" i="88"/>
  <c r="D147" i="92" s="1"/>
  <c r="F145" i="88"/>
  <c r="D145" i="92" s="1"/>
  <c r="F144" i="88"/>
  <c r="D144" i="92" s="1"/>
  <c r="B144" i="88"/>
  <c r="B145" i="88" s="1"/>
  <c r="F142" i="88"/>
  <c r="D142" i="92" s="1"/>
  <c r="F141" i="88"/>
  <c r="D141" i="92" s="1"/>
  <c r="F140" i="88"/>
  <c r="D140" i="92" s="1"/>
  <c r="F139" i="88"/>
  <c r="D139" i="92" s="1"/>
  <c r="F137" i="88"/>
  <c r="D137" i="92" s="1"/>
  <c r="F136" i="88"/>
  <c r="D136" i="92" s="1"/>
  <c r="F135" i="88"/>
  <c r="D135" i="92" s="1"/>
  <c r="F134" i="88"/>
  <c r="D134" i="92" s="1"/>
  <c r="B134" i="88"/>
  <c r="B135" i="88" s="1"/>
  <c r="B136" i="88" s="1"/>
  <c r="B137" i="88" s="1"/>
  <c r="F133" i="88"/>
  <c r="D133" i="92" s="1"/>
  <c r="F131" i="88"/>
  <c r="D131" i="92" s="1"/>
  <c r="F130" i="88"/>
  <c r="D130" i="92" s="1"/>
  <c r="F129" i="88"/>
  <c r="D129" i="92" s="1"/>
  <c r="F128" i="88"/>
  <c r="D128" i="92" s="1"/>
  <c r="F127" i="88"/>
  <c r="D127" i="92" s="1"/>
  <c r="B127" i="88"/>
  <c r="B128" i="88" s="1"/>
  <c r="B129" i="88" s="1"/>
  <c r="B130" i="88" s="1"/>
  <c r="B131" i="88" s="1"/>
  <c r="F126" i="88"/>
  <c r="D126" i="92" s="1"/>
  <c r="F123" i="88"/>
  <c r="D123" i="92" s="1"/>
  <c r="F120" i="88"/>
  <c r="D120" i="92" s="1"/>
  <c r="F119" i="88"/>
  <c r="D119" i="92" s="1"/>
  <c r="F118" i="88"/>
  <c r="D118" i="92" s="1"/>
  <c r="F117" i="88"/>
  <c r="D117" i="92" s="1"/>
  <c r="F116" i="88"/>
  <c r="D116" i="92" s="1"/>
  <c r="F115" i="88"/>
  <c r="D115" i="92" s="1"/>
  <c r="F114" i="88"/>
  <c r="D114" i="92" s="1"/>
  <c r="F113" i="88"/>
  <c r="D113" i="92" s="1"/>
  <c r="F112" i="88"/>
  <c r="D112" i="92" s="1"/>
  <c r="F111" i="88"/>
  <c r="D111" i="92" s="1"/>
  <c r="F109" i="88"/>
  <c r="D109" i="92" s="1"/>
  <c r="F107" i="88"/>
  <c r="D107" i="92" s="1"/>
  <c r="F106" i="88"/>
  <c r="D106" i="92" s="1"/>
  <c r="F105" i="88"/>
  <c r="D105" i="92" s="1"/>
  <c r="F104" i="88"/>
  <c r="D104" i="92" s="1"/>
  <c r="F103" i="88"/>
  <c r="D103" i="92" s="1"/>
  <c r="B103" i="88"/>
  <c r="B104" i="88" s="1"/>
  <c r="B105" i="88" s="1"/>
  <c r="B106" i="88" s="1"/>
  <c r="B107" i="88" s="1"/>
  <c r="B109" i="88" s="1"/>
  <c r="F102" i="88"/>
  <c r="D102" i="92" s="1"/>
  <c r="F99" i="88"/>
  <c r="D99" i="92" s="1"/>
  <c r="F98" i="88"/>
  <c r="D98" i="92" s="1"/>
  <c r="F97" i="88"/>
  <c r="D97" i="92" s="1"/>
  <c r="F96" i="88"/>
  <c r="D96" i="92" s="1"/>
  <c r="F95" i="88"/>
  <c r="D95" i="92" s="1"/>
  <c r="F94" i="88"/>
  <c r="D94" i="92" s="1"/>
  <c r="F93" i="88"/>
  <c r="D93" i="92" s="1"/>
  <c r="F92" i="88"/>
  <c r="D92" i="92" s="1"/>
  <c r="F91" i="88"/>
  <c r="D91" i="92" s="1"/>
  <c r="F90" i="88"/>
  <c r="D90" i="92" s="1"/>
  <c r="F88" i="88"/>
  <c r="D88" i="92" s="1"/>
  <c r="F87" i="88"/>
  <c r="D87" i="92" s="1"/>
  <c r="F86" i="88"/>
  <c r="D86" i="92" s="1"/>
  <c r="F85" i="88"/>
  <c r="D85" i="92" s="1"/>
  <c r="F84" i="88"/>
  <c r="D84" i="92" s="1"/>
  <c r="F83" i="88"/>
  <c r="D83" i="92" s="1"/>
  <c r="F82" i="88"/>
  <c r="D82" i="92" s="1"/>
  <c r="F81" i="88"/>
  <c r="D81" i="92" s="1"/>
  <c r="B81" i="88"/>
  <c r="B82" i="88" s="1"/>
  <c r="B83" i="88" s="1"/>
  <c r="B84" i="88" s="1"/>
  <c r="B85" i="88" s="1"/>
  <c r="B86" i="88" s="1"/>
  <c r="B87" i="88" s="1"/>
  <c r="F80" i="88"/>
  <c r="D80" i="92" s="1"/>
  <c r="F76" i="88"/>
  <c r="D75" i="92" s="1"/>
  <c r="F75" i="88"/>
  <c r="D74" i="92" s="1"/>
  <c r="F74" i="88"/>
  <c r="D73" i="92" s="1"/>
  <c r="F73" i="88"/>
  <c r="D72" i="92" s="1"/>
  <c r="F72" i="88"/>
  <c r="D71" i="92" s="1"/>
  <c r="F71" i="88"/>
  <c r="D70" i="92" s="1"/>
  <c r="F70" i="88"/>
  <c r="D69" i="92" s="1"/>
  <c r="F69" i="88"/>
  <c r="D68" i="92" s="1"/>
  <c r="F68" i="88"/>
  <c r="D67" i="92" s="1"/>
  <c r="F67" i="88"/>
  <c r="D66" i="92" s="1"/>
  <c r="F65" i="88"/>
  <c r="D64" i="92" s="1"/>
  <c r="F64" i="88"/>
  <c r="D63" i="92" s="1"/>
  <c r="F63" i="88"/>
  <c r="D62" i="92" s="1"/>
  <c r="F62" i="88"/>
  <c r="D61" i="92" s="1"/>
  <c r="F61" i="88"/>
  <c r="D60" i="92" s="1"/>
  <c r="F60" i="88"/>
  <c r="D59" i="92" s="1"/>
  <c r="F58" i="88"/>
  <c r="D57" i="92" s="1"/>
  <c r="F57" i="88"/>
  <c r="D56" i="92" s="1"/>
  <c r="F56" i="88"/>
  <c r="D55" i="92" s="1"/>
  <c r="F55" i="88"/>
  <c r="D54" i="92" s="1"/>
  <c r="F54" i="88"/>
  <c r="D53" i="92" s="1"/>
  <c r="F53" i="88"/>
  <c r="D52" i="92" s="1"/>
  <c r="F52" i="88"/>
  <c r="D51" i="92" s="1"/>
  <c r="F51" i="88"/>
  <c r="D50" i="92" s="1"/>
  <c r="B51" i="88"/>
  <c r="B52" i="88" s="1"/>
  <c r="B53" i="88" s="1"/>
  <c r="B54" i="88" s="1"/>
  <c r="B55" i="88" s="1"/>
  <c r="B56" i="88" s="1"/>
  <c r="B57" i="88" s="1"/>
  <c r="B58" i="88" s="1"/>
  <c r="B60" i="88" s="1"/>
  <c r="B61" i="88" s="1"/>
  <c r="B62" i="88" s="1"/>
  <c r="B63" i="88" s="1"/>
  <c r="B64" i="88" s="1"/>
  <c r="F50" i="88"/>
  <c r="D49" i="92" s="1"/>
  <c r="F47" i="88"/>
  <c r="D46" i="92" s="1"/>
  <c r="F46" i="88"/>
  <c r="D45" i="92" s="1"/>
  <c r="C46" i="88"/>
  <c r="C47" i="88" s="1"/>
  <c r="F45" i="88"/>
  <c r="D44" i="92" s="1"/>
  <c r="C45" i="88"/>
  <c r="F44" i="88"/>
  <c r="D43" i="92" s="1"/>
  <c r="F43" i="88"/>
  <c r="D42" i="92" s="1"/>
  <c r="F42" i="88"/>
  <c r="D41" i="92" s="1"/>
  <c r="F41" i="88"/>
  <c r="D40" i="92" s="1"/>
  <c r="F39" i="88"/>
  <c r="D38" i="92" s="1"/>
  <c r="F38" i="88"/>
  <c r="D37" i="92" s="1"/>
  <c r="F37" i="88"/>
  <c r="D36" i="92" s="1"/>
  <c r="F36" i="88"/>
  <c r="D35" i="92" s="1"/>
  <c r="F35" i="88"/>
  <c r="D34" i="92" s="1"/>
  <c r="F34" i="88"/>
  <c r="D33" i="92" s="1"/>
  <c r="F33" i="88"/>
  <c r="D32" i="92" s="1"/>
  <c r="B33" i="88"/>
  <c r="B34" i="88" s="1"/>
  <c r="B35" i="88" s="1"/>
  <c r="B36" i="88" s="1"/>
  <c r="F32" i="88"/>
  <c r="D31" i="92" s="1"/>
  <c r="F28" i="88"/>
  <c r="D26" i="92" s="1"/>
  <c r="F27" i="88"/>
  <c r="D25" i="92" s="1"/>
  <c r="F26" i="88"/>
  <c r="D24" i="92" s="1"/>
  <c r="F25" i="88"/>
  <c r="D23" i="92" s="1"/>
  <c r="F24" i="88"/>
  <c r="D22" i="92" s="1"/>
  <c r="F23" i="88"/>
  <c r="D21" i="92" s="1"/>
  <c r="F22" i="88"/>
  <c r="D20" i="92" s="1"/>
  <c r="F21" i="88"/>
  <c r="D19" i="92" s="1"/>
  <c r="F20" i="88"/>
  <c r="D18" i="92" s="1"/>
  <c r="F19" i="88"/>
  <c r="D17" i="92" s="1"/>
  <c r="F16" i="88"/>
  <c r="D14" i="92" s="1"/>
  <c r="F15" i="88"/>
  <c r="D13" i="92" s="1"/>
  <c r="F14" i="88"/>
  <c r="D12" i="92" s="1"/>
  <c r="B14" i="88"/>
  <c r="B15" i="88" s="1"/>
  <c r="B16" i="88" s="1"/>
  <c r="F13" i="88"/>
  <c r="D11" i="92" s="1"/>
  <c r="A10" i="88"/>
  <c r="A11" i="88" s="1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27" i="88" s="1"/>
  <c r="A28" i="88" s="1"/>
  <c r="A29" i="88" s="1"/>
  <c r="A30" i="88" s="1"/>
  <c r="A31" i="88" s="1"/>
  <c r="A32" i="88" s="1"/>
  <c r="A33" i="88" s="1"/>
  <c r="A34" i="88" s="1"/>
  <c r="A35" i="88" s="1"/>
  <c r="A36" i="88" s="1"/>
  <c r="A37" i="88" s="1"/>
  <c r="A38" i="88" s="1"/>
  <c r="A39" i="88" s="1"/>
  <c r="A40" i="88" s="1"/>
  <c r="A41" i="88" s="1"/>
  <c r="A42" i="88" s="1"/>
  <c r="A43" i="88" s="1"/>
  <c r="A44" i="88" s="1"/>
  <c r="A45" i="88" s="1"/>
  <c r="A46" i="88" s="1"/>
  <c r="A47" i="88" s="1"/>
  <c r="A48" i="88" s="1"/>
  <c r="A49" i="88" s="1"/>
  <c r="A50" i="88" s="1"/>
  <c r="A51" i="88" s="1"/>
  <c r="A52" i="88" s="1"/>
  <c r="A53" i="88" s="1"/>
  <c r="A54" i="88" s="1"/>
  <c r="A55" i="88" s="1"/>
  <c r="A56" i="88" s="1"/>
  <c r="A57" i="88" s="1"/>
  <c r="A58" i="88" s="1"/>
  <c r="A59" i="88" s="1"/>
  <c r="A60" i="88" s="1"/>
  <c r="A61" i="88" s="1"/>
  <c r="A62" i="88" s="1"/>
  <c r="A63" i="88" s="1"/>
  <c r="A64" i="88" s="1"/>
  <c r="A65" i="88" s="1"/>
  <c r="A66" i="88" s="1"/>
  <c r="A67" i="88" s="1"/>
  <c r="A68" i="88" s="1"/>
  <c r="A69" i="88" s="1"/>
  <c r="A70" i="88" s="1"/>
  <c r="A71" i="88" s="1"/>
  <c r="A72" i="88" s="1"/>
  <c r="A73" i="88" s="1"/>
  <c r="A74" i="88" s="1"/>
  <c r="A75" i="88" s="1"/>
  <c r="A76" i="88" s="1"/>
  <c r="A77" i="88" s="1"/>
  <c r="A78" i="88" s="1"/>
  <c r="A79" i="88" s="1"/>
  <c r="A80" i="88" s="1"/>
  <c r="A81" i="88" s="1"/>
  <c r="A82" i="88" s="1"/>
  <c r="A83" i="88" s="1"/>
  <c r="A84" i="88" s="1"/>
  <c r="A85" i="88" s="1"/>
  <c r="A86" i="88" s="1"/>
  <c r="A87" i="88" s="1"/>
  <c r="A88" i="88" s="1"/>
  <c r="A89" i="88" s="1"/>
  <c r="A90" i="88" s="1"/>
  <c r="A91" i="88" s="1"/>
  <c r="A92" i="88" s="1"/>
  <c r="A93" i="88" s="1"/>
  <c r="A94" i="88" s="1"/>
  <c r="A95" i="88" s="1"/>
  <c r="A96" i="88" s="1"/>
  <c r="A97" i="88" s="1"/>
  <c r="A98" i="88" s="1"/>
  <c r="A99" i="88" s="1"/>
  <c r="A100" i="88" s="1"/>
  <c r="A101" i="88" s="1"/>
  <c r="A102" i="88" s="1"/>
  <c r="A103" i="88" s="1"/>
  <c r="A104" i="88" s="1"/>
  <c r="A105" i="88" s="1"/>
  <c r="A106" i="88" s="1"/>
  <c r="A107" i="88" s="1"/>
  <c r="A108" i="88" s="1"/>
  <c r="A109" i="88" s="1"/>
  <c r="A110" i="88" s="1"/>
  <c r="A111" i="88" s="1"/>
  <c r="A112" i="88" s="1"/>
  <c r="A113" i="88" s="1"/>
  <c r="A114" i="88" s="1"/>
  <c r="A115" i="88" s="1"/>
  <c r="A116" i="88" s="1"/>
  <c r="A117" i="88" s="1"/>
  <c r="A118" i="88" s="1"/>
  <c r="A119" i="88" s="1"/>
  <c r="A120" i="88" s="1"/>
  <c r="A121" i="88" s="1"/>
  <c r="A122" i="88" s="1"/>
  <c r="A123" i="88" s="1"/>
  <c r="A124" i="88" s="1"/>
  <c r="A125" i="88" s="1"/>
  <c r="A126" i="88" s="1"/>
  <c r="A127" i="88" s="1"/>
  <c r="A128" i="88" s="1"/>
  <c r="A129" i="88" s="1"/>
  <c r="A130" i="88" s="1"/>
  <c r="A131" i="88" s="1"/>
  <c r="A132" i="88" s="1"/>
  <c r="A133" i="88" s="1"/>
  <c r="A134" i="88" s="1"/>
  <c r="A135" i="88" s="1"/>
  <c r="A136" i="88" s="1"/>
  <c r="A137" i="88" s="1"/>
  <c r="A138" i="88" s="1"/>
  <c r="A139" i="88" s="1"/>
  <c r="A140" i="88" s="1"/>
  <c r="A141" i="88" s="1"/>
  <c r="A142" i="88" s="1"/>
  <c r="A143" i="88" s="1"/>
  <c r="A144" i="88" s="1"/>
  <c r="A145" i="88" s="1"/>
  <c r="A146" i="88" s="1"/>
  <c r="A147" i="88" s="1"/>
  <c r="A148" i="88" s="1"/>
  <c r="A149" i="88" s="1"/>
  <c r="A150" i="88" s="1"/>
  <c r="A151" i="88" s="1"/>
  <c r="A152" i="88" s="1"/>
  <c r="A153" i="88" s="1"/>
  <c r="A154" i="88" s="1"/>
  <c r="A155" i="88" s="1"/>
  <c r="A156" i="88" s="1"/>
  <c r="A157" i="88" s="1"/>
  <c r="A158" i="88" s="1"/>
  <c r="A159" i="88" s="1"/>
  <c r="A160" i="88" s="1"/>
  <c r="A161" i="88" s="1"/>
  <c r="A162" i="88" s="1"/>
  <c r="A163" i="88" s="1"/>
  <c r="A164" i="88" s="1"/>
  <c r="A165" i="88" s="1"/>
  <c r="A166" i="88" s="1"/>
  <c r="A167" i="88" s="1"/>
  <c r="A168" i="88" s="1"/>
  <c r="A169" i="88" s="1"/>
  <c r="A170" i="88" s="1"/>
  <c r="A171" i="88" s="1"/>
  <c r="A4" i="88"/>
  <c r="A3" i="88"/>
  <c r="F59" i="90" l="1"/>
  <c r="F31" i="90"/>
  <c r="E36" i="92"/>
  <c r="A14" i="9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A36" i="91" s="1"/>
  <c r="A37" i="91" s="1"/>
  <c r="A38" i="91" s="1"/>
  <c r="A39" i="91" s="1"/>
  <c r="A40" i="91" s="1"/>
  <c r="A41" i="91" s="1"/>
  <c r="A42" i="91" s="1"/>
  <c r="A43" i="91" s="1"/>
  <c r="A44" i="91" s="1"/>
  <c r="A45" i="91" s="1"/>
  <c r="A46" i="91" s="1"/>
  <c r="A47" i="91" s="1"/>
  <c r="A48" i="91" s="1"/>
  <c r="A49" i="91" s="1"/>
  <c r="A50" i="91" s="1"/>
  <c r="A51" i="91" s="1"/>
  <c r="A52" i="91" s="1"/>
  <c r="A53" i="91" s="1"/>
  <c r="A54" i="91" s="1"/>
  <c r="A55" i="91" s="1"/>
  <c r="E38" i="92"/>
  <c r="E32" i="92"/>
  <c r="E33" i="92"/>
  <c r="H56" i="88"/>
  <c r="H13" i="88"/>
  <c r="H80" i="88"/>
  <c r="H34" i="88"/>
  <c r="H142" i="88"/>
  <c r="H45" i="88"/>
  <c r="H131" i="88"/>
  <c r="H81" i="88"/>
  <c r="H116" i="88"/>
  <c r="H71" i="88"/>
  <c r="H117" i="88"/>
  <c r="H133" i="88"/>
  <c r="H154" i="88"/>
  <c r="H36" i="88"/>
  <c r="H118" i="88"/>
  <c r="H58" i="88"/>
  <c r="H82" i="88"/>
  <c r="H120" i="88"/>
  <c r="H83" i="88"/>
  <c r="H156" i="88"/>
  <c r="H148" i="88"/>
  <c r="H27" i="88"/>
  <c r="H136" i="88"/>
  <c r="H158" i="88"/>
  <c r="H109" i="88"/>
  <c r="H159" i="88"/>
  <c r="H111" i="88"/>
  <c r="H161" i="88"/>
  <c r="H55" i="88"/>
  <c r="H91" i="88"/>
  <c r="H104" i="88"/>
  <c r="H57" i="88"/>
  <c r="H144" i="88"/>
  <c r="H119" i="88"/>
  <c r="H94" i="88"/>
  <c r="H135" i="88"/>
  <c r="H38" i="88"/>
  <c r="H16" i="88"/>
  <c r="H63" i="88"/>
  <c r="H160" i="88"/>
  <c r="H19" i="88"/>
  <c r="H97" i="88"/>
  <c r="H86" i="88"/>
  <c r="H162" i="88"/>
  <c r="H20" i="88"/>
  <c r="H42" i="88"/>
  <c r="H65" i="88"/>
  <c r="H76" i="88"/>
  <c r="H98" i="88"/>
  <c r="H112" i="88"/>
  <c r="H69" i="88"/>
  <c r="H103" i="88"/>
  <c r="H23" i="88"/>
  <c r="H115" i="88"/>
  <c r="H153" i="88"/>
  <c r="H105" i="88"/>
  <c r="H145" i="88"/>
  <c r="H72" i="88"/>
  <c r="H60" i="88"/>
  <c r="H147" i="88"/>
  <c r="H15" i="88"/>
  <c r="H62" i="88"/>
  <c r="H28" i="88"/>
  <c r="H85" i="88"/>
  <c r="H41" i="88"/>
  <c r="H127" i="88"/>
  <c r="H139" i="88"/>
  <c r="H53" i="88"/>
  <c r="H67" i="88"/>
  <c r="H87" i="88"/>
  <c r="H128" i="88"/>
  <c r="H150" i="88"/>
  <c r="H92" i="88"/>
  <c r="H47" i="88"/>
  <c r="H14" i="88"/>
  <c r="H123" i="88"/>
  <c r="H50" i="88"/>
  <c r="H95" i="88"/>
  <c r="H157" i="88"/>
  <c r="H74" i="88"/>
  <c r="H51" i="88"/>
  <c r="H75" i="88"/>
  <c r="H64" i="88"/>
  <c r="H32" i="88"/>
  <c r="H140" i="88"/>
  <c r="H54" i="88"/>
  <c r="H68" i="88"/>
  <c r="H88" i="88"/>
  <c r="H102" i="88"/>
  <c r="H129" i="88"/>
  <c r="H130" i="88"/>
  <c r="H70" i="88"/>
  <c r="H24" i="88"/>
  <c r="H134" i="88"/>
  <c r="H106" i="88"/>
  <c r="H26" i="88"/>
  <c r="H61" i="88"/>
  <c r="H84" i="88"/>
  <c r="H137" i="88"/>
  <c r="H21" i="88"/>
  <c r="H43" i="88"/>
  <c r="H99" i="88"/>
  <c r="H22" i="88"/>
  <c r="H33" i="88"/>
  <c r="H44" i="88"/>
  <c r="H90" i="88"/>
  <c r="H114" i="88"/>
  <c r="H141" i="88"/>
  <c r="H151" i="88"/>
  <c r="F22" i="90"/>
  <c r="F54" i="90" s="1"/>
  <c r="F53" i="90"/>
  <c r="H25" i="88"/>
  <c r="H35" i="88"/>
  <c r="H96" i="88"/>
  <c r="H107" i="88"/>
  <c r="H152" i="88"/>
  <c r="H37" i="88"/>
  <c r="H46" i="88"/>
  <c r="H126" i="88"/>
  <c r="H155" i="88"/>
  <c r="H39" i="88"/>
  <c r="H113" i="88"/>
  <c r="H149" i="88"/>
  <c r="F11" i="88"/>
  <c r="D9" i="92" s="1"/>
  <c r="H52" i="88"/>
  <c r="H73" i="88"/>
  <c r="H93" i="88"/>
  <c r="G49" i="91"/>
  <c r="B65" i="88"/>
  <c r="B68" i="88" s="1"/>
  <c r="B69" i="88" s="1"/>
  <c r="B70" i="88" s="1"/>
  <c r="B71" i="88" s="1"/>
  <c r="B72" i="88" s="1"/>
  <c r="B73" i="88" s="1"/>
  <c r="B74" i="88" s="1"/>
  <c r="B75" i="88" s="1"/>
  <c r="B76" i="88" s="1"/>
  <c r="B67" i="88"/>
  <c r="B88" i="88"/>
  <c r="B91" i="88" s="1"/>
  <c r="B92" i="88" s="1"/>
  <c r="B93" i="88" s="1"/>
  <c r="B94" i="88" s="1"/>
  <c r="B95" i="88" s="1"/>
  <c r="B96" i="88" s="1"/>
  <c r="B97" i="88" s="1"/>
  <c r="B98" i="88" s="1"/>
  <c r="B99" i="88" s="1"/>
  <c r="B90" i="88"/>
  <c r="B37" i="88"/>
  <c r="B41" i="88"/>
  <c r="B139" i="88"/>
  <c r="B140" i="88" s="1"/>
  <c r="B141" i="88" s="1"/>
  <c r="B142" i="88" s="1"/>
  <c r="H11" i="88" l="1"/>
  <c r="B38" i="88"/>
  <c r="B42" i="88"/>
  <c r="B39" i="88" l="1"/>
  <c r="B44" i="88" s="1"/>
  <c r="B45" i="88" s="1"/>
  <c r="B46" i="88" s="1"/>
  <c r="B47" i="88" s="1"/>
  <c r="B43" i="88"/>
  <c r="G26" i="91" l="1"/>
  <c r="G22" i="91"/>
  <c r="G12" i="91"/>
  <c r="G41" i="91"/>
  <c r="G17" i="91"/>
  <c r="G24" i="91"/>
  <c r="G15" i="91"/>
  <c r="G31" i="91"/>
  <c r="G33" i="91"/>
  <c r="G9" i="91"/>
  <c r="J53" i="74" l="1"/>
  <c r="J51" i="74"/>
  <c r="G13" i="91"/>
  <c r="H9" i="74" l="1"/>
  <c r="J9" i="74" s="1"/>
  <c r="A10" i="74" l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A39" i="74" s="1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I39" i="91" l="1"/>
  <c r="N39" i="91" s="1"/>
  <c r="K39" i="91" l="1"/>
  <c r="L39" i="91" s="1"/>
  <c r="M39" i="91" s="1"/>
  <c r="I37" i="91"/>
  <c r="N37" i="91" s="1"/>
  <c r="K37" i="91" l="1"/>
  <c r="L37" i="91" s="1"/>
  <c r="M37" i="91" s="1"/>
  <c r="H47" i="74"/>
  <c r="J47" i="74" s="1"/>
  <c r="E36" i="90" s="1"/>
  <c r="H11" i="74" l="1"/>
  <c r="H15" i="74"/>
  <c r="J11" i="74" l="1"/>
  <c r="I12" i="91" s="1"/>
  <c r="K12" i="91" s="1"/>
  <c r="H14" i="74"/>
  <c r="J14" i="74" s="1"/>
  <c r="I14" i="91" s="1"/>
  <c r="N14" i="91" s="1"/>
  <c r="H13" i="74"/>
  <c r="H45" i="74"/>
  <c r="J45" i="74" s="1"/>
  <c r="H35" i="74"/>
  <c r="H19" i="74"/>
  <c r="H23" i="74"/>
  <c r="H39" i="74"/>
  <c r="I9" i="91"/>
  <c r="N9" i="91" s="1"/>
  <c r="H43" i="74"/>
  <c r="H31" i="74"/>
  <c r="H27" i="74"/>
  <c r="J13" i="74" l="1"/>
  <c r="I13" i="91" s="1"/>
  <c r="K13" i="91" s="1"/>
  <c r="E46" i="90"/>
  <c r="N12" i="91"/>
  <c r="E13" i="90"/>
  <c r="E10" i="90"/>
  <c r="F50" i="91"/>
  <c r="G50" i="91" s="1"/>
  <c r="G51" i="91" s="1"/>
  <c r="G52" i="91" s="1"/>
  <c r="L12" i="91"/>
  <c r="K9" i="91"/>
  <c r="I41" i="91"/>
  <c r="H166" i="88"/>
  <c r="H38" i="74"/>
  <c r="H34" i="74"/>
  <c r="H25" i="74"/>
  <c r="H30" i="74"/>
  <c r="H22" i="74"/>
  <c r="H42" i="74"/>
  <c r="H17" i="74"/>
  <c r="H18" i="74"/>
  <c r="H21" i="74"/>
  <c r="H49" i="74"/>
  <c r="H55" i="74" s="1"/>
  <c r="H41" i="74"/>
  <c r="H26" i="74"/>
  <c r="H29" i="74"/>
  <c r="H33" i="74"/>
  <c r="H37" i="74"/>
  <c r="L13" i="91" l="1"/>
  <c r="M13" i="91" s="1"/>
  <c r="J22" i="74"/>
  <c r="J30" i="74"/>
  <c r="J38" i="74"/>
  <c r="J29" i="74"/>
  <c r="I24" i="91" s="1"/>
  <c r="J33" i="74"/>
  <c r="I26" i="91" s="1"/>
  <c r="J25" i="74"/>
  <c r="I22" i="91" s="1"/>
  <c r="J34" i="74"/>
  <c r="J37" i="74"/>
  <c r="I31" i="91" s="1"/>
  <c r="J26" i="74"/>
  <c r="J41" i="74"/>
  <c r="I33" i="91" s="1"/>
  <c r="J21" i="74"/>
  <c r="I17" i="91" s="1"/>
  <c r="J18" i="74"/>
  <c r="J17" i="74"/>
  <c r="I15" i="91" s="1"/>
  <c r="J42" i="74"/>
  <c r="F29" i="88"/>
  <c r="F77" i="88"/>
  <c r="N13" i="91"/>
  <c r="E14" i="90"/>
  <c r="K41" i="91"/>
  <c r="L41" i="91" s="1"/>
  <c r="M41" i="91" s="1"/>
  <c r="M12" i="91"/>
  <c r="L9" i="91"/>
  <c r="E52" i="90" l="1"/>
  <c r="I23" i="91"/>
  <c r="N23" i="91" s="1"/>
  <c r="E53" i="90"/>
  <c r="I25" i="91"/>
  <c r="N25" i="91" s="1"/>
  <c r="N22" i="91"/>
  <c r="E48" i="90"/>
  <c r="I18" i="91"/>
  <c r="N18" i="91" s="1"/>
  <c r="E59" i="90"/>
  <c r="I34" i="91"/>
  <c r="N34" i="91" s="1"/>
  <c r="E47" i="90"/>
  <c r="I16" i="91"/>
  <c r="N16" i="91" s="1"/>
  <c r="K24" i="91"/>
  <c r="L24" i="91" s="1"/>
  <c r="M24" i="91" s="1"/>
  <c r="E54" i="90"/>
  <c r="I27" i="91"/>
  <c r="N27" i="91" s="1"/>
  <c r="E58" i="90"/>
  <c r="I32" i="91"/>
  <c r="N32" i="91" s="1"/>
  <c r="D28" i="92"/>
  <c r="H29" i="88"/>
  <c r="D77" i="92"/>
  <c r="H77" i="88"/>
  <c r="N33" i="91"/>
  <c r="E27" i="90"/>
  <c r="N15" i="91"/>
  <c r="E15" i="90"/>
  <c r="N26" i="91"/>
  <c r="E22" i="90"/>
  <c r="E20" i="90"/>
  <c r="N17" i="91"/>
  <c r="E16" i="90"/>
  <c r="N31" i="91"/>
  <c r="E26" i="90"/>
  <c r="N24" i="91"/>
  <c r="E21" i="90"/>
  <c r="N41" i="91"/>
  <c r="E32" i="90"/>
  <c r="M9" i="91"/>
  <c r="K22" i="91" l="1"/>
  <c r="K31" i="91"/>
  <c r="L31" i="91" s="1"/>
  <c r="K26" i="91"/>
  <c r="L26" i="91" s="1"/>
  <c r="M26" i="91" s="1"/>
  <c r="L22" i="91"/>
  <c r="M22" i="91" s="1"/>
  <c r="K33" i="91"/>
  <c r="L33" i="91" s="1"/>
  <c r="M33" i="91" s="1"/>
  <c r="K15" i="91"/>
  <c r="K17" i="91"/>
  <c r="L17" i="91" s="1"/>
  <c r="M17" i="91" s="1"/>
  <c r="H165" i="88"/>
  <c r="H167" i="88" s="1"/>
  <c r="M31" i="91"/>
  <c r="K28" i="91" l="1"/>
  <c r="L28" i="91"/>
  <c r="M28" i="91" s="1"/>
  <c r="K19" i="91"/>
  <c r="L15" i="91"/>
  <c r="K35" i="91"/>
  <c r="L35" i="91"/>
  <c r="M35" i="91" s="1"/>
  <c r="K43" i="91" l="1"/>
  <c r="L19" i="91"/>
  <c r="M15" i="91"/>
  <c r="M19" i="91" l="1"/>
  <c r="L43" i="91"/>
  <c r="M43" i="91" s="1"/>
</calcChain>
</file>

<file path=xl/sharedStrings.xml><?xml version="1.0" encoding="utf-8"?>
<sst xmlns="http://schemas.openxmlformats.org/spreadsheetml/2006/main" count="650" uniqueCount="215">
  <si>
    <t>Line No.</t>
  </si>
  <si>
    <t>Schedule</t>
  </si>
  <si>
    <t>50-59</t>
  </si>
  <si>
    <t>Total</t>
  </si>
  <si>
    <t>Lamp Type</t>
  </si>
  <si>
    <t>Mercury Vapor</t>
  </si>
  <si>
    <t>Sodium Vapor</t>
  </si>
  <si>
    <t>Wattage (W)</t>
  </si>
  <si>
    <t>003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</si>
  <si>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</si>
  <si>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</si>
  <si>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</si>
  <si>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</si>
  <si>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</si>
  <si>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</si>
  <si>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</si>
  <si>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</si>
  <si>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</si>
  <si>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</si>
  <si>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</si>
  <si>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</si>
  <si>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 xml:space="preserve">52E </t>
  </si>
  <si>
    <t>Metal Halide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</si>
  <si>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</si>
  <si>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</si>
  <si>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</si>
  <si>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</si>
  <si>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</si>
  <si>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</si>
  <si>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</si>
  <si>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</si>
  <si>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</si>
  <si>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</si>
  <si>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</si>
  <si>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</si>
  <si>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</si>
  <si>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</si>
  <si>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</si>
  <si>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</si>
  <si>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Special Contract</t>
  </si>
  <si>
    <t>Basic Charge</t>
  </si>
  <si>
    <t>First 600 kWh</t>
  </si>
  <si>
    <t>Over 600 kWh</t>
  </si>
  <si>
    <t>Smart LED</t>
  </si>
  <si>
    <t>0 - 30</t>
  </si>
  <si>
    <t>Subtotal</t>
  </si>
  <si>
    <t>Compact Flourescent</t>
  </si>
  <si>
    <t>50E</t>
  </si>
  <si>
    <t>0-30</t>
  </si>
  <si>
    <t>30 - 60</t>
  </si>
  <si>
    <t>Per kWh - All Lamps</t>
  </si>
  <si>
    <t>53E</t>
  </si>
  <si>
    <t>Lights</t>
  </si>
  <si>
    <t>PUGET SOUND ENERGY</t>
  </si>
  <si>
    <t>Schedule 141COL Colstrip Adjustment Tracker</t>
  </si>
  <si>
    <t>Customer Class</t>
  </si>
  <si>
    <t>Schedules</t>
  </si>
  <si>
    <t>a</t>
  </si>
  <si>
    <t>c</t>
  </si>
  <si>
    <t>f</t>
  </si>
  <si>
    <t>Residential (kWh Energy Charge)</t>
  </si>
  <si>
    <t>Sec Gen Svc - Small (kWh Energy Charge)</t>
  </si>
  <si>
    <t>Sec Gen Svc - Medium (kWh Energy Charge)</t>
  </si>
  <si>
    <t>Sec Gen Svc - Medium (KW Demand Charge)</t>
  </si>
  <si>
    <t>Sec Gen Svc - Medium (Total)</t>
  </si>
  <si>
    <t>Sec Gen Svc - Large (kWh Energy Charge)</t>
  </si>
  <si>
    <t>Sec Gen Svc - Large (KW Demand Charge)</t>
  </si>
  <si>
    <t>Sec Gen Svc - Large (Total)</t>
  </si>
  <si>
    <t>Sec Irrigation Svc (kWh Energy Charge)</t>
  </si>
  <si>
    <t>Sec Irrigation Svc (kW Demand Charge)</t>
  </si>
  <si>
    <t>Sec Irrigation Svc (Total)</t>
  </si>
  <si>
    <t>Pri Gen Svc (kWh Energy Charge)</t>
  </si>
  <si>
    <t>Pri Gen Svc (KW Demand Charge)</t>
  </si>
  <si>
    <t>Pri Gen Svc (Total)</t>
  </si>
  <si>
    <t>Pri Irrigation Svc (kWh Energy Charge)</t>
  </si>
  <si>
    <t>Pri Irrigation Svc (KW Demand Charge)</t>
  </si>
  <si>
    <t>Pri Irrigation Svc (Total)</t>
  </si>
  <si>
    <t>Pri Interruptible Svc (kWh Energy Charge)</t>
  </si>
  <si>
    <t>Pri Interruptible Svc (KW Demand Charge)</t>
  </si>
  <si>
    <t>Pri Interruptible Svc (Total)</t>
  </si>
  <si>
    <t>HV - Interruptible Svc (kWh Energy Charge)</t>
  </si>
  <si>
    <t>HV - Interruptible Svc (kVa Demand Charge)</t>
  </si>
  <si>
    <t>HV - Interruptible Svc (Total)</t>
  </si>
  <si>
    <t>HV - General Svc (kWh Energy Charge)</t>
  </si>
  <si>
    <t>HV - General Svc (kVa Demand Charge)</t>
  </si>
  <si>
    <t>HV - General Svc (Total)</t>
  </si>
  <si>
    <t xml:space="preserve">Firm Resale - Small </t>
  </si>
  <si>
    <t>Transportation</t>
  </si>
  <si>
    <t>449-459</t>
  </si>
  <si>
    <t>Special Contract (kWh Energy Charge)</t>
  </si>
  <si>
    <t>Tariff Reference</t>
  </si>
  <si>
    <t>Sheet No. 141COL-B</t>
  </si>
  <si>
    <t>Sheet No. 141COL-C</t>
  </si>
  <si>
    <t>Sheet No. 141COL-D</t>
  </si>
  <si>
    <t>2022 GRC Weighted Allocation (Docket No. UE-220066)</t>
  </si>
  <si>
    <t>80% 2022 GRC Demand (UE-220066)</t>
  </si>
  <si>
    <t>7 (307) (317) (327)</t>
  </si>
  <si>
    <t>08 (24) (324)</t>
  </si>
  <si>
    <t>12 (26) (26P)</t>
  </si>
  <si>
    <t>10 (31)</t>
  </si>
  <si>
    <t>Lamp Level Rate Design</t>
  </si>
  <si>
    <t>Proposed Lamp Charge</t>
  </si>
  <si>
    <t>Proposed Lamp Revenue</t>
  </si>
  <si>
    <t>b</t>
  </si>
  <si>
    <t>d</t>
  </si>
  <si>
    <t>e</t>
  </si>
  <si>
    <t>g = e * f</t>
  </si>
  <si>
    <t>Sch 50</t>
  </si>
  <si>
    <t>51S</t>
  </si>
  <si>
    <t>Sch 52</t>
  </si>
  <si>
    <t>Sch 53</t>
  </si>
  <si>
    <t>53S</t>
  </si>
  <si>
    <t>Sch 54</t>
  </si>
  <si>
    <t>cross check</t>
  </si>
  <si>
    <t>Proposed Lighting Revenue</t>
  </si>
  <si>
    <t>Lighting Allocation of Revenue Requirement</t>
  </si>
  <si>
    <t>Variance</t>
  </si>
  <si>
    <t>Scaling Factor [SF]</t>
  </si>
  <si>
    <t>Proposed Rider Rate Effective Start Date</t>
  </si>
  <si>
    <t>Budget Forecast</t>
  </si>
  <si>
    <t>F2024</t>
  </si>
  <si>
    <t>Forecasted Rate Year Start Date</t>
  </si>
  <si>
    <t>Forecasted Rate Year End Date</t>
  </si>
  <si>
    <t>Voltage Level</t>
  </si>
  <si>
    <t>Rate Schedule</t>
  </si>
  <si>
    <t xml:space="preserve">Current Rates </t>
  </si>
  <si>
    <t>Proposed Rates</t>
  </si>
  <si>
    <t>Energy</t>
  </si>
  <si>
    <t>7A (11) (25)</t>
  </si>
  <si>
    <t>See Lighting Rates tab</t>
  </si>
  <si>
    <t>na</t>
  </si>
  <si>
    <t>Demand</t>
  </si>
  <si>
    <t>Allocation of Revenue Requirement to Rate Schedule 141COL</t>
  </si>
  <si>
    <t>Projected Schedule Revenue Impacts of Rate Change by Forecasted Energy</t>
  </si>
  <si>
    <t xml:space="preserve"> </t>
  </si>
  <si>
    <t>Proposed Rate</t>
  </si>
  <si>
    <t>Total Projected Revenue
 @ Current Rates</t>
  </si>
  <si>
    <t>Total Projected Revenue
@ Proposed Rates</t>
  </si>
  <si>
    <t>Projected Rate-Year
Revenue Impacts
from Proposed Rate Changes</t>
  </si>
  <si>
    <t>e = a * (c - b) + d</t>
  </si>
  <si>
    <t>f = e - d</t>
  </si>
  <si>
    <t>g = f / d</t>
  </si>
  <si>
    <t>Residential Bill Impacts</t>
  </si>
  <si>
    <t>Typical Residential Bill at 800 kWh</t>
  </si>
  <si>
    <t>Pass-Thru Trackers</t>
  </si>
  <si>
    <t>Current Bill</t>
  </si>
  <si>
    <t>Current</t>
  </si>
  <si>
    <t>Proposed</t>
  </si>
  <si>
    <t>Street Lighting Rates</t>
  </si>
  <si>
    <t>Schedule &amp; Charge Type</t>
  </si>
  <si>
    <t>Wattage</t>
  </si>
  <si>
    <t>003 - Compact Flourescent</t>
  </si>
  <si>
    <t>50E - Mercury Vapor</t>
  </si>
  <si>
    <t>Sch 51</t>
  </si>
  <si>
    <t>51E - LED</t>
  </si>
  <si>
    <t>51S - Smart LED</t>
  </si>
  <si>
    <t>per kWh</t>
  </si>
  <si>
    <t>52E  - Sodium Vapor</t>
  </si>
  <si>
    <t>52E  - Metal Halide</t>
  </si>
  <si>
    <t>53E - Sodium Vapor</t>
  </si>
  <si>
    <t>53E - Metal Halide</t>
  </si>
  <si>
    <t>53E - LED</t>
  </si>
  <si>
    <t>53S - Smart LED</t>
  </si>
  <si>
    <t>54E - Sodium Vapor</t>
  </si>
  <si>
    <t>54E - LED</t>
  </si>
  <si>
    <t>Sch 55 &amp; Sch 56</t>
  </si>
  <si>
    <t>55E &amp; 56E - Sodium Vapor</t>
  </si>
  <si>
    <t>55E &amp; 56E - Metal Halide</t>
  </si>
  <si>
    <t>55E &amp; 56E - LED</t>
  </si>
  <si>
    <t>per W charge</t>
  </si>
  <si>
    <t>58E &amp; 59E - Directional Sodium Vapor</t>
  </si>
  <si>
    <t>58E &amp; 59E - Horizontal Sodium Vapor</t>
  </si>
  <si>
    <t>58E &amp; 59E - Directional Metal Halide</t>
  </si>
  <si>
    <t>58E &amp; 59E - Horizontal Metal Halide</t>
  </si>
  <si>
    <t>58E &amp; 59E - LED</t>
  </si>
  <si>
    <r>
      <t>Combined Energy &amp; Demand Allocation</t>
    </r>
    <r>
      <rPr>
        <b/>
        <vertAlign val="superscript"/>
        <sz val="8"/>
        <rFont val="Arial"/>
        <family val="2"/>
      </rPr>
      <t xml:space="preserve"> [1]</t>
    </r>
  </si>
  <si>
    <r>
      <t>Lamp Inventory (Annualized)</t>
    </r>
    <r>
      <rPr>
        <b/>
        <vertAlign val="superscript"/>
        <sz val="8"/>
        <rFont val="Arial"/>
        <family val="2"/>
      </rPr>
      <t xml:space="preserve"> [2]</t>
    </r>
  </si>
  <si>
    <t>Note [1]: Utilizes the allocation factor as approved in the Lighting COS Model from the 2022 GRC (Docket No. UE-220066).</t>
  </si>
  <si>
    <t>Note [2]: Utilizes lamp inventory from February 2024</t>
  </si>
  <si>
    <t>Sch 141COL Tariff Reference</t>
  </si>
  <si>
    <r>
      <t xml:space="preserve">Current Rate </t>
    </r>
    <r>
      <rPr>
        <b/>
        <vertAlign val="superscript"/>
        <sz val="8"/>
        <rFont val="Arial"/>
        <family val="2"/>
      </rPr>
      <t>[2]</t>
    </r>
  </si>
  <si>
    <t xml:space="preserve">Note [1]: Rate for Street Lighting (Sch. 03, 50-59) displayed in energy determinates (kWh). Proposed Lighting tariff rates are detailed on the "Lighting Rates" tab.
</t>
  </si>
  <si>
    <t>Note [2]: Ref. UE-230808</t>
  </si>
  <si>
    <t>Revenue Requirement to Spread</t>
  </si>
  <si>
    <t>Revenue Requirement</t>
  </si>
  <si>
    <r>
      <t xml:space="preserve">Lighting </t>
    </r>
    <r>
      <rPr>
        <b/>
        <vertAlign val="superscript"/>
        <sz val="8"/>
        <color rgb="FF0033CC"/>
        <rFont val="Arial"/>
        <family val="2"/>
      </rPr>
      <t>[1]</t>
    </r>
  </si>
  <si>
    <t>Sheet No. 141COL-E</t>
  </si>
  <si>
    <t>Sheet No. 141COL-F</t>
  </si>
  <si>
    <t>Sheet No. 141COL-G</t>
  </si>
  <si>
    <t>Sheet No. 141COL-H</t>
  </si>
  <si>
    <t>Sheet No. 141COL-I</t>
  </si>
  <si>
    <t>Sheet No. 141COL-J</t>
  </si>
  <si>
    <r>
      <t xml:space="preserve">20% 2022 GRC Energy </t>
    </r>
    <r>
      <rPr>
        <b/>
        <sz val="8"/>
        <color rgb="FF0033CC"/>
        <rFont val="Arial"/>
        <family val="2"/>
      </rPr>
      <t>(UE-220066)</t>
    </r>
  </si>
  <si>
    <t>Residential</t>
  </si>
  <si>
    <t>Secondary Voltage</t>
  </si>
  <si>
    <t>General Service: Demand &lt;= 50 kW</t>
  </si>
  <si>
    <t>Small General Service: Demand &gt; 50 kW but &lt;= 350 kW</t>
  </si>
  <si>
    <t>Large General Service: Demand &gt; 350 kW</t>
  </si>
  <si>
    <t>Irrigation &amp; Pumping Service: Demand &gt; 50 kW but &lt;= 350 kW</t>
  </si>
  <si>
    <t>Primary Voltage</t>
  </si>
  <si>
    <t>General Service</t>
  </si>
  <si>
    <t>Irrigation &amp; Pumping Service</t>
  </si>
  <si>
    <t>All Electric Schools</t>
  </si>
  <si>
    <t>High Voltage</t>
  </si>
  <si>
    <t>Interruptible Service</t>
  </si>
  <si>
    <t>Choice / Retail Wheeling</t>
  </si>
  <si>
    <t>Special Contracts</t>
  </si>
  <si>
    <t>Lighting</t>
  </si>
  <si>
    <t>Total Retail Sales</t>
  </si>
  <si>
    <t>Firm Resale</t>
  </si>
  <si>
    <t>Total Secondary Voltage</t>
  </si>
  <si>
    <t>Total Primary Voltage</t>
  </si>
  <si>
    <t>Total High Voltage</t>
  </si>
  <si>
    <t>448 - 459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</si>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</sst>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0.000000"/>
    <numFmt numFmtId="168" formatCode="_(&quot;$&quot;* #,##0.00000_);_(&quot;$&quot;* \(#,##0.00000\);_(&quot;$&quot;* &quot;-&quot;??_);_(@_)"/>
    <numFmt numFmtId="169" formatCode="_(* #,##0.000000_);_(* \(#,##0.000000\);_(* &quot;-&quot;??_);_(@_)"/>
    <numFmt numFmtId="170" formatCode="0.0000\ \¢"/>
    <numFmt numFmtId="171" formatCode="m/d/yy;@"/>
    <numFmt numFmtId="172" formatCode="#,##0&quot;  kWh&quot;"/>
    <numFmt numFmtId="173" formatCode="#,##0&quot;   kW&quot;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8"/>
      <color rgb="FF0033CC"/>
      <name val="Arial"/>
      <family val="2"/>
    </font>
    <font>
      <b/>
      <sz val="8"/>
      <color rgb="FF0000FF"/>
      <name val="Arial"/>
      <family val="2"/>
    </font>
    <font>
      <sz val="12"/>
      <name val="Times New Roman"/>
      <family val="1"/>
    </font>
    <font>
      <u/>
      <sz val="8"/>
      <name val="Arial"/>
      <family val="2"/>
    </font>
    <font>
      <sz val="10"/>
      <name val="Arial"/>
    </font>
    <font>
      <b/>
      <u val="singleAccounting"/>
      <sz val="8"/>
      <name val="Arial"/>
      <family val="2"/>
    </font>
    <font>
      <u val="singleAccounting"/>
      <sz val="8"/>
      <name val="Arial"/>
      <family val="2"/>
    </font>
    <font>
      <u val="singleAccounting"/>
      <sz val="8"/>
      <color rgb="FF008080"/>
      <name val="Arial"/>
      <family val="2"/>
    </font>
    <font>
      <u val="singleAccounting"/>
      <sz val="8"/>
      <color rgb="FF0033CC"/>
      <name val="Arial"/>
      <family val="2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rgb="FF0033CC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7" fontId="3" fillId="0" borderId="0">
      <alignment horizontal="left" wrapText="1"/>
    </xf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>
      <alignment horizontal="left" wrapText="1"/>
    </xf>
    <xf numFmtId="9" fontId="1" fillId="0" borderId="0" applyFont="0" applyFill="0" applyBorder="0" applyAlignment="0" applyProtection="0"/>
    <xf numFmtId="0" fontId="13" fillId="0" borderId="0"/>
    <xf numFmtId="0" fontId="14" fillId="0" borderId="0"/>
    <xf numFmtId="0" fontId="2" fillId="0" borderId="0"/>
    <xf numFmtId="0" fontId="17" fillId="0" borderId="0"/>
    <xf numFmtId="44" fontId="13" fillId="0" borderId="0" applyFont="0" applyFill="0" applyBorder="0" applyAlignment="0" applyProtection="0"/>
    <xf numFmtId="0" fontId="19" fillId="0" borderId="0"/>
  </cellStyleXfs>
  <cellXfs count="296">
    <xf numFmtId="0" fontId="0" fillId="0" borderId="0" xfId="0"/>
    <xf numFmtId="0" fontId="4" fillId="0" borderId="0" xfId="5" applyFont="1" applyAlignment="1">
      <alignment horizontal="centerContinuous" vertical="center"/>
    </xf>
    <xf numFmtId="0" fontId="5" fillId="0" borderId="0" xfId="5" applyFont="1" applyAlignment="1">
      <alignment horizontal="centerContinuous" vertical="center"/>
    </xf>
    <xf numFmtId="0" fontId="5" fillId="0" borderId="0" xfId="5" applyFont="1"/>
    <xf numFmtId="0" fontId="5" fillId="0" borderId="0" xfId="5" quotePrefix="1" applyFont="1" applyAlignment="1">
      <alignment horizontal="left"/>
    </xf>
    <xf numFmtId="0" fontId="5" fillId="0" borderId="0" xfId="5" applyFont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Continuous" wrapText="1"/>
    </xf>
    <xf numFmtId="0" fontId="5" fillId="0" borderId="0" xfId="12" applyFont="1"/>
    <xf numFmtId="0" fontId="4" fillId="0" borderId="8" xfId="12" applyFont="1" applyBorder="1" applyAlignment="1">
      <alignment horizontal="center" wrapText="1"/>
    </xf>
    <xf numFmtId="0" fontId="4" fillId="0" borderId="9" xfId="12" applyFont="1" applyBorder="1" applyAlignment="1">
      <alignment horizontal="center" wrapText="1"/>
    </xf>
    <xf numFmtId="164" fontId="4" fillId="0" borderId="9" xfId="12" quotePrefix="1" applyNumberFormat="1" applyFont="1" applyBorder="1" applyAlignment="1">
      <alignment horizontal="center" wrapText="1"/>
    </xf>
    <xf numFmtId="0" fontId="4" fillId="0" borderId="9" xfId="12" quotePrefix="1" applyFont="1" applyBorder="1" applyAlignment="1">
      <alignment horizontal="center" wrapText="1"/>
    </xf>
    <xf numFmtId="0" fontId="4" fillId="0" borderId="10" xfId="12" quotePrefix="1" applyFont="1" applyBorder="1" applyAlignment="1">
      <alignment horizontal="center" wrapText="1"/>
    </xf>
    <xf numFmtId="0" fontId="4" fillId="0" borderId="14" xfId="12" quotePrefix="1" applyFont="1" applyBorder="1" applyAlignment="1">
      <alignment horizontal="center" wrapText="1"/>
    </xf>
    <xf numFmtId="0" fontId="4" fillId="0" borderId="15" xfId="12" quotePrefix="1" applyFont="1" applyBorder="1" applyAlignment="1">
      <alignment horizontal="center" wrapText="1"/>
    </xf>
    <xf numFmtId="0" fontId="5" fillId="0" borderId="11" xfId="12" applyFont="1" applyBorder="1" applyAlignment="1">
      <alignment horizontal="center" wrapText="1"/>
    </xf>
    <xf numFmtId="0" fontId="5" fillId="0" borderId="12" xfId="12" applyFont="1" applyBorder="1" applyAlignment="1">
      <alignment horizontal="center" wrapText="1"/>
    </xf>
    <xf numFmtId="164" fontId="5" fillId="0" borderId="12" xfId="12" quotePrefix="1" applyNumberFormat="1" applyFont="1" applyBorder="1" applyAlignment="1">
      <alignment horizontal="center" vertical="center" wrapText="1"/>
    </xf>
    <xf numFmtId="0" fontId="5" fillId="0" borderId="12" xfId="12" applyFont="1" applyBorder="1" applyAlignment="1">
      <alignment horizontal="center" vertical="center" wrapText="1"/>
    </xf>
    <xf numFmtId="0" fontId="5" fillId="0" borderId="11" xfId="12" applyFont="1" applyBorder="1" applyAlignment="1">
      <alignment horizontal="center" vertical="center" wrapText="1"/>
    </xf>
    <xf numFmtId="0" fontId="5" fillId="0" borderId="12" xfId="12" quotePrefix="1" applyFont="1" applyBorder="1" applyAlignment="1">
      <alignment horizontal="center" vertical="center" wrapText="1"/>
    </xf>
    <xf numFmtId="0" fontId="5" fillId="0" borderId="13" xfId="12" quotePrefix="1" applyFont="1" applyBorder="1" applyAlignment="1">
      <alignment horizontal="center" vertical="center" wrapText="1"/>
    </xf>
    <xf numFmtId="0" fontId="5" fillId="0" borderId="7" xfId="12" applyFont="1" applyBorder="1" applyAlignment="1">
      <alignment horizontal="center"/>
    </xf>
    <xf numFmtId="0" fontId="5" fillId="0" borderId="0" xfId="12" applyFont="1" applyAlignment="1">
      <alignment horizontal="center"/>
    </xf>
    <xf numFmtId="164" fontId="5" fillId="0" borderId="0" xfId="12" applyNumberFormat="1" applyFont="1"/>
    <xf numFmtId="169" fontId="5" fillId="0" borderId="0" xfId="12" applyNumberFormat="1" applyFont="1"/>
    <xf numFmtId="169" fontId="5" fillId="0" borderId="7" xfId="12" applyNumberFormat="1" applyFont="1" applyBorder="1"/>
    <xf numFmtId="166" fontId="5" fillId="0" borderId="6" xfId="12" applyNumberFormat="1" applyFont="1" applyBorder="1" applyAlignment="1">
      <alignment horizontal="center"/>
    </xf>
    <xf numFmtId="165" fontId="5" fillId="0" borderId="7" xfId="12" applyNumberFormat="1" applyFont="1" applyBorder="1"/>
    <xf numFmtId="16" fontId="5" fillId="0" borderId="0" xfId="12" applyNumberFormat="1" applyFont="1"/>
    <xf numFmtId="170" fontId="5" fillId="0" borderId="6" xfId="12" applyNumberFormat="1" applyFont="1" applyBorder="1" applyAlignment="1">
      <alignment horizontal="center"/>
    </xf>
    <xf numFmtId="0" fontId="5" fillId="0" borderId="0" xfId="12" quotePrefix="1" applyFont="1" applyAlignment="1">
      <alignment horizontal="left"/>
    </xf>
    <xf numFmtId="0" fontId="5" fillId="0" borderId="0" xfId="12" quotePrefix="1" applyFont="1" applyAlignment="1">
      <alignment horizontal="center"/>
    </xf>
    <xf numFmtId="165" fontId="5" fillId="0" borderId="1" xfId="12" applyNumberFormat="1" applyFont="1" applyBorder="1"/>
    <xf numFmtId="44" fontId="5" fillId="0" borderId="6" xfId="12" applyNumberFormat="1" applyFont="1" applyBorder="1" applyAlignment="1">
      <alignment horizontal="center"/>
    </xf>
    <xf numFmtId="165" fontId="5" fillId="0" borderId="4" xfId="12" applyNumberFormat="1" applyFont="1" applyBorder="1"/>
    <xf numFmtId="0" fontId="5" fillId="0" borderId="6" xfId="12" applyFont="1" applyBorder="1"/>
    <xf numFmtId="0" fontId="5" fillId="0" borderId="7" xfId="12" applyFont="1" applyBorder="1"/>
    <xf numFmtId="0" fontId="5" fillId="0" borderId="6" xfId="12" applyFont="1" applyBorder="1" applyAlignment="1">
      <alignment horizontal="center"/>
    </xf>
    <xf numFmtId="164" fontId="5" fillId="0" borderId="7" xfId="12" applyNumberFormat="1" applyFont="1" applyBorder="1"/>
    <xf numFmtId="0" fontId="5" fillId="0" borderId="8" xfId="12" applyFont="1" applyBorder="1" applyAlignment="1">
      <alignment horizontal="center"/>
    </xf>
    <xf numFmtId="0" fontId="5" fillId="0" borderId="9" xfId="12" applyFont="1" applyBorder="1"/>
    <xf numFmtId="0" fontId="5" fillId="0" borderId="8" xfId="12" applyFont="1" applyBorder="1"/>
    <xf numFmtId="0" fontId="5" fillId="0" borderId="5" xfId="12" applyFont="1" applyBorder="1"/>
    <xf numFmtId="0" fontId="4" fillId="0" borderId="1" xfId="5" applyFont="1" applyBorder="1" applyAlignment="1">
      <alignment horizontal="center"/>
    </xf>
    <xf numFmtId="0" fontId="5" fillId="0" borderId="0" xfId="5" quotePrefix="1" applyFont="1" applyAlignment="1">
      <alignment horizontal="center"/>
    </xf>
    <xf numFmtId="0" fontId="5" fillId="0" borderId="0" xfId="5" applyFont="1" applyAlignment="1">
      <alignment horizontal="center"/>
    </xf>
    <xf numFmtId="165" fontId="15" fillId="0" borderId="7" xfId="12" applyNumberFormat="1" applyFont="1" applyBorder="1"/>
    <xf numFmtId="164" fontId="5" fillId="0" borderId="0" xfId="5" applyNumberFormat="1" applyFont="1"/>
    <xf numFmtId="0" fontId="4" fillId="0" borderId="1" xfId="5" applyFont="1" applyBorder="1" applyAlignment="1">
      <alignment horizontal="center" wrapText="1"/>
    </xf>
    <xf numFmtId="0" fontId="19" fillId="0" borderId="0" xfId="14"/>
    <xf numFmtId="0" fontId="4" fillId="0" borderId="0" xfId="14" applyFont="1" applyFill="1" applyAlignment="1">
      <alignment horizontal="centerContinuous" vertical="center"/>
    </xf>
    <xf numFmtId="0" fontId="4" fillId="0" borderId="0" xfId="14" applyFont="1" applyFill="1"/>
    <xf numFmtId="0" fontId="12" fillId="0" borderId="0" xfId="14" applyFont="1" applyFill="1" applyAlignment="1">
      <alignment horizontal="centerContinuous" vertical="center"/>
    </xf>
    <xf numFmtId="0" fontId="4" fillId="0" borderId="0" xfId="14" applyFont="1" applyFill="1" applyAlignment="1">
      <alignment horizontal="center"/>
    </xf>
    <xf numFmtId="0" fontId="4" fillId="0" borderId="1" xfId="14" applyFont="1" applyFill="1" applyBorder="1" applyAlignment="1">
      <alignment horizontal="center" wrapText="1"/>
    </xf>
    <xf numFmtId="0" fontId="4" fillId="0" borderId="1" xfId="14" quotePrefix="1" applyFont="1" applyFill="1" applyBorder="1" applyAlignment="1">
      <alignment horizontal="center" wrapText="1"/>
    </xf>
    <xf numFmtId="0" fontId="5" fillId="0" borderId="4" xfId="14" applyFont="1" applyFill="1" applyBorder="1" applyAlignment="1">
      <alignment horizontal="center"/>
    </xf>
    <xf numFmtId="0" fontId="5" fillId="0" borderId="4" xfId="14" applyFont="1" applyFill="1" applyBorder="1" applyAlignment="1">
      <alignment horizontal="center" vertical="center"/>
    </xf>
    <xf numFmtId="0" fontId="5" fillId="0" borderId="4" xfId="14" quotePrefix="1" applyFont="1" applyFill="1" applyBorder="1" applyAlignment="1">
      <alignment horizontal="center" vertical="center"/>
    </xf>
    <xf numFmtId="0" fontId="5" fillId="0" borderId="0" xfId="14" applyFont="1" applyFill="1" applyAlignment="1">
      <alignment horizontal="center" vertical="center"/>
    </xf>
    <xf numFmtId="0" fontId="5" fillId="0" borderId="0" xfId="14" applyFont="1" applyFill="1" applyAlignment="1">
      <alignment horizontal="center"/>
    </xf>
    <xf numFmtId="0" fontId="5" fillId="0" borderId="0" xfId="14" quotePrefix="1" applyFont="1" applyFill="1" applyAlignment="1">
      <alignment horizontal="center"/>
    </xf>
    <xf numFmtId="0" fontId="5" fillId="0" borderId="0" xfId="14" applyFont="1" applyFill="1"/>
    <xf numFmtId="0" fontId="5" fillId="0" borderId="0" xfId="14" quotePrefix="1" applyFont="1" applyFill="1" applyAlignment="1">
      <alignment horizontal="center" vertical="center" wrapText="1"/>
    </xf>
    <xf numFmtId="0" fontId="5" fillId="0" borderId="0" xfId="14" applyFont="1" applyFill="1" applyAlignment="1">
      <alignment vertical="center"/>
    </xf>
    <xf numFmtId="44" fontId="20" fillId="0" borderId="0" xfId="14" applyNumberFormat="1" applyFont="1" applyFill="1"/>
    <xf numFmtId="0" fontId="5" fillId="0" borderId="0" xfId="14" quotePrefix="1" applyFont="1" applyFill="1" applyAlignment="1">
      <alignment horizontal="left" indent="1"/>
    </xf>
    <xf numFmtId="0" fontId="5" fillId="0" borderId="0" xfId="14" quotePrefix="1" applyFont="1" applyFill="1" applyAlignment="1">
      <alignment horizontal="left"/>
    </xf>
    <xf numFmtId="0" fontId="5" fillId="0" borderId="0" xfId="14" quotePrefix="1" applyFont="1" applyFill="1" applyAlignment="1">
      <alignment horizontal="right" vertical="center" wrapText="1"/>
    </xf>
    <xf numFmtId="44" fontId="11" fillId="0" borderId="0" xfId="14" applyNumberFormat="1" applyFont="1" applyFill="1"/>
    <xf numFmtId="44" fontId="5" fillId="0" borderId="0" xfId="14" applyNumberFormat="1" applyFont="1" applyFill="1"/>
    <xf numFmtId="41" fontId="11" fillId="0" borderId="0" xfId="14" applyNumberFormat="1" applyFont="1" applyFill="1"/>
    <xf numFmtId="165" fontId="5" fillId="0" borderId="0" xfId="14" applyNumberFormat="1" applyFont="1" applyFill="1"/>
    <xf numFmtId="44" fontId="6" fillId="0" borderId="0" xfId="14" applyNumberFormat="1" applyFont="1" applyFill="1"/>
    <xf numFmtId="41" fontId="5" fillId="0" borderId="0" xfId="14" applyNumberFormat="1" applyFont="1" applyFill="1"/>
    <xf numFmtId="0" fontId="5" fillId="0" borderId="0" xfId="14" applyFont="1" applyFill="1" applyAlignment="1">
      <alignment horizontal="center" wrapText="1"/>
    </xf>
    <xf numFmtId="164" fontId="5" fillId="0" borderId="0" xfId="14" applyNumberFormat="1" applyFont="1" applyFill="1"/>
    <xf numFmtId="164" fontId="5" fillId="0" borderId="0" xfId="14" applyNumberFormat="1" applyFont="1" applyFill="1" applyAlignment="1">
      <alignment horizontal="right" vertical="center"/>
    </xf>
    <xf numFmtId="41" fontId="15" fillId="0" borderId="0" xfId="14" applyNumberFormat="1" applyFont="1" applyFill="1"/>
    <xf numFmtId="0" fontId="5" fillId="0" borderId="0" xfId="14" applyFont="1" applyFill="1" applyAlignment="1">
      <alignment horizontal="right" vertical="center"/>
    </xf>
    <xf numFmtId="164" fontId="5" fillId="0" borderId="0" xfId="14" quotePrefix="1" applyNumberFormat="1" applyFont="1" applyFill="1" applyAlignment="1">
      <alignment horizontal="right" vertical="center"/>
    </xf>
    <xf numFmtId="164" fontId="5" fillId="0" borderId="0" xfId="14" applyNumberFormat="1" applyFont="1" applyFill="1" applyAlignment="1">
      <alignment vertical="center"/>
    </xf>
    <xf numFmtId="166" fontId="11" fillId="0" borderId="0" xfId="14" applyNumberFormat="1" applyFont="1" applyFill="1"/>
    <xf numFmtId="0" fontId="5" fillId="0" borderId="0" xfId="14" applyFont="1" applyFill="1" applyAlignment="1">
      <alignment horizontal="left"/>
    </xf>
    <xf numFmtId="0" fontId="5" fillId="0" borderId="0" xfId="14" applyFont="1" applyFill="1" applyAlignment="1">
      <alignment horizontal="left" indent="1"/>
    </xf>
    <xf numFmtId="164" fontId="15" fillId="0" borderId="0" xfId="14" applyNumberFormat="1" applyFont="1" applyFill="1" applyAlignment="1">
      <alignment horizontal="right" vertical="center"/>
    </xf>
    <xf numFmtId="168" fontId="11" fillId="0" borderId="0" xfId="14" applyNumberFormat="1" applyFont="1" applyFill="1"/>
    <xf numFmtId="168" fontId="5" fillId="0" borderId="0" xfId="14" applyNumberFormat="1" applyFont="1" applyFill="1"/>
    <xf numFmtId="0" fontId="6" fillId="0" borderId="0" xfId="14" applyFont="1" applyFill="1"/>
    <xf numFmtId="41" fontId="6" fillId="0" borderId="0" xfId="14" applyNumberFormat="1" applyFont="1" applyFill="1"/>
    <xf numFmtId="0" fontId="5" fillId="0" borderId="0" xfId="14" applyFont="1" applyFill="1" applyAlignment="1">
      <alignment horizontal="centerContinuous" vertical="center"/>
    </xf>
    <xf numFmtId="44" fontId="5" fillId="0" borderId="0" xfId="14" applyNumberFormat="1" applyFont="1" applyFill="1" applyAlignment="1">
      <alignment horizontal="right"/>
    </xf>
    <xf numFmtId="44" fontId="21" fillId="0" borderId="0" xfId="14" applyNumberFormat="1" applyFont="1" applyFill="1" applyAlignment="1">
      <alignment horizontal="right"/>
    </xf>
    <xf numFmtId="41" fontId="22" fillId="0" borderId="0" xfId="14" applyNumberFormat="1" applyFont="1" applyFill="1"/>
    <xf numFmtId="44" fontId="6" fillId="0" borderId="0" xfId="14" applyNumberFormat="1" applyFont="1" applyFill="1" applyAlignment="1">
      <alignment horizontal="right"/>
    </xf>
    <xf numFmtId="165" fontId="6" fillId="0" borderId="0" xfId="14" applyNumberFormat="1" applyFont="1" applyFill="1"/>
    <xf numFmtId="44" fontId="5" fillId="0" borderId="0" xfId="14" applyNumberFormat="1" applyFont="1" applyFill="1" applyAlignment="1">
      <alignment horizontal="right" vertical="center"/>
    </xf>
    <xf numFmtId="169" fontId="23" fillId="0" borderId="0" xfId="14" applyNumberFormat="1" applyFont="1" applyFill="1" applyAlignment="1">
      <alignment horizontal="center"/>
    </xf>
    <xf numFmtId="44" fontId="21" fillId="0" borderId="0" xfId="14" quotePrefix="1" applyNumberFormat="1" applyFont="1" applyAlignment="1">
      <alignment horizontal="left"/>
    </xf>
    <xf numFmtId="171" fontId="16" fillId="0" borderId="0" xfId="14" quotePrefix="1" applyNumberFormat="1" applyFont="1" applyFill="1" applyAlignment="1">
      <alignment horizontal="center"/>
    </xf>
    <xf numFmtId="44" fontId="21" fillId="0" borderId="0" xfId="14" applyNumberFormat="1" applyFont="1"/>
    <xf numFmtId="0" fontId="16" fillId="0" borderId="0" xfId="14" applyFont="1" applyFill="1" applyAlignment="1">
      <alignment horizontal="center"/>
    </xf>
    <xf numFmtId="171" fontId="16" fillId="0" borderId="0" xfId="14" applyNumberFormat="1" applyFont="1" applyFill="1" applyAlignment="1">
      <alignment horizontal="center"/>
    </xf>
    <xf numFmtId="0" fontId="16" fillId="0" borderId="0" xfId="14" applyFont="1" applyAlignment="1">
      <alignment horizontal="center"/>
    </xf>
    <xf numFmtId="171" fontId="16" fillId="0" borderId="0" xfId="14" applyNumberFormat="1" applyFont="1" applyAlignment="1">
      <alignment horizontal="center"/>
    </xf>
    <xf numFmtId="0" fontId="4" fillId="0" borderId="0" xfId="14" applyFont="1" applyAlignment="1">
      <alignment horizontal="centerContinuous"/>
    </xf>
    <xf numFmtId="0" fontId="4" fillId="0" borderId="0" xfId="14" applyFont="1" applyFill="1" applyAlignment="1">
      <alignment horizontal="centerContinuous"/>
    </xf>
    <xf numFmtId="0" fontId="5" fillId="0" borderId="0" xfId="14" applyFont="1"/>
    <xf numFmtId="0" fontId="16" fillId="0" borderId="0" xfId="14" applyFont="1" applyAlignment="1">
      <alignment horizontal="centerContinuous"/>
    </xf>
    <xf numFmtId="0" fontId="10" fillId="0" borderId="0" xfId="14" applyFont="1" applyAlignment="1">
      <alignment horizontal="centerContinuous"/>
    </xf>
    <xf numFmtId="0" fontId="11" fillId="0" borderId="0" xfId="14" applyFont="1"/>
    <xf numFmtId="0" fontId="5" fillId="0" borderId="0" xfId="14" quotePrefix="1" applyFont="1" applyAlignment="1">
      <alignment horizontal="center"/>
    </xf>
    <xf numFmtId="0" fontId="5" fillId="0" borderId="0" xfId="14" applyFont="1" applyAlignment="1">
      <alignment horizontal="center"/>
    </xf>
    <xf numFmtId="0" fontId="4" fillId="0" borderId="1" xfId="14" applyFont="1" applyBorder="1" applyAlignment="1">
      <alignment horizontal="center" wrapText="1"/>
    </xf>
    <xf numFmtId="0" fontId="4" fillId="0" borderId="0" xfId="14" applyFont="1"/>
    <xf numFmtId="0" fontId="4" fillId="0" borderId="2" xfId="14" applyFont="1" applyBorder="1" applyAlignment="1">
      <alignment horizontal="center" wrapText="1"/>
    </xf>
    <xf numFmtId="14" fontId="9" fillId="0" borderId="2" xfId="14" quotePrefix="1" applyNumberFormat="1" applyFont="1" applyFill="1" applyBorder="1" applyAlignment="1">
      <alignment horizontal="center" wrapText="1"/>
    </xf>
    <xf numFmtId="0" fontId="5" fillId="0" borderId="2" xfId="14" quotePrefix="1" applyFont="1" applyBorder="1" applyAlignment="1">
      <alignment horizontal="center" wrapText="1"/>
    </xf>
    <xf numFmtId="0" fontId="5" fillId="0" borderId="2" xfId="14" applyFont="1" applyBorder="1" applyAlignment="1">
      <alignment horizontal="center"/>
    </xf>
    <xf numFmtId="0" fontId="5" fillId="0" borderId="2" xfId="14" applyFont="1" applyBorder="1" applyAlignment="1">
      <alignment horizontal="center" wrapText="1"/>
    </xf>
    <xf numFmtId="0" fontId="5" fillId="0" borderId="1" xfId="14" quotePrefix="1" applyFont="1" applyBorder="1" applyAlignment="1">
      <alignment horizontal="center" wrapText="1"/>
    </xf>
    <xf numFmtId="0" fontId="18" fillId="0" borderId="0" xfId="14" applyFont="1" applyAlignment="1">
      <alignment horizontal="left" wrapText="1"/>
    </xf>
    <xf numFmtId="0" fontId="5" fillId="0" borderId="0" xfId="14" quotePrefix="1" applyFont="1" applyAlignment="1">
      <alignment horizontal="center" wrapText="1"/>
    </xf>
    <xf numFmtId="0" fontId="5" fillId="0" borderId="0" xfId="14" applyFont="1" applyAlignment="1">
      <alignment horizontal="center" vertical="center"/>
    </xf>
    <xf numFmtId="0" fontId="5" fillId="0" borderId="0" xfId="14" applyFont="1" applyAlignment="1">
      <alignment horizontal="left" vertical="center"/>
    </xf>
    <xf numFmtId="0" fontId="11" fillId="0" borderId="0" xfId="14" applyFont="1" applyFill="1" applyAlignment="1">
      <alignment horizontal="center"/>
    </xf>
    <xf numFmtId="166" fontId="11" fillId="0" borderId="2" xfId="14" applyNumberFormat="1" applyFont="1" applyBorder="1"/>
    <xf numFmtId="0" fontId="15" fillId="0" borderId="0" xfId="14" applyFont="1" applyAlignment="1">
      <alignment horizontal="center"/>
    </xf>
    <xf numFmtId="166" fontId="11" fillId="0" borderId="0" xfId="14" applyNumberFormat="1" applyFont="1"/>
    <xf numFmtId="0" fontId="5" fillId="0" borderId="0" xfId="14" quotePrefix="1" applyFont="1" applyAlignment="1">
      <alignment horizontal="left"/>
    </xf>
    <xf numFmtId="0" fontId="11" fillId="0" borderId="0" xfId="14" quotePrefix="1" applyFont="1" applyFill="1" applyAlignment="1">
      <alignment horizontal="center"/>
    </xf>
    <xf numFmtId="0" fontId="5" fillId="0" borderId="0" xfId="14" applyFont="1" applyAlignment="1">
      <alignment horizontal="left"/>
    </xf>
    <xf numFmtId="166" fontId="24" fillId="0" borderId="0" xfId="14" applyNumberFormat="1" applyFont="1"/>
    <xf numFmtId="0" fontId="24" fillId="0" borderId="0" xfId="14" applyFont="1" applyAlignment="1">
      <alignment horizontal="left"/>
    </xf>
    <xf numFmtId="0" fontId="24" fillId="0" borderId="0" xfId="14" quotePrefix="1" applyFont="1" applyAlignment="1">
      <alignment horizontal="left"/>
    </xf>
    <xf numFmtId="166" fontId="24" fillId="0" borderId="3" xfId="14" applyNumberFormat="1" applyFont="1" applyBorder="1"/>
    <xf numFmtId="0" fontId="25" fillId="0" borderId="0" xfId="14" applyFont="1" applyAlignment="1">
      <alignment horizontal="left" wrapText="1"/>
    </xf>
    <xf numFmtId="0" fontId="24" fillId="0" borderId="0" xfId="14" applyFont="1"/>
    <xf numFmtId="0" fontId="24" fillId="0" borderId="0" xfId="14" applyFont="1" applyAlignment="1">
      <alignment horizontal="center"/>
    </xf>
    <xf numFmtId="44" fontId="24" fillId="0" borderId="2" xfId="14" applyNumberFormat="1" applyFont="1" applyBorder="1"/>
    <xf numFmtId="44" fontId="24" fillId="0" borderId="0" xfId="14" applyNumberFormat="1" applyFont="1"/>
    <xf numFmtId="0" fontId="5" fillId="0" borderId="0" xfId="14" applyFont="1" applyAlignment="1">
      <alignment horizontal="left" vertical="center" indent="1"/>
    </xf>
    <xf numFmtId="0" fontId="24" fillId="0" borderId="0" xfId="14" quotePrefix="1" applyFont="1" applyAlignment="1">
      <alignment horizontal="center"/>
    </xf>
    <xf numFmtId="0" fontId="5" fillId="0" borderId="0" xfId="14" applyFont="1" applyFill="1" applyAlignment="1">
      <alignment vertical="top"/>
    </xf>
    <xf numFmtId="0" fontId="4" fillId="0" borderId="0" xfId="14" applyFont="1" applyAlignment="1">
      <alignment horizontal="centerContinuous" vertical="center"/>
    </xf>
    <xf numFmtId="0" fontId="8" fillId="0" borderId="0" xfId="14" applyFont="1" applyAlignment="1">
      <alignment horizontal="center"/>
    </xf>
    <xf numFmtId="0" fontId="10" fillId="0" borderId="0" xfId="14" applyFont="1"/>
    <xf numFmtId="0" fontId="16" fillId="0" borderId="0" xfId="14" applyFont="1" applyAlignment="1">
      <alignment horizontal="centerContinuous" vertical="center"/>
    </xf>
    <xf numFmtId="0" fontId="6" fillId="0" borderId="0" xfId="14" applyFont="1" applyAlignment="1">
      <alignment horizontal="center"/>
    </xf>
    <xf numFmtId="0" fontId="4" fillId="0" borderId="1" xfId="14" applyFont="1" applyBorder="1" applyAlignment="1">
      <alignment horizontal="centerContinuous" wrapText="1"/>
    </xf>
    <xf numFmtId="0" fontId="4" fillId="0" borderId="0" xfId="14" applyFont="1" applyAlignment="1">
      <alignment horizontal="centerContinuous" wrapText="1"/>
    </xf>
    <xf numFmtId="0" fontId="4" fillId="0" borderId="1" xfId="14" quotePrefix="1" applyFont="1" applyFill="1" applyBorder="1" applyAlignment="1">
      <alignment horizontal="centerContinuous" wrapText="1"/>
    </xf>
    <xf numFmtId="164" fontId="4" fillId="0" borderId="1" xfId="14" quotePrefix="1" applyNumberFormat="1" applyFont="1" applyFill="1" applyBorder="1" applyAlignment="1">
      <alignment horizontal="centerContinuous" wrapText="1"/>
    </xf>
    <xf numFmtId="164" fontId="4" fillId="0" borderId="1" xfId="14" quotePrefix="1" applyNumberFormat="1" applyFont="1" applyBorder="1" applyAlignment="1">
      <alignment horizontal="center" wrapText="1"/>
    </xf>
    <xf numFmtId="0" fontId="4" fillId="0" borderId="1" xfId="14" quotePrefix="1" applyFont="1" applyBorder="1" applyAlignment="1">
      <alignment horizontal="centerContinuous" wrapText="1"/>
    </xf>
    <xf numFmtId="0" fontId="6" fillId="0" borderId="0" xfId="14" applyFont="1" applyAlignment="1">
      <alignment horizontal="center" wrapText="1"/>
    </xf>
    <xf numFmtId="0" fontId="4" fillId="0" borderId="0" xfId="14" applyFont="1" applyAlignment="1">
      <alignment horizontal="center" wrapText="1"/>
    </xf>
    <xf numFmtId="0" fontId="5" fillId="0" borderId="2" xfId="14" applyFont="1" applyBorder="1" applyAlignment="1">
      <alignment horizontal="centerContinuous" wrapText="1"/>
    </xf>
    <xf numFmtId="164" fontId="5" fillId="0" borderId="2" xfId="14" applyNumberFormat="1" applyFont="1" applyBorder="1" applyAlignment="1">
      <alignment horizontal="center" wrapText="1"/>
    </xf>
    <xf numFmtId="164" fontId="5" fillId="0" borderId="2" xfId="14" quotePrefix="1" applyNumberFormat="1" applyFont="1" applyFill="1" applyBorder="1" applyAlignment="1">
      <alignment horizontal="centerContinuous" wrapText="1"/>
    </xf>
    <xf numFmtId="164" fontId="5" fillId="0" borderId="2" xfId="14" applyNumberFormat="1" applyFont="1" applyFill="1" applyBorder="1" applyAlignment="1">
      <alignment horizontal="center" wrapText="1"/>
    </xf>
    <xf numFmtId="0" fontId="5" fillId="0" borderId="0" xfId="14" applyFont="1" applyAlignment="1">
      <alignment horizontal="center" wrapText="1"/>
    </xf>
    <xf numFmtId="0" fontId="5" fillId="0" borderId="0" xfId="14" applyFont="1" applyAlignment="1">
      <alignment horizontal="center" vertical="center" wrapText="1"/>
    </xf>
    <xf numFmtId="0" fontId="5" fillId="0" borderId="0" xfId="14" applyFont="1" applyAlignment="1">
      <alignment horizontal="centerContinuous" vertical="center"/>
    </xf>
    <xf numFmtId="0" fontId="5" fillId="0" borderId="0" xfId="14" quotePrefix="1" applyFont="1" applyAlignment="1">
      <alignment horizontal="centerContinuous" vertical="center" wrapText="1"/>
    </xf>
    <xf numFmtId="164" fontId="5" fillId="0" borderId="0" xfId="14" applyNumberFormat="1" applyFont="1"/>
    <xf numFmtId="0" fontId="5" fillId="0" borderId="0" xfId="14" applyFont="1" applyAlignment="1">
      <alignment horizontal="centerContinuous"/>
    </xf>
    <xf numFmtId="164" fontId="5" fillId="0" borderId="0" xfId="14" applyNumberFormat="1" applyFont="1" applyFill="1" applyAlignment="1">
      <alignment horizontal="centerContinuous"/>
    </xf>
    <xf numFmtId="0" fontId="11" fillId="0" borderId="0" xfId="14" applyFont="1" applyAlignment="1">
      <alignment horizontal="centerContinuous" vertical="center"/>
    </xf>
    <xf numFmtId="0" fontId="11" fillId="0" borderId="0" xfId="14" quotePrefix="1" applyFont="1" applyAlignment="1">
      <alignment horizontal="centerContinuous" vertical="center" wrapText="1"/>
    </xf>
    <xf numFmtId="164" fontId="11" fillId="0" borderId="2" xfId="14" applyNumberFormat="1" applyFont="1" applyFill="1" applyBorder="1"/>
    <xf numFmtId="166" fontId="11" fillId="0" borderId="2" xfId="14" applyNumberFormat="1" applyFont="1" applyFill="1" applyBorder="1" applyAlignment="1">
      <alignment horizontal="centerContinuous"/>
    </xf>
    <xf numFmtId="166" fontId="11" fillId="0" borderId="2" xfId="14" applyNumberFormat="1" applyFont="1" applyFill="1" applyBorder="1"/>
    <xf numFmtId="165" fontId="11" fillId="0" borderId="2" xfId="14" applyNumberFormat="1" applyFont="1" applyFill="1" applyBorder="1" applyAlignment="1">
      <alignment horizontal="centerContinuous" vertical="center"/>
    </xf>
    <xf numFmtId="165" fontId="5" fillId="0" borderId="2" xfId="14" applyNumberFormat="1" applyFont="1" applyBorder="1"/>
    <xf numFmtId="10" fontId="5" fillId="0" borderId="2" xfId="14" applyNumberFormat="1" applyFont="1" applyBorder="1" applyAlignment="1">
      <alignment horizontal="right"/>
    </xf>
    <xf numFmtId="166" fontId="6" fillId="0" borderId="0" xfId="14" applyNumberFormat="1" applyFont="1" applyAlignment="1">
      <alignment horizontal="center"/>
    </xf>
    <xf numFmtId="164" fontId="11" fillId="0" borderId="0" xfId="14" applyNumberFormat="1" applyFont="1" applyFill="1"/>
    <xf numFmtId="166" fontId="11" fillId="0" borderId="0" xfId="14" applyNumberFormat="1" applyFont="1" applyFill="1" applyAlignment="1">
      <alignment horizontal="centerContinuous"/>
    </xf>
    <xf numFmtId="165" fontId="5" fillId="0" borderId="0" xfId="14" applyNumberFormat="1" applyFont="1"/>
    <xf numFmtId="10" fontId="5" fillId="0" borderId="0" xfId="14" applyNumberFormat="1" applyFont="1" applyAlignment="1">
      <alignment horizontal="right"/>
    </xf>
    <xf numFmtId="166" fontId="11" fillId="0" borderId="0" xfId="14" applyNumberFormat="1" applyFont="1" applyFill="1" applyBorder="1" applyAlignment="1">
      <alignment horizontal="centerContinuous"/>
    </xf>
    <xf numFmtId="164" fontId="5" fillId="0" borderId="2" xfId="14" applyNumberFormat="1" applyFont="1" applyFill="1" applyBorder="1"/>
    <xf numFmtId="165" fontId="5" fillId="0" borderId="1" xfId="14" applyNumberFormat="1" applyFont="1" applyFill="1" applyBorder="1" applyAlignment="1">
      <alignment horizontal="centerContinuous"/>
    </xf>
    <xf numFmtId="166" fontId="5" fillId="0" borderId="0" xfId="14" applyNumberFormat="1" applyFont="1" applyFill="1" applyAlignment="1">
      <alignment horizontal="centerContinuous"/>
    </xf>
    <xf numFmtId="166" fontId="5" fillId="0" borderId="0" xfId="14" applyNumberFormat="1" applyFont="1"/>
    <xf numFmtId="166" fontId="5" fillId="0" borderId="2" xfId="14" applyNumberFormat="1" applyFont="1" applyFill="1" applyBorder="1" applyAlignment="1">
      <alignment horizontal="centerContinuous"/>
    </xf>
    <xf numFmtId="166" fontId="5" fillId="0" borderId="2" xfId="14" applyNumberFormat="1" applyFont="1" applyBorder="1"/>
    <xf numFmtId="0" fontId="5" fillId="0" borderId="0" xfId="14" applyFont="1" applyFill="1" applyAlignment="1">
      <alignment horizontal="centerContinuous"/>
    </xf>
    <xf numFmtId="166" fontId="5" fillId="0" borderId="2" xfId="14" applyNumberFormat="1" applyFont="1" applyFill="1" applyBorder="1" applyAlignment="1">
      <alignment horizontal="centerContinuous" wrapText="1"/>
    </xf>
    <xf numFmtId="164" fontId="5" fillId="0" borderId="2" xfId="14" applyNumberFormat="1" applyFont="1" applyBorder="1"/>
    <xf numFmtId="0" fontId="5" fillId="0" borderId="0" xfId="14" quotePrefix="1" applyFont="1"/>
    <xf numFmtId="0" fontId="4" fillId="0" borderId="0" xfId="14" applyFont="1" applyAlignment="1">
      <alignment horizontal="left"/>
    </xf>
    <xf numFmtId="164" fontId="11" fillId="0" borderId="0" xfId="14" applyNumberFormat="1" applyFont="1" applyFill="1" applyAlignment="1">
      <alignment horizontal="centerContinuous"/>
    </xf>
    <xf numFmtId="0" fontId="4" fillId="0" borderId="0" xfId="14" quotePrefix="1" applyFont="1" applyAlignment="1">
      <alignment horizontal="left"/>
    </xf>
    <xf numFmtId="166" fontId="5" fillId="0" borderId="0" xfId="14" applyNumberFormat="1" applyFont="1" applyAlignment="1">
      <alignment horizontal="centerContinuous"/>
    </xf>
    <xf numFmtId="0" fontId="4" fillId="0" borderId="3" xfId="14" applyFont="1" applyBorder="1" applyAlignment="1">
      <alignment horizontal="left"/>
    </xf>
    <xf numFmtId="0" fontId="5" fillId="0" borderId="3" xfId="14" applyFont="1" applyBorder="1" applyAlignment="1">
      <alignment horizontal="centerContinuous" vertical="center"/>
    </xf>
    <xf numFmtId="0" fontId="5" fillId="0" borderId="3" xfId="14" quotePrefix="1" applyFont="1" applyBorder="1" applyAlignment="1">
      <alignment horizontal="centerContinuous" vertical="center" wrapText="1"/>
    </xf>
    <xf numFmtId="164" fontId="5" fillId="0" borderId="3" xfId="14" applyNumberFormat="1" applyFont="1" applyFill="1" applyBorder="1"/>
    <xf numFmtId="166" fontId="5" fillId="0" borderId="3" xfId="14" applyNumberFormat="1" applyFont="1" applyBorder="1" applyAlignment="1">
      <alignment horizontal="centerContinuous" wrapText="1"/>
    </xf>
    <xf numFmtId="166" fontId="5" fillId="0" borderId="3" xfId="14" applyNumberFormat="1" applyFont="1" applyBorder="1"/>
    <xf numFmtId="165" fontId="5" fillId="0" borderId="3" xfId="14" applyNumberFormat="1" applyFont="1" applyFill="1" applyBorder="1" applyAlignment="1">
      <alignment horizontal="centerContinuous"/>
    </xf>
    <xf numFmtId="165" fontId="5" fillId="0" borderId="3" xfId="14" applyNumberFormat="1" applyFont="1" applyBorder="1"/>
    <xf numFmtId="10" fontId="5" fillId="0" borderId="3" xfId="14" applyNumberFormat="1" applyFont="1" applyBorder="1" applyAlignment="1">
      <alignment horizontal="right"/>
    </xf>
    <xf numFmtId="164" fontId="5" fillId="0" borderId="0" xfId="14" applyNumberFormat="1" applyFont="1" applyAlignment="1">
      <alignment horizontal="centerContinuous"/>
    </xf>
    <xf numFmtId="164" fontId="6" fillId="0" borderId="0" xfId="14" applyNumberFormat="1" applyFont="1" applyAlignment="1">
      <alignment horizontal="right"/>
    </xf>
    <xf numFmtId="164" fontId="6" fillId="0" borderId="0" xfId="14" applyNumberFormat="1" applyFont="1"/>
    <xf numFmtId="164" fontId="6" fillId="0" borderId="0" xfId="14" applyNumberFormat="1" applyFont="1" applyAlignment="1">
      <alignment horizontal="centerContinuous"/>
    </xf>
    <xf numFmtId="44" fontId="7" fillId="0" borderId="1" xfId="14" quotePrefix="1" applyNumberFormat="1" applyFont="1" applyBorder="1" applyAlignment="1">
      <alignment horizontal="centerContinuous" vertical="center"/>
    </xf>
    <xf numFmtId="44" fontId="20" fillId="0" borderId="1" xfId="14" quotePrefix="1" applyNumberFormat="1" applyFont="1" applyBorder="1" applyAlignment="1">
      <alignment horizontal="centerContinuous" vertical="center"/>
    </xf>
    <xf numFmtId="0" fontId="5" fillId="0" borderId="1" xfId="14" applyFont="1" applyBorder="1" applyAlignment="1">
      <alignment horizontal="centerContinuous" vertical="center"/>
    </xf>
    <xf numFmtId="164" fontId="5" fillId="0" borderId="1" xfId="14" applyNumberFormat="1" applyFont="1" applyBorder="1" applyAlignment="1">
      <alignment horizontal="centerContinuous" vertical="center"/>
    </xf>
    <xf numFmtId="164" fontId="15" fillId="0" borderId="1" xfId="14" applyNumberFormat="1" applyFont="1" applyBorder="1" applyAlignment="1">
      <alignment horizontal="centerContinuous" vertical="center"/>
    </xf>
    <xf numFmtId="44" fontId="20" fillId="0" borderId="0" xfId="14" quotePrefix="1" applyNumberFormat="1" applyFont="1" applyAlignment="1">
      <alignment horizontal="centerContinuous" vertical="center"/>
    </xf>
    <xf numFmtId="44" fontId="20" fillId="0" borderId="0" xfId="14" quotePrefix="1" applyNumberFormat="1" applyFont="1" applyAlignment="1">
      <alignment horizontal="center" vertical="center"/>
    </xf>
    <xf numFmtId="44" fontId="20" fillId="0" borderId="0" xfId="14" quotePrefix="1" applyNumberFormat="1" applyFont="1" applyAlignment="1">
      <alignment horizontal="centerContinuous"/>
    </xf>
    <xf numFmtId="44" fontId="20" fillId="0" borderId="0" xfId="14" applyNumberFormat="1" applyFont="1" applyAlignment="1">
      <alignment horizontal="centerContinuous"/>
    </xf>
    <xf numFmtId="44" fontId="20" fillId="0" borderId="0" xfId="14" applyNumberFormat="1" applyFont="1" applyAlignment="1">
      <alignment horizontal="center" wrapText="1"/>
    </xf>
    <xf numFmtId="44" fontId="20" fillId="0" borderId="0" xfId="14" applyNumberFormat="1" applyFont="1" applyAlignment="1">
      <alignment horizontal="center"/>
    </xf>
    <xf numFmtId="0" fontId="5" fillId="0" borderId="0" xfId="14" applyFont="1" applyAlignment="1">
      <alignment horizontal="right" vertical="center"/>
    </xf>
    <xf numFmtId="44" fontId="11" fillId="0" borderId="0" xfId="14" applyNumberFormat="1" applyFont="1" applyFill="1" applyAlignment="1">
      <alignment horizontal="center" vertical="center"/>
    </xf>
    <xf numFmtId="44" fontId="5" fillId="0" borderId="0" xfId="14" applyNumberFormat="1" applyFont="1"/>
    <xf numFmtId="44" fontId="11" fillId="0" borderId="0" xfId="14" applyNumberFormat="1" applyFont="1"/>
    <xf numFmtId="43" fontId="5" fillId="0" borderId="0" xfId="14" quotePrefix="1" applyNumberFormat="1" applyFont="1"/>
    <xf numFmtId="10" fontId="5" fillId="0" borderId="0" xfId="14" applyNumberFormat="1" applyFont="1"/>
    <xf numFmtId="44" fontId="11" fillId="0" borderId="0" xfId="14" applyNumberFormat="1" applyFont="1" applyAlignment="1">
      <alignment horizontal="center" vertical="center"/>
    </xf>
    <xf numFmtId="10" fontId="5" fillId="0" borderId="0" xfId="14" quotePrefix="1" applyNumberFormat="1" applyFont="1"/>
    <xf numFmtId="0" fontId="4" fillId="0" borderId="0" xfId="5" applyFont="1" applyFill="1" applyAlignment="1">
      <alignment horizontal="centerContinuous" vertical="center"/>
    </xf>
    <xf numFmtId="0" fontId="16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" fillId="0" borderId="1" xfId="5" applyFont="1" applyBorder="1" applyAlignment="1">
      <alignment horizontal="centerContinuous" wrapText="1"/>
    </xf>
    <xf numFmtId="0" fontId="7" fillId="0" borderId="1" xfId="5" quotePrefix="1" applyFont="1" applyBorder="1" applyAlignment="1">
      <alignment horizontal="center" wrapText="1"/>
    </xf>
    <xf numFmtId="0" fontId="5" fillId="0" borderId="0" xfId="5" applyFont="1" applyAlignment="1">
      <alignment horizontal="center" vertical="center" wrapText="1"/>
    </xf>
    <xf numFmtId="166" fontId="11" fillId="0" borderId="0" xfId="5" applyNumberFormat="1" applyFont="1"/>
    <xf numFmtId="44" fontId="20" fillId="0" borderId="0" xfId="5" applyNumberFormat="1" applyFont="1"/>
    <xf numFmtId="164" fontId="5" fillId="0" borderId="0" xfId="5" applyNumberFormat="1" applyFont="1" applyAlignment="1">
      <alignment horizontal="center"/>
    </xf>
    <xf numFmtId="44" fontId="11" fillId="0" borderId="0" xfId="5" applyNumberFormat="1" applyFont="1"/>
    <xf numFmtId="0" fontId="15" fillId="0" borderId="0" xfId="5" quotePrefix="1" applyFont="1" applyAlignment="1">
      <alignment horizontal="center"/>
    </xf>
    <xf numFmtId="0" fontId="5" fillId="0" borderId="0" xfId="5" quotePrefix="1" applyFont="1" applyAlignment="1">
      <alignment horizontal="center" wrapText="1"/>
    </xf>
    <xf numFmtId="0" fontId="15" fillId="0" borderId="0" xfId="5" applyFont="1" applyAlignment="1">
      <alignment horizontal="center"/>
    </xf>
    <xf numFmtId="164" fontId="5" fillId="0" borderId="0" xfId="5" quotePrefix="1" applyNumberFormat="1" applyFont="1" applyAlignment="1">
      <alignment horizontal="center"/>
    </xf>
    <xf numFmtId="164" fontId="5" fillId="0" borderId="0" xfId="5" applyNumberFormat="1" applyFont="1" applyAlignment="1">
      <alignment horizontal="left"/>
    </xf>
    <xf numFmtId="168" fontId="11" fillId="0" borderId="0" xfId="5" applyNumberFormat="1" applyFont="1"/>
    <xf numFmtId="0" fontId="5" fillId="0" borderId="0" xfId="5" applyFont="1" applyAlignment="1">
      <alignment vertical="top"/>
    </xf>
    <xf numFmtId="166" fontId="11" fillId="0" borderId="0" xfId="14" applyNumberFormat="1" applyFont="1" applyAlignment="1">
      <alignment horizontal="center"/>
    </xf>
    <xf numFmtId="44" fontId="11" fillId="0" borderId="2" xfId="14" applyNumberFormat="1" applyFont="1" applyBorder="1"/>
    <xf numFmtId="0" fontId="15" fillId="0" borderId="0" xfId="14" applyFont="1" applyFill="1" applyAlignment="1">
      <alignment horizontal="center"/>
    </xf>
    <xf numFmtId="0" fontId="12" fillId="0" borderId="0" xfId="14" applyFont="1" applyAlignment="1">
      <alignment horizontal="centerContinuous"/>
    </xf>
    <xf numFmtId="44" fontId="5" fillId="0" borderId="0" xfId="14" applyNumberFormat="1" applyFont="1" applyAlignment="1">
      <alignment horizontal="left" indent="1"/>
    </xf>
    <xf numFmtId="0" fontId="12" fillId="0" borderId="0" xfId="14" applyFont="1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9" quotePrefix="1" applyFont="1" applyAlignment="1">
      <alignment horizontal="left"/>
    </xf>
    <xf numFmtId="0" fontId="10" fillId="0" borderId="0" xfId="0" applyFont="1" applyAlignment="1">
      <alignment horizontal="centerContinuous" wrapText="1"/>
    </xf>
    <xf numFmtId="0" fontId="4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 wrapText="1"/>
    </xf>
    <xf numFmtId="0" fontId="12" fillId="0" borderId="0" xfId="0" applyFont="1" applyAlignment="1">
      <alignment horizontal="centerContinuous" wrapText="1"/>
    </xf>
    <xf numFmtId="0" fontId="12" fillId="0" borderId="0" xfId="0" applyFont="1" applyFill="1" applyAlignment="1">
      <alignment horizontal="centerContinuous"/>
    </xf>
    <xf numFmtId="165" fontId="5" fillId="0" borderId="0" xfId="12" applyNumberFormat="1" applyFont="1" applyBorder="1"/>
    <xf numFmtId="164" fontId="11" fillId="0" borderId="0" xfId="12" applyNumberFormat="1" applyFont="1" applyBorder="1"/>
    <xf numFmtId="164" fontId="5" fillId="0" borderId="0" xfId="12" applyNumberFormat="1" applyFont="1" applyBorder="1"/>
    <xf numFmtId="0" fontId="5" fillId="0" borderId="0" xfId="12" applyFont="1" applyBorder="1"/>
    <xf numFmtId="164" fontId="11" fillId="0" borderId="7" xfId="12" applyNumberFormat="1" applyFont="1" applyFill="1" applyBorder="1"/>
    <xf numFmtId="165" fontId="15" fillId="0" borderId="0" xfId="12" applyNumberFormat="1" applyFont="1" applyFill="1" applyBorder="1"/>
    <xf numFmtId="164" fontId="4" fillId="0" borderId="1" xfId="14" quotePrefix="1" applyNumberFormat="1" applyFont="1" applyFill="1" applyBorder="1" applyAlignment="1">
      <alignment horizontal="center" wrapText="1"/>
    </xf>
    <xf numFmtId="44" fontId="11" fillId="0" borderId="0" xfId="14" applyNumberFormat="1" applyFont="1" applyFill="1" applyBorder="1" applyAlignment="1">
      <alignment horizontal="centerContinuous"/>
    </xf>
    <xf numFmtId="165" fontId="11" fillId="0" borderId="0" xfId="14" applyNumberFormat="1" applyFont="1" applyFill="1" applyBorder="1" applyAlignment="1">
      <alignment horizontal="centerContinuous"/>
    </xf>
    <xf numFmtId="165" fontId="5" fillId="0" borderId="0" xfId="14" applyNumberFormat="1" applyFont="1" applyAlignment="1"/>
    <xf numFmtId="10" fontId="5" fillId="0" borderId="0" xfId="14" applyNumberFormat="1" applyFont="1" applyAlignment="1"/>
    <xf numFmtId="165" fontId="5" fillId="0" borderId="2" xfId="14" applyNumberFormat="1" applyFont="1" applyFill="1" applyBorder="1" applyAlignment="1">
      <alignment horizontal="centerContinuous"/>
    </xf>
    <xf numFmtId="166" fontId="6" fillId="0" borderId="0" xfId="14" applyNumberFormat="1" applyFont="1" applyAlignment="1"/>
    <xf numFmtId="172" fontId="11" fillId="0" borderId="0" xfId="14" applyNumberFormat="1" applyFont="1" applyFill="1"/>
    <xf numFmtId="172" fontId="11" fillId="0" borderId="2" xfId="14" applyNumberFormat="1" applyFont="1" applyFill="1" applyBorder="1"/>
    <xf numFmtId="173" fontId="11" fillId="0" borderId="0" xfId="14" applyNumberFormat="1" applyFont="1" applyFill="1"/>
    <xf numFmtId="44" fontId="21" fillId="0" borderId="0" xfId="14" applyNumberFormat="1" applyFont="1" applyAlignment="1">
      <alignment horizontal="left" indent="1"/>
    </xf>
    <xf numFmtId="0" fontId="11" fillId="0" borderId="0" xfId="14" applyFont="1" applyAlignment="1">
      <alignment horizontal="center" vertical="center"/>
    </xf>
    <xf numFmtId="165" fontId="11" fillId="0" borderId="0" xfId="14" applyNumberFormat="1" applyFont="1" applyFill="1" applyBorder="1" applyAlignment="1">
      <alignment horizontal="center" vertical="center"/>
    </xf>
    <xf numFmtId="165" fontId="5" fillId="0" borderId="0" xfId="14" applyNumberFormat="1" applyFont="1" applyAlignment="1">
      <alignment horizontal="center" vertical="center"/>
    </xf>
    <xf numFmtId="165" fontId="5" fillId="0" borderId="1" xfId="14" applyNumberFormat="1" applyFont="1" applyBorder="1" applyAlignment="1">
      <alignment horizontal="center" vertical="center"/>
    </xf>
    <xf numFmtId="44" fontId="5" fillId="0" borderId="0" xfId="14" applyNumberFormat="1" applyFont="1" applyAlignment="1">
      <alignment horizontal="left" indent="1"/>
    </xf>
    <xf numFmtId="10" fontId="5" fillId="0" borderId="0" xfId="14" applyNumberFormat="1" applyFont="1" applyAlignment="1">
      <alignment horizontal="right" vertical="center"/>
    </xf>
    <xf numFmtId="10" fontId="5" fillId="0" borderId="1" xfId="14" applyNumberFormat="1" applyFont="1" applyBorder="1" applyAlignment="1">
      <alignment horizontal="right" vertical="center"/>
    </xf>
    <xf numFmtId="10" fontId="5" fillId="0" borderId="0" xfId="14" applyNumberFormat="1" applyFont="1" applyAlignment="1">
      <alignment vertical="center"/>
    </xf>
    <xf numFmtId="0" fontId="5" fillId="0" borderId="0" xfId="14" applyFont="1" applyFill="1" applyAlignment="1">
      <alignment horizontal="left" vertical="top" wrapText="1"/>
    </xf>
    <xf numFmtId="0" fontId="9" fillId="0" borderId="0" xfId="14" applyFont="1" applyAlignment="1">
      <alignment horizontal="center" vertical="center"/>
    </xf>
    <xf numFmtId="165" fontId="11" fillId="0" borderId="1" xfId="14" applyNumberFormat="1" applyFont="1" applyFill="1" applyBorder="1" applyAlignment="1">
      <alignment horizontal="center" vertical="center"/>
    </xf>
    <xf numFmtId="10" fontId="5" fillId="0" borderId="1" xfId="14" applyNumberFormat="1" applyFont="1" applyBorder="1" applyAlignment="1">
      <alignment vertical="center"/>
    </xf>
    <xf numFmtId="0" fontId="5" fillId="0" borderId="0" xfId="14" applyFont="1" applyFill="1" applyAlignment="1">
      <alignment horizontal="left" vertical="center" wrapText="1"/>
    </xf>
  </cellXfs>
  <cellStyles count="15">
    <cellStyle name="Comma 10" xfId="6"/>
    <cellStyle name="Currency 2" xfId="2"/>
    <cellStyle name="Currency 2 12" xfId="3"/>
    <cellStyle name="Currency 3" xfId="13"/>
    <cellStyle name="Normal" xfId="0" builtinId="0"/>
    <cellStyle name="Normal 2" xfId="1"/>
    <cellStyle name="Normal 2 10" xfId="5"/>
    <cellStyle name="Normal 2 2" xfId="7"/>
    <cellStyle name="Normal 2 3" xfId="9"/>
    <cellStyle name="Normal 3" xfId="10"/>
    <cellStyle name="Normal 31" xfId="11"/>
    <cellStyle name="Normal 4" xfId="12"/>
    <cellStyle name="Normal 5" xfId="14"/>
    <cellStyle name="Normal 510" xfId="4"/>
    <cellStyle name="Percent 2" xfId="8"/>
  </cellStyles>
  <dxfs count="0"/>
  <tableStyles count="0" defaultTableStyle="TableStyleMedium2" defaultPivotStyle="PivotStyleLight16"/>
  <colors>
    <mruColors>
      <color rgb="FF0033CC"/>
      <color rgb="FF0080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2"/>
  <sheetViews>
    <sheetView zoomScaleNormal="100" workbookViewId="0">
      <pane ySplit="6" topLeftCell="A7" activePane="bottomLeft" state="frozen"/>
      <selection activeCell="L78" sqref="L78"/>
      <selection pane="bottomLeft" activeCell="E13" sqref="E13"/>
    </sheetView>
  </sheetViews>
  <sheetFormatPr defaultColWidth="6.44140625" defaultRowHeight="10.199999999999999" x14ac:dyDescent="0.2"/>
  <cols>
    <col min="1" max="1" width="6.109375" style="112" bestFit="1" customWidth="1"/>
    <col min="2" max="2" width="45.6640625" style="112" bestFit="1" customWidth="1"/>
    <col min="3" max="3" width="14.44140625" style="112" bestFit="1" customWidth="1"/>
    <col min="4" max="4" width="13.5546875" style="112" customWidth="1"/>
    <col min="5" max="5" width="14.5546875" style="112" customWidth="1"/>
    <col min="6" max="6" width="16.5546875" style="112" bestFit="1" customWidth="1"/>
    <col min="7" max="16384" width="6.44140625" style="112"/>
  </cols>
  <sheetData>
    <row r="1" spans="1:6" x14ac:dyDescent="0.2">
      <c r="A1" s="253" t="s">
        <v>53</v>
      </c>
      <c r="B1" s="111"/>
      <c r="C1" s="110"/>
      <c r="D1" s="110"/>
      <c r="E1" s="110"/>
    </row>
    <row r="2" spans="1:6" x14ac:dyDescent="0.2">
      <c r="A2" s="113" t="s">
        <v>54</v>
      </c>
      <c r="B2" s="111"/>
      <c r="C2" s="110"/>
      <c r="D2" s="110"/>
      <c r="E2" s="110"/>
    </row>
    <row r="3" spans="1:6" s="115" customFormat="1" x14ac:dyDescent="0.2">
      <c r="A3" s="111" t="str">
        <f>"Effective "&amp;TEXT(Inputs!B1,"mmmm d, yyyy")&amp;" - "&amp;TEXT(Inputs!B4,"mmmm d, yyyy")</f>
        <v>Effective January 1, 2025 - December 31, 2025</v>
      </c>
      <c r="B3" s="111"/>
      <c r="C3" s="114"/>
      <c r="D3" s="114"/>
      <c r="E3" s="114"/>
    </row>
    <row r="4" spans="1:6" x14ac:dyDescent="0.2">
      <c r="A4" s="116"/>
      <c r="B4" s="116"/>
      <c r="C4" s="117"/>
      <c r="D4" s="117"/>
      <c r="E4" s="117"/>
    </row>
    <row r="5" spans="1:6" ht="13.5" customHeight="1" x14ac:dyDescent="0.2">
      <c r="A5" s="116"/>
      <c r="B5" s="116"/>
      <c r="C5" s="117"/>
      <c r="D5" s="117"/>
      <c r="E5" s="117"/>
    </row>
    <row r="6" spans="1:6" s="119" customFormat="1" ht="20.399999999999999" x14ac:dyDescent="0.2">
      <c r="A6" s="118" t="s">
        <v>0</v>
      </c>
      <c r="B6" s="118" t="s">
        <v>123</v>
      </c>
      <c r="C6" s="118" t="s">
        <v>124</v>
      </c>
      <c r="D6" s="60" t="s">
        <v>125</v>
      </c>
      <c r="E6" s="60" t="s">
        <v>126</v>
      </c>
      <c r="F6" s="118" t="s">
        <v>179</v>
      </c>
    </row>
    <row r="7" spans="1:6" s="119" customFormat="1" x14ac:dyDescent="0.2">
      <c r="A7" s="120"/>
      <c r="B7" s="120"/>
      <c r="C7" s="120"/>
      <c r="D7" s="121">
        <v>45292</v>
      </c>
      <c r="E7" s="121">
        <f>Inputs!B1</f>
        <v>45658</v>
      </c>
      <c r="F7" s="122"/>
    </row>
    <row r="8" spans="1:6" s="119" customFormat="1" x14ac:dyDescent="0.2">
      <c r="A8" s="123"/>
      <c r="B8" s="124" t="s">
        <v>57</v>
      </c>
      <c r="C8" s="125" t="s">
        <v>103</v>
      </c>
      <c r="D8" s="125" t="s">
        <v>58</v>
      </c>
      <c r="E8" s="125" t="s">
        <v>104</v>
      </c>
      <c r="F8" s="125" t="s">
        <v>59</v>
      </c>
    </row>
    <row r="9" spans="1:6" s="119" customFormat="1" x14ac:dyDescent="0.2">
      <c r="A9" s="117">
        <v>1</v>
      </c>
      <c r="B9" s="126" t="s">
        <v>127</v>
      </c>
      <c r="C9" s="126"/>
      <c r="D9" s="127"/>
      <c r="E9" s="127"/>
    </row>
    <row r="10" spans="1:6" x14ac:dyDescent="0.2">
      <c r="A10" s="128">
        <f t="shared" ref="A10:A70" si="0">+A9+1</f>
        <v>2</v>
      </c>
      <c r="B10" s="256" t="s">
        <v>193</v>
      </c>
      <c r="C10" s="130" t="str">
        <f>'Rate Impacts'!C9</f>
        <v>7 (307) (317) (327)</v>
      </c>
      <c r="D10" s="131">
        <f>'Rate Impacts'!H9</f>
        <v>2.7260000000000001E-3</v>
      </c>
      <c r="E10" s="131">
        <f>'Rate Impacts'!I9</f>
        <v>2.957E-3</v>
      </c>
      <c r="F10" s="132" t="s">
        <v>91</v>
      </c>
    </row>
    <row r="11" spans="1:6" x14ac:dyDescent="0.2">
      <c r="A11" s="128">
        <f t="shared" si="0"/>
        <v>3</v>
      </c>
      <c r="B11" s="256"/>
      <c r="C11" s="130"/>
      <c r="D11" s="133"/>
      <c r="E11" s="133"/>
    </row>
    <row r="12" spans="1:6" x14ac:dyDescent="0.2">
      <c r="A12" s="128">
        <f t="shared" si="0"/>
        <v>4</v>
      </c>
      <c r="B12" s="256" t="s">
        <v>194</v>
      </c>
      <c r="C12" s="130"/>
      <c r="D12" s="133"/>
      <c r="E12" s="133"/>
    </row>
    <row r="13" spans="1:6" x14ac:dyDescent="0.2">
      <c r="A13" s="128">
        <f t="shared" si="0"/>
        <v>5</v>
      </c>
      <c r="B13" s="257" t="s">
        <v>195</v>
      </c>
      <c r="C13" s="130" t="str">
        <f>'Rate Impacts'!C12</f>
        <v>08 (24) (324)</v>
      </c>
      <c r="D13" s="133">
        <f>'Rate Impacts'!H12</f>
        <v>2.3960000000000001E-3</v>
      </c>
      <c r="E13" s="133">
        <f>'Rate Impacts'!I12</f>
        <v>2.6870000000000002E-3</v>
      </c>
      <c r="F13" s="117" t="str">
        <f>$F$10</f>
        <v>Sheet No. 141COL-B</v>
      </c>
    </row>
    <row r="14" spans="1:6" x14ac:dyDescent="0.2">
      <c r="A14" s="128">
        <f t="shared" si="0"/>
        <v>6</v>
      </c>
      <c r="B14" s="257" t="s">
        <v>196</v>
      </c>
      <c r="C14" s="130" t="str">
        <f>'Rate Impacts'!C13</f>
        <v>7A (11) (25)</v>
      </c>
      <c r="D14" s="133">
        <f>'Rate Impacts'!H13</f>
        <v>4.8000000000000001E-4</v>
      </c>
      <c r="E14" s="133">
        <f>'Rate Impacts'!I13</f>
        <v>5.2300000000000003E-4</v>
      </c>
      <c r="F14" s="117" t="str">
        <f>$F$10</f>
        <v>Sheet No. 141COL-B</v>
      </c>
    </row>
    <row r="15" spans="1:6" x14ac:dyDescent="0.2">
      <c r="A15" s="128">
        <f t="shared" si="0"/>
        <v>7</v>
      </c>
      <c r="B15" s="257" t="s">
        <v>197</v>
      </c>
      <c r="C15" s="130" t="str">
        <f>'Rate Impacts'!C15</f>
        <v>12 (26) (26P)</v>
      </c>
      <c r="D15" s="133">
        <f>'Rate Impacts'!H15</f>
        <v>4.1800000000000002E-4</v>
      </c>
      <c r="E15" s="133">
        <f>'Rate Impacts'!I15</f>
        <v>4.4099999999999999E-4</v>
      </c>
      <c r="F15" s="117" t="str">
        <f>$F$10</f>
        <v>Sheet No. 141COL-B</v>
      </c>
    </row>
    <row r="16" spans="1:6" x14ac:dyDescent="0.2">
      <c r="A16" s="128">
        <f t="shared" si="0"/>
        <v>8</v>
      </c>
      <c r="B16" s="257" t="s">
        <v>198</v>
      </c>
      <c r="C16" s="130">
        <f>'Rate Impacts'!C17</f>
        <v>29</v>
      </c>
      <c r="D16" s="133">
        <f>'Rate Impacts'!H17</f>
        <v>5.0799999999999999E-4</v>
      </c>
      <c r="E16" s="133">
        <f>'Rate Impacts'!I17</f>
        <v>5.7799999999999995E-4</v>
      </c>
      <c r="F16" s="132" t="s">
        <v>92</v>
      </c>
    </row>
    <row r="17" spans="1:6" x14ac:dyDescent="0.2">
      <c r="A17" s="128">
        <f t="shared" si="0"/>
        <v>9</v>
      </c>
      <c r="B17" s="257"/>
      <c r="C17" s="135"/>
      <c r="D17" s="131"/>
      <c r="E17" s="131"/>
    </row>
    <row r="18" spans="1:6" x14ac:dyDescent="0.2">
      <c r="A18" s="128">
        <f t="shared" si="0"/>
        <v>10</v>
      </c>
      <c r="B18" s="258"/>
      <c r="C18" s="135"/>
      <c r="D18" s="133"/>
      <c r="E18" s="133"/>
    </row>
    <row r="19" spans="1:6" x14ac:dyDescent="0.2">
      <c r="A19" s="128">
        <f t="shared" si="0"/>
        <v>11</v>
      </c>
      <c r="B19" s="258" t="s">
        <v>199</v>
      </c>
      <c r="C19" s="130"/>
      <c r="D19" s="133"/>
      <c r="E19" s="133"/>
    </row>
    <row r="20" spans="1:6" x14ac:dyDescent="0.2">
      <c r="A20" s="128">
        <f t="shared" si="0"/>
        <v>12</v>
      </c>
      <c r="B20" s="257" t="s">
        <v>200</v>
      </c>
      <c r="C20" s="130" t="str">
        <f>'Rate Impacts'!C22</f>
        <v>10 (31)</v>
      </c>
      <c r="D20" s="133">
        <f>'Rate Impacts'!H22</f>
        <v>4.0499999999999998E-4</v>
      </c>
      <c r="E20" s="133">
        <f>'Rate Impacts'!I22</f>
        <v>4.55E-4</v>
      </c>
      <c r="F20" s="117" t="str">
        <f>F16</f>
        <v>Sheet No. 141COL-C</v>
      </c>
    </row>
    <row r="21" spans="1:6" x14ac:dyDescent="0.2">
      <c r="A21" s="128">
        <f t="shared" si="0"/>
        <v>13</v>
      </c>
      <c r="B21" s="257" t="s">
        <v>201</v>
      </c>
      <c r="C21" s="130">
        <f>'Rate Impacts'!C24</f>
        <v>35</v>
      </c>
      <c r="D21" s="133">
        <f>'Rate Impacts'!H24</f>
        <v>3.1100000000000002E-4</v>
      </c>
      <c r="E21" s="133">
        <f>'Rate Impacts'!I24</f>
        <v>2.5500000000000002E-4</v>
      </c>
      <c r="F21" s="117" t="str">
        <f>F20</f>
        <v>Sheet No. 141COL-C</v>
      </c>
    </row>
    <row r="22" spans="1:6" x14ac:dyDescent="0.2">
      <c r="A22" s="128">
        <f t="shared" si="0"/>
        <v>14</v>
      </c>
      <c r="B22" s="257" t="s">
        <v>202</v>
      </c>
      <c r="C22" s="130">
        <f>'Rate Impacts'!C26</f>
        <v>43</v>
      </c>
      <c r="D22" s="133">
        <f>'Rate Impacts'!H26</f>
        <v>8.7999999999999998E-5</v>
      </c>
      <c r="E22" s="133">
        <f>'Rate Impacts'!I26</f>
        <v>1.08E-4</v>
      </c>
      <c r="F22" s="117" t="str">
        <f>F21</f>
        <v>Sheet No. 141COL-C</v>
      </c>
    </row>
    <row r="23" spans="1:6" x14ac:dyDescent="0.2">
      <c r="A23" s="128">
        <f t="shared" si="0"/>
        <v>15</v>
      </c>
      <c r="B23" s="257"/>
      <c r="C23" s="135"/>
      <c r="D23" s="131"/>
      <c r="E23" s="131"/>
    </row>
    <row r="24" spans="1:6" x14ac:dyDescent="0.2">
      <c r="A24" s="128">
        <f t="shared" si="0"/>
        <v>16</v>
      </c>
      <c r="B24" s="258"/>
      <c r="C24" s="135"/>
      <c r="D24" s="133"/>
      <c r="E24" s="133"/>
    </row>
    <row r="25" spans="1:6" x14ac:dyDescent="0.2">
      <c r="A25" s="128">
        <f t="shared" si="0"/>
        <v>17</v>
      </c>
      <c r="B25" s="258" t="s">
        <v>203</v>
      </c>
      <c r="C25" s="130"/>
      <c r="D25" s="133"/>
      <c r="E25" s="133"/>
    </row>
    <row r="26" spans="1:6" x14ac:dyDescent="0.2">
      <c r="A26" s="128">
        <f t="shared" si="0"/>
        <v>18</v>
      </c>
      <c r="B26" s="257" t="s">
        <v>204</v>
      </c>
      <c r="C26" s="130">
        <f>'Rate Impacts'!C31</f>
        <v>46</v>
      </c>
      <c r="D26" s="133">
        <f>'Rate Impacts'!H31</f>
        <v>9.8999999999999994E-5</v>
      </c>
      <c r="E26" s="133">
        <f>'Rate Impacts'!I31</f>
        <v>1.12E-4</v>
      </c>
      <c r="F26" s="132" t="s">
        <v>93</v>
      </c>
    </row>
    <row r="27" spans="1:6" x14ac:dyDescent="0.2">
      <c r="A27" s="128">
        <f t="shared" si="0"/>
        <v>19</v>
      </c>
      <c r="B27" s="257" t="s">
        <v>200</v>
      </c>
      <c r="C27" s="130">
        <f>'Rate Impacts'!C33</f>
        <v>49</v>
      </c>
      <c r="D27" s="133">
        <f>'Rate Impacts'!H33</f>
        <v>3.7800000000000003E-4</v>
      </c>
      <c r="E27" s="133">
        <f>'Rate Impacts'!I33</f>
        <v>4.1800000000000002E-4</v>
      </c>
      <c r="F27" s="117" t="str">
        <f>$F$26</f>
        <v>Sheet No. 141COL-D</v>
      </c>
    </row>
    <row r="28" spans="1:6" x14ac:dyDescent="0.2">
      <c r="A28" s="128">
        <f t="shared" si="0"/>
        <v>20</v>
      </c>
      <c r="B28" s="257"/>
      <c r="C28" s="135"/>
      <c r="D28" s="131"/>
      <c r="E28" s="131"/>
    </row>
    <row r="29" spans="1:6" x14ac:dyDescent="0.2">
      <c r="A29" s="128">
        <f t="shared" si="0"/>
        <v>21</v>
      </c>
      <c r="B29" s="259"/>
      <c r="C29" s="130"/>
      <c r="D29" s="133"/>
      <c r="E29" s="133"/>
    </row>
    <row r="30" spans="1:6" x14ac:dyDescent="0.2">
      <c r="A30" s="128">
        <f t="shared" si="0"/>
        <v>22</v>
      </c>
      <c r="B30" s="256" t="s">
        <v>205</v>
      </c>
      <c r="C30" s="130" t="str">
        <f>'Rate Impacts'!$C$37</f>
        <v>448 - 459</v>
      </c>
      <c r="D30" s="250" t="s">
        <v>130</v>
      </c>
      <c r="E30" s="250" t="s">
        <v>130</v>
      </c>
      <c r="F30" s="117"/>
    </row>
    <row r="31" spans="1:6" x14ac:dyDescent="0.2">
      <c r="A31" s="128">
        <f t="shared" si="0"/>
        <v>23</v>
      </c>
      <c r="B31" s="260" t="s">
        <v>206</v>
      </c>
      <c r="C31" s="130" t="str">
        <f>'Rate Impacts'!$C$39</f>
        <v>Special Contract</v>
      </c>
      <c r="D31" s="250">
        <v>0</v>
      </c>
      <c r="E31" s="250">
        <v>0</v>
      </c>
      <c r="F31" s="117" t="str">
        <f>F27</f>
        <v>Sheet No. 141COL-D</v>
      </c>
    </row>
    <row r="32" spans="1:6" x14ac:dyDescent="0.2">
      <c r="A32" s="128">
        <f t="shared" si="0"/>
        <v>24</v>
      </c>
      <c r="B32" s="256" t="s">
        <v>207</v>
      </c>
      <c r="C32" s="130" t="str">
        <f>'Rate Impacts'!$C$41</f>
        <v>50 - 59</v>
      </c>
      <c r="D32" s="137">
        <f>'Rate Impacts'!H41</f>
        <v>1.189E-3</v>
      </c>
      <c r="E32" s="137">
        <f>'Rate Impacts'!I41</f>
        <v>1.3600000000000001E-3</v>
      </c>
      <c r="F32" s="132" t="s">
        <v>129</v>
      </c>
    </row>
    <row r="33" spans="1:6" x14ac:dyDescent="0.2">
      <c r="A33" s="128">
        <f t="shared" si="0"/>
        <v>25</v>
      </c>
      <c r="B33" s="256"/>
      <c r="C33" s="130"/>
      <c r="D33" s="133"/>
      <c r="E33" s="133"/>
    </row>
    <row r="34" spans="1:6" x14ac:dyDescent="0.2">
      <c r="A34" s="128">
        <f t="shared" si="0"/>
        <v>26</v>
      </c>
      <c r="B34" s="256" t="s">
        <v>208</v>
      </c>
      <c r="C34" s="135"/>
      <c r="D34" s="131"/>
      <c r="E34" s="131"/>
    </row>
    <row r="35" spans="1:6" x14ac:dyDescent="0.2">
      <c r="A35" s="128">
        <f t="shared" si="0"/>
        <v>27</v>
      </c>
      <c r="B35" s="259"/>
      <c r="C35" s="130"/>
      <c r="D35" s="133"/>
      <c r="E35" s="133"/>
    </row>
    <row r="36" spans="1:6" x14ac:dyDescent="0.2">
      <c r="A36" s="128">
        <f t="shared" si="0"/>
        <v>28</v>
      </c>
      <c r="B36" s="256" t="s">
        <v>209</v>
      </c>
      <c r="C36" s="252">
        <v>5</v>
      </c>
      <c r="D36" s="137">
        <v>2.2060000000000001E-3</v>
      </c>
      <c r="E36" s="137">
        <f>ROUND('Rate Spread and Design'!$J$47,6)</f>
        <v>2.1580000000000002E-3</v>
      </c>
    </row>
    <row r="37" spans="1:6" x14ac:dyDescent="0.2">
      <c r="A37" s="128">
        <f t="shared" si="0"/>
        <v>29</v>
      </c>
      <c r="B37" s="256"/>
      <c r="C37" s="138"/>
      <c r="D37" s="137"/>
      <c r="E37" s="137"/>
    </row>
    <row r="38" spans="1:6" ht="10.8" thickBot="1" x14ac:dyDescent="0.25">
      <c r="A38" s="128">
        <f t="shared" si="0"/>
        <v>30</v>
      </c>
      <c r="B38" s="256"/>
      <c r="C38" s="139"/>
      <c r="D38" s="140"/>
      <c r="E38" s="140"/>
    </row>
    <row r="39" spans="1:6" ht="10.8" thickTop="1" x14ac:dyDescent="0.2">
      <c r="A39" s="128">
        <f t="shared" si="0"/>
        <v>31</v>
      </c>
      <c r="B39" s="259"/>
      <c r="C39" s="138"/>
      <c r="D39" s="137"/>
      <c r="E39" s="137"/>
    </row>
    <row r="40" spans="1:6" x14ac:dyDescent="0.2">
      <c r="A40" s="128">
        <f t="shared" si="0"/>
        <v>32</v>
      </c>
      <c r="B40" s="117"/>
      <c r="C40" s="138"/>
      <c r="D40" s="137"/>
      <c r="E40" s="137"/>
    </row>
    <row r="41" spans="1:6" x14ac:dyDescent="0.2">
      <c r="A41" s="128">
        <f t="shared" si="0"/>
        <v>33</v>
      </c>
      <c r="B41" s="126" t="s">
        <v>131</v>
      </c>
      <c r="C41" s="141"/>
      <c r="D41" s="142"/>
      <c r="E41" s="142"/>
    </row>
    <row r="42" spans="1:6" x14ac:dyDescent="0.2">
      <c r="A42" s="128">
        <f t="shared" si="0"/>
        <v>34</v>
      </c>
      <c r="B42" s="129" t="str">
        <f>B10</f>
        <v>Residential</v>
      </c>
      <c r="C42" s="143" t="str">
        <f>C10</f>
        <v>7 (307) (317) (327)</v>
      </c>
      <c r="D42" s="144"/>
      <c r="E42" s="144"/>
    </row>
    <row r="43" spans="1:6" x14ac:dyDescent="0.2">
      <c r="A43" s="128">
        <f t="shared" si="0"/>
        <v>35</v>
      </c>
      <c r="B43" s="129"/>
      <c r="C43" s="143"/>
      <c r="D43" s="145"/>
      <c r="E43" s="145"/>
    </row>
    <row r="44" spans="1:6" x14ac:dyDescent="0.2">
      <c r="A44" s="128">
        <f t="shared" si="0"/>
        <v>36</v>
      </c>
      <c r="B44" s="129" t="str">
        <f>B12</f>
        <v>Secondary Voltage</v>
      </c>
      <c r="C44" s="143"/>
      <c r="D44" s="145"/>
      <c r="E44" s="145"/>
    </row>
    <row r="45" spans="1:6" x14ac:dyDescent="0.2">
      <c r="A45" s="128">
        <f t="shared" si="0"/>
        <v>37</v>
      </c>
      <c r="B45" s="146" t="str">
        <f>B13</f>
        <v>General Service: Demand &lt;= 50 kW</v>
      </c>
      <c r="C45" s="143" t="str">
        <f>C13</f>
        <v>08 (24) (324)</v>
      </c>
      <c r="D45" s="145"/>
      <c r="E45" s="145"/>
    </row>
    <row r="46" spans="1:6" x14ac:dyDescent="0.2">
      <c r="A46" s="128">
        <f t="shared" si="0"/>
        <v>38</v>
      </c>
      <c r="B46" s="146" t="str">
        <f>B14</f>
        <v>Small General Service: Demand &gt; 50 kW but &lt;= 350 kW</v>
      </c>
      <c r="C46" s="117" t="str">
        <f>C14</f>
        <v>7A (11) (25)</v>
      </c>
      <c r="D46" s="228">
        <v>1.26</v>
      </c>
      <c r="E46" s="228">
        <f>ROUND('Rate Spread and Design'!J14,2)</f>
        <v>1.25</v>
      </c>
      <c r="F46" s="112" t="str">
        <f>F14</f>
        <v>Sheet No. 141COL-B</v>
      </c>
    </row>
    <row r="47" spans="1:6" x14ac:dyDescent="0.2">
      <c r="A47" s="128">
        <f t="shared" si="0"/>
        <v>39</v>
      </c>
      <c r="B47" s="146" t="str">
        <f>B15</f>
        <v>Large General Service: Demand &gt; 350 kW</v>
      </c>
      <c r="C47" s="117" t="str">
        <f>C15</f>
        <v>12 (26) (26P)</v>
      </c>
      <c r="D47" s="228">
        <v>0.68</v>
      </c>
      <c r="E47" s="228">
        <f>ROUND('Rate Spread and Design'!J18,2)</f>
        <v>0.71</v>
      </c>
      <c r="F47" s="112" t="str">
        <f>F15</f>
        <v>Sheet No. 141COL-B</v>
      </c>
    </row>
    <row r="48" spans="1:6" x14ac:dyDescent="0.2">
      <c r="A48" s="128">
        <f t="shared" si="0"/>
        <v>40</v>
      </c>
      <c r="B48" s="146" t="str">
        <f>B16</f>
        <v>Irrigation &amp; Pumping Service: Demand &gt; 50 kW but &lt;= 350 kW</v>
      </c>
      <c r="C48" s="117">
        <f>C16</f>
        <v>29</v>
      </c>
      <c r="D48" s="228">
        <v>4.76</v>
      </c>
      <c r="E48" s="228">
        <f>ROUND('Rate Spread and Design'!J22,2)</f>
        <v>4.26</v>
      </c>
      <c r="F48" s="112" t="str">
        <f>F16</f>
        <v>Sheet No. 141COL-C</v>
      </c>
    </row>
    <row r="49" spans="1:6" x14ac:dyDescent="0.2">
      <c r="A49" s="128">
        <f t="shared" si="0"/>
        <v>41</v>
      </c>
      <c r="B49" s="134"/>
      <c r="C49" s="116"/>
      <c r="D49" s="251"/>
      <c r="E49" s="251"/>
    </row>
    <row r="50" spans="1:6" x14ac:dyDescent="0.2">
      <c r="A50" s="128">
        <f t="shared" si="0"/>
        <v>42</v>
      </c>
      <c r="B50" s="134"/>
      <c r="C50" s="116"/>
      <c r="D50" s="228"/>
      <c r="E50" s="228"/>
    </row>
    <row r="51" spans="1:6" x14ac:dyDescent="0.2">
      <c r="A51" s="128">
        <f t="shared" si="0"/>
        <v>43</v>
      </c>
      <c r="B51" s="129" t="str">
        <f>B19</f>
        <v>Primary Voltage</v>
      </c>
      <c r="C51" s="117"/>
      <c r="D51" s="228"/>
      <c r="E51" s="228"/>
    </row>
    <row r="52" spans="1:6" x14ac:dyDescent="0.2">
      <c r="A52" s="128">
        <f t="shared" si="0"/>
        <v>44</v>
      </c>
      <c r="B52" s="146" t="str">
        <f>B20</f>
        <v>General Service</v>
      </c>
      <c r="C52" s="117" t="str">
        <f>C20</f>
        <v>10 (31)</v>
      </c>
      <c r="D52" s="228">
        <v>0.68</v>
      </c>
      <c r="E52" s="228">
        <f>ROUND('Rate Spread and Design'!J26,2)</f>
        <v>0.73</v>
      </c>
      <c r="F52" s="112" t="str">
        <f>F20</f>
        <v>Sheet No. 141COL-C</v>
      </c>
    </row>
    <row r="53" spans="1:6" x14ac:dyDescent="0.2">
      <c r="A53" s="128">
        <f t="shared" si="0"/>
        <v>45</v>
      </c>
      <c r="B53" s="146" t="str">
        <f>B21</f>
        <v>Irrigation &amp; Pumping Service</v>
      </c>
      <c r="C53" s="117">
        <f>C21</f>
        <v>35</v>
      </c>
      <c r="D53" s="228">
        <v>0.67</v>
      </c>
      <c r="E53" s="228">
        <f>ROUND('Rate Spread and Design'!J30,2)</f>
        <v>0.56999999999999995</v>
      </c>
      <c r="F53" s="112" t="str">
        <f>F21</f>
        <v>Sheet No. 141COL-C</v>
      </c>
    </row>
    <row r="54" spans="1:6" x14ac:dyDescent="0.2">
      <c r="A54" s="128">
        <f t="shared" si="0"/>
        <v>46</v>
      </c>
      <c r="B54" s="146" t="str">
        <f>B22</f>
        <v>All Electric Schools</v>
      </c>
      <c r="C54" s="117">
        <f>C22</f>
        <v>43</v>
      </c>
      <c r="D54" s="228">
        <v>7.0000000000000007E-2</v>
      </c>
      <c r="E54" s="228">
        <f>ROUND('Rate Spread and Design'!J34,2)</f>
        <v>0.09</v>
      </c>
      <c r="F54" s="112" t="str">
        <f>F22</f>
        <v>Sheet No. 141COL-C</v>
      </c>
    </row>
    <row r="55" spans="1:6" x14ac:dyDescent="0.2">
      <c r="A55" s="128">
        <f t="shared" si="0"/>
        <v>47</v>
      </c>
      <c r="B55" s="134"/>
      <c r="C55" s="116"/>
      <c r="D55" s="251"/>
      <c r="E55" s="251"/>
    </row>
    <row r="56" spans="1:6" x14ac:dyDescent="0.2">
      <c r="A56" s="128">
        <f t="shared" si="0"/>
        <v>48</v>
      </c>
      <c r="B56" s="134"/>
      <c r="C56" s="116"/>
      <c r="D56" s="228"/>
      <c r="E56" s="228"/>
    </row>
    <row r="57" spans="1:6" x14ac:dyDescent="0.2">
      <c r="A57" s="128">
        <f t="shared" si="0"/>
        <v>49</v>
      </c>
      <c r="B57" s="129" t="str">
        <f>B25</f>
        <v>High Voltage</v>
      </c>
      <c r="C57" s="117"/>
      <c r="D57" s="228"/>
      <c r="E57" s="228"/>
    </row>
    <row r="58" spans="1:6" x14ac:dyDescent="0.2">
      <c r="A58" s="128">
        <f t="shared" si="0"/>
        <v>50</v>
      </c>
      <c r="B58" s="146" t="str">
        <f>B26</f>
        <v>Interruptible Service</v>
      </c>
      <c r="C58" s="117">
        <f>C26</f>
        <v>46</v>
      </c>
      <c r="D58" s="228">
        <v>0.08</v>
      </c>
      <c r="E58" s="228">
        <f>ROUND('Rate Spread and Design'!J38,2)</f>
        <v>0.09</v>
      </c>
      <c r="F58" s="112" t="str">
        <f>F26</f>
        <v>Sheet No. 141COL-D</v>
      </c>
    </row>
    <row r="59" spans="1:6" x14ac:dyDescent="0.2">
      <c r="A59" s="128">
        <f t="shared" si="0"/>
        <v>51</v>
      </c>
      <c r="B59" s="146" t="str">
        <f>B27</f>
        <v>General Service</v>
      </c>
      <c r="C59" s="117">
        <f>C27</f>
        <v>49</v>
      </c>
      <c r="D59" s="228">
        <v>0.61</v>
      </c>
      <c r="E59" s="228">
        <f>ROUND('Rate Spread and Design'!J42,2)</f>
        <v>0.68</v>
      </c>
      <c r="F59" s="112" t="str">
        <f>F27</f>
        <v>Sheet No. 141COL-D</v>
      </c>
    </row>
    <row r="60" spans="1:6" x14ac:dyDescent="0.2">
      <c r="A60" s="128">
        <f t="shared" si="0"/>
        <v>52</v>
      </c>
      <c r="B60" s="136"/>
      <c r="C60" s="147"/>
      <c r="D60" s="144"/>
      <c r="E60" s="144"/>
    </row>
    <row r="61" spans="1:6" x14ac:dyDescent="0.2">
      <c r="A61" s="128">
        <f t="shared" si="0"/>
        <v>53</v>
      </c>
      <c r="B61" s="129"/>
      <c r="C61" s="143"/>
      <c r="D61" s="145"/>
      <c r="E61" s="145"/>
    </row>
    <row r="62" spans="1:6" x14ac:dyDescent="0.2">
      <c r="A62" s="128">
        <f t="shared" si="0"/>
        <v>54</v>
      </c>
      <c r="B62" s="134" t="str">
        <f t="shared" ref="B62:C64" si="1">B30</f>
        <v>Choice / Retail Wheeling</v>
      </c>
      <c r="C62" s="143" t="str">
        <f t="shared" si="1"/>
        <v>448 - 459</v>
      </c>
      <c r="D62" s="145"/>
      <c r="E62" s="145"/>
    </row>
    <row r="63" spans="1:6" x14ac:dyDescent="0.2">
      <c r="A63" s="128">
        <f t="shared" si="0"/>
        <v>55</v>
      </c>
      <c r="B63" s="129" t="str">
        <f t="shared" si="1"/>
        <v>Special Contracts</v>
      </c>
      <c r="C63" s="143" t="str">
        <f t="shared" si="1"/>
        <v>Special Contract</v>
      </c>
      <c r="D63" s="145"/>
      <c r="E63" s="145"/>
    </row>
    <row r="64" spans="1:6" x14ac:dyDescent="0.2">
      <c r="A64" s="128">
        <f t="shared" si="0"/>
        <v>56</v>
      </c>
      <c r="B64" s="129" t="str">
        <f t="shared" si="1"/>
        <v>Lighting</v>
      </c>
      <c r="C64" s="143" t="str">
        <f t="shared" si="1"/>
        <v>50 - 59</v>
      </c>
      <c r="D64" s="145"/>
      <c r="E64" s="145"/>
    </row>
    <row r="65" spans="1:12" x14ac:dyDescent="0.2">
      <c r="A65" s="128">
        <f t="shared" si="0"/>
        <v>57</v>
      </c>
      <c r="B65" s="129"/>
      <c r="C65" s="143"/>
      <c r="D65" s="145"/>
      <c r="E65" s="145"/>
    </row>
    <row r="66" spans="1:12" x14ac:dyDescent="0.2">
      <c r="A66" s="128">
        <f t="shared" si="0"/>
        <v>58</v>
      </c>
      <c r="B66" s="136" t="str">
        <f>B34</f>
        <v>Total Retail Sales</v>
      </c>
      <c r="C66" s="147"/>
      <c r="D66" s="144"/>
      <c r="E66" s="144"/>
    </row>
    <row r="67" spans="1:12" x14ac:dyDescent="0.2">
      <c r="A67" s="128">
        <f t="shared" si="0"/>
        <v>59</v>
      </c>
      <c r="B67" s="129"/>
      <c r="C67" s="143"/>
      <c r="D67" s="145"/>
      <c r="E67" s="145"/>
    </row>
    <row r="68" spans="1:12" x14ac:dyDescent="0.2">
      <c r="A68" s="128">
        <f t="shared" si="0"/>
        <v>60</v>
      </c>
      <c r="B68" s="129" t="str">
        <f>B36</f>
        <v>Firm Resale</v>
      </c>
      <c r="C68" s="143">
        <f>C36</f>
        <v>5</v>
      </c>
      <c r="D68" s="145"/>
      <c r="E68" s="145"/>
    </row>
    <row r="69" spans="1:12" x14ac:dyDescent="0.2">
      <c r="A69" s="128">
        <f t="shared" si="0"/>
        <v>61</v>
      </c>
      <c r="B69" s="129"/>
      <c r="C69" s="138"/>
      <c r="D69" s="137"/>
      <c r="E69" s="137"/>
    </row>
    <row r="70" spans="1:12" ht="10.8" thickBot="1" x14ac:dyDescent="0.25">
      <c r="A70" s="128">
        <f t="shared" si="0"/>
        <v>62</v>
      </c>
      <c r="B70" s="136"/>
      <c r="C70" s="139"/>
      <c r="D70" s="140"/>
      <c r="E70" s="140"/>
    </row>
    <row r="71" spans="1:12" ht="10.8" thickTop="1" x14ac:dyDescent="0.2">
      <c r="A71" s="64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1:12" x14ac:dyDescent="0.2">
      <c r="A72" s="64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4"/>
  <sheetViews>
    <sheetView zoomScaleNormal="100" workbookViewId="0">
      <pane ySplit="6" topLeftCell="A7" activePane="bottomLeft" state="frozen"/>
      <selection activeCell="L78" sqref="L78"/>
      <selection pane="bottomLeft"/>
    </sheetView>
  </sheetViews>
  <sheetFormatPr defaultColWidth="8.88671875" defaultRowHeight="10.199999999999999" x14ac:dyDescent="0.2"/>
  <cols>
    <col min="1" max="1" width="6.6640625" style="3" bestFit="1" customWidth="1"/>
    <col min="2" max="2" width="30.5546875" style="3" customWidth="1"/>
    <col min="3" max="3" width="11.5546875" style="3" bestFit="1" customWidth="1"/>
    <col min="4" max="4" width="12.109375" style="3" customWidth="1"/>
    <col min="5" max="5" width="18.33203125" style="3" bestFit="1" customWidth="1"/>
    <col min="6" max="16384" width="8.88671875" style="3"/>
  </cols>
  <sheetData>
    <row r="1" spans="1:5" x14ac:dyDescent="0.2">
      <c r="A1" s="1" t="str">
        <f>'Sch 141COL Rates'!A1</f>
        <v>PUGET SOUND ENERGY</v>
      </c>
      <c r="B1" s="233"/>
      <c r="C1" s="1"/>
      <c r="D1" s="2"/>
      <c r="E1" s="1"/>
    </row>
    <row r="2" spans="1:5" x14ac:dyDescent="0.2">
      <c r="A2" s="1" t="str">
        <f>'Sch 141COL Rates'!A2</f>
        <v>Schedule 141COL Colstrip Adjustment Tracker</v>
      </c>
      <c r="B2" s="233"/>
      <c r="C2" s="1"/>
      <c r="D2" s="2"/>
      <c r="E2" s="1"/>
    </row>
    <row r="3" spans="1:5" x14ac:dyDescent="0.2">
      <c r="A3" s="1" t="str">
        <f>'Sch 141COL Rates'!A3</f>
        <v>Effective January 1, 2025 - December 31, 2025</v>
      </c>
      <c r="B3" s="233"/>
      <c r="C3" s="1"/>
      <c r="D3" s="2"/>
      <c r="E3" s="1"/>
    </row>
    <row r="4" spans="1:5" x14ac:dyDescent="0.2">
      <c r="A4" s="234" t="s">
        <v>148</v>
      </c>
      <c r="B4" s="234"/>
      <c r="C4" s="234"/>
      <c r="D4" s="235"/>
      <c r="E4" s="234"/>
    </row>
    <row r="5" spans="1:5" x14ac:dyDescent="0.2">
      <c r="A5" s="1" t="s">
        <v>134</v>
      </c>
      <c r="B5" s="1"/>
      <c r="C5" s="1"/>
      <c r="D5" s="2"/>
      <c r="E5" s="1"/>
    </row>
    <row r="6" spans="1:5" x14ac:dyDescent="0.2">
      <c r="A6" s="53" t="s">
        <v>0</v>
      </c>
      <c r="B6" s="48" t="s">
        <v>149</v>
      </c>
      <c r="C6" s="236" t="s">
        <v>150</v>
      </c>
      <c r="D6" s="237" t="s">
        <v>126</v>
      </c>
      <c r="E6" s="53" t="s">
        <v>90</v>
      </c>
    </row>
    <row r="7" spans="1:5" x14ac:dyDescent="0.2">
      <c r="A7" s="238">
        <v>1</v>
      </c>
      <c r="B7" s="1" t="s">
        <v>134</v>
      </c>
      <c r="C7" s="2"/>
      <c r="D7" s="239"/>
      <c r="E7" s="50"/>
    </row>
    <row r="8" spans="1:5" ht="12" x14ac:dyDescent="0.35">
      <c r="A8" s="238">
        <f t="shared" ref="A8:A71" si="0">A7+1</f>
        <v>2</v>
      </c>
      <c r="B8" s="240" t="s">
        <v>107</v>
      </c>
      <c r="C8" s="52"/>
      <c r="E8" s="50"/>
    </row>
    <row r="9" spans="1:5" x14ac:dyDescent="0.2">
      <c r="A9" s="238">
        <f t="shared" si="0"/>
        <v>3</v>
      </c>
      <c r="B9" s="4" t="s">
        <v>151</v>
      </c>
      <c r="C9" s="241">
        <v>22</v>
      </c>
      <c r="D9" s="242">
        <f>ROUND('Lighting RD'!F11,2)</f>
        <v>0.01</v>
      </c>
      <c r="E9" s="243" t="s">
        <v>93</v>
      </c>
    </row>
    <row r="10" spans="1:5" x14ac:dyDescent="0.2">
      <c r="A10" s="238">
        <f t="shared" si="0"/>
        <v>4</v>
      </c>
      <c r="B10" s="4"/>
      <c r="C10" s="244"/>
      <c r="D10" s="242"/>
      <c r="E10" s="245"/>
    </row>
    <row r="11" spans="1:5" x14ac:dyDescent="0.2">
      <c r="A11" s="238">
        <f t="shared" si="0"/>
        <v>5</v>
      </c>
      <c r="B11" s="4" t="s">
        <v>152</v>
      </c>
      <c r="C11" s="241">
        <v>100</v>
      </c>
      <c r="D11" s="242">
        <f>ROUND('Lighting RD'!F13,2)</f>
        <v>0.05</v>
      </c>
      <c r="E11" s="49" t="str">
        <f>$E$9</f>
        <v>Sheet No. 141COL-D</v>
      </c>
    </row>
    <row r="12" spans="1:5" x14ac:dyDescent="0.2">
      <c r="A12" s="238">
        <f t="shared" si="0"/>
        <v>6</v>
      </c>
      <c r="B12" s="4" t="s">
        <v>152</v>
      </c>
      <c r="C12" s="241">
        <v>175</v>
      </c>
      <c r="D12" s="242">
        <f>ROUND('Lighting RD'!F14,2)</f>
        <v>0.09</v>
      </c>
      <c r="E12" s="49" t="str">
        <f>$E$9</f>
        <v>Sheet No. 141COL-D</v>
      </c>
    </row>
    <row r="13" spans="1:5" x14ac:dyDescent="0.2">
      <c r="A13" s="238">
        <f t="shared" si="0"/>
        <v>7</v>
      </c>
      <c r="B13" s="4" t="s">
        <v>152</v>
      </c>
      <c r="C13" s="241">
        <v>400</v>
      </c>
      <c r="D13" s="242">
        <f>ROUND('Lighting RD'!F15,2)</f>
        <v>0.21</v>
      </c>
      <c r="E13" s="49" t="str">
        <f>$E$9</f>
        <v>Sheet No. 141COL-D</v>
      </c>
    </row>
    <row r="14" spans="1:5" x14ac:dyDescent="0.2">
      <c r="A14" s="238">
        <f t="shared" si="0"/>
        <v>8</v>
      </c>
      <c r="B14" s="4" t="s">
        <v>152</v>
      </c>
      <c r="C14" s="241">
        <v>700</v>
      </c>
      <c r="D14" s="242">
        <f>ROUND('Lighting RD'!F16,2)</f>
        <v>0.36</v>
      </c>
      <c r="E14" s="49" t="str">
        <f>$E$9</f>
        <v>Sheet No. 141COL-D</v>
      </c>
    </row>
    <row r="15" spans="1:5" x14ac:dyDescent="0.2">
      <c r="A15" s="238">
        <f t="shared" si="0"/>
        <v>9</v>
      </c>
      <c r="B15" s="5"/>
      <c r="C15" s="50"/>
      <c r="D15" s="242"/>
      <c r="E15" s="245"/>
    </row>
    <row r="16" spans="1:5" ht="12" x14ac:dyDescent="0.35">
      <c r="A16" s="238">
        <f t="shared" si="0"/>
        <v>10</v>
      </c>
      <c r="B16" s="240" t="s">
        <v>153</v>
      </c>
      <c r="C16" s="50"/>
      <c r="D16" s="242"/>
      <c r="E16" s="245"/>
    </row>
    <row r="17" spans="1:5" x14ac:dyDescent="0.2">
      <c r="A17" s="238">
        <f t="shared" si="0"/>
        <v>11</v>
      </c>
      <c r="B17" s="4" t="s">
        <v>154</v>
      </c>
      <c r="C17" s="50" t="s">
        <v>48</v>
      </c>
      <c r="D17" s="242">
        <f>ROUND('Lighting RD'!F19,2)</f>
        <v>0.01</v>
      </c>
      <c r="E17" s="243" t="s">
        <v>186</v>
      </c>
    </row>
    <row r="18" spans="1:5" x14ac:dyDescent="0.2">
      <c r="A18" s="238">
        <f t="shared" si="0"/>
        <v>12</v>
      </c>
      <c r="B18" s="4" t="s">
        <v>154</v>
      </c>
      <c r="C18" s="246" t="s">
        <v>49</v>
      </c>
      <c r="D18" s="242">
        <f>ROUND('Lighting RD'!F20,2)</f>
        <v>0.02</v>
      </c>
      <c r="E18" s="49" t="str">
        <f t="shared" ref="E18:E26" si="1">$E$17</f>
        <v>Sheet No. 141COL-E</v>
      </c>
    </row>
    <row r="19" spans="1:5" x14ac:dyDescent="0.2">
      <c r="A19" s="238">
        <f t="shared" si="0"/>
        <v>13</v>
      </c>
      <c r="B19" s="4" t="s">
        <v>154</v>
      </c>
      <c r="C19" s="241" t="s">
        <v>13</v>
      </c>
      <c r="D19" s="242">
        <f>ROUND('Lighting RD'!F21,2)</f>
        <v>0.04</v>
      </c>
      <c r="E19" s="49" t="str">
        <f t="shared" si="1"/>
        <v>Sheet No. 141COL-E</v>
      </c>
    </row>
    <row r="20" spans="1:5" x14ac:dyDescent="0.2">
      <c r="A20" s="238">
        <f t="shared" si="0"/>
        <v>14</v>
      </c>
      <c r="B20" s="4" t="s">
        <v>154</v>
      </c>
      <c r="C20" s="241" t="s">
        <v>14</v>
      </c>
      <c r="D20" s="242">
        <f>ROUND('Lighting RD'!F22,2)</f>
        <v>0.05</v>
      </c>
      <c r="E20" s="49" t="str">
        <f t="shared" si="1"/>
        <v>Sheet No. 141COL-E</v>
      </c>
    </row>
    <row r="21" spans="1:5" x14ac:dyDescent="0.2">
      <c r="A21" s="238">
        <f t="shared" si="0"/>
        <v>15</v>
      </c>
      <c r="B21" s="4" t="s">
        <v>154</v>
      </c>
      <c r="C21" s="241" t="s">
        <v>15</v>
      </c>
      <c r="D21" s="242">
        <f>ROUND('Lighting RD'!F23,2)</f>
        <v>7.0000000000000007E-2</v>
      </c>
      <c r="E21" s="49" t="str">
        <f t="shared" si="1"/>
        <v>Sheet No. 141COL-E</v>
      </c>
    </row>
    <row r="22" spans="1:5" x14ac:dyDescent="0.2">
      <c r="A22" s="238">
        <f t="shared" si="0"/>
        <v>16</v>
      </c>
      <c r="B22" s="4" t="s">
        <v>154</v>
      </c>
      <c r="C22" s="241" t="s">
        <v>16</v>
      </c>
      <c r="D22" s="242">
        <f>ROUND('Lighting RD'!F24,2)</f>
        <v>0.09</v>
      </c>
      <c r="E22" s="49" t="str">
        <f t="shared" si="1"/>
        <v>Sheet No. 141COL-E</v>
      </c>
    </row>
    <row r="23" spans="1:5" x14ac:dyDescent="0.2">
      <c r="A23" s="238">
        <f t="shared" si="0"/>
        <v>17</v>
      </c>
      <c r="B23" s="4" t="s">
        <v>154</v>
      </c>
      <c r="C23" s="241" t="s">
        <v>17</v>
      </c>
      <c r="D23" s="242">
        <f>ROUND('Lighting RD'!F25,2)</f>
        <v>0.1</v>
      </c>
      <c r="E23" s="49" t="str">
        <f t="shared" si="1"/>
        <v>Sheet No. 141COL-E</v>
      </c>
    </row>
    <row r="24" spans="1:5" x14ac:dyDescent="0.2">
      <c r="A24" s="238">
        <f t="shared" si="0"/>
        <v>18</v>
      </c>
      <c r="B24" s="4" t="s">
        <v>154</v>
      </c>
      <c r="C24" s="241" t="s">
        <v>18</v>
      </c>
      <c r="D24" s="242">
        <f>ROUND('Lighting RD'!F26,2)</f>
        <v>0.12</v>
      </c>
      <c r="E24" s="49" t="str">
        <f t="shared" si="1"/>
        <v>Sheet No. 141COL-E</v>
      </c>
    </row>
    <row r="25" spans="1:5" x14ac:dyDescent="0.2">
      <c r="A25" s="238">
        <f t="shared" si="0"/>
        <v>19</v>
      </c>
      <c r="B25" s="4" t="s">
        <v>154</v>
      </c>
      <c r="C25" s="241" t="s">
        <v>19</v>
      </c>
      <c r="D25" s="242">
        <f>ROUND('Lighting RD'!F27,2)</f>
        <v>0.13</v>
      </c>
      <c r="E25" s="49" t="str">
        <f t="shared" si="1"/>
        <v>Sheet No. 141COL-E</v>
      </c>
    </row>
    <row r="26" spans="1:5" x14ac:dyDescent="0.2">
      <c r="A26" s="238">
        <f t="shared" si="0"/>
        <v>20</v>
      </c>
      <c r="B26" s="4" t="s">
        <v>154</v>
      </c>
      <c r="C26" s="241" t="s">
        <v>20</v>
      </c>
      <c r="D26" s="242">
        <f>ROUND('Lighting RD'!F28,2)</f>
        <v>0.15</v>
      </c>
      <c r="E26" s="49" t="str">
        <f t="shared" si="1"/>
        <v>Sheet No. 141COL-E</v>
      </c>
    </row>
    <row r="27" spans="1:5" x14ac:dyDescent="0.2">
      <c r="A27" s="238">
        <f t="shared" si="0"/>
        <v>21</v>
      </c>
      <c r="B27" s="4"/>
      <c r="C27" s="241"/>
      <c r="D27" s="242"/>
      <c r="E27" s="243"/>
    </row>
    <row r="28" spans="1:5" x14ac:dyDescent="0.2">
      <c r="A28" s="238">
        <f t="shared" si="0"/>
        <v>22</v>
      </c>
      <c r="B28" s="4" t="s">
        <v>155</v>
      </c>
      <c r="C28" s="241" t="s">
        <v>156</v>
      </c>
      <c r="D28" s="239">
        <f>ROUND('Lighting RD'!$F$29,6)</f>
        <v>1.3600000000000001E-3</v>
      </c>
      <c r="E28" s="49" t="str">
        <f>$E$17</f>
        <v>Sheet No. 141COL-E</v>
      </c>
    </row>
    <row r="29" spans="1:5" x14ac:dyDescent="0.2">
      <c r="A29" s="238">
        <f t="shared" si="0"/>
        <v>23</v>
      </c>
      <c r="B29" s="5"/>
      <c r="C29" s="50"/>
      <c r="D29" s="242"/>
      <c r="E29" s="245"/>
    </row>
    <row r="30" spans="1:5" ht="12" x14ac:dyDescent="0.35">
      <c r="A30" s="238">
        <f t="shared" si="0"/>
        <v>24</v>
      </c>
      <c r="B30" s="240" t="s">
        <v>109</v>
      </c>
      <c r="C30" s="50"/>
      <c r="D30" s="242"/>
      <c r="E30" s="245"/>
    </row>
    <row r="31" spans="1:5" x14ac:dyDescent="0.2">
      <c r="A31" s="238">
        <f t="shared" si="0"/>
        <v>25</v>
      </c>
      <c r="B31" s="4" t="s">
        <v>157</v>
      </c>
      <c r="C31" s="241">
        <v>50</v>
      </c>
      <c r="D31" s="242">
        <f>ROUND('Lighting RD'!F32,2)</f>
        <v>0.03</v>
      </c>
      <c r="E31" s="49" t="str">
        <f>E28</f>
        <v>Sheet No. 141COL-E</v>
      </c>
    </row>
    <row r="32" spans="1:5" x14ac:dyDescent="0.2">
      <c r="A32" s="238">
        <f t="shared" si="0"/>
        <v>26</v>
      </c>
      <c r="B32" s="4" t="s">
        <v>157</v>
      </c>
      <c r="C32" s="241">
        <v>70</v>
      </c>
      <c r="D32" s="242">
        <f>ROUND('Lighting RD'!F33,2)</f>
        <v>0.04</v>
      </c>
      <c r="E32" s="49" t="str">
        <f t="shared" ref="E32:E38" si="2">$E$31</f>
        <v>Sheet No. 141COL-E</v>
      </c>
    </row>
    <row r="33" spans="1:5" x14ac:dyDescent="0.2">
      <c r="A33" s="238">
        <f t="shared" si="0"/>
        <v>27</v>
      </c>
      <c r="B33" s="4" t="s">
        <v>157</v>
      </c>
      <c r="C33" s="241">
        <v>100</v>
      </c>
      <c r="D33" s="242">
        <f>ROUND('Lighting RD'!F34,2)</f>
        <v>0.05</v>
      </c>
      <c r="E33" s="49" t="str">
        <f t="shared" si="2"/>
        <v>Sheet No. 141COL-E</v>
      </c>
    </row>
    <row r="34" spans="1:5" x14ac:dyDescent="0.2">
      <c r="A34" s="238">
        <f t="shared" si="0"/>
        <v>28</v>
      </c>
      <c r="B34" s="4" t="s">
        <v>157</v>
      </c>
      <c r="C34" s="241">
        <v>150</v>
      </c>
      <c r="D34" s="242">
        <f>ROUND('Lighting RD'!F35,2)</f>
        <v>0.08</v>
      </c>
      <c r="E34" s="49" t="str">
        <f t="shared" si="2"/>
        <v>Sheet No. 141COL-E</v>
      </c>
    </row>
    <row r="35" spans="1:5" x14ac:dyDescent="0.2">
      <c r="A35" s="238">
        <f t="shared" si="0"/>
        <v>29</v>
      </c>
      <c r="B35" s="4" t="s">
        <v>157</v>
      </c>
      <c r="C35" s="241">
        <v>200</v>
      </c>
      <c r="D35" s="242">
        <f>ROUND('Lighting RD'!F36,2)</f>
        <v>0.1</v>
      </c>
      <c r="E35" s="49" t="str">
        <f t="shared" si="2"/>
        <v>Sheet No. 141COL-E</v>
      </c>
    </row>
    <row r="36" spans="1:5" x14ac:dyDescent="0.2">
      <c r="A36" s="238">
        <f t="shared" si="0"/>
        <v>30</v>
      </c>
      <c r="B36" s="4" t="s">
        <v>157</v>
      </c>
      <c r="C36" s="241">
        <v>250</v>
      </c>
      <c r="D36" s="242">
        <f>ROUND('Lighting RD'!F37,2)</f>
        <v>0.13</v>
      </c>
      <c r="E36" s="49" t="str">
        <f t="shared" si="2"/>
        <v>Sheet No. 141COL-E</v>
      </c>
    </row>
    <row r="37" spans="1:5" x14ac:dyDescent="0.2">
      <c r="A37" s="238">
        <f t="shared" si="0"/>
        <v>31</v>
      </c>
      <c r="B37" s="4" t="s">
        <v>157</v>
      </c>
      <c r="C37" s="241">
        <v>310</v>
      </c>
      <c r="D37" s="242">
        <f>ROUND('Lighting RD'!F38,2)</f>
        <v>0.16</v>
      </c>
      <c r="E37" s="49" t="str">
        <f t="shared" si="2"/>
        <v>Sheet No. 141COL-E</v>
      </c>
    </row>
    <row r="38" spans="1:5" x14ac:dyDescent="0.2">
      <c r="A38" s="238">
        <f t="shared" si="0"/>
        <v>32</v>
      </c>
      <c r="B38" s="4" t="s">
        <v>157</v>
      </c>
      <c r="C38" s="241">
        <v>400</v>
      </c>
      <c r="D38" s="242">
        <f>ROUND('Lighting RD'!F39,2)</f>
        <v>0.21</v>
      </c>
      <c r="E38" s="49" t="str">
        <f t="shared" si="2"/>
        <v>Sheet No. 141COL-E</v>
      </c>
    </row>
    <row r="39" spans="1:5" x14ac:dyDescent="0.2">
      <c r="A39" s="238">
        <f t="shared" si="0"/>
        <v>33</v>
      </c>
      <c r="B39" s="247"/>
      <c r="C39" s="241"/>
      <c r="D39" s="242"/>
      <c r="E39" s="245"/>
    </row>
    <row r="40" spans="1:5" x14ac:dyDescent="0.2">
      <c r="A40" s="238">
        <f t="shared" si="0"/>
        <v>34</v>
      </c>
      <c r="B40" s="4" t="s">
        <v>158</v>
      </c>
      <c r="C40" s="241">
        <v>70</v>
      </c>
      <c r="D40" s="242">
        <f>ROUND('Lighting RD'!F41,2)</f>
        <v>0.04</v>
      </c>
      <c r="E40" s="243" t="s">
        <v>187</v>
      </c>
    </row>
    <row r="41" spans="1:5" x14ac:dyDescent="0.2">
      <c r="A41" s="238">
        <f t="shared" si="0"/>
        <v>35</v>
      </c>
      <c r="B41" s="4" t="s">
        <v>158</v>
      </c>
      <c r="C41" s="241">
        <v>100</v>
      </c>
      <c r="D41" s="242">
        <f>ROUND('Lighting RD'!F42,2)</f>
        <v>0.05</v>
      </c>
      <c r="E41" s="49" t="str">
        <f t="shared" ref="E41:E46" si="3">$E$40</f>
        <v>Sheet No. 141COL-F</v>
      </c>
    </row>
    <row r="42" spans="1:5" x14ac:dyDescent="0.2">
      <c r="A42" s="238">
        <f t="shared" si="0"/>
        <v>36</v>
      </c>
      <c r="B42" s="4" t="s">
        <v>158</v>
      </c>
      <c r="C42" s="241">
        <v>150</v>
      </c>
      <c r="D42" s="242">
        <f>ROUND('Lighting RD'!F43,2)</f>
        <v>0.08</v>
      </c>
      <c r="E42" s="49" t="str">
        <f t="shared" si="3"/>
        <v>Sheet No. 141COL-F</v>
      </c>
    </row>
    <row r="43" spans="1:5" x14ac:dyDescent="0.2">
      <c r="A43" s="238">
        <f t="shared" si="0"/>
        <v>37</v>
      </c>
      <c r="B43" s="4" t="s">
        <v>158</v>
      </c>
      <c r="C43" s="241">
        <v>175</v>
      </c>
      <c r="D43" s="242">
        <f>ROUND('Lighting RD'!F44,2)</f>
        <v>0.09</v>
      </c>
      <c r="E43" s="49" t="str">
        <f t="shared" si="3"/>
        <v>Sheet No. 141COL-F</v>
      </c>
    </row>
    <row r="44" spans="1:5" x14ac:dyDescent="0.2">
      <c r="A44" s="238">
        <f t="shared" si="0"/>
        <v>38</v>
      </c>
      <c r="B44" s="4" t="s">
        <v>158</v>
      </c>
      <c r="C44" s="241">
        <v>250</v>
      </c>
      <c r="D44" s="242">
        <f>ROUND('Lighting RD'!F45,2)</f>
        <v>0.13</v>
      </c>
      <c r="E44" s="49" t="str">
        <f t="shared" si="3"/>
        <v>Sheet No. 141COL-F</v>
      </c>
    </row>
    <row r="45" spans="1:5" x14ac:dyDescent="0.2">
      <c r="A45" s="238">
        <f t="shared" si="0"/>
        <v>39</v>
      </c>
      <c r="B45" s="4" t="s">
        <v>158</v>
      </c>
      <c r="C45" s="241">
        <v>400</v>
      </c>
      <c r="D45" s="242">
        <f>ROUND('Lighting RD'!F46,2)</f>
        <v>0.21</v>
      </c>
      <c r="E45" s="49" t="str">
        <f t="shared" si="3"/>
        <v>Sheet No. 141COL-F</v>
      </c>
    </row>
    <row r="46" spans="1:5" x14ac:dyDescent="0.2">
      <c r="A46" s="238">
        <f t="shared" si="0"/>
        <v>40</v>
      </c>
      <c r="B46" s="4" t="s">
        <v>158</v>
      </c>
      <c r="C46" s="241">
        <v>1000</v>
      </c>
      <c r="D46" s="242">
        <f>ROUND('Lighting RD'!F47,2)</f>
        <v>0.52</v>
      </c>
      <c r="E46" s="49" t="str">
        <f t="shared" si="3"/>
        <v>Sheet No. 141COL-F</v>
      </c>
    </row>
    <row r="47" spans="1:5" x14ac:dyDescent="0.2">
      <c r="A47" s="238">
        <f t="shared" si="0"/>
        <v>41</v>
      </c>
      <c r="B47" s="5"/>
      <c r="C47" s="50"/>
      <c r="D47" s="242"/>
      <c r="E47" s="245"/>
    </row>
    <row r="48" spans="1:5" ht="12" x14ac:dyDescent="0.35">
      <c r="A48" s="238">
        <f t="shared" si="0"/>
        <v>42</v>
      </c>
      <c r="B48" s="240" t="s">
        <v>110</v>
      </c>
      <c r="C48" s="50"/>
      <c r="D48" s="242"/>
      <c r="E48" s="245"/>
    </row>
    <row r="49" spans="1:5" x14ac:dyDescent="0.2">
      <c r="A49" s="238">
        <f t="shared" si="0"/>
        <v>43</v>
      </c>
      <c r="B49" s="4" t="s">
        <v>159</v>
      </c>
      <c r="C49" s="241">
        <v>50</v>
      </c>
      <c r="D49" s="242">
        <f>ROUND('Lighting RD'!F50,2)</f>
        <v>0.03</v>
      </c>
      <c r="E49" s="49" t="str">
        <f t="shared" ref="E49:E57" si="4">$E$40</f>
        <v>Sheet No. 141COL-F</v>
      </c>
    </row>
    <row r="50" spans="1:5" x14ac:dyDescent="0.2">
      <c r="A50" s="238">
        <f t="shared" si="0"/>
        <v>44</v>
      </c>
      <c r="B50" s="4" t="s">
        <v>159</v>
      </c>
      <c r="C50" s="241">
        <v>70</v>
      </c>
      <c r="D50" s="242">
        <f>ROUND('Lighting RD'!F51,2)</f>
        <v>0.04</v>
      </c>
      <c r="E50" s="49" t="str">
        <f t="shared" si="4"/>
        <v>Sheet No. 141COL-F</v>
      </c>
    </row>
    <row r="51" spans="1:5" x14ac:dyDescent="0.2">
      <c r="A51" s="238">
        <f t="shared" si="0"/>
        <v>45</v>
      </c>
      <c r="B51" s="4" t="s">
        <v>159</v>
      </c>
      <c r="C51" s="241">
        <v>100</v>
      </c>
      <c r="D51" s="242">
        <f>ROUND('Lighting RD'!F52,2)</f>
        <v>0.05</v>
      </c>
      <c r="E51" s="49" t="str">
        <f t="shared" si="4"/>
        <v>Sheet No. 141COL-F</v>
      </c>
    </row>
    <row r="52" spans="1:5" x14ac:dyDescent="0.2">
      <c r="A52" s="238">
        <f t="shared" si="0"/>
        <v>46</v>
      </c>
      <c r="B52" s="4" t="s">
        <v>159</v>
      </c>
      <c r="C52" s="241">
        <v>150</v>
      </c>
      <c r="D52" s="242">
        <f>ROUND('Lighting RD'!F53,2)</f>
        <v>0.08</v>
      </c>
      <c r="E52" s="49" t="str">
        <f t="shared" si="4"/>
        <v>Sheet No. 141COL-F</v>
      </c>
    </row>
    <row r="53" spans="1:5" x14ac:dyDescent="0.2">
      <c r="A53" s="238">
        <f t="shared" si="0"/>
        <v>47</v>
      </c>
      <c r="B53" s="4" t="s">
        <v>159</v>
      </c>
      <c r="C53" s="241">
        <v>200</v>
      </c>
      <c r="D53" s="242">
        <f>ROUND('Lighting RD'!F54,2)</f>
        <v>0.1</v>
      </c>
      <c r="E53" s="49" t="str">
        <f t="shared" si="4"/>
        <v>Sheet No. 141COL-F</v>
      </c>
    </row>
    <row r="54" spans="1:5" x14ac:dyDescent="0.2">
      <c r="A54" s="238">
        <f t="shared" si="0"/>
        <v>48</v>
      </c>
      <c r="B54" s="4" t="s">
        <v>159</v>
      </c>
      <c r="C54" s="241">
        <v>250</v>
      </c>
      <c r="D54" s="242">
        <f>ROUND('Lighting RD'!F55,2)</f>
        <v>0.13</v>
      </c>
      <c r="E54" s="49" t="str">
        <f t="shared" si="4"/>
        <v>Sheet No. 141COL-F</v>
      </c>
    </row>
    <row r="55" spans="1:5" x14ac:dyDescent="0.2">
      <c r="A55" s="238">
        <f t="shared" si="0"/>
        <v>49</v>
      </c>
      <c r="B55" s="4" t="s">
        <v>159</v>
      </c>
      <c r="C55" s="241">
        <v>310</v>
      </c>
      <c r="D55" s="242">
        <f>ROUND('Lighting RD'!F56,2)</f>
        <v>0.16</v>
      </c>
      <c r="E55" s="49" t="str">
        <f t="shared" si="4"/>
        <v>Sheet No. 141COL-F</v>
      </c>
    </row>
    <row r="56" spans="1:5" x14ac:dyDescent="0.2">
      <c r="A56" s="238">
        <f t="shared" si="0"/>
        <v>50</v>
      </c>
      <c r="B56" s="4" t="s">
        <v>159</v>
      </c>
      <c r="C56" s="241">
        <v>400</v>
      </c>
      <c r="D56" s="242">
        <f>ROUND('Lighting RD'!F57,2)</f>
        <v>0.21</v>
      </c>
      <c r="E56" s="49" t="str">
        <f t="shared" si="4"/>
        <v>Sheet No. 141COL-F</v>
      </c>
    </row>
    <row r="57" spans="1:5" x14ac:dyDescent="0.2">
      <c r="A57" s="238">
        <f t="shared" si="0"/>
        <v>51</v>
      </c>
      <c r="B57" s="4" t="s">
        <v>159</v>
      </c>
      <c r="C57" s="241">
        <v>1000</v>
      </c>
      <c r="D57" s="242">
        <f>ROUND('Lighting RD'!F58,2)</f>
        <v>0.52</v>
      </c>
      <c r="E57" s="49" t="str">
        <f t="shared" si="4"/>
        <v>Sheet No. 141COL-F</v>
      </c>
    </row>
    <row r="58" spans="1:5" x14ac:dyDescent="0.2">
      <c r="A58" s="238">
        <f t="shared" si="0"/>
        <v>52</v>
      </c>
      <c r="B58" s="247"/>
      <c r="C58" s="241"/>
      <c r="D58" s="242"/>
      <c r="E58" s="245"/>
    </row>
    <row r="59" spans="1:5" x14ac:dyDescent="0.2">
      <c r="A59" s="238">
        <f t="shared" si="0"/>
        <v>53</v>
      </c>
      <c r="B59" s="4" t="s">
        <v>160</v>
      </c>
      <c r="C59" s="241">
        <v>70</v>
      </c>
      <c r="D59" s="242">
        <f>ROUND('Lighting RD'!F60,2)</f>
        <v>0.04</v>
      </c>
      <c r="E59" s="243" t="s">
        <v>188</v>
      </c>
    </row>
    <row r="60" spans="1:5" x14ac:dyDescent="0.2">
      <c r="A60" s="238">
        <f t="shared" si="0"/>
        <v>54</v>
      </c>
      <c r="B60" s="4" t="s">
        <v>160</v>
      </c>
      <c r="C60" s="241">
        <v>100</v>
      </c>
      <c r="D60" s="242">
        <f>ROUND('Lighting RD'!F61,2)</f>
        <v>0.05</v>
      </c>
      <c r="E60" s="49" t="str">
        <f>$E$59</f>
        <v>Sheet No. 141COL-G</v>
      </c>
    </row>
    <row r="61" spans="1:5" x14ac:dyDescent="0.2">
      <c r="A61" s="238">
        <f t="shared" si="0"/>
        <v>55</v>
      </c>
      <c r="B61" s="4" t="s">
        <v>160</v>
      </c>
      <c r="C61" s="241">
        <v>150</v>
      </c>
      <c r="D61" s="242">
        <f>ROUND('Lighting RD'!F62,2)</f>
        <v>0.08</v>
      </c>
      <c r="E61" s="49" t="str">
        <f>$E$59</f>
        <v>Sheet No. 141COL-G</v>
      </c>
    </row>
    <row r="62" spans="1:5" x14ac:dyDescent="0.2">
      <c r="A62" s="238">
        <f t="shared" si="0"/>
        <v>56</v>
      </c>
      <c r="B62" s="4" t="s">
        <v>160</v>
      </c>
      <c r="C62" s="241">
        <v>175</v>
      </c>
      <c r="D62" s="242">
        <f>ROUND('Lighting RD'!F63,2)</f>
        <v>0.09</v>
      </c>
      <c r="E62" s="49" t="str">
        <f>$E$59</f>
        <v>Sheet No. 141COL-G</v>
      </c>
    </row>
    <row r="63" spans="1:5" x14ac:dyDescent="0.2">
      <c r="A63" s="238">
        <f t="shared" si="0"/>
        <v>57</v>
      </c>
      <c r="B63" s="4" t="s">
        <v>160</v>
      </c>
      <c r="C63" s="241">
        <v>250</v>
      </c>
      <c r="D63" s="242">
        <f>ROUND('Lighting RD'!F64,2)</f>
        <v>0.13</v>
      </c>
      <c r="E63" s="49" t="str">
        <f>$E$59</f>
        <v>Sheet No. 141COL-G</v>
      </c>
    </row>
    <row r="64" spans="1:5" x14ac:dyDescent="0.2">
      <c r="A64" s="238">
        <f t="shared" si="0"/>
        <v>58</v>
      </c>
      <c r="B64" s="4" t="s">
        <v>160</v>
      </c>
      <c r="C64" s="241">
        <v>400</v>
      </c>
      <c r="D64" s="242">
        <f>ROUND('Lighting RD'!F65,2)</f>
        <v>0.21</v>
      </c>
      <c r="E64" s="49" t="str">
        <f>$E$59</f>
        <v>Sheet No. 141COL-G</v>
      </c>
    </row>
    <row r="65" spans="1:5" x14ac:dyDescent="0.2">
      <c r="A65" s="238">
        <f t="shared" si="0"/>
        <v>59</v>
      </c>
      <c r="B65" s="247"/>
      <c r="C65" s="241"/>
      <c r="D65" s="242"/>
      <c r="E65" s="245"/>
    </row>
    <row r="66" spans="1:5" x14ac:dyDescent="0.2">
      <c r="A66" s="238">
        <f t="shared" si="0"/>
        <v>60</v>
      </c>
      <c r="B66" s="4" t="s">
        <v>161</v>
      </c>
      <c r="C66" s="50" t="s">
        <v>48</v>
      </c>
      <c r="D66" s="242">
        <f>ROUND('Lighting RD'!F67,2)</f>
        <v>0.01</v>
      </c>
      <c r="E66" s="49" t="str">
        <f t="shared" ref="E66:E75" si="5">$E$17</f>
        <v>Sheet No. 141COL-E</v>
      </c>
    </row>
    <row r="67" spans="1:5" x14ac:dyDescent="0.2">
      <c r="A67" s="238">
        <f t="shared" si="0"/>
        <v>61</v>
      </c>
      <c r="B67" s="4" t="s">
        <v>161</v>
      </c>
      <c r="C67" s="246" t="s">
        <v>49</v>
      </c>
      <c r="D67" s="242">
        <f>ROUND('Lighting RD'!F68,2)</f>
        <v>0.02</v>
      </c>
      <c r="E67" s="49" t="str">
        <f t="shared" si="5"/>
        <v>Sheet No. 141COL-E</v>
      </c>
    </row>
    <row r="68" spans="1:5" x14ac:dyDescent="0.2">
      <c r="A68" s="238">
        <f t="shared" si="0"/>
        <v>62</v>
      </c>
      <c r="B68" s="4" t="s">
        <v>161</v>
      </c>
      <c r="C68" s="241" t="s">
        <v>13</v>
      </c>
      <c r="D68" s="242">
        <f>ROUND('Lighting RD'!F69,2)</f>
        <v>0.04</v>
      </c>
      <c r="E68" s="49" t="str">
        <f t="shared" si="5"/>
        <v>Sheet No. 141COL-E</v>
      </c>
    </row>
    <row r="69" spans="1:5" x14ac:dyDescent="0.2">
      <c r="A69" s="238">
        <f t="shared" si="0"/>
        <v>63</v>
      </c>
      <c r="B69" s="4" t="s">
        <v>161</v>
      </c>
      <c r="C69" s="241" t="s">
        <v>14</v>
      </c>
      <c r="D69" s="242">
        <f>ROUND('Lighting RD'!F70,2)</f>
        <v>0.05</v>
      </c>
      <c r="E69" s="49" t="str">
        <f t="shared" si="5"/>
        <v>Sheet No. 141COL-E</v>
      </c>
    </row>
    <row r="70" spans="1:5" x14ac:dyDescent="0.2">
      <c r="A70" s="238">
        <f t="shared" si="0"/>
        <v>64</v>
      </c>
      <c r="B70" s="4" t="s">
        <v>161</v>
      </c>
      <c r="C70" s="241" t="s">
        <v>15</v>
      </c>
      <c r="D70" s="242">
        <f>ROUND('Lighting RD'!F71,2)</f>
        <v>7.0000000000000007E-2</v>
      </c>
      <c r="E70" s="49" t="str">
        <f t="shared" si="5"/>
        <v>Sheet No. 141COL-E</v>
      </c>
    </row>
    <row r="71" spans="1:5" x14ac:dyDescent="0.2">
      <c r="A71" s="238">
        <f t="shared" si="0"/>
        <v>65</v>
      </c>
      <c r="B71" s="4" t="s">
        <v>161</v>
      </c>
      <c r="C71" s="241" t="s">
        <v>16</v>
      </c>
      <c r="D71" s="242">
        <f>ROUND('Lighting RD'!F72,2)</f>
        <v>0.09</v>
      </c>
      <c r="E71" s="49" t="str">
        <f t="shared" si="5"/>
        <v>Sheet No. 141COL-E</v>
      </c>
    </row>
    <row r="72" spans="1:5" x14ac:dyDescent="0.2">
      <c r="A72" s="238">
        <f t="shared" ref="A72:A135" si="6">A71+1</f>
        <v>66</v>
      </c>
      <c r="B72" s="4" t="s">
        <v>161</v>
      </c>
      <c r="C72" s="241" t="s">
        <v>17</v>
      </c>
      <c r="D72" s="242">
        <f>ROUND('Lighting RD'!F73,2)</f>
        <v>0.1</v>
      </c>
      <c r="E72" s="49" t="str">
        <f t="shared" si="5"/>
        <v>Sheet No. 141COL-E</v>
      </c>
    </row>
    <row r="73" spans="1:5" x14ac:dyDescent="0.2">
      <c r="A73" s="238">
        <f t="shared" si="6"/>
        <v>67</v>
      </c>
      <c r="B73" s="4" t="s">
        <v>161</v>
      </c>
      <c r="C73" s="241" t="s">
        <v>18</v>
      </c>
      <c r="D73" s="242">
        <f>ROUND('Lighting RD'!F74,2)</f>
        <v>0.12</v>
      </c>
      <c r="E73" s="49" t="str">
        <f t="shared" si="5"/>
        <v>Sheet No. 141COL-E</v>
      </c>
    </row>
    <row r="74" spans="1:5" x14ac:dyDescent="0.2">
      <c r="A74" s="238">
        <f t="shared" si="6"/>
        <v>68</v>
      </c>
      <c r="B74" s="4" t="s">
        <v>161</v>
      </c>
      <c r="C74" s="241" t="s">
        <v>19</v>
      </c>
      <c r="D74" s="242">
        <f>ROUND('Lighting RD'!F75,2)</f>
        <v>0.13</v>
      </c>
      <c r="E74" s="49" t="str">
        <f t="shared" si="5"/>
        <v>Sheet No. 141COL-E</v>
      </c>
    </row>
    <row r="75" spans="1:5" x14ac:dyDescent="0.2">
      <c r="A75" s="238">
        <f t="shared" si="6"/>
        <v>69</v>
      </c>
      <c r="B75" s="4" t="s">
        <v>161</v>
      </c>
      <c r="C75" s="241" t="s">
        <v>20</v>
      </c>
      <c r="D75" s="242">
        <f>ROUND('Lighting RD'!F76,2)</f>
        <v>0.15</v>
      </c>
      <c r="E75" s="49" t="str">
        <f t="shared" si="5"/>
        <v>Sheet No. 141COL-E</v>
      </c>
    </row>
    <row r="76" spans="1:5" x14ac:dyDescent="0.2">
      <c r="A76" s="238">
        <f t="shared" si="6"/>
        <v>70</v>
      </c>
      <c r="B76" s="4"/>
      <c r="C76" s="241"/>
      <c r="D76" s="242"/>
      <c r="E76" s="243"/>
    </row>
    <row r="77" spans="1:5" x14ac:dyDescent="0.2">
      <c r="A77" s="238">
        <f t="shared" si="6"/>
        <v>71</v>
      </c>
      <c r="B77" s="4" t="s">
        <v>162</v>
      </c>
      <c r="C77" s="241" t="s">
        <v>156</v>
      </c>
      <c r="D77" s="239">
        <f>ROUND('Lighting RD'!$F$77,6)</f>
        <v>1.3600000000000001E-3</v>
      </c>
      <c r="E77" s="49" t="str">
        <f>$E$17</f>
        <v>Sheet No. 141COL-E</v>
      </c>
    </row>
    <row r="78" spans="1:5" x14ac:dyDescent="0.2">
      <c r="A78" s="238">
        <f t="shared" si="6"/>
        <v>72</v>
      </c>
      <c r="C78" s="241"/>
      <c r="D78" s="242"/>
      <c r="E78" s="245"/>
    </row>
    <row r="79" spans="1:5" ht="12" x14ac:dyDescent="0.35">
      <c r="A79" s="238">
        <f t="shared" si="6"/>
        <v>73</v>
      </c>
      <c r="B79" s="240" t="s">
        <v>112</v>
      </c>
      <c r="C79" s="50"/>
      <c r="D79" s="242"/>
      <c r="E79" s="245"/>
    </row>
    <row r="80" spans="1:5" x14ac:dyDescent="0.2">
      <c r="A80" s="238">
        <f t="shared" si="6"/>
        <v>74</v>
      </c>
      <c r="B80" s="4" t="s">
        <v>163</v>
      </c>
      <c r="C80" s="241">
        <v>50</v>
      </c>
      <c r="D80" s="242">
        <f>ROUND('Lighting RD'!F80,2)</f>
        <v>0.03</v>
      </c>
      <c r="E80" s="49" t="str">
        <f t="shared" ref="E80:E88" si="7">$E$59</f>
        <v>Sheet No. 141COL-G</v>
      </c>
    </row>
    <row r="81" spans="1:5" x14ac:dyDescent="0.2">
      <c r="A81" s="238">
        <f t="shared" si="6"/>
        <v>75</v>
      </c>
      <c r="B81" s="4" t="s">
        <v>163</v>
      </c>
      <c r="C81" s="241">
        <v>70</v>
      </c>
      <c r="D81" s="242">
        <f>ROUND('Lighting RD'!F81,2)</f>
        <v>0.04</v>
      </c>
      <c r="E81" s="49" t="str">
        <f t="shared" si="7"/>
        <v>Sheet No. 141COL-G</v>
      </c>
    </row>
    <row r="82" spans="1:5" x14ac:dyDescent="0.2">
      <c r="A82" s="238">
        <f t="shared" si="6"/>
        <v>76</v>
      </c>
      <c r="B82" s="4" t="s">
        <v>163</v>
      </c>
      <c r="C82" s="241">
        <v>100</v>
      </c>
      <c r="D82" s="242">
        <f>ROUND('Lighting RD'!F82,2)</f>
        <v>0.05</v>
      </c>
      <c r="E82" s="49" t="str">
        <f t="shared" si="7"/>
        <v>Sheet No. 141COL-G</v>
      </c>
    </row>
    <row r="83" spans="1:5" x14ac:dyDescent="0.2">
      <c r="A83" s="238">
        <f t="shared" si="6"/>
        <v>77</v>
      </c>
      <c r="B83" s="4" t="s">
        <v>163</v>
      </c>
      <c r="C83" s="241">
        <v>150</v>
      </c>
      <c r="D83" s="242">
        <f>ROUND('Lighting RD'!F83,2)</f>
        <v>0.08</v>
      </c>
      <c r="E83" s="49" t="str">
        <f t="shared" si="7"/>
        <v>Sheet No. 141COL-G</v>
      </c>
    </row>
    <row r="84" spans="1:5" x14ac:dyDescent="0.2">
      <c r="A84" s="238">
        <f t="shared" si="6"/>
        <v>78</v>
      </c>
      <c r="B84" s="4" t="s">
        <v>163</v>
      </c>
      <c r="C84" s="241">
        <v>200</v>
      </c>
      <c r="D84" s="242">
        <f>ROUND('Lighting RD'!F84,2)</f>
        <v>0.1</v>
      </c>
      <c r="E84" s="49" t="str">
        <f t="shared" si="7"/>
        <v>Sheet No. 141COL-G</v>
      </c>
    </row>
    <row r="85" spans="1:5" x14ac:dyDescent="0.2">
      <c r="A85" s="238">
        <f t="shared" si="6"/>
        <v>79</v>
      </c>
      <c r="B85" s="4" t="s">
        <v>163</v>
      </c>
      <c r="C85" s="241">
        <v>250</v>
      </c>
      <c r="D85" s="242">
        <f>ROUND('Lighting RD'!F85,2)</f>
        <v>0.13</v>
      </c>
      <c r="E85" s="49" t="str">
        <f t="shared" si="7"/>
        <v>Sheet No. 141COL-G</v>
      </c>
    </row>
    <row r="86" spans="1:5" x14ac:dyDescent="0.2">
      <c r="A86" s="238">
        <f t="shared" si="6"/>
        <v>80</v>
      </c>
      <c r="B86" s="4" t="s">
        <v>163</v>
      </c>
      <c r="C86" s="241">
        <v>310</v>
      </c>
      <c r="D86" s="242">
        <f>ROUND('Lighting RD'!F86,2)</f>
        <v>0.16</v>
      </c>
      <c r="E86" s="49" t="str">
        <f t="shared" si="7"/>
        <v>Sheet No. 141COL-G</v>
      </c>
    </row>
    <row r="87" spans="1:5" x14ac:dyDescent="0.2">
      <c r="A87" s="238">
        <f t="shared" si="6"/>
        <v>81</v>
      </c>
      <c r="B87" s="4" t="s">
        <v>163</v>
      </c>
      <c r="C87" s="241">
        <v>400</v>
      </c>
      <c r="D87" s="242">
        <f>ROUND('Lighting RD'!F87,2)</f>
        <v>0.21</v>
      </c>
      <c r="E87" s="49" t="str">
        <f t="shared" si="7"/>
        <v>Sheet No. 141COL-G</v>
      </c>
    </row>
    <row r="88" spans="1:5" x14ac:dyDescent="0.2">
      <c r="A88" s="238">
        <f t="shared" si="6"/>
        <v>82</v>
      </c>
      <c r="B88" s="4" t="s">
        <v>163</v>
      </c>
      <c r="C88" s="241">
        <v>1000</v>
      </c>
      <c r="D88" s="242">
        <f>ROUND('Lighting RD'!F88,2)</f>
        <v>0.52</v>
      </c>
      <c r="E88" s="49" t="str">
        <f t="shared" si="7"/>
        <v>Sheet No. 141COL-G</v>
      </c>
    </row>
    <row r="89" spans="1:5" x14ac:dyDescent="0.2">
      <c r="A89" s="238">
        <f t="shared" si="6"/>
        <v>83</v>
      </c>
      <c r="B89" s="247"/>
      <c r="C89" s="241"/>
      <c r="D89" s="242"/>
      <c r="E89" s="245"/>
    </row>
    <row r="90" spans="1:5" x14ac:dyDescent="0.2">
      <c r="A90" s="238">
        <f t="shared" si="6"/>
        <v>84</v>
      </c>
      <c r="B90" s="4" t="s">
        <v>164</v>
      </c>
      <c r="C90" s="246" t="s">
        <v>44</v>
      </c>
      <c r="D90" s="242">
        <f>ROUND('Lighting RD'!F90,2)</f>
        <v>0.01</v>
      </c>
      <c r="E90" s="49" t="str">
        <f t="shared" ref="E90:E99" si="8">$E$17</f>
        <v>Sheet No. 141COL-E</v>
      </c>
    </row>
    <row r="91" spans="1:5" x14ac:dyDescent="0.2">
      <c r="A91" s="238">
        <f t="shared" si="6"/>
        <v>85</v>
      </c>
      <c r="B91" s="4" t="s">
        <v>164</v>
      </c>
      <c r="C91" s="246" t="s">
        <v>12</v>
      </c>
      <c r="D91" s="242">
        <f>ROUND('Lighting RD'!F91,2)</f>
        <v>0.02</v>
      </c>
      <c r="E91" s="49" t="str">
        <f t="shared" si="8"/>
        <v>Sheet No. 141COL-E</v>
      </c>
    </row>
    <row r="92" spans="1:5" x14ac:dyDescent="0.2">
      <c r="A92" s="238">
        <f t="shared" si="6"/>
        <v>86</v>
      </c>
      <c r="B92" s="4" t="s">
        <v>164</v>
      </c>
      <c r="C92" s="241" t="s">
        <v>13</v>
      </c>
      <c r="D92" s="242">
        <f>ROUND('Lighting RD'!F92,2)</f>
        <v>0.04</v>
      </c>
      <c r="E92" s="49" t="str">
        <f t="shared" si="8"/>
        <v>Sheet No. 141COL-E</v>
      </c>
    </row>
    <row r="93" spans="1:5" x14ac:dyDescent="0.2">
      <c r="A93" s="238">
        <f t="shared" si="6"/>
        <v>87</v>
      </c>
      <c r="B93" s="4" t="s">
        <v>164</v>
      </c>
      <c r="C93" s="241" t="s">
        <v>14</v>
      </c>
      <c r="D93" s="242">
        <f>ROUND('Lighting RD'!F93,2)</f>
        <v>0.05</v>
      </c>
      <c r="E93" s="49" t="str">
        <f t="shared" si="8"/>
        <v>Sheet No. 141COL-E</v>
      </c>
    </row>
    <row r="94" spans="1:5" x14ac:dyDescent="0.2">
      <c r="A94" s="238">
        <f t="shared" si="6"/>
        <v>88</v>
      </c>
      <c r="B94" s="4" t="s">
        <v>164</v>
      </c>
      <c r="C94" s="241" t="s">
        <v>15</v>
      </c>
      <c r="D94" s="242">
        <f>ROUND('Lighting RD'!F94,2)</f>
        <v>7.0000000000000007E-2</v>
      </c>
      <c r="E94" s="49" t="str">
        <f t="shared" si="8"/>
        <v>Sheet No. 141COL-E</v>
      </c>
    </row>
    <row r="95" spans="1:5" x14ac:dyDescent="0.2">
      <c r="A95" s="238">
        <f t="shared" si="6"/>
        <v>89</v>
      </c>
      <c r="B95" s="4" t="s">
        <v>164</v>
      </c>
      <c r="C95" s="241" t="s">
        <v>16</v>
      </c>
      <c r="D95" s="242">
        <f>ROUND('Lighting RD'!F95,2)</f>
        <v>0.09</v>
      </c>
      <c r="E95" s="49" t="str">
        <f t="shared" si="8"/>
        <v>Sheet No. 141COL-E</v>
      </c>
    </row>
    <row r="96" spans="1:5" x14ac:dyDescent="0.2">
      <c r="A96" s="238">
        <f t="shared" si="6"/>
        <v>90</v>
      </c>
      <c r="B96" s="4" t="s">
        <v>164</v>
      </c>
      <c r="C96" s="241" t="s">
        <v>17</v>
      </c>
      <c r="D96" s="242">
        <f>ROUND('Lighting RD'!F96,2)</f>
        <v>0.1</v>
      </c>
      <c r="E96" s="49" t="str">
        <f t="shared" si="8"/>
        <v>Sheet No. 141COL-E</v>
      </c>
    </row>
    <row r="97" spans="1:5" x14ac:dyDescent="0.2">
      <c r="A97" s="238">
        <f t="shared" si="6"/>
        <v>91</v>
      </c>
      <c r="B97" s="4" t="s">
        <v>164</v>
      </c>
      <c r="C97" s="241" t="s">
        <v>18</v>
      </c>
      <c r="D97" s="242">
        <f>ROUND('Lighting RD'!F97,2)</f>
        <v>0.12</v>
      </c>
      <c r="E97" s="49" t="str">
        <f t="shared" si="8"/>
        <v>Sheet No. 141COL-E</v>
      </c>
    </row>
    <row r="98" spans="1:5" x14ac:dyDescent="0.2">
      <c r="A98" s="238">
        <f t="shared" si="6"/>
        <v>92</v>
      </c>
      <c r="B98" s="4" t="s">
        <v>164</v>
      </c>
      <c r="C98" s="241" t="s">
        <v>19</v>
      </c>
      <c r="D98" s="242">
        <f>ROUND('Lighting RD'!F98,2)</f>
        <v>0.13</v>
      </c>
      <c r="E98" s="49" t="str">
        <f t="shared" si="8"/>
        <v>Sheet No. 141COL-E</v>
      </c>
    </row>
    <row r="99" spans="1:5" x14ac:dyDescent="0.2">
      <c r="A99" s="238">
        <f t="shared" si="6"/>
        <v>93</v>
      </c>
      <c r="B99" s="4" t="s">
        <v>164</v>
      </c>
      <c r="C99" s="241" t="s">
        <v>20</v>
      </c>
      <c r="D99" s="242">
        <f>ROUND('Lighting RD'!F99,2)</f>
        <v>0.15</v>
      </c>
      <c r="E99" s="49" t="str">
        <f t="shared" si="8"/>
        <v>Sheet No. 141COL-E</v>
      </c>
    </row>
    <row r="100" spans="1:5" x14ac:dyDescent="0.2">
      <c r="A100" s="238">
        <f t="shared" si="6"/>
        <v>94</v>
      </c>
      <c r="B100" s="247"/>
      <c r="C100" s="241"/>
      <c r="D100" s="242"/>
      <c r="E100" s="245"/>
    </row>
    <row r="101" spans="1:5" ht="12" x14ac:dyDescent="0.35">
      <c r="A101" s="238">
        <f t="shared" si="6"/>
        <v>95</v>
      </c>
      <c r="B101" s="240" t="s">
        <v>165</v>
      </c>
      <c r="C101" s="241"/>
      <c r="D101" s="242"/>
      <c r="E101" s="245"/>
    </row>
    <row r="102" spans="1:5" x14ac:dyDescent="0.2">
      <c r="A102" s="238">
        <f t="shared" si="6"/>
        <v>96</v>
      </c>
      <c r="B102" s="4" t="s">
        <v>166</v>
      </c>
      <c r="C102" s="241">
        <v>70</v>
      </c>
      <c r="D102" s="242">
        <f>ROUND('Lighting RD'!F102,2)</f>
        <v>0.04</v>
      </c>
      <c r="E102" s="243" t="s">
        <v>189</v>
      </c>
    </row>
    <row r="103" spans="1:5" x14ac:dyDescent="0.2">
      <c r="A103" s="238">
        <f t="shared" si="6"/>
        <v>97</v>
      </c>
      <c r="B103" s="4" t="s">
        <v>166</v>
      </c>
      <c r="C103" s="241">
        <v>100</v>
      </c>
      <c r="D103" s="242">
        <f>ROUND('Lighting RD'!F103,2)</f>
        <v>0.05</v>
      </c>
      <c r="E103" s="49" t="str">
        <f>$E$102</f>
        <v>Sheet No. 141COL-H</v>
      </c>
    </row>
    <row r="104" spans="1:5" x14ac:dyDescent="0.2">
      <c r="A104" s="238">
        <f t="shared" si="6"/>
        <v>98</v>
      </c>
      <c r="B104" s="4" t="s">
        <v>166</v>
      </c>
      <c r="C104" s="241">
        <v>150</v>
      </c>
      <c r="D104" s="242">
        <f>ROUND('Lighting RD'!F104,2)</f>
        <v>0.08</v>
      </c>
      <c r="E104" s="49" t="str">
        <f>$E$102</f>
        <v>Sheet No. 141COL-H</v>
      </c>
    </row>
    <row r="105" spans="1:5" x14ac:dyDescent="0.2">
      <c r="A105" s="238">
        <f t="shared" si="6"/>
        <v>99</v>
      </c>
      <c r="B105" s="4" t="s">
        <v>166</v>
      </c>
      <c r="C105" s="241">
        <v>200</v>
      </c>
      <c r="D105" s="242">
        <f>ROUND('Lighting RD'!F105,2)</f>
        <v>0.1</v>
      </c>
      <c r="E105" s="49" t="str">
        <f>$E$102</f>
        <v>Sheet No. 141COL-H</v>
      </c>
    </row>
    <row r="106" spans="1:5" x14ac:dyDescent="0.2">
      <c r="A106" s="238">
        <f t="shared" si="6"/>
        <v>100</v>
      </c>
      <c r="B106" s="4" t="s">
        <v>166</v>
      </c>
      <c r="C106" s="241">
        <v>250</v>
      </c>
      <c r="D106" s="242">
        <f>ROUND('Lighting RD'!F106,2)</f>
        <v>0.13</v>
      </c>
      <c r="E106" s="49" t="str">
        <f>$E$102</f>
        <v>Sheet No. 141COL-H</v>
      </c>
    </row>
    <row r="107" spans="1:5" x14ac:dyDescent="0.2">
      <c r="A107" s="238">
        <f t="shared" si="6"/>
        <v>101</v>
      </c>
      <c r="B107" s="4" t="s">
        <v>166</v>
      </c>
      <c r="C107" s="241">
        <v>400</v>
      </c>
      <c r="D107" s="242">
        <f>ROUND('Lighting RD'!F107,2)</f>
        <v>0.21</v>
      </c>
      <c r="E107" s="49" t="str">
        <f>$E$102</f>
        <v>Sheet No. 141COL-H</v>
      </c>
    </row>
    <row r="108" spans="1:5" x14ac:dyDescent="0.2">
      <c r="A108" s="238">
        <f t="shared" si="6"/>
        <v>102</v>
      </c>
      <c r="B108" s="247"/>
      <c r="C108" s="241"/>
      <c r="D108" s="242"/>
      <c r="E108" s="245"/>
    </row>
    <row r="109" spans="1:5" x14ac:dyDescent="0.2">
      <c r="A109" s="238">
        <f t="shared" si="6"/>
        <v>103</v>
      </c>
      <c r="B109" s="4" t="s">
        <v>167</v>
      </c>
      <c r="C109" s="241">
        <v>250</v>
      </c>
      <c r="D109" s="242">
        <f>ROUND('Lighting RD'!F109,2)</f>
        <v>0.13</v>
      </c>
      <c r="E109" s="49" t="str">
        <f>$E$102</f>
        <v>Sheet No. 141COL-H</v>
      </c>
    </row>
    <row r="110" spans="1:5" x14ac:dyDescent="0.2">
      <c r="A110" s="238">
        <f t="shared" si="6"/>
        <v>104</v>
      </c>
      <c r="B110" s="247"/>
      <c r="C110" s="241"/>
      <c r="D110" s="242"/>
      <c r="E110" s="245"/>
    </row>
    <row r="111" spans="1:5" x14ac:dyDescent="0.2">
      <c r="A111" s="238">
        <f t="shared" si="6"/>
        <v>105</v>
      </c>
      <c r="B111" s="4" t="s">
        <v>168</v>
      </c>
      <c r="C111" s="50" t="s">
        <v>48</v>
      </c>
      <c r="D111" s="242">
        <f>ROUND('Lighting RD'!F111,2)</f>
        <v>0.01</v>
      </c>
      <c r="E111" s="49" t="str">
        <f t="shared" ref="E111:E120" si="9">$E$102</f>
        <v>Sheet No. 141COL-H</v>
      </c>
    </row>
    <row r="112" spans="1:5" x14ac:dyDescent="0.2">
      <c r="A112" s="238">
        <f t="shared" si="6"/>
        <v>106</v>
      </c>
      <c r="B112" s="4" t="s">
        <v>168</v>
      </c>
      <c r="C112" s="246" t="s">
        <v>12</v>
      </c>
      <c r="D112" s="242">
        <f>ROUND('Lighting RD'!F112,2)</f>
        <v>0.02</v>
      </c>
      <c r="E112" s="49" t="str">
        <f t="shared" si="9"/>
        <v>Sheet No. 141COL-H</v>
      </c>
    </row>
    <row r="113" spans="1:5" x14ac:dyDescent="0.2">
      <c r="A113" s="238">
        <f t="shared" si="6"/>
        <v>107</v>
      </c>
      <c r="B113" s="4" t="s">
        <v>168</v>
      </c>
      <c r="C113" s="241" t="s">
        <v>13</v>
      </c>
      <c r="D113" s="242">
        <f>ROUND('Lighting RD'!F113,2)</f>
        <v>0.04</v>
      </c>
      <c r="E113" s="49" t="str">
        <f t="shared" si="9"/>
        <v>Sheet No. 141COL-H</v>
      </c>
    </row>
    <row r="114" spans="1:5" x14ac:dyDescent="0.2">
      <c r="A114" s="238">
        <f t="shared" si="6"/>
        <v>108</v>
      </c>
      <c r="B114" s="4" t="s">
        <v>168</v>
      </c>
      <c r="C114" s="241" t="s">
        <v>14</v>
      </c>
      <c r="D114" s="242">
        <f>ROUND('Lighting RD'!F114,2)</f>
        <v>0.05</v>
      </c>
      <c r="E114" s="49" t="str">
        <f t="shared" si="9"/>
        <v>Sheet No. 141COL-H</v>
      </c>
    </row>
    <row r="115" spans="1:5" x14ac:dyDescent="0.2">
      <c r="A115" s="238">
        <f t="shared" si="6"/>
        <v>109</v>
      </c>
      <c r="B115" s="4" t="s">
        <v>168</v>
      </c>
      <c r="C115" s="241" t="s">
        <v>15</v>
      </c>
      <c r="D115" s="242">
        <f>ROUND('Lighting RD'!F115,2)</f>
        <v>7.0000000000000007E-2</v>
      </c>
      <c r="E115" s="49" t="str">
        <f t="shared" si="9"/>
        <v>Sheet No. 141COL-H</v>
      </c>
    </row>
    <row r="116" spans="1:5" x14ac:dyDescent="0.2">
      <c r="A116" s="238">
        <f t="shared" si="6"/>
        <v>110</v>
      </c>
      <c r="B116" s="4" t="s">
        <v>168</v>
      </c>
      <c r="C116" s="241" t="s">
        <v>16</v>
      </c>
      <c r="D116" s="242">
        <f>ROUND('Lighting RD'!F116,2)</f>
        <v>0.09</v>
      </c>
      <c r="E116" s="49" t="str">
        <f t="shared" si="9"/>
        <v>Sheet No. 141COL-H</v>
      </c>
    </row>
    <row r="117" spans="1:5" x14ac:dyDescent="0.2">
      <c r="A117" s="238">
        <f t="shared" si="6"/>
        <v>111</v>
      </c>
      <c r="B117" s="4" t="s">
        <v>168</v>
      </c>
      <c r="C117" s="241" t="s">
        <v>17</v>
      </c>
      <c r="D117" s="242">
        <f>ROUND('Lighting RD'!F117,2)</f>
        <v>0.1</v>
      </c>
      <c r="E117" s="49" t="str">
        <f t="shared" si="9"/>
        <v>Sheet No. 141COL-H</v>
      </c>
    </row>
    <row r="118" spans="1:5" x14ac:dyDescent="0.2">
      <c r="A118" s="238">
        <f t="shared" si="6"/>
        <v>112</v>
      </c>
      <c r="B118" s="4" t="s">
        <v>168</v>
      </c>
      <c r="C118" s="241" t="s">
        <v>18</v>
      </c>
      <c r="D118" s="242">
        <f>ROUND('Lighting RD'!F118,2)</f>
        <v>0.12</v>
      </c>
      <c r="E118" s="49" t="str">
        <f t="shared" si="9"/>
        <v>Sheet No. 141COL-H</v>
      </c>
    </row>
    <row r="119" spans="1:5" x14ac:dyDescent="0.2">
      <c r="A119" s="238">
        <f t="shared" si="6"/>
        <v>113</v>
      </c>
      <c r="B119" s="4" t="s">
        <v>168</v>
      </c>
      <c r="C119" s="241" t="s">
        <v>19</v>
      </c>
      <c r="D119" s="242">
        <f>ROUND('Lighting RD'!F119,2)</f>
        <v>0.13</v>
      </c>
      <c r="E119" s="49" t="str">
        <f t="shared" si="9"/>
        <v>Sheet No. 141COL-H</v>
      </c>
    </row>
    <row r="120" spans="1:5" x14ac:dyDescent="0.2">
      <c r="A120" s="238">
        <f t="shared" si="6"/>
        <v>114</v>
      </c>
      <c r="B120" s="4" t="s">
        <v>168</v>
      </c>
      <c r="C120" s="241" t="s">
        <v>20</v>
      </c>
      <c r="D120" s="242">
        <f>ROUND('Lighting RD'!F120,2)</f>
        <v>0.15</v>
      </c>
      <c r="E120" s="49" t="str">
        <f t="shared" si="9"/>
        <v>Sheet No. 141COL-H</v>
      </c>
    </row>
    <row r="121" spans="1:5" x14ac:dyDescent="0.2">
      <c r="A121" s="238">
        <f t="shared" si="6"/>
        <v>115</v>
      </c>
      <c r="B121" s="247"/>
      <c r="C121" s="241"/>
      <c r="D121" s="242"/>
      <c r="E121" s="245"/>
    </row>
    <row r="122" spans="1:5" ht="12" x14ac:dyDescent="0.35">
      <c r="A122" s="238">
        <f t="shared" si="6"/>
        <v>116</v>
      </c>
      <c r="B122" s="240" t="s">
        <v>36</v>
      </c>
      <c r="C122" s="241"/>
      <c r="D122" s="242"/>
      <c r="E122" s="245"/>
    </row>
    <row r="123" spans="1:5" x14ac:dyDescent="0.2">
      <c r="A123" s="238">
        <f t="shared" si="6"/>
        <v>117</v>
      </c>
      <c r="B123" s="4" t="s">
        <v>37</v>
      </c>
      <c r="C123" s="241" t="s">
        <v>169</v>
      </c>
      <c r="D123" s="248">
        <f>ROUND('Lighting RD'!$F$123,5)</f>
        <v>9.7000000000000005E-4</v>
      </c>
      <c r="E123" s="243" t="s">
        <v>190</v>
      </c>
    </row>
    <row r="124" spans="1:5" x14ac:dyDescent="0.2">
      <c r="A124" s="238">
        <f t="shared" si="6"/>
        <v>118</v>
      </c>
      <c r="B124" s="247"/>
      <c r="C124" s="241"/>
      <c r="D124" s="242"/>
      <c r="E124" s="245"/>
    </row>
    <row r="125" spans="1:5" ht="12" x14ac:dyDescent="0.35">
      <c r="A125" s="238">
        <f t="shared" si="6"/>
        <v>119</v>
      </c>
      <c r="B125" s="240" t="s">
        <v>26</v>
      </c>
      <c r="C125" s="241"/>
      <c r="D125" s="242"/>
      <c r="E125" s="245"/>
    </row>
    <row r="126" spans="1:5" x14ac:dyDescent="0.2">
      <c r="A126" s="238">
        <f t="shared" si="6"/>
        <v>120</v>
      </c>
      <c r="B126" s="4" t="s">
        <v>170</v>
      </c>
      <c r="C126" s="241">
        <v>70</v>
      </c>
      <c r="D126" s="242">
        <f>ROUND('Lighting RD'!F126,2)</f>
        <v>0.04</v>
      </c>
      <c r="E126" s="49" t="str">
        <f>E123</f>
        <v>Sheet No. 141COL-I</v>
      </c>
    </row>
    <row r="127" spans="1:5" x14ac:dyDescent="0.2">
      <c r="A127" s="238">
        <f t="shared" si="6"/>
        <v>121</v>
      </c>
      <c r="B127" s="4" t="s">
        <v>170</v>
      </c>
      <c r="C127" s="241">
        <v>100</v>
      </c>
      <c r="D127" s="242">
        <f>ROUND('Lighting RD'!F127,2)</f>
        <v>0.05</v>
      </c>
      <c r="E127" s="49" t="str">
        <f>$E$126</f>
        <v>Sheet No. 141COL-I</v>
      </c>
    </row>
    <row r="128" spans="1:5" x14ac:dyDescent="0.2">
      <c r="A128" s="238">
        <f t="shared" si="6"/>
        <v>122</v>
      </c>
      <c r="B128" s="4" t="s">
        <v>170</v>
      </c>
      <c r="C128" s="241">
        <v>150</v>
      </c>
      <c r="D128" s="242">
        <f>ROUND('Lighting RD'!F128,2)</f>
        <v>0.08</v>
      </c>
      <c r="E128" s="49" t="str">
        <f>$E$126</f>
        <v>Sheet No. 141COL-I</v>
      </c>
    </row>
    <row r="129" spans="1:5" x14ac:dyDescent="0.2">
      <c r="A129" s="238">
        <f t="shared" si="6"/>
        <v>123</v>
      </c>
      <c r="B129" s="4" t="s">
        <v>170</v>
      </c>
      <c r="C129" s="241">
        <v>200</v>
      </c>
      <c r="D129" s="242">
        <f>ROUND('Lighting RD'!F129,2)</f>
        <v>0.1</v>
      </c>
      <c r="E129" s="49" t="str">
        <f>$E$126</f>
        <v>Sheet No. 141COL-I</v>
      </c>
    </row>
    <row r="130" spans="1:5" x14ac:dyDescent="0.2">
      <c r="A130" s="238">
        <f t="shared" si="6"/>
        <v>124</v>
      </c>
      <c r="B130" s="4" t="s">
        <v>170</v>
      </c>
      <c r="C130" s="241">
        <v>250</v>
      </c>
      <c r="D130" s="242">
        <f>ROUND('Lighting RD'!F130,2)</f>
        <v>0.13</v>
      </c>
      <c r="E130" s="49" t="str">
        <f>$E$126</f>
        <v>Sheet No. 141COL-I</v>
      </c>
    </row>
    <row r="131" spans="1:5" x14ac:dyDescent="0.2">
      <c r="A131" s="238">
        <f t="shared" si="6"/>
        <v>125</v>
      </c>
      <c r="B131" s="4" t="s">
        <v>170</v>
      </c>
      <c r="C131" s="241">
        <v>400</v>
      </c>
      <c r="D131" s="242">
        <f>ROUND('Lighting RD'!F131,2)</f>
        <v>0.21</v>
      </c>
      <c r="E131" s="49" t="str">
        <f>$E$126</f>
        <v>Sheet No. 141COL-I</v>
      </c>
    </row>
    <row r="132" spans="1:5" x14ac:dyDescent="0.2">
      <c r="A132" s="238">
        <f t="shared" si="6"/>
        <v>126</v>
      </c>
      <c r="B132" s="247"/>
      <c r="C132" s="241"/>
      <c r="D132" s="242"/>
      <c r="E132" s="245"/>
    </row>
    <row r="133" spans="1:5" x14ac:dyDescent="0.2">
      <c r="A133" s="238">
        <f t="shared" si="6"/>
        <v>127</v>
      </c>
      <c r="B133" s="4" t="s">
        <v>171</v>
      </c>
      <c r="C133" s="241">
        <v>100</v>
      </c>
      <c r="D133" s="242">
        <f>ROUND('Lighting RD'!F133,2)</f>
        <v>0.05</v>
      </c>
      <c r="E133" s="49" t="str">
        <f>$E$126</f>
        <v>Sheet No. 141COL-I</v>
      </c>
    </row>
    <row r="134" spans="1:5" x14ac:dyDescent="0.2">
      <c r="A134" s="238">
        <f t="shared" si="6"/>
        <v>128</v>
      </c>
      <c r="B134" s="4" t="s">
        <v>171</v>
      </c>
      <c r="C134" s="241">
        <v>150</v>
      </c>
      <c r="D134" s="242">
        <f>ROUND('Lighting RD'!F134,2)</f>
        <v>0.08</v>
      </c>
      <c r="E134" s="49" t="str">
        <f>$E$126</f>
        <v>Sheet No. 141COL-I</v>
      </c>
    </row>
    <row r="135" spans="1:5" x14ac:dyDescent="0.2">
      <c r="A135" s="238">
        <f t="shared" si="6"/>
        <v>129</v>
      </c>
      <c r="B135" s="4" t="s">
        <v>171</v>
      </c>
      <c r="C135" s="241">
        <v>200</v>
      </c>
      <c r="D135" s="242">
        <f>ROUND('Lighting RD'!F135,2)</f>
        <v>0.1</v>
      </c>
      <c r="E135" s="49" t="str">
        <f>$E$126</f>
        <v>Sheet No. 141COL-I</v>
      </c>
    </row>
    <row r="136" spans="1:5" x14ac:dyDescent="0.2">
      <c r="A136" s="238">
        <f t="shared" ref="A136:A162" si="10">A135+1</f>
        <v>130</v>
      </c>
      <c r="B136" s="4" t="s">
        <v>171</v>
      </c>
      <c r="C136" s="241">
        <v>250</v>
      </c>
      <c r="D136" s="242">
        <f>ROUND('Lighting RD'!F136,2)</f>
        <v>0.13</v>
      </c>
      <c r="E136" s="49" t="str">
        <f>$E$126</f>
        <v>Sheet No. 141COL-I</v>
      </c>
    </row>
    <row r="137" spans="1:5" x14ac:dyDescent="0.2">
      <c r="A137" s="238">
        <f t="shared" si="10"/>
        <v>131</v>
      </c>
      <c r="B137" s="4" t="s">
        <v>171</v>
      </c>
      <c r="C137" s="241">
        <v>400</v>
      </c>
      <c r="D137" s="242">
        <f>ROUND('Lighting RD'!F137,2)</f>
        <v>0.21</v>
      </c>
      <c r="E137" s="49" t="str">
        <f>$E$126</f>
        <v>Sheet No. 141COL-I</v>
      </c>
    </row>
    <row r="138" spans="1:5" x14ac:dyDescent="0.2">
      <c r="A138" s="238">
        <f t="shared" si="10"/>
        <v>132</v>
      </c>
      <c r="B138" s="247"/>
      <c r="C138" s="241"/>
      <c r="D138" s="242"/>
      <c r="E138" s="245"/>
    </row>
    <row r="139" spans="1:5" x14ac:dyDescent="0.2">
      <c r="A139" s="238">
        <f t="shared" si="10"/>
        <v>133</v>
      </c>
      <c r="B139" s="4" t="s">
        <v>172</v>
      </c>
      <c r="C139" s="241">
        <v>175</v>
      </c>
      <c r="D139" s="242">
        <f>ROUND('Lighting RD'!F139,2)</f>
        <v>0.09</v>
      </c>
      <c r="E139" s="49" t="str">
        <f>$E$126</f>
        <v>Sheet No. 141COL-I</v>
      </c>
    </row>
    <row r="140" spans="1:5" x14ac:dyDescent="0.2">
      <c r="A140" s="238">
        <f t="shared" si="10"/>
        <v>134</v>
      </c>
      <c r="B140" s="4" t="s">
        <v>172</v>
      </c>
      <c r="C140" s="241">
        <v>250</v>
      </c>
      <c r="D140" s="242">
        <f>ROUND('Lighting RD'!F140,2)</f>
        <v>0.13</v>
      </c>
      <c r="E140" s="49" t="str">
        <f>$E$126</f>
        <v>Sheet No. 141COL-I</v>
      </c>
    </row>
    <row r="141" spans="1:5" x14ac:dyDescent="0.2">
      <c r="A141" s="238">
        <f t="shared" si="10"/>
        <v>135</v>
      </c>
      <c r="B141" s="4" t="s">
        <v>172</v>
      </c>
      <c r="C141" s="241">
        <v>400</v>
      </c>
      <c r="D141" s="242">
        <f>ROUND('Lighting RD'!F141,2)</f>
        <v>0.21</v>
      </c>
      <c r="E141" s="49" t="str">
        <f>$E$126</f>
        <v>Sheet No. 141COL-I</v>
      </c>
    </row>
    <row r="142" spans="1:5" x14ac:dyDescent="0.2">
      <c r="A142" s="238">
        <f t="shared" si="10"/>
        <v>136</v>
      </c>
      <c r="B142" s="4" t="s">
        <v>172</v>
      </c>
      <c r="C142" s="241">
        <v>1000</v>
      </c>
      <c r="D142" s="242">
        <f>ROUND('Lighting RD'!F142,2)</f>
        <v>0.52</v>
      </c>
      <c r="E142" s="49" t="str">
        <f>$E$126</f>
        <v>Sheet No. 141COL-I</v>
      </c>
    </row>
    <row r="143" spans="1:5" x14ac:dyDescent="0.2">
      <c r="A143" s="238">
        <f t="shared" si="10"/>
        <v>137</v>
      </c>
      <c r="B143" s="247"/>
      <c r="C143" s="241"/>
      <c r="D143" s="242"/>
      <c r="E143" s="245"/>
    </row>
    <row r="144" spans="1:5" x14ac:dyDescent="0.2">
      <c r="A144" s="238">
        <f t="shared" si="10"/>
        <v>138</v>
      </c>
      <c r="B144" s="4" t="s">
        <v>173</v>
      </c>
      <c r="C144" s="241">
        <v>250</v>
      </c>
      <c r="D144" s="242">
        <f>ROUND('Lighting RD'!F144,2)</f>
        <v>0.13</v>
      </c>
      <c r="E144" s="49" t="str">
        <f>$E$126</f>
        <v>Sheet No. 141COL-I</v>
      </c>
    </row>
    <row r="145" spans="1:5" x14ac:dyDescent="0.2">
      <c r="A145" s="238">
        <f t="shared" si="10"/>
        <v>139</v>
      </c>
      <c r="B145" s="4" t="s">
        <v>173</v>
      </c>
      <c r="C145" s="241">
        <v>400</v>
      </c>
      <c r="D145" s="242">
        <f>ROUND('Lighting RD'!F145,2)</f>
        <v>0.21</v>
      </c>
      <c r="E145" s="49" t="str">
        <f>$E$126</f>
        <v>Sheet No. 141COL-I</v>
      </c>
    </row>
    <row r="146" spans="1:5" x14ac:dyDescent="0.2">
      <c r="A146" s="238">
        <f t="shared" si="10"/>
        <v>140</v>
      </c>
      <c r="B146" s="247"/>
      <c r="C146" s="241"/>
      <c r="D146" s="242"/>
      <c r="E146" s="245"/>
    </row>
    <row r="147" spans="1:5" x14ac:dyDescent="0.2">
      <c r="A147" s="238">
        <f t="shared" si="10"/>
        <v>141</v>
      </c>
      <c r="B147" s="4" t="s">
        <v>174</v>
      </c>
      <c r="C147" s="50" t="s">
        <v>48</v>
      </c>
      <c r="D147" s="242">
        <f>ROUND('Lighting RD'!F147,2)</f>
        <v>0.01</v>
      </c>
      <c r="E147" s="243" t="s">
        <v>191</v>
      </c>
    </row>
    <row r="148" spans="1:5" x14ac:dyDescent="0.2">
      <c r="A148" s="238">
        <f t="shared" si="10"/>
        <v>142</v>
      </c>
      <c r="B148" s="4" t="s">
        <v>174</v>
      </c>
      <c r="C148" s="246" t="s">
        <v>49</v>
      </c>
      <c r="D148" s="242">
        <f>ROUND('Lighting RD'!F148,2)</f>
        <v>0.02</v>
      </c>
      <c r="E148" s="49" t="str">
        <f t="shared" ref="E148:E162" si="11">$E$147</f>
        <v>Sheet No. 141COL-J</v>
      </c>
    </row>
    <row r="149" spans="1:5" x14ac:dyDescent="0.2">
      <c r="A149" s="238">
        <f t="shared" si="10"/>
        <v>143</v>
      </c>
      <c r="B149" s="4" t="s">
        <v>174</v>
      </c>
      <c r="C149" s="241" t="s">
        <v>13</v>
      </c>
      <c r="D149" s="242">
        <f>ROUND('Lighting RD'!F149,2)</f>
        <v>0.04</v>
      </c>
      <c r="E149" s="49" t="str">
        <f t="shared" si="11"/>
        <v>Sheet No. 141COL-J</v>
      </c>
    </row>
    <row r="150" spans="1:5" x14ac:dyDescent="0.2">
      <c r="A150" s="238">
        <f t="shared" si="10"/>
        <v>144</v>
      </c>
      <c r="B150" s="4" t="s">
        <v>174</v>
      </c>
      <c r="C150" s="241" t="s">
        <v>14</v>
      </c>
      <c r="D150" s="242">
        <f>ROUND('Lighting RD'!F150,2)</f>
        <v>0.05</v>
      </c>
      <c r="E150" s="49" t="str">
        <f t="shared" si="11"/>
        <v>Sheet No. 141COL-J</v>
      </c>
    </row>
    <row r="151" spans="1:5" x14ac:dyDescent="0.2">
      <c r="A151" s="238">
        <f t="shared" si="10"/>
        <v>145</v>
      </c>
      <c r="B151" s="4" t="s">
        <v>174</v>
      </c>
      <c r="C151" s="241" t="s">
        <v>15</v>
      </c>
      <c r="D151" s="242">
        <f>ROUND('Lighting RD'!F151,2)</f>
        <v>7.0000000000000007E-2</v>
      </c>
      <c r="E151" s="49" t="str">
        <f t="shared" si="11"/>
        <v>Sheet No. 141COL-J</v>
      </c>
    </row>
    <row r="152" spans="1:5" x14ac:dyDescent="0.2">
      <c r="A152" s="238">
        <f t="shared" si="10"/>
        <v>146</v>
      </c>
      <c r="B152" s="4" t="s">
        <v>174</v>
      </c>
      <c r="C152" s="241" t="s">
        <v>16</v>
      </c>
      <c r="D152" s="242">
        <f>ROUND('Lighting RD'!F152,2)</f>
        <v>0.09</v>
      </c>
      <c r="E152" s="49" t="str">
        <f t="shared" si="11"/>
        <v>Sheet No. 141COL-J</v>
      </c>
    </row>
    <row r="153" spans="1:5" x14ac:dyDescent="0.2">
      <c r="A153" s="238">
        <f t="shared" si="10"/>
        <v>147</v>
      </c>
      <c r="B153" s="4" t="s">
        <v>174</v>
      </c>
      <c r="C153" s="241" t="s">
        <v>17</v>
      </c>
      <c r="D153" s="242">
        <f>ROUND('Lighting RD'!F153,2)</f>
        <v>0.1</v>
      </c>
      <c r="E153" s="49" t="str">
        <f t="shared" si="11"/>
        <v>Sheet No. 141COL-J</v>
      </c>
    </row>
    <row r="154" spans="1:5" x14ac:dyDescent="0.2">
      <c r="A154" s="238">
        <f t="shared" si="10"/>
        <v>148</v>
      </c>
      <c r="B154" s="4" t="s">
        <v>174</v>
      </c>
      <c r="C154" s="241" t="s">
        <v>18</v>
      </c>
      <c r="D154" s="242">
        <f>ROUND('Lighting RD'!F154,2)</f>
        <v>0.12</v>
      </c>
      <c r="E154" s="49" t="str">
        <f t="shared" si="11"/>
        <v>Sheet No. 141COL-J</v>
      </c>
    </row>
    <row r="155" spans="1:5" x14ac:dyDescent="0.2">
      <c r="A155" s="238">
        <f t="shared" si="10"/>
        <v>149</v>
      </c>
      <c r="B155" s="4" t="s">
        <v>174</v>
      </c>
      <c r="C155" s="241" t="s">
        <v>19</v>
      </c>
      <c r="D155" s="242">
        <f>ROUND('Lighting RD'!F155,2)</f>
        <v>0.13</v>
      </c>
      <c r="E155" s="49" t="str">
        <f t="shared" si="11"/>
        <v>Sheet No. 141COL-J</v>
      </c>
    </row>
    <row r="156" spans="1:5" x14ac:dyDescent="0.2">
      <c r="A156" s="238">
        <f t="shared" si="10"/>
        <v>150</v>
      </c>
      <c r="B156" s="4" t="s">
        <v>174</v>
      </c>
      <c r="C156" s="241" t="s">
        <v>20</v>
      </c>
      <c r="D156" s="242">
        <f>ROUND('Lighting RD'!F156,2)</f>
        <v>0.15</v>
      </c>
      <c r="E156" s="49" t="str">
        <f t="shared" si="11"/>
        <v>Sheet No. 141COL-J</v>
      </c>
    </row>
    <row r="157" spans="1:5" x14ac:dyDescent="0.2">
      <c r="A157" s="238">
        <f t="shared" si="10"/>
        <v>151</v>
      </c>
      <c r="B157" s="4" t="s">
        <v>174</v>
      </c>
      <c r="C157" s="241" t="s">
        <v>30</v>
      </c>
      <c r="D157" s="242">
        <f>ROUND('Lighting RD'!F157,2)</f>
        <v>0.18</v>
      </c>
      <c r="E157" s="49" t="str">
        <f t="shared" si="11"/>
        <v>Sheet No. 141COL-J</v>
      </c>
    </row>
    <row r="158" spans="1:5" x14ac:dyDescent="0.2">
      <c r="A158" s="238">
        <f t="shared" si="10"/>
        <v>152</v>
      </c>
      <c r="B158" s="4" t="s">
        <v>174</v>
      </c>
      <c r="C158" s="241" t="s">
        <v>31</v>
      </c>
      <c r="D158" s="242">
        <f>ROUND('Lighting RD'!F158,2)</f>
        <v>0.23</v>
      </c>
      <c r="E158" s="49" t="str">
        <f t="shared" si="11"/>
        <v>Sheet No. 141COL-J</v>
      </c>
    </row>
    <row r="159" spans="1:5" x14ac:dyDescent="0.2">
      <c r="A159" s="238">
        <f t="shared" si="10"/>
        <v>153</v>
      </c>
      <c r="B159" s="4" t="s">
        <v>174</v>
      </c>
      <c r="C159" s="241" t="s">
        <v>32</v>
      </c>
      <c r="D159" s="242">
        <f>ROUND('Lighting RD'!F159,2)</f>
        <v>0.28999999999999998</v>
      </c>
      <c r="E159" s="49" t="str">
        <f t="shared" si="11"/>
        <v>Sheet No. 141COL-J</v>
      </c>
    </row>
    <row r="160" spans="1:5" x14ac:dyDescent="0.2">
      <c r="A160" s="238">
        <f t="shared" si="10"/>
        <v>154</v>
      </c>
      <c r="B160" s="4" t="s">
        <v>174</v>
      </c>
      <c r="C160" s="241" t="s">
        <v>33</v>
      </c>
      <c r="D160" s="242">
        <f>ROUND('Lighting RD'!F160,2)</f>
        <v>0.34</v>
      </c>
      <c r="E160" s="49" t="str">
        <f t="shared" si="11"/>
        <v>Sheet No. 141COL-J</v>
      </c>
    </row>
    <row r="161" spans="1:13" x14ac:dyDescent="0.2">
      <c r="A161" s="238">
        <f t="shared" si="10"/>
        <v>155</v>
      </c>
      <c r="B161" s="4" t="s">
        <v>174</v>
      </c>
      <c r="C161" s="241" t="s">
        <v>34</v>
      </c>
      <c r="D161" s="242">
        <f>ROUND('Lighting RD'!F161,2)</f>
        <v>0.39</v>
      </c>
      <c r="E161" s="49" t="str">
        <f t="shared" si="11"/>
        <v>Sheet No. 141COL-J</v>
      </c>
    </row>
    <row r="162" spans="1:13" x14ac:dyDescent="0.2">
      <c r="A162" s="238">
        <f t="shared" si="10"/>
        <v>156</v>
      </c>
      <c r="B162" s="4" t="s">
        <v>174</v>
      </c>
      <c r="C162" s="241" t="s">
        <v>35</v>
      </c>
      <c r="D162" s="242">
        <f>ROUND('Lighting RD'!F162,2)</f>
        <v>0.44</v>
      </c>
      <c r="E162" s="49" t="str">
        <f t="shared" si="11"/>
        <v>Sheet No. 141COL-J</v>
      </c>
    </row>
    <row r="163" spans="1:13" x14ac:dyDescent="0.2">
      <c r="A163" s="238"/>
    </row>
    <row r="164" spans="1:13" x14ac:dyDescent="0.2">
      <c r="A164" s="238"/>
      <c r="B164" s="249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204"/>
  <sheetViews>
    <sheetView tabSelected="1" zoomScaleNormal="100" zoomScaleSheetLayoutView="100" workbookViewId="0">
      <pane ySplit="6" topLeftCell="A7" activePane="bottomLeft" state="frozen"/>
      <selection activeCell="L78" sqref="L78"/>
      <selection pane="bottomLeft" activeCell="B17" sqref="B17:B18"/>
    </sheetView>
  </sheetViews>
  <sheetFormatPr defaultColWidth="9.109375" defaultRowHeight="10.199999999999999" x14ac:dyDescent="0.2"/>
  <cols>
    <col min="1" max="1" width="6.6640625" style="112" bestFit="1" customWidth="1"/>
    <col min="2" max="2" width="44" style="112" bestFit="1" customWidth="1"/>
    <col min="3" max="3" width="7.33203125" style="112" customWidth="1"/>
    <col min="4" max="4" width="7.6640625" style="117" customWidth="1"/>
    <col min="5" max="5" width="7.6640625" style="170" customWidth="1"/>
    <col min="6" max="6" width="8.33203125" style="170" customWidth="1"/>
    <col min="7" max="7" width="15.33203125" style="170" customWidth="1"/>
    <col min="8" max="8" width="9.44140625" style="170" bestFit="1" customWidth="1"/>
    <col min="9" max="9" width="9.44140625" style="112" customWidth="1"/>
    <col min="10" max="10" width="12.88671875" style="170" bestFit="1" customWidth="1"/>
    <col min="11" max="11" width="13.44140625" style="170" customWidth="1"/>
    <col min="12" max="12" width="11.33203125" style="112" bestFit="1" customWidth="1"/>
    <col min="13" max="13" width="7.6640625" style="112" bestFit="1" customWidth="1"/>
    <col min="14" max="14" width="10" style="153" bestFit="1" customWidth="1"/>
    <col min="15" max="15" width="12.33203125" style="112" bestFit="1" customWidth="1"/>
    <col min="16" max="16384" width="9.109375" style="112"/>
  </cols>
  <sheetData>
    <row r="1" spans="1:15" s="151" customFormat="1" x14ac:dyDescent="0.2">
      <c r="A1" s="149" t="str">
        <f>'Sch 141COL Rates'!A1</f>
        <v>PUGET SOUND ENERGY</v>
      </c>
      <c r="B1" s="55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5" s="151" customFormat="1" x14ac:dyDescent="0.2">
      <c r="A2" s="149" t="str">
        <f>'Sch 141COL Rates'!A2</f>
        <v>Schedule 141COL Colstrip Adjustment Tracker</v>
      </c>
      <c r="B2" s="55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15" s="151" customFormat="1" x14ac:dyDescent="0.2">
      <c r="A3" s="55" t="str">
        <f>"Effective "&amp;TEXT(Inputs!B1,"mmmm d, yyyy")&amp;" - "&amp;TEXT(Inputs!B4,"mmmm d, yyyy")</f>
        <v>Effective January 1, 2025 - December 31, 2025</v>
      </c>
      <c r="B3" s="55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1:15" s="119" customFormat="1" x14ac:dyDescent="0.2">
      <c r="A4" s="152" t="s">
        <v>133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50"/>
    </row>
    <row r="5" spans="1:15" s="119" customFormat="1" x14ac:dyDescent="0.2">
      <c r="A5" s="149" t="s">
        <v>134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3"/>
    </row>
    <row r="6" spans="1:15" s="161" customFormat="1" ht="40.799999999999997" x14ac:dyDescent="0.2">
      <c r="A6" s="118" t="s">
        <v>0</v>
      </c>
      <c r="B6" s="118" t="s">
        <v>55</v>
      </c>
      <c r="C6" s="154" t="s">
        <v>1</v>
      </c>
      <c r="D6" s="155"/>
      <c r="E6" s="155"/>
      <c r="F6" s="155"/>
      <c r="G6" s="272" t="str">
        <f>'Rate Spread and Design'!I7</f>
        <v>F2024 Forecast Billing Determinants 01/1/25-12/31/25</v>
      </c>
      <c r="H6" s="156" t="s">
        <v>180</v>
      </c>
      <c r="I6" s="60" t="s">
        <v>135</v>
      </c>
      <c r="J6" s="157" t="s">
        <v>136</v>
      </c>
      <c r="K6" s="158" t="s">
        <v>137</v>
      </c>
      <c r="L6" s="159" t="s">
        <v>138</v>
      </c>
      <c r="M6" s="159"/>
      <c r="N6" s="160" t="s">
        <v>113</v>
      </c>
    </row>
    <row r="7" spans="1:15" s="166" customFormat="1" x14ac:dyDescent="0.2">
      <c r="A7" s="124"/>
      <c r="B7" s="124"/>
      <c r="C7" s="162" t="s">
        <v>134</v>
      </c>
      <c r="D7" s="162"/>
      <c r="E7" s="162"/>
      <c r="F7" s="162"/>
      <c r="G7" s="163" t="s">
        <v>57</v>
      </c>
      <c r="H7" s="162" t="s">
        <v>103</v>
      </c>
      <c r="I7" s="124" t="s">
        <v>58</v>
      </c>
      <c r="J7" s="164" t="s">
        <v>104</v>
      </c>
      <c r="K7" s="165" t="s">
        <v>139</v>
      </c>
      <c r="L7" s="124" t="s">
        <v>140</v>
      </c>
      <c r="M7" s="124" t="s">
        <v>141</v>
      </c>
      <c r="N7" s="153"/>
    </row>
    <row r="8" spans="1:15" x14ac:dyDescent="0.2">
      <c r="A8" s="167">
        <v>1</v>
      </c>
      <c r="C8" s="168" t="s">
        <v>134</v>
      </c>
      <c r="D8" s="169"/>
      <c r="E8" s="168"/>
      <c r="F8" s="168"/>
      <c r="H8" s="171" t="s">
        <v>134</v>
      </c>
      <c r="J8" s="172"/>
      <c r="O8" s="166"/>
    </row>
    <row r="9" spans="1:15" x14ac:dyDescent="0.2">
      <c r="A9" s="167">
        <f t="shared" ref="A9:A55" si="0">A8+1</f>
        <v>2</v>
      </c>
      <c r="B9" s="119" t="s">
        <v>193</v>
      </c>
      <c r="C9" s="173" t="s">
        <v>96</v>
      </c>
      <c r="D9" s="174"/>
      <c r="E9" s="173"/>
      <c r="F9" s="173"/>
      <c r="G9" s="280">
        <f>'Rate Spread and Design'!I9</f>
        <v>11319130621.398149</v>
      </c>
      <c r="H9" s="176">
        <v>2.7260000000000001E-3</v>
      </c>
      <c r="I9" s="177">
        <f>ROUND('Rate Spread and Design'!J9,6)</f>
        <v>2.957E-3</v>
      </c>
      <c r="J9" s="178">
        <v>1642575640.1241922</v>
      </c>
      <c r="K9" s="179">
        <f>J9+G9*(I9-H9)</f>
        <v>1645190359.2977352</v>
      </c>
      <c r="L9" s="179">
        <f>+K9-J9</f>
        <v>2614719.1735429764</v>
      </c>
      <c r="M9" s="180">
        <f>IF(J9=0,"n/a",+L9/J9)</f>
        <v>1.5918409537263576E-3</v>
      </c>
      <c r="N9" s="181">
        <f>I9-ROUND('Rate Spread and Design'!J9,6)</f>
        <v>0</v>
      </c>
      <c r="O9" s="166"/>
    </row>
    <row r="10" spans="1:15" x14ac:dyDescent="0.2">
      <c r="A10" s="167">
        <f t="shared" si="0"/>
        <v>3</v>
      </c>
      <c r="B10" s="136"/>
      <c r="C10" s="168" t="s">
        <v>134</v>
      </c>
      <c r="D10" s="169"/>
      <c r="E10" s="168"/>
      <c r="F10" s="168"/>
      <c r="G10" s="182"/>
      <c r="H10" s="183" t="s">
        <v>134</v>
      </c>
      <c r="I10" s="133"/>
      <c r="J10" s="172"/>
      <c r="K10" s="184"/>
      <c r="L10" s="184"/>
      <c r="M10" s="185"/>
      <c r="N10" s="181"/>
      <c r="O10" s="166"/>
    </row>
    <row r="11" spans="1:15" x14ac:dyDescent="0.2">
      <c r="A11" s="167">
        <f t="shared" si="0"/>
        <v>4</v>
      </c>
      <c r="B11" s="119" t="s">
        <v>194</v>
      </c>
      <c r="C11" s="168" t="s">
        <v>134</v>
      </c>
      <c r="D11" s="169"/>
      <c r="E11" s="168"/>
      <c r="F11" s="168"/>
      <c r="G11" s="182"/>
      <c r="H11" s="183" t="s">
        <v>134</v>
      </c>
      <c r="I11" s="133"/>
      <c r="J11" s="172" t="s">
        <v>134</v>
      </c>
      <c r="K11" s="184"/>
      <c r="L11" s="184"/>
      <c r="M11" s="185"/>
      <c r="N11" s="181"/>
      <c r="O11" s="166"/>
    </row>
    <row r="12" spans="1:15" x14ac:dyDescent="0.2">
      <c r="A12" s="167">
        <f t="shared" si="0"/>
        <v>5</v>
      </c>
      <c r="B12" s="254" t="s">
        <v>195</v>
      </c>
      <c r="C12" s="173" t="s">
        <v>97</v>
      </c>
      <c r="D12" s="174"/>
      <c r="E12" s="173"/>
      <c r="F12" s="173"/>
      <c r="G12" s="279">
        <f>'Rate Spread and Design'!I11</f>
        <v>2693210047.3914232</v>
      </c>
      <c r="H12" s="186">
        <v>2.3960000000000001E-3</v>
      </c>
      <c r="I12" s="87">
        <f>ROUND('Rate Spread and Design'!J11,6)</f>
        <v>2.6870000000000002E-3</v>
      </c>
      <c r="J12" s="274">
        <v>383411809.18099695</v>
      </c>
      <c r="K12" s="275">
        <f>J12+G12*(I12-H12)</f>
        <v>384195533.30478787</v>
      </c>
      <c r="L12" s="275">
        <f>+K12-J12</f>
        <v>783724.12379091978</v>
      </c>
      <c r="M12" s="276">
        <f>IF(J12=0,"n/a",+L12/J12)</f>
        <v>2.044079251145203E-3</v>
      </c>
      <c r="N12" s="181">
        <f>I12-ROUND('Rate Spread and Design'!J11,6)</f>
        <v>0</v>
      </c>
      <c r="O12" s="166"/>
    </row>
    <row r="13" spans="1:15" x14ac:dyDescent="0.2">
      <c r="A13" s="167">
        <f>A12+1</f>
        <v>6</v>
      </c>
      <c r="B13" s="287" t="s">
        <v>196</v>
      </c>
      <c r="C13" s="292" t="s">
        <v>128</v>
      </c>
      <c r="D13" s="292"/>
      <c r="E13" s="292"/>
      <c r="F13" s="292"/>
      <c r="G13" s="279">
        <f>'Rate Spread and Design'!I13</f>
        <v>2971751015.5674863</v>
      </c>
      <c r="H13" s="186">
        <v>4.8000000000000001E-4</v>
      </c>
      <c r="I13" s="87">
        <f>ROUND('Rate Spread and Design'!J13,6)</f>
        <v>5.2300000000000003E-4</v>
      </c>
      <c r="J13" s="284">
        <v>396039264.11994725</v>
      </c>
      <c r="K13" s="285">
        <f>J13+G13*(I13-H13)+G14*(I14-H14)</f>
        <v>396117246.46717012</v>
      </c>
      <c r="L13" s="285">
        <f>+K13-J13</f>
        <v>77982.347222864628</v>
      </c>
      <c r="M13" s="290">
        <f>IF(J13=0,"n/a",+L13/J13)</f>
        <v>1.9690559570186036E-4</v>
      </c>
      <c r="N13" s="278">
        <f>I13-ROUND('Rate Spread and Design'!J13,6)</f>
        <v>0</v>
      </c>
      <c r="O13" s="166"/>
    </row>
    <row r="14" spans="1:15" x14ac:dyDescent="0.2">
      <c r="A14" s="167">
        <f t="shared" ref="A14:A35" si="1">A13+1</f>
        <v>7</v>
      </c>
      <c r="B14" s="287"/>
      <c r="C14" s="292"/>
      <c r="D14" s="292"/>
      <c r="E14" s="292"/>
      <c r="F14" s="292"/>
      <c r="G14" s="281">
        <f>'Rate Spread and Design'!I14</f>
        <v>4980294.6446532551</v>
      </c>
      <c r="H14" s="273">
        <v>1.26</v>
      </c>
      <c r="I14" s="74">
        <f>ROUND('Rate Spread and Design'!J14,2)</f>
        <v>1.25</v>
      </c>
      <c r="J14" s="284"/>
      <c r="K14" s="285"/>
      <c r="L14" s="285"/>
      <c r="M14" s="290"/>
      <c r="N14" s="278">
        <f>I14-ROUND('Rate Spread and Design'!J14,2)</f>
        <v>0</v>
      </c>
      <c r="O14" s="166"/>
    </row>
    <row r="15" spans="1:15" x14ac:dyDescent="0.2">
      <c r="A15" s="167">
        <f t="shared" si="1"/>
        <v>8</v>
      </c>
      <c r="B15" s="287" t="s">
        <v>197</v>
      </c>
      <c r="C15" s="283" t="s">
        <v>98</v>
      </c>
      <c r="D15" s="283"/>
      <c r="E15" s="283"/>
      <c r="F15" s="283"/>
      <c r="G15" s="279">
        <f>'Rate Spread and Design'!I17</f>
        <v>2037371160.2613628</v>
      </c>
      <c r="H15" s="186">
        <v>4.1800000000000002E-4</v>
      </c>
      <c r="I15" s="87">
        <f>ROUND('Rate Spread and Design'!J17,6)</f>
        <v>4.4099999999999999E-4</v>
      </c>
      <c r="J15" s="284">
        <v>248391681.73746395</v>
      </c>
      <c r="K15" s="285">
        <f>J15+G15*(I15-H15)+G16*(I16-H16)</f>
        <v>248590715.11281681</v>
      </c>
      <c r="L15" s="285">
        <f>+K15-J15</f>
        <v>199033.3753528595</v>
      </c>
      <c r="M15" s="290">
        <f>IF(J15=0,"n/a",+L15/J15)</f>
        <v>8.0128840853546212E-4</v>
      </c>
      <c r="N15" s="278">
        <f>I15-ROUND('Rate Spread and Design'!J17,6)</f>
        <v>0</v>
      </c>
      <c r="O15" s="166"/>
    </row>
    <row r="16" spans="1:15" x14ac:dyDescent="0.2">
      <c r="A16" s="167">
        <f t="shared" si="1"/>
        <v>9</v>
      </c>
      <c r="B16" s="287"/>
      <c r="C16" s="283"/>
      <c r="D16" s="283"/>
      <c r="E16" s="283"/>
      <c r="F16" s="283"/>
      <c r="G16" s="281">
        <f>'Rate Spread and Design'!I18</f>
        <v>5072461.2888948843</v>
      </c>
      <c r="H16" s="273">
        <v>0.68</v>
      </c>
      <c r="I16" s="74">
        <f>ROUND('Rate Spread and Design'!J18,2)</f>
        <v>0.71</v>
      </c>
      <c r="J16" s="284"/>
      <c r="K16" s="285"/>
      <c r="L16" s="285"/>
      <c r="M16" s="290"/>
      <c r="N16" s="278">
        <f>I16-ROUND('Rate Spread and Design'!J18,2)</f>
        <v>0</v>
      </c>
      <c r="O16" s="166"/>
    </row>
    <row r="17" spans="1:14" ht="12" customHeight="1" x14ac:dyDescent="0.2">
      <c r="A17" s="167">
        <f t="shared" si="1"/>
        <v>10</v>
      </c>
      <c r="B17" s="282" t="s">
        <v>198</v>
      </c>
      <c r="C17" s="283">
        <v>29</v>
      </c>
      <c r="D17" s="283"/>
      <c r="E17" s="283"/>
      <c r="F17" s="283"/>
      <c r="G17" s="279">
        <f>'Rate Spread and Design'!I21</f>
        <v>14436685.877551533</v>
      </c>
      <c r="H17" s="186">
        <v>5.0799999999999999E-4</v>
      </c>
      <c r="I17" s="87">
        <f>ROUND('Rate Spread and Design'!J21,6)</f>
        <v>5.7799999999999995E-4</v>
      </c>
      <c r="J17" s="284">
        <v>1754980.8617207329</v>
      </c>
      <c r="K17" s="285">
        <f>J17+G17*(I17-H17)+G18*(I18-H18)</f>
        <v>1752077.4650895097</v>
      </c>
      <c r="L17" s="285">
        <f>+K17-J17</f>
        <v>-2903.3966312231496</v>
      </c>
      <c r="M17" s="290">
        <f>IF(J17=0,"n/a",+L17/J17)</f>
        <v>-1.6543750957924476E-3</v>
      </c>
      <c r="N17" s="278">
        <f>I17-ROUND('Rate Spread and Design'!J21,6)</f>
        <v>0</v>
      </c>
    </row>
    <row r="18" spans="1:14" ht="12" customHeight="1" x14ac:dyDescent="0.2">
      <c r="A18" s="167">
        <f t="shared" si="1"/>
        <v>11</v>
      </c>
      <c r="B18" s="282"/>
      <c r="C18" s="283"/>
      <c r="D18" s="283"/>
      <c r="E18" s="283"/>
      <c r="F18" s="283"/>
      <c r="G18" s="281">
        <f>'Rate Spread and Design'!$I$22</f>
        <v>7827.9292853038123</v>
      </c>
      <c r="H18" s="273">
        <v>4.76</v>
      </c>
      <c r="I18" s="74">
        <f>ROUND('Rate Spread and Design'!J22,2)</f>
        <v>4.26</v>
      </c>
      <c r="J18" s="293"/>
      <c r="K18" s="286"/>
      <c r="L18" s="286"/>
      <c r="M18" s="294"/>
      <c r="N18" s="278">
        <f>I18-ROUND('Rate Spread and Design'!J22,2)</f>
        <v>0</v>
      </c>
    </row>
    <row r="19" spans="1:14" x14ac:dyDescent="0.2">
      <c r="A19" s="167">
        <f t="shared" si="1"/>
        <v>12</v>
      </c>
      <c r="B19" s="199" t="s">
        <v>210</v>
      </c>
      <c r="C19" s="168" t="s">
        <v>134</v>
      </c>
      <c r="D19" s="169"/>
      <c r="E19" s="168"/>
      <c r="F19" s="168"/>
      <c r="G19" s="187"/>
      <c r="H19" s="176"/>
      <c r="I19" s="131"/>
      <c r="J19" s="188">
        <f>SUM(J12:J18)</f>
        <v>1029597735.9001288</v>
      </c>
      <c r="K19" s="179">
        <f>SUM(K12:K18)</f>
        <v>1030655572.3498644</v>
      </c>
      <c r="L19" s="179">
        <f>SUM(L12:L18)</f>
        <v>1057836.4497354208</v>
      </c>
      <c r="M19" s="180">
        <f>IF(J19=0,"n/a",+L19/J19)</f>
        <v>1.0274269385514958E-3</v>
      </c>
      <c r="N19" s="181"/>
    </row>
    <row r="20" spans="1:14" x14ac:dyDescent="0.2">
      <c r="A20" s="167">
        <f t="shared" si="1"/>
        <v>13</v>
      </c>
      <c r="B20" s="136"/>
      <c r="C20" s="168" t="s">
        <v>134</v>
      </c>
      <c r="D20" s="169"/>
      <c r="E20" s="168"/>
      <c r="F20" s="168"/>
      <c r="G20" s="81"/>
      <c r="H20" s="189" t="s">
        <v>134</v>
      </c>
      <c r="I20" s="190"/>
      <c r="J20" s="172" t="s">
        <v>134</v>
      </c>
      <c r="K20" s="184"/>
      <c r="L20" s="184"/>
      <c r="M20" s="185"/>
      <c r="N20" s="181"/>
    </row>
    <row r="21" spans="1:14" x14ac:dyDescent="0.2">
      <c r="A21" s="167">
        <f t="shared" si="1"/>
        <v>14</v>
      </c>
      <c r="B21" s="119" t="s">
        <v>199</v>
      </c>
      <c r="C21" s="168" t="s">
        <v>134</v>
      </c>
      <c r="D21" s="169"/>
      <c r="E21" s="168"/>
      <c r="F21" s="168"/>
      <c r="G21" s="81"/>
      <c r="H21" s="189" t="s">
        <v>134</v>
      </c>
      <c r="I21" s="190"/>
      <c r="J21" s="172" t="s">
        <v>134</v>
      </c>
      <c r="K21" s="184"/>
      <c r="L21" s="184"/>
      <c r="M21" s="185"/>
      <c r="N21" s="181"/>
    </row>
    <row r="22" spans="1:14" x14ac:dyDescent="0.2">
      <c r="A22" s="167">
        <f t="shared" si="1"/>
        <v>15</v>
      </c>
      <c r="B22" s="287" t="s">
        <v>200</v>
      </c>
      <c r="C22" s="283" t="s">
        <v>99</v>
      </c>
      <c r="D22" s="283"/>
      <c r="E22" s="283"/>
      <c r="F22" s="283"/>
      <c r="G22" s="279">
        <f>'Rate Spread and Design'!I25</f>
        <v>1378502364.5436404</v>
      </c>
      <c r="H22" s="186">
        <v>4.0499999999999998E-4</v>
      </c>
      <c r="I22" s="87">
        <f>ROUND('Rate Spread and Design'!J25,6)</f>
        <v>4.55E-4</v>
      </c>
      <c r="J22" s="284">
        <v>162575865.43602517</v>
      </c>
      <c r="K22" s="285">
        <f>J22+G22*(I22-H22)+G23*(I23-H23)</f>
        <v>162817128.77877757</v>
      </c>
      <c r="L22" s="285">
        <f>+K22-J22</f>
        <v>241263.34275239706</v>
      </c>
      <c r="M22" s="288">
        <f>IF(J22=0,"n/a",+L22/J22)</f>
        <v>1.4840046651779075E-3</v>
      </c>
      <c r="N22" s="278">
        <f>I22-ROUND('Rate Spread and Design'!J25,6)</f>
        <v>0</v>
      </c>
    </row>
    <row r="23" spans="1:14" x14ac:dyDescent="0.2">
      <c r="A23" s="167">
        <f t="shared" si="1"/>
        <v>16</v>
      </c>
      <c r="B23" s="287"/>
      <c r="C23" s="283"/>
      <c r="D23" s="283"/>
      <c r="E23" s="283"/>
      <c r="F23" s="283"/>
      <c r="G23" s="281">
        <f>'Rate Spread and Design'!$I$26</f>
        <v>3446764.4905044795</v>
      </c>
      <c r="H23" s="273">
        <v>0.68</v>
      </c>
      <c r="I23" s="74">
        <f>ROUND('Rate Spread and Design'!J26,2)</f>
        <v>0.73</v>
      </c>
      <c r="J23" s="284"/>
      <c r="K23" s="285"/>
      <c r="L23" s="285"/>
      <c r="M23" s="288"/>
      <c r="N23" s="278">
        <f>I23-ROUND('Rate Spread and Design'!J26,2)</f>
        <v>0</v>
      </c>
    </row>
    <row r="24" spans="1:14" x14ac:dyDescent="0.2">
      <c r="A24" s="167">
        <f t="shared" si="1"/>
        <v>17</v>
      </c>
      <c r="B24" s="287" t="s">
        <v>201</v>
      </c>
      <c r="C24" s="283">
        <v>35</v>
      </c>
      <c r="D24" s="283"/>
      <c r="E24" s="283"/>
      <c r="F24" s="283"/>
      <c r="G24" s="279">
        <f>'Rate Spread and Design'!I29</f>
        <v>5934926.6636967957</v>
      </c>
      <c r="H24" s="186">
        <v>3.1100000000000002E-4</v>
      </c>
      <c r="I24" s="87">
        <f>ROUND('Rate Spread and Design'!J29,6)</f>
        <v>2.5500000000000002E-4</v>
      </c>
      <c r="J24" s="284">
        <v>568549.99044456286</v>
      </c>
      <c r="K24" s="285">
        <f>J24+G24*(I24-H24)+G25*(I25-H25)</f>
        <v>567150.60745677259</v>
      </c>
      <c r="L24" s="285">
        <f>+K24-J24</f>
        <v>-1399.3829877902754</v>
      </c>
      <c r="M24" s="288">
        <f>IF(J24=0,"n/a",+L24/J24)</f>
        <v>-2.4613191650853152E-3</v>
      </c>
      <c r="N24" s="278">
        <f>I24-ROUND('Rate Spread and Design'!J29,6)</f>
        <v>0</v>
      </c>
    </row>
    <row r="25" spans="1:14" x14ac:dyDescent="0.2">
      <c r="A25" s="167">
        <f t="shared" si="1"/>
        <v>18</v>
      </c>
      <c r="B25" s="287"/>
      <c r="C25" s="283"/>
      <c r="D25" s="283"/>
      <c r="E25" s="283"/>
      <c r="F25" s="283"/>
      <c r="G25" s="281">
        <f>'Rate Spread and Design'!$I$30</f>
        <v>10670.270946232487</v>
      </c>
      <c r="H25" s="273">
        <v>0.67</v>
      </c>
      <c r="I25" s="74">
        <f>ROUND('Rate Spread and Design'!J30,2)</f>
        <v>0.56999999999999995</v>
      </c>
      <c r="J25" s="284"/>
      <c r="K25" s="285"/>
      <c r="L25" s="285"/>
      <c r="M25" s="288"/>
      <c r="N25" s="278">
        <f>I25-ROUND('Rate Spread and Design'!J30,2)</f>
        <v>0</v>
      </c>
    </row>
    <row r="26" spans="1:14" ht="12" customHeight="1" x14ac:dyDescent="0.2">
      <c r="A26" s="167">
        <f t="shared" si="1"/>
        <v>19</v>
      </c>
      <c r="B26" s="282" t="s">
        <v>202</v>
      </c>
      <c r="C26" s="283">
        <v>43</v>
      </c>
      <c r="D26" s="283"/>
      <c r="E26" s="283"/>
      <c r="F26" s="283"/>
      <c r="G26" s="279">
        <f>'Rate Spread and Design'!I33</f>
        <v>109828264.79087074</v>
      </c>
      <c r="H26" s="186">
        <v>8.7999999999999998E-5</v>
      </c>
      <c r="I26" s="87">
        <f>ROUND('Rate Spread and Design'!J33,6)</f>
        <v>1.08E-4</v>
      </c>
      <c r="J26" s="284">
        <v>13034472.310765376</v>
      </c>
      <c r="K26" s="285">
        <f>J26+G26*(I26-H26)+G27*(I27-H27)</f>
        <v>13046875.454972973</v>
      </c>
      <c r="L26" s="285">
        <f>+K26-J26</f>
        <v>12403.144207596779</v>
      </c>
      <c r="M26" s="288">
        <f>IF(J26=0,"n/a",+L26/J26)</f>
        <v>9.5156473633020234E-4</v>
      </c>
      <c r="N26" s="278">
        <f>I26-ROUND('Rate Spread and Design'!J33,6)</f>
        <v>0</v>
      </c>
    </row>
    <row r="27" spans="1:14" ht="12" customHeight="1" x14ac:dyDescent="0.2">
      <c r="A27" s="167">
        <f t="shared" si="1"/>
        <v>20</v>
      </c>
      <c r="B27" s="282"/>
      <c r="C27" s="283"/>
      <c r="D27" s="283"/>
      <c r="E27" s="283"/>
      <c r="F27" s="283"/>
      <c r="G27" s="281">
        <f>'Rate Spread and Design'!$I$34</f>
        <v>510328.94558898755</v>
      </c>
      <c r="H27" s="273">
        <v>7.0000000000000007E-2</v>
      </c>
      <c r="I27" s="74">
        <f>ROUND('Rate Spread and Design'!J34,2)</f>
        <v>0.09</v>
      </c>
      <c r="J27" s="284"/>
      <c r="K27" s="286"/>
      <c r="L27" s="286"/>
      <c r="M27" s="289"/>
      <c r="N27" s="278">
        <f>I27-ROUND('Rate Spread and Design'!J34,2)</f>
        <v>0</v>
      </c>
    </row>
    <row r="28" spans="1:14" x14ac:dyDescent="0.2">
      <c r="A28" s="167">
        <f t="shared" si="1"/>
        <v>21</v>
      </c>
      <c r="B28" s="197" t="s">
        <v>211</v>
      </c>
      <c r="C28" s="168" t="s">
        <v>134</v>
      </c>
      <c r="D28" s="169"/>
      <c r="E28" s="168"/>
      <c r="F28" s="168"/>
      <c r="G28" s="187"/>
      <c r="H28" s="191"/>
      <c r="I28" s="192"/>
      <c r="J28" s="179">
        <f>SUM(J22:J27)</f>
        <v>176178887.73723513</v>
      </c>
      <c r="K28" s="179">
        <f>SUM(K22:K27)</f>
        <v>176431154.84120733</v>
      </c>
      <c r="L28" s="179">
        <f>SUM(L22:L27)</f>
        <v>252267.10397220356</v>
      </c>
      <c r="M28" s="180">
        <f>IF(J28=0,"n/a",+L28/J28)</f>
        <v>1.4318804438614202E-3</v>
      </c>
      <c r="N28" s="181"/>
    </row>
    <row r="29" spans="1:14" x14ac:dyDescent="0.2">
      <c r="A29" s="167">
        <f t="shared" si="1"/>
        <v>22</v>
      </c>
      <c r="C29" s="168" t="s">
        <v>134</v>
      </c>
      <c r="D29" s="169"/>
      <c r="E29" s="168"/>
      <c r="F29" s="168"/>
      <c r="G29" s="67"/>
      <c r="H29" s="193" t="s">
        <v>134</v>
      </c>
      <c r="J29" s="172" t="s">
        <v>134</v>
      </c>
      <c r="K29" s="112"/>
      <c r="N29" s="181"/>
    </row>
    <row r="30" spans="1:14" x14ac:dyDescent="0.2">
      <c r="A30" s="167">
        <f t="shared" si="1"/>
        <v>23</v>
      </c>
      <c r="B30" s="119" t="s">
        <v>203</v>
      </c>
      <c r="C30" s="168" t="s">
        <v>134</v>
      </c>
      <c r="D30" s="169"/>
      <c r="E30" s="168"/>
      <c r="F30" s="168"/>
      <c r="G30" s="81"/>
      <c r="H30" s="189" t="s">
        <v>134</v>
      </c>
      <c r="I30" s="190"/>
      <c r="J30" s="172" t="s">
        <v>134</v>
      </c>
      <c r="K30" s="184"/>
      <c r="L30" s="184"/>
      <c r="M30" s="185"/>
      <c r="N30" s="181"/>
    </row>
    <row r="31" spans="1:14" x14ac:dyDescent="0.2">
      <c r="A31" s="167">
        <f t="shared" si="1"/>
        <v>24</v>
      </c>
      <c r="B31" s="287" t="s">
        <v>204</v>
      </c>
      <c r="C31" s="283">
        <v>46</v>
      </c>
      <c r="D31" s="283"/>
      <c r="E31" s="283"/>
      <c r="F31" s="283"/>
      <c r="G31" s="279">
        <f>'Rate Spread and Design'!I37</f>
        <v>93576444.299349248</v>
      </c>
      <c r="H31" s="186">
        <v>9.8999999999999994E-5</v>
      </c>
      <c r="I31" s="87">
        <f>ROUND('Rate Spread and Design'!J37,6)</f>
        <v>1.12E-4</v>
      </c>
      <c r="J31" s="284">
        <v>8632954.8083425947</v>
      </c>
      <c r="K31" s="285">
        <f>J31+G31*(I31-H31)+G32*(I32-H32)</f>
        <v>8638600.5275196284</v>
      </c>
      <c r="L31" s="285">
        <f>+K31-J31</f>
        <v>5645.7191770337522</v>
      </c>
      <c r="M31" s="288">
        <f>IF(J31=0,"n/a",+L31/J31)</f>
        <v>6.5397297939958179E-4</v>
      </c>
      <c r="N31" s="181">
        <f>I31-ROUND('Rate Spread and Design'!J37,6)</f>
        <v>0</v>
      </c>
    </row>
    <row r="32" spans="1:14" x14ac:dyDescent="0.2">
      <c r="A32" s="167">
        <f t="shared" si="1"/>
        <v>25</v>
      </c>
      <c r="B32" s="287"/>
      <c r="C32" s="283"/>
      <c r="D32" s="283"/>
      <c r="E32" s="283"/>
      <c r="F32" s="283"/>
      <c r="G32" s="281">
        <f>'Rate Spread and Design'!$I$38</f>
        <v>442922.54011431197</v>
      </c>
      <c r="H32" s="273">
        <v>0.08</v>
      </c>
      <c r="I32" s="74">
        <f>ROUND('Rate Spread and Design'!J38,2)</f>
        <v>0.09</v>
      </c>
      <c r="J32" s="284"/>
      <c r="K32" s="285"/>
      <c r="L32" s="285"/>
      <c r="M32" s="288"/>
      <c r="N32" s="181">
        <f>I32-ROUND('Rate Spread and Design'!J38,2)</f>
        <v>0</v>
      </c>
    </row>
    <row r="33" spans="1:15" ht="12" customHeight="1" x14ac:dyDescent="0.2">
      <c r="A33" s="167">
        <f t="shared" si="1"/>
        <v>26</v>
      </c>
      <c r="B33" s="282" t="s">
        <v>200</v>
      </c>
      <c r="C33" s="283">
        <v>49</v>
      </c>
      <c r="D33" s="283"/>
      <c r="E33" s="283"/>
      <c r="F33" s="283"/>
      <c r="G33" s="279">
        <f>'Rate Spread and Design'!I41</f>
        <v>530780105.2278645</v>
      </c>
      <c r="H33" s="186">
        <v>3.7800000000000003E-4</v>
      </c>
      <c r="I33" s="87">
        <f>ROUND('Rate Spread and Design'!J41,6)</f>
        <v>4.1800000000000002E-4</v>
      </c>
      <c r="J33" s="284">
        <v>51266328.677455448</v>
      </c>
      <c r="K33" s="285">
        <f>J33+G33*(I33-H33)+G34*(I34-H34)</f>
        <v>51379293.254491337</v>
      </c>
      <c r="L33" s="285">
        <f>+K33-J33</f>
        <v>112964.57703588903</v>
      </c>
      <c r="M33" s="288">
        <f>IF(J33=0,"n/a",+L33/J33)</f>
        <v>2.2034848203508206E-3</v>
      </c>
      <c r="N33" s="181">
        <f>I33-ROUND('Rate Spread and Design'!J41,6)</f>
        <v>0</v>
      </c>
    </row>
    <row r="34" spans="1:15" ht="12" customHeight="1" x14ac:dyDescent="0.2">
      <c r="A34" s="167">
        <f t="shared" si="1"/>
        <v>27</v>
      </c>
      <c r="B34" s="282"/>
      <c r="C34" s="283"/>
      <c r="D34" s="283"/>
      <c r="E34" s="283"/>
      <c r="F34" s="283"/>
      <c r="G34" s="281">
        <f>'Rate Spread and Design'!$I$42</f>
        <v>1310476.7546682116</v>
      </c>
      <c r="H34" s="273">
        <v>0.61</v>
      </c>
      <c r="I34" s="74">
        <f>ROUND('Rate Spread and Design'!J42,2)</f>
        <v>0.68</v>
      </c>
      <c r="J34" s="284"/>
      <c r="K34" s="286"/>
      <c r="L34" s="286"/>
      <c r="M34" s="289"/>
      <c r="N34" s="181">
        <f>I34-ROUND('Rate Spread and Design'!J42,2)</f>
        <v>0</v>
      </c>
    </row>
    <row r="35" spans="1:15" x14ac:dyDescent="0.2">
      <c r="A35" s="167">
        <f t="shared" si="1"/>
        <v>28</v>
      </c>
      <c r="B35" s="199" t="s">
        <v>212</v>
      </c>
      <c r="C35" s="149" t="s">
        <v>134</v>
      </c>
      <c r="D35" s="169"/>
      <c r="E35" s="149"/>
      <c r="F35" s="149"/>
      <c r="G35" s="187"/>
      <c r="H35" s="194"/>
      <c r="I35" s="192"/>
      <c r="J35" s="277">
        <f>SUM(J31:J34)</f>
        <v>59899283.485798046</v>
      </c>
      <c r="K35" s="195">
        <f>SUM(K31:K34)</f>
        <v>60017893.782010965</v>
      </c>
      <c r="L35" s="179">
        <f>SUM(L31:L34)</f>
        <v>118610.29621292278</v>
      </c>
      <c r="M35" s="180">
        <f>IF(J35=0,"n/a",+L35/J35)</f>
        <v>1.9801621874332596E-3</v>
      </c>
      <c r="N35" s="181"/>
    </row>
    <row r="36" spans="1:15" x14ac:dyDescent="0.2">
      <c r="A36" s="167">
        <f t="shared" si="0"/>
        <v>29</v>
      </c>
      <c r="B36" s="136"/>
      <c r="C36" s="168" t="s">
        <v>134</v>
      </c>
      <c r="D36" s="169"/>
      <c r="E36" s="168"/>
      <c r="F36" s="168"/>
      <c r="G36" s="67"/>
      <c r="H36" s="193" t="s">
        <v>134</v>
      </c>
      <c r="J36" s="172" t="s">
        <v>134</v>
      </c>
      <c r="K36" s="112"/>
      <c r="N36" s="181"/>
      <c r="O36" s="196"/>
    </row>
    <row r="37" spans="1:15" x14ac:dyDescent="0.2">
      <c r="A37" s="167">
        <f t="shared" si="0"/>
        <v>30</v>
      </c>
      <c r="B37" s="197" t="s">
        <v>205</v>
      </c>
      <c r="C37" s="173" t="s">
        <v>213</v>
      </c>
      <c r="D37" s="169"/>
      <c r="E37" s="149"/>
      <c r="F37" s="149"/>
      <c r="G37" s="175"/>
      <c r="H37" s="176">
        <v>0</v>
      </c>
      <c r="I37" s="177">
        <f>ROUND('Rate Spread and Design'!J53,6)</f>
        <v>0</v>
      </c>
      <c r="J37" s="178">
        <v>12709106.378682548</v>
      </c>
      <c r="K37" s="179">
        <f>J37+G37*(I37-H37)</f>
        <v>12709106.378682548</v>
      </c>
      <c r="L37" s="179">
        <f>+K37-J37</f>
        <v>0</v>
      </c>
      <c r="M37" s="180">
        <f>IF(J37=0,"n/a",+L37/J37)</f>
        <v>0</v>
      </c>
      <c r="N37" s="181">
        <f>I37-ROUND('Rate Spread and Design'!J53,6)</f>
        <v>0</v>
      </c>
      <c r="O37" s="184"/>
    </row>
    <row r="38" spans="1:15" x14ac:dyDescent="0.2">
      <c r="A38" s="167">
        <f t="shared" si="0"/>
        <v>31</v>
      </c>
      <c r="B38" s="136"/>
      <c r="C38" s="168" t="s">
        <v>134</v>
      </c>
      <c r="D38" s="169"/>
      <c r="E38" s="168"/>
      <c r="F38" s="168"/>
      <c r="G38" s="182"/>
      <c r="H38" s="183"/>
      <c r="I38" s="87"/>
      <c r="J38" s="198" t="s">
        <v>134</v>
      </c>
      <c r="K38" s="184"/>
      <c r="L38" s="184"/>
      <c r="M38" s="185"/>
      <c r="N38" s="181"/>
    </row>
    <row r="39" spans="1:15" x14ac:dyDescent="0.2">
      <c r="A39" s="167">
        <f t="shared" si="0"/>
        <v>32</v>
      </c>
      <c r="B39" s="199" t="s">
        <v>206</v>
      </c>
      <c r="C39" s="173" t="s">
        <v>39</v>
      </c>
      <c r="D39" s="169"/>
      <c r="E39" s="149"/>
      <c r="F39" s="149"/>
      <c r="G39" s="175"/>
      <c r="H39" s="176">
        <v>0</v>
      </c>
      <c r="I39" s="177">
        <f>ROUND('Rate Spread and Design'!J51,6)</f>
        <v>0</v>
      </c>
      <c r="J39" s="178">
        <v>6474248.41007296</v>
      </c>
      <c r="K39" s="179">
        <f>J39+G39*(I39-H39)</f>
        <v>6474248.41007296</v>
      </c>
      <c r="L39" s="179">
        <f>+K39-J39</f>
        <v>0</v>
      </c>
      <c r="M39" s="180">
        <f>IF(J39=0,"n/a",+L39/J39)</f>
        <v>0</v>
      </c>
      <c r="N39" s="181">
        <f>I39-ROUND('Rate Spread and Design'!J51,6)</f>
        <v>0</v>
      </c>
    </row>
    <row r="40" spans="1:15" x14ac:dyDescent="0.2">
      <c r="A40" s="167">
        <f t="shared" si="0"/>
        <v>33</v>
      </c>
      <c r="C40" s="168" t="s">
        <v>134</v>
      </c>
      <c r="D40" s="169"/>
      <c r="E40" s="168"/>
      <c r="F40" s="168"/>
      <c r="G40" s="182"/>
      <c r="H40" s="183" t="s">
        <v>134</v>
      </c>
      <c r="I40" s="87"/>
      <c r="J40" s="198" t="s">
        <v>134</v>
      </c>
      <c r="K40" s="184"/>
      <c r="L40" s="184"/>
      <c r="M40" s="185"/>
      <c r="N40" s="181"/>
    </row>
    <row r="41" spans="1:15" ht="11.4" x14ac:dyDescent="0.2">
      <c r="A41" s="167">
        <f t="shared" si="0"/>
        <v>34</v>
      </c>
      <c r="B41" s="255" t="s">
        <v>185</v>
      </c>
      <c r="C41" s="173" t="s">
        <v>214</v>
      </c>
      <c r="D41" s="169"/>
      <c r="E41" s="149"/>
      <c r="F41" s="149"/>
      <c r="G41" s="280">
        <f>'Rate Spread and Design'!I45</f>
        <v>64491873.674880393</v>
      </c>
      <c r="H41" s="176">
        <v>1.189E-3</v>
      </c>
      <c r="I41" s="177">
        <f>ROUND('Rate Spread and Design'!J45,6)</f>
        <v>1.3600000000000001E-3</v>
      </c>
      <c r="J41" s="178">
        <v>22561829.701769948</v>
      </c>
      <c r="K41" s="179">
        <f>J41+G41*(I41-H41)</f>
        <v>22572857.812168352</v>
      </c>
      <c r="L41" s="179">
        <f>+K41-J41</f>
        <v>11028.1103984043</v>
      </c>
      <c r="M41" s="180">
        <f>IF(J41=0,"n/a",+L41/J41)</f>
        <v>4.887950376444495E-4</v>
      </c>
      <c r="N41" s="181">
        <f>I41-ROUND('Rate Spread and Design'!J45,6)</f>
        <v>0</v>
      </c>
    </row>
    <row r="42" spans="1:15" x14ac:dyDescent="0.2">
      <c r="A42" s="167">
        <f t="shared" si="0"/>
        <v>35</v>
      </c>
      <c r="C42" s="168" t="s">
        <v>134</v>
      </c>
      <c r="D42" s="169"/>
      <c r="E42" s="168"/>
      <c r="F42" s="168"/>
      <c r="G42" s="81"/>
      <c r="H42" s="200" t="s">
        <v>134</v>
      </c>
      <c r="I42" s="190"/>
      <c r="J42" s="198"/>
      <c r="K42" s="184"/>
      <c r="L42" s="184"/>
      <c r="M42" s="185"/>
    </row>
    <row r="43" spans="1:15" ht="10.8" thickBot="1" x14ac:dyDescent="0.25">
      <c r="A43" s="167">
        <f t="shared" si="0"/>
        <v>36</v>
      </c>
      <c r="B43" s="201" t="s">
        <v>3</v>
      </c>
      <c r="C43" s="202" t="s">
        <v>134</v>
      </c>
      <c r="D43" s="203"/>
      <c r="E43" s="202"/>
      <c r="F43" s="202"/>
      <c r="G43" s="204"/>
      <c r="H43" s="205"/>
      <c r="I43" s="206"/>
      <c r="J43" s="207">
        <f>SUM(J9,J19,J28,J35,J37,J41,J39)</f>
        <v>2949996731.7378793</v>
      </c>
      <c r="K43" s="208">
        <f>SUM(K9,K19,K28,K35,K37,K41,K39)</f>
        <v>2954051192.8717418</v>
      </c>
      <c r="L43" s="208">
        <f>SUM(L9,L19,L28,L35,L37,L41,L39)</f>
        <v>4054461.1338619278</v>
      </c>
      <c r="M43" s="209">
        <f>IF(J43=0,"n/a",+L43/J43)</f>
        <v>1.3743951273713429E-3</v>
      </c>
    </row>
    <row r="44" spans="1:15" ht="10.8" thickTop="1" x14ac:dyDescent="0.2">
      <c r="A44" s="167">
        <f t="shared" si="0"/>
        <v>37</v>
      </c>
      <c r="C44" s="171" t="s">
        <v>134</v>
      </c>
      <c r="D44" s="171"/>
      <c r="E44" s="210"/>
      <c r="F44" s="211" t="s">
        <v>113</v>
      </c>
      <c r="G44" s="212">
        <v>0</v>
      </c>
      <c r="H44" s="213" t="s">
        <v>134</v>
      </c>
      <c r="J44" s="213">
        <v>0</v>
      </c>
      <c r="L44" s="184"/>
    </row>
    <row r="45" spans="1:15" x14ac:dyDescent="0.2">
      <c r="A45" s="167">
        <f t="shared" si="0"/>
        <v>38</v>
      </c>
      <c r="C45" s="171" t="s">
        <v>134</v>
      </c>
      <c r="D45" s="171"/>
      <c r="E45" s="210"/>
      <c r="F45" s="210"/>
      <c r="H45" s="210" t="s">
        <v>134</v>
      </c>
      <c r="J45" s="210"/>
    </row>
    <row r="46" spans="1:15" ht="12" x14ac:dyDescent="0.2">
      <c r="A46" s="167">
        <f t="shared" si="0"/>
        <v>39</v>
      </c>
      <c r="B46" s="214" t="s">
        <v>142</v>
      </c>
      <c r="C46" s="215"/>
      <c r="D46" s="216"/>
      <c r="E46" s="217"/>
      <c r="F46" s="217"/>
      <c r="G46" s="218"/>
      <c r="H46" s="218"/>
      <c r="I46" s="216"/>
      <c r="J46" s="217"/>
      <c r="K46" s="217"/>
      <c r="L46" s="216"/>
      <c r="M46" s="216"/>
    </row>
    <row r="47" spans="1:15" s="119" customFormat="1" ht="12" x14ac:dyDescent="0.35">
      <c r="A47" s="167">
        <f t="shared" si="0"/>
        <v>40</v>
      </c>
      <c r="B47" s="219"/>
      <c r="C47" s="219" t="s">
        <v>143</v>
      </c>
      <c r="D47" s="219"/>
      <c r="E47" s="219"/>
      <c r="F47" s="219"/>
      <c r="G47" s="219"/>
      <c r="H47" s="220"/>
      <c r="I47" s="221"/>
      <c r="J47" s="221"/>
      <c r="K47" s="221"/>
      <c r="L47" s="222"/>
      <c r="M47" s="222"/>
      <c r="N47" s="150"/>
    </row>
    <row r="48" spans="1:15" s="119" customFormat="1" ht="24" x14ac:dyDescent="0.35">
      <c r="A48" s="167">
        <f t="shared" si="0"/>
        <v>41</v>
      </c>
      <c r="C48" s="223" t="s">
        <v>40</v>
      </c>
      <c r="D48" s="223" t="s">
        <v>41</v>
      </c>
      <c r="E48" s="223" t="s">
        <v>42</v>
      </c>
      <c r="F48" s="223" t="s">
        <v>144</v>
      </c>
      <c r="G48" s="223" t="s">
        <v>145</v>
      </c>
      <c r="H48" s="223"/>
      <c r="I48" s="223"/>
      <c r="J48" s="223"/>
      <c r="K48" s="224"/>
      <c r="L48" s="224"/>
      <c r="M48" s="224"/>
      <c r="N48" s="150"/>
    </row>
    <row r="49" spans="1:14" x14ac:dyDescent="0.2">
      <c r="A49" s="167">
        <f t="shared" si="0"/>
        <v>42</v>
      </c>
      <c r="B49" s="225" t="s">
        <v>146</v>
      </c>
      <c r="C49" s="226">
        <v>7.49</v>
      </c>
      <c r="D49" s="226">
        <v>53.66</v>
      </c>
      <c r="E49" s="226">
        <v>21.77</v>
      </c>
      <c r="F49" s="226">
        <v>31.03</v>
      </c>
      <c r="G49" s="227">
        <f>SUM(C49:F49)</f>
        <v>113.95</v>
      </c>
      <c r="H49" s="227"/>
      <c r="I49" s="228"/>
      <c r="J49" s="228"/>
      <c r="K49" s="227"/>
      <c r="L49" s="229"/>
      <c r="M49" s="230"/>
    </row>
    <row r="50" spans="1:14" x14ac:dyDescent="0.2">
      <c r="A50" s="167">
        <f t="shared" si="0"/>
        <v>43</v>
      </c>
      <c r="B50" s="225" t="s">
        <v>147</v>
      </c>
      <c r="C50" s="231">
        <f>C49</f>
        <v>7.49</v>
      </c>
      <c r="D50" s="231">
        <f>D49</f>
        <v>53.66</v>
      </c>
      <c r="E50" s="231">
        <f>E49</f>
        <v>21.77</v>
      </c>
      <c r="F50" s="231">
        <f>F49+(800*(I9-H9))</f>
        <v>31.2148</v>
      </c>
      <c r="G50" s="227">
        <f>SUM(C50:F50)</f>
        <v>114.1348</v>
      </c>
      <c r="H50" s="227"/>
      <c r="I50" s="228"/>
      <c r="J50" s="228"/>
      <c r="K50" s="227"/>
      <c r="L50" s="229"/>
      <c r="M50" s="230"/>
    </row>
    <row r="51" spans="1:14" x14ac:dyDescent="0.2">
      <c r="A51" s="167">
        <f t="shared" si="0"/>
        <v>44</v>
      </c>
      <c r="B51" s="225"/>
      <c r="C51" s="231"/>
      <c r="D51" s="231"/>
      <c r="E51" s="231"/>
      <c r="F51" s="231"/>
      <c r="G51" s="227">
        <f>G50-G49</f>
        <v>0.18479999999999563</v>
      </c>
      <c r="H51" s="227"/>
      <c r="I51" s="228"/>
      <c r="J51" s="228"/>
      <c r="K51" s="227"/>
      <c r="L51" s="229"/>
      <c r="M51" s="230"/>
    </row>
    <row r="52" spans="1:14" x14ac:dyDescent="0.2">
      <c r="A52" s="167">
        <f t="shared" si="0"/>
        <v>45</v>
      </c>
      <c r="E52" s="196"/>
      <c r="F52" s="196"/>
      <c r="G52" s="232">
        <f>G51/G49</f>
        <v>1.6217639315488867E-3</v>
      </c>
      <c r="H52" s="196"/>
      <c r="I52" s="196"/>
      <c r="K52" s="196"/>
      <c r="L52" s="196"/>
      <c r="M52" s="196"/>
    </row>
    <row r="53" spans="1:14" x14ac:dyDescent="0.2">
      <c r="A53" s="167">
        <f t="shared" si="0"/>
        <v>46</v>
      </c>
      <c r="E53" s="196"/>
      <c r="F53" s="196"/>
      <c r="G53" s="232"/>
      <c r="H53" s="196"/>
      <c r="I53" s="196"/>
      <c r="K53" s="196"/>
      <c r="L53" s="196"/>
      <c r="M53" s="196"/>
    </row>
    <row r="54" spans="1:14" ht="11.25" customHeight="1" x14ac:dyDescent="0.2">
      <c r="A54" s="167">
        <f t="shared" si="0"/>
        <v>47</v>
      </c>
      <c r="B54" s="291" t="s">
        <v>181</v>
      </c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</row>
    <row r="55" spans="1:14" x14ac:dyDescent="0.2">
      <c r="A55" s="167">
        <f t="shared" si="0"/>
        <v>48</v>
      </c>
      <c r="B55" s="291" t="s">
        <v>182</v>
      </c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</row>
    <row r="56" spans="1:14" x14ac:dyDescent="0.2">
      <c r="A56" s="167"/>
      <c r="D56" s="112"/>
      <c r="E56" s="112"/>
      <c r="F56" s="112"/>
      <c r="G56" s="112"/>
      <c r="H56" s="112"/>
      <c r="J56" s="112"/>
      <c r="K56" s="112"/>
    </row>
    <row r="57" spans="1:14" x14ac:dyDescent="0.2">
      <c r="A57" s="167"/>
      <c r="D57" s="112"/>
      <c r="E57" s="112"/>
      <c r="F57" s="112"/>
      <c r="G57" s="112"/>
      <c r="H57" s="112"/>
      <c r="J57" s="112"/>
      <c r="K57" s="112"/>
      <c r="N57" s="112"/>
    </row>
    <row r="58" spans="1:14" x14ac:dyDescent="0.2">
      <c r="A58" s="167"/>
      <c r="D58" s="112"/>
      <c r="E58" s="112"/>
      <c r="F58" s="112"/>
      <c r="G58" s="112"/>
      <c r="H58" s="112"/>
      <c r="J58" s="112"/>
      <c r="K58" s="112"/>
      <c r="N58" s="112"/>
    </row>
    <row r="59" spans="1:14" x14ac:dyDescent="0.2">
      <c r="A59" s="167"/>
      <c r="D59" s="112"/>
      <c r="E59" s="112"/>
      <c r="F59" s="112"/>
      <c r="G59" s="112"/>
      <c r="H59" s="112"/>
      <c r="J59" s="112"/>
      <c r="K59" s="112"/>
      <c r="N59" s="112"/>
    </row>
    <row r="60" spans="1:14" x14ac:dyDescent="0.2">
      <c r="A60" s="167"/>
      <c r="D60" s="112"/>
      <c r="E60" s="112"/>
      <c r="F60" s="112"/>
      <c r="G60" s="112"/>
      <c r="H60" s="112"/>
      <c r="J60" s="112"/>
      <c r="K60" s="112"/>
      <c r="N60" s="112"/>
    </row>
    <row r="61" spans="1:14" x14ac:dyDescent="0.2">
      <c r="A61" s="167"/>
      <c r="D61" s="112"/>
      <c r="E61" s="112"/>
      <c r="F61" s="112"/>
      <c r="G61" s="112"/>
      <c r="H61" s="112"/>
      <c r="J61" s="112"/>
      <c r="K61" s="112"/>
      <c r="N61" s="112"/>
    </row>
    <row r="62" spans="1:14" x14ac:dyDescent="0.2">
      <c r="A62" s="167"/>
      <c r="D62" s="112"/>
      <c r="E62" s="112"/>
      <c r="F62" s="112"/>
      <c r="G62" s="112"/>
      <c r="H62" s="112"/>
      <c r="J62" s="112"/>
      <c r="K62" s="112"/>
      <c r="N62" s="112"/>
    </row>
    <row r="63" spans="1:14" x14ac:dyDescent="0.2">
      <c r="A63" s="167"/>
      <c r="D63" s="112"/>
      <c r="E63" s="112"/>
      <c r="F63" s="112"/>
      <c r="G63" s="112"/>
      <c r="H63" s="112"/>
      <c r="J63" s="112"/>
      <c r="K63" s="112"/>
      <c r="N63" s="112"/>
    </row>
    <row r="64" spans="1:14" x14ac:dyDescent="0.2">
      <c r="A64" s="167"/>
      <c r="D64" s="112"/>
      <c r="E64" s="112"/>
      <c r="F64" s="112"/>
      <c r="G64" s="112"/>
      <c r="H64" s="112"/>
      <c r="J64" s="112"/>
      <c r="K64" s="112"/>
      <c r="N64" s="112"/>
    </row>
    <row r="65" spans="1:14" x14ac:dyDescent="0.2">
      <c r="A65" s="167"/>
      <c r="D65" s="112"/>
      <c r="E65" s="112"/>
      <c r="F65" s="112"/>
      <c r="G65" s="112"/>
      <c r="H65" s="112"/>
      <c r="J65" s="112"/>
      <c r="K65" s="112"/>
      <c r="N65" s="112"/>
    </row>
    <row r="66" spans="1:14" x14ac:dyDescent="0.2">
      <c r="A66" s="167"/>
      <c r="D66" s="112"/>
      <c r="E66" s="112"/>
      <c r="F66" s="112"/>
      <c r="G66" s="112"/>
      <c r="H66" s="112"/>
      <c r="J66" s="112"/>
      <c r="K66" s="112"/>
      <c r="N66" s="112"/>
    </row>
    <row r="67" spans="1:14" x14ac:dyDescent="0.2">
      <c r="A67" s="167"/>
      <c r="D67" s="112"/>
      <c r="E67" s="112"/>
      <c r="F67" s="112"/>
      <c r="G67" s="112"/>
      <c r="H67" s="112"/>
      <c r="J67" s="112"/>
      <c r="K67" s="112"/>
      <c r="N67" s="112"/>
    </row>
    <row r="68" spans="1:14" x14ac:dyDescent="0.2">
      <c r="A68" s="167"/>
      <c r="D68" s="112"/>
      <c r="E68" s="112"/>
      <c r="F68" s="112"/>
      <c r="G68" s="112"/>
      <c r="H68" s="112"/>
      <c r="J68" s="112"/>
      <c r="K68" s="112"/>
      <c r="N68" s="112"/>
    </row>
    <row r="69" spans="1:14" x14ac:dyDescent="0.2">
      <c r="A69" s="167"/>
      <c r="D69" s="112"/>
      <c r="E69" s="112"/>
      <c r="F69" s="112"/>
      <c r="G69" s="112"/>
      <c r="H69" s="112"/>
      <c r="J69" s="112"/>
      <c r="K69" s="112"/>
      <c r="N69" s="112"/>
    </row>
    <row r="70" spans="1:14" x14ac:dyDescent="0.2">
      <c r="A70" s="167"/>
      <c r="D70" s="112"/>
      <c r="E70" s="112"/>
      <c r="F70" s="112"/>
      <c r="G70" s="112"/>
      <c r="H70" s="112"/>
      <c r="J70" s="112"/>
      <c r="K70" s="112"/>
      <c r="N70" s="112"/>
    </row>
    <row r="71" spans="1:14" x14ac:dyDescent="0.2">
      <c r="A71" s="167"/>
      <c r="D71" s="112"/>
      <c r="E71" s="112"/>
      <c r="F71" s="112"/>
      <c r="G71" s="112"/>
      <c r="H71" s="112"/>
      <c r="J71" s="112"/>
      <c r="K71" s="112"/>
      <c r="N71" s="112"/>
    </row>
    <row r="72" spans="1:14" x14ac:dyDescent="0.2">
      <c r="A72" s="167"/>
      <c r="D72" s="112"/>
      <c r="E72" s="112"/>
      <c r="F72" s="112"/>
      <c r="G72" s="112"/>
      <c r="H72" s="112"/>
      <c r="J72" s="112"/>
      <c r="K72" s="112"/>
      <c r="N72" s="112"/>
    </row>
    <row r="73" spans="1:14" x14ac:dyDescent="0.2">
      <c r="A73" s="167"/>
      <c r="D73" s="112"/>
      <c r="E73" s="112"/>
      <c r="F73" s="112"/>
      <c r="G73" s="112"/>
      <c r="H73" s="112"/>
      <c r="J73" s="112"/>
      <c r="K73" s="112"/>
      <c r="N73" s="112"/>
    </row>
    <row r="74" spans="1:14" x14ac:dyDescent="0.2">
      <c r="A74" s="167"/>
      <c r="D74" s="112"/>
      <c r="E74" s="112"/>
      <c r="F74" s="112"/>
      <c r="G74" s="112"/>
      <c r="H74" s="112"/>
      <c r="J74" s="112"/>
      <c r="K74" s="112"/>
      <c r="N74" s="112"/>
    </row>
    <row r="75" spans="1:14" x14ac:dyDescent="0.2">
      <c r="A75" s="167"/>
      <c r="D75" s="112"/>
      <c r="E75" s="112"/>
      <c r="F75" s="112"/>
      <c r="G75" s="112"/>
      <c r="H75" s="112"/>
      <c r="J75" s="112"/>
      <c r="K75" s="112"/>
      <c r="N75" s="112"/>
    </row>
    <row r="76" spans="1:14" x14ac:dyDescent="0.2">
      <c r="A76" s="167"/>
      <c r="D76" s="112"/>
      <c r="E76" s="112"/>
      <c r="F76" s="112"/>
      <c r="G76" s="112"/>
      <c r="H76" s="112"/>
      <c r="J76" s="112"/>
      <c r="K76" s="112"/>
      <c r="N76" s="112"/>
    </row>
    <row r="77" spans="1:14" x14ac:dyDescent="0.2">
      <c r="A77" s="167"/>
      <c r="D77" s="112"/>
      <c r="E77" s="112"/>
      <c r="F77" s="112"/>
      <c r="G77" s="112"/>
      <c r="H77" s="112"/>
      <c r="J77" s="112"/>
      <c r="K77" s="112"/>
      <c r="N77" s="112"/>
    </row>
    <row r="78" spans="1:14" x14ac:dyDescent="0.2">
      <c r="A78" s="167"/>
      <c r="D78" s="112"/>
      <c r="E78" s="112"/>
      <c r="F78" s="112"/>
      <c r="G78" s="112"/>
      <c r="H78" s="112"/>
      <c r="J78" s="112"/>
      <c r="K78" s="112"/>
      <c r="N78" s="112"/>
    </row>
    <row r="79" spans="1:14" x14ac:dyDescent="0.2">
      <c r="A79" s="167"/>
      <c r="D79" s="112"/>
      <c r="E79" s="112"/>
      <c r="F79" s="112"/>
      <c r="G79" s="112"/>
      <c r="H79" s="112"/>
      <c r="J79" s="112"/>
      <c r="K79" s="112"/>
      <c r="N79" s="112"/>
    </row>
    <row r="80" spans="1:14" x14ac:dyDescent="0.2">
      <c r="A80" s="167"/>
      <c r="D80" s="112"/>
      <c r="E80" s="112"/>
      <c r="F80" s="112"/>
      <c r="G80" s="112"/>
      <c r="H80" s="112"/>
      <c r="J80" s="112"/>
      <c r="K80" s="112"/>
      <c r="N80" s="112"/>
    </row>
    <row r="81" spans="1:14" x14ac:dyDescent="0.2">
      <c r="A81" s="167"/>
      <c r="D81" s="112"/>
      <c r="E81" s="112"/>
      <c r="F81" s="112"/>
      <c r="G81" s="112"/>
      <c r="H81" s="112"/>
      <c r="J81" s="112"/>
      <c r="K81" s="112"/>
      <c r="N81" s="112"/>
    </row>
    <row r="82" spans="1:14" x14ac:dyDescent="0.2">
      <c r="A82" s="167"/>
      <c r="D82" s="112"/>
      <c r="E82" s="112"/>
      <c r="F82" s="112"/>
      <c r="G82" s="112"/>
      <c r="H82" s="112"/>
      <c r="J82" s="112"/>
      <c r="K82" s="112"/>
      <c r="N82" s="112"/>
    </row>
    <row r="83" spans="1:14" x14ac:dyDescent="0.2">
      <c r="A83" s="167"/>
      <c r="D83" s="112"/>
      <c r="E83" s="112"/>
      <c r="F83" s="112"/>
      <c r="G83" s="112"/>
      <c r="H83" s="112"/>
      <c r="J83" s="112"/>
      <c r="K83" s="112"/>
      <c r="N83" s="112"/>
    </row>
    <row r="84" spans="1:14" x14ac:dyDescent="0.2">
      <c r="A84" s="167"/>
      <c r="D84" s="112"/>
      <c r="E84" s="112"/>
      <c r="F84" s="112"/>
      <c r="G84" s="112"/>
      <c r="H84" s="112"/>
      <c r="J84" s="112"/>
      <c r="K84" s="112"/>
      <c r="N84" s="112"/>
    </row>
    <row r="85" spans="1:14" x14ac:dyDescent="0.2">
      <c r="A85" s="167"/>
      <c r="D85" s="112"/>
      <c r="E85" s="112"/>
      <c r="F85" s="112"/>
      <c r="G85" s="112"/>
      <c r="H85" s="112"/>
      <c r="J85" s="112"/>
      <c r="K85" s="112"/>
      <c r="N85" s="112"/>
    </row>
    <row r="86" spans="1:14" x14ac:dyDescent="0.2">
      <c r="A86" s="167"/>
      <c r="D86" s="112"/>
      <c r="E86" s="112"/>
      <c r="F86" s="112"/>
      <c r="G86" s="112"/>
      <c r="H86" s="112"/>
      <c r="J86" s="112"/>
      <c r="K86" s="112"/>
      <c r="N86" s="112"/>
    </row>
    <row r="87" spans="1:14" x14ac:dyDescent="0.2">
      <c r="A87" s="167"/>
      <c r="D87" s="112"/>
      <c r="E87" s="112"/>
      <c r="F87" s="112"/>
      <c r="G87" s="112"/>
      <c r="H87" s="112"/>
      <c r="J87" s="112"/>
      <c r="K87" s="112"/>
      <c r="N87" s="112"/>
    </row>
    <row r="88" spans="1:14" x14ac:dyDescent="0.2">
      <c r="A88" s="167"/>
      <c r="D88" s="112"/>
      <c r="E88" s="112"/>
      <c r="F88" s="112"/>
      <c r="G88" s="112"/>
      <c r="H88" s="112"/>
      <c r="J88" s="112"/>
      <c r="K88" s="112"/>
      <c r="N88" s="112"/>
    </row>
    <row r="89" spans="1:14" x14ac:dyDescent="0.2">
      <c r="A89" s="167"/>
      <c r="D89" s="112"/>
      <c r="E89" s="112"/>
      <c r="F89" s="112"/>
      <c r="G89" s="112"/>
      <c r="H89" s="112"/>
      <c r="J89" s="112"/>
      <c r="K89" s="112"/>
      <c r="N89" s="112"/>
    </row>
    <row r="90" spans="1:14" x14ac:dyDescent="0.2">
      <c r="A90" s="167"/>
      <c r="D90" s="112"/>
      <c r="E90" s="112"/>
      <c r="F90" s="112"/>
      <c r="G90" s="112"/>
      <c r="H90" s="112"/>
      <c r="J90" s="112"/>
      <c r="K90" s="112"/>
      <c r="N90" s="112"/>
    </row>
    <row r="91" spans="1:14" x14ac:dyDescent="0.2">
      <c r="A91" s="167"/>
      <c r="D91" s="112"/>
      <c r="E91" s="112"/>
      <c r="F91" s="112"/>
      <c r="G91" s="112"/>
      <c r="H91" s="112"/>
      <c r="J91" s="112"/>
      <c r="K91" s="112"/>
      <c r="N91" s="112"/>
    </row>
    <row r="92" spans="1:14" x14ac:dyDescent="0.2">
      <c r="A92" s="167"/>
      <c r="D92" s="112"/>
      <c r="E92" s="112"/>
      <c r="F92" s="112"/>
      <c r="G92" s="112"/>
      <c r="H92" s="112"/>
      <c r="J92" s="112"/>
      <c r="K92" s="112"/>
      <c r="N92" s="112"/>
    </row>
    <row r="93" spans="1:14" x14ac:dyDescent="0.2">
      <c r="A93" s="167"/>
      <c r="D93" s="112"/>
      <c r="E93" s="112"/>
      <c r="F93" s="112"/>
      <c r="G93" s="112"/>
      <c r="H93" s="112"/>
      <c r="J93" s="112"/>
      <c r="K93" s="112"/>
      <c r="N93" s="112"/>
    </row>
    <row r="94" spans="1:14" x14ac:dyDescent="0.2">
      <c r="A94" s="167"/>
      <c r="D94" s="112"/>
      <c r="E94" s="112"/>
      <c r="F94" s="112"/>
      <c r="G94" s="112"/>
      <c r="H94" s="112"/>
      <c r="J94" s="112"/>
      <c r="K94" s="112"/>
      <c r="N94" s="112"/>
    </row>
    <row r="95" spans="1:14" x14ac:dyDescent="0.2">
      <c r="A95" s="167"/>
      <c r="D95" s="112"/>
      <c r="E95" s="112"/>
      <c r="F95" s="112"/>
      <c r="G95" s="112"/>
      <c r="H95" s="112"/>
      <c r="J95" s="112"/>
      <c r="K95" s="112"/>
      <c r="N95" s="112"/>
    </row>
    <row r="96" spans="1:14" x14ac:dyDescent="0.2">
      <c r="A96" s="167"/>
      <c r="D96" s="112"/>
      <c r="E96" s="112"/>
      <c r="F96" s="112"/>
      <c r="G96" s="112"/>
      <c r="H96" s="112"/>
      <c r="J96" s="112"/>
      <c r="K96" s="112"/>
      <c r="N96" s="112"/>
    </row>
    <row r="97" spans="1:14" x14ac:dyDescent="0.2">
      <c r="A97" s="167"/>
      <c r="D97" s="112"/>
      <c r="E97" s="112"/>
      <c r="F97" s="112"/>
      <c r="G97" s="112"/>
      <c r="H97" s="112"/>
      <c r="J97" s="112"/>
      <c r="K97" s="112"/>
      <c r="N97" s="112"/>
    </row>
    <row r="98" spans="1:14" x14ac:dyDescent="0.2">
      <c r="A98" s="167"/>
      <c r="D98" s="112"/>
      <c r="E98" s="112"/>
      <c r="F98" s="112"/>
      <c r="G98" s="112"/>
      <c r="H98" s="112"/>
      <c r="J98" s="112"/>
      <c r="K98" s="112"/>
      <c r="N98" s="112"/>
    </row>
    <row r="99" spans="1:14" x14ac:dyDescent="0.2">
      <c r="A99" s="167"/>
      <c r="D99" s="112"/>
      <c r="E99" s="112"/>
      <c r="F99" s="112"/>
      <c r="G99" s="112"/>
      <c r="H99" s="112"/>
      <c r="J99" s="112"/>
      <c r="K99" s="112"/>
      <c r="N99" s="112"/>
    </row>
    <row r="100" spans="1:14" x14ac:dyDescent="0.2">
      <c r="A100" s="167"/>
      <c r="D100" s="112"/>
      <c r="E100" s="112"/>
      <c r="F100" s="112"/>
      <c r="G100" s="112"/>
      <c r="H100" s="112"/>
      <c r="J100" s="112"/>
      <c r="K100" s="112"/>
      <c r="N100" s="112"/>
    </row>
    <row r="101" spans="1:14" x14ac:dyDescent="0.2">
      <c r="A101" s="167"/>
      <c r="D101" s="112"/>
      <c r="E101" s="112"/>
      <c r="F101" s="112"/>
      <c r="G101" s="112"/>
      <c r="H101" s="112"/>
      <c r="J101" s="112"/>
      <c r="K101" s="112"/>
      <c r="N101" s="112"/>
    </row>
    <row r="102" spans="1:14" x14ac:dyDescent="0.2">
      <c r="A102" s="167"/>
      <c r="D102" s="112"/>
      <c r="E102" s="112"/>
      <c r="F102" s="112"/>
      <c r="G102" s="112"/>
      <c r="H102" s="112"/>
      <c r="J102" s="112"/>
      <c r="K102" s="112"/>
      <c r="N102" s="112"/>
    </row>
    <row r="103" spans="1:14" x14ac:dyDescent="0.2">
      <c r="A103" s="167"/>
      <c r="D103" s="112"/>
      <c r="E103" s="112"/>
      <c r="F103" s="112"/>
      <c r="G103" s="112"/>
      <c r="H103" s="112"/>
      <c r="J103" s="112"/>
      <c r="K103" s="112"/>
      <c r="N103" s="112"/>
    </row>
    <row r="104" spans="1:14" x14ac:dyDescent="0.2">
      <c r="A104" s="167"/>
      <c r="D104" s="112"/>
      <c r="E104" s="112"/>
      <c r="F104" s="112"/>
      <c r="G104" s="112"/>
      <c r="H104" s="112"/>
      <c r="J104" s="112"/>
      <c r="K104" s="112"/>
      <c r="N104" s="112"/>
    </row>
    <row r="105" spans="1:14" x14ac:dyDescent="0.2">
      <c r="A105" s="167"/>
      <c r="D105" s="112"/>
      <c r="E105" s="112"/>
      <c r="F105" s="112"/>
      <c r="G105" s="112"/>
      <c r="H105" s="112"/>
      <c r="J105" s="112"/>
      <c r="K105" s="112"/>
      <c r="N105" s="112"/>
    </row>
    <row r="106" spans="1:14" x14ac:dyDescent="0.2">
      <c r="A106" s="167"/>
      <c r="D106" s="112"/>
      <c r="E106" s="112"/>
      <c r="F106" s="112"/>
      <c r="G106" s="112"/>
      <c r="H106" s="112"/>
      <c r="J106" s="112"/>
      <c r="K106" s="112"/>
      <c r="N106" s="112"/>
    </row>
    <row r="107" spans="1:14" x14ac:dyDescent="0.2">
      <c r="A107" s="167"/>
      <c r="D107" s="112"/>
      <c r="E107" s="112"/>
      <c r="F107" s="112"/>
      <c r="G107" s="112"/>
      <c r="H107" s="112"/>
      <c r="J107" s="112"/>
      <c r="K107" s="112"/>
      <c r="N107" s="112"/>
    </row>
    <row r="108" spans="1:14" x14ac:dyDescent="0.2">
      <c r="A108" s="167"/>
      <c r="D108" s="112"/>
      <c r="E108" s="112"/>
      <c r="F108" s="112"/>
      <c r="G108" s="112"/>
      <c r="H108" s="112"/>
      <c r="J108" s="112"/>
      <c r="K108" s="112"/>
      <c r="N108" s="112"/>
    </row>
    <row r="109" spans="1:14" x14ac:dyDescent="0.2">
      <c r="A109" s="167"/>
      <c r="D109" s="112"/>
      <c r="E109" s="112"/>
      <c r="F109" s="112"/>
      <c r="G109" s="112"/>
      <c r="H109" s="112"/>
      <c r="J109" s="112"/>
      <c r="K109" s="112"/>
      <c r="N109" s="112"/>
    </row>
    <row r="110" spans="1:14" x14ac:dyDescent="0.2">
      <c r="A110" s="167"/>
      <c r="D110" s="112"/>
      <c r="E110" s="112"/>
      <c r="F110" s="112"/>
      <c r="G110" s="112"/>
      <c r="H110" s="112"/>
      <c r="J110" s="112"/>
      <c r="K110" s="112"/>
      <c r="N110" s="112"/>
    </row>
    <row r="111" spans="1:14" x14ac:dyDescent="0.2">
      <c r="A111" s="167"/>
      <c r="D111" s="112"/>
      <c r="E111" s="112"/>
      <c r="F111" s="112"/>
      <c r="G111" s="112"/>
      <c r="H111" s="112"/>
      <c r="J111" s="112"/>
      <c r="K111" s="112"/>
      <c r="N111" s="112"/>
    </row>
    <row r="112" spans="1:14" x14ac:dyDescent="0.2">
      <c r="A112" s="167"/>
      <c r="D112" s="112"/>
      <c r="E112" s="112"/>
      <c r="F112" s="112"/>
      <c r="G112" s="112"/>
      <c r="H112" s="112"/>
      <c r="J112" s="112"/>
      <c r="K112" s="112"/>
      <c r="N112" s="112"/>
    </row>
    <row r="113" spans="1:14" x14ac:dyDescent="0.2">
      <c r="A113" s="167"/>
      <c r="D113" s="112"/>
      <c r="E113" s="112"/>
      <c r="F113" s="112"/>
      <c r="G113" s="112"/>
      <c r="H113" s="112"/>
      <c r="J113" s="112"/>
      <c r="K113" s="112"/>
      <c r="N113" s="112"/>
    </row>
    <row r="114" spans="1:14" x14ac:dyDescent="0.2">
      <c r="A114" s="167"/>
      <c r="D114" s="112"/>
      <c r="E114" s="112"/>
      <c r="F114" s="112"/>
      <c r="G114" s="112"/>
      <c r="H114" s="112"/>
      <c r="J114" s="112"/>
      <c r="K114" s="112"/>
      <c r="N114" s="112"/>
    </row>
    <row r="115" spans="1:14" x14ac:dyDescent="0.2">
      <c r="A115" s="167"/>
      <c r="D115" s="112"/>
      <c r="E115" s="112"/>
      <c r="F115" s="112"/>
      <c r="G115" s="112"/>
      <c r="H115" s="112"/>
      <c r="J115" s="112"/>
      <c r="K115" s="112"/>
      <c r="N115" s="112"/>
    </row>
    <row r="116" spans="1:14" x14ac:dyDescent="0.2">
      <c r="A116" s="167"/>
      <c r="D116" s="112"/>
      <c r="E116" s="112"/>
      <c r="F116" s="112"/>
      <c r="G116" s="112"/>
      <c r="H116" s="112"/>
      <c r="J116" s="112"/>
      <c r="K116" s="112"/>
      <c r="N116" s="112"/>
    </row>
    <row r="117" spans="1:14" x14ac:dyDescent="0.2">
      <c r="A117" s="167"/>
      <c r="D117" s="112"/>
      <c r="E117" s="112"/>
      <c r="F117" s="112"/>
      <c r="G117" s="112"/>
      <c r="H117" s="112"/>
      <c r="J117" s="112"/>
      <c r="K117" s="112"/>
      <c r="N117" s="112"/>
    </row>
    <row r="118" spans="1:14" x14ac:dyDescent="0.2">
      <c r="A118" s="167"/>
      <c r="D118" s="112"/>
      <c r="E118" s="112"/>
      <c r="F118" s="112"/>
      <c r="G118" s="112"/>
      <c r="H118" s="112"/>
      <c r="J118" s="112"/>
      <c r="K118" s="112"/>
      <c r="N118" s="112"/>
    </row>
    <row r="119" spans="1:14" x14ac:dyDescent="0.2">
      <c r="A119" s="167"/>
      <c r="D119" s="112"/>
      <c r="E119" s="112"/>
      <c r="F119" s="112"/>
      <c r="G119" s="112"/>
      <c r="H119" s="112"/>
      <c r="J119" s="112"/>
      <c r="K119" s="112"/>
      <c r="N119" s="112"/>
    </row>
    <row r="120" spans="1:14" x14ac:dyDescent="0.2">
      <c r="A120" s="167"/>
      <c r="D120" s="112"/>
      <c r="E120" s="112"/>
      <c r="F120" s="112"/>
      <c r="G120" s="112"/>
      <c r="H120" s="112"/>
      <c r="J120" s="112"/>
      <c r="K120" s="112"/>
      <c r="N120" s="112"/>
    </row>
    <row r="121" spans="1:14" x14ac:dyDescent="0.2">
      <c r="A121" s="167"/>
      <c r="D121" s="112"/>
      <c r="E121" s="112"/>
      <c r="F121" s="112"/>
      <c r="G121" s="112"/>
      <c r="H121" s="112"/>
      <c r="J121" s="112"/>
      <c r="K121" s="112"/>
      <c r="N121" s="112"/>
    </row>
    <row r="122" spans="1:14" x14ac:dyDescent="0.2">
      <c r="A122" s="167"/>
      <c r="D122" s="112"/>
      <c r="E122" s="112"/>
      <c r="F122" s="112"/>
      <c r="G122" s="112"/>
      <c r="H122" s="112"/>
      <c r="J122" s="112"/>
      <c r="K122" s="112"/>
      <c r="N122" s="112"/>
    </row>
    <row r="123" spans="1:14" x14ac:dyDescent="0.2">
      <c r="A123" s="167"/>
      <c r="D123" s="112"/>
      <c r="E123" s="112"/>
      <c r="F123" s="112"/>
      <c r="G123" s="112"/>
      <c r="H123" s="112"/>
      <c r="J123" s="112"/>
      <c r="K123" s="112"/>
      <c r="N123" s="112"/>
    </row>
    <row r="124" spans="1:14" x14ac:dyDescent="0.2">
      <c r="A124" s="167"/>
      <c r="D124" s="112"/>
      <c r="E124" s="112"/>
      <c r="F124" s="112"/>
      <c r="G124" s="112"/>
      <c r="H124" s="112"/>
      <c r="J124" s="112"/>
      <c r="K124" s="112"/>
      <c r="N124" s="112"/>
    </row>
    <row r="125" spans="1:14" x14ac:dyDescent="0.2">
      <c r="A125" s="167"/>
      <c r="D125" s="112"/>
      <c r="E125" s="112"/>
      <c r="F125" s="112"/>
      <c r="G125" s="112"/>
      <c r="H125" s="112"/>
      <c r="J125" s="112"/>
      <c r="K125" s="112"/>
      <c r="N125" s="112"/>
    </row>
    <row r="126" spans="1:14" x14ac:dyDescent="0.2">
      <c r="A126" s="167"/>
      <c r="D126" s="112"/>
      <c r="E126" s="112"/>
      <c r="F126" s="112"/>
      <c r="G126" s="112"/>
      <c r="H126" s="112"/>
      <c r="J126" s="112"/>
      <c r="K126" s="112"/>
      <c r="N126" s="112"/>
    </row>
    <row r="127" spans="1:14" x14ac:dyDescent="0.2">
      <c r="A127" s="167"/>
      <c r="D127" s="112"/>
      <c r="E127" s="112"/>
      <c r="F127" s="112"/>
      <c r="G127" s="112"/>
      <c r="H127" s="112"/>
      <c r="J127" s="112"/>
      <c r="K127" s="112"/>
      <c r="N127" s="112"/>
    </row>
    <row r="128" spans="1:14" x14ac:dyDescent="0.2">
      <c r="A128" s="167"/>
      <c r="D128" s="112"/>
      <c r="E128" s="112"/>
      <c r="F128" s="112"/>
      <c r="G128" s="112"/>
      <c r="H128" s="112"/>
      <c r="J128" s="112"/>
      <c r="K128" s="112"/>
      <c r="N128" s="112"/>
    </row>
    <row r="129" spans="1:14" x14ac:dyDescent="0.2">
      <c r="A129" s="167"/>
      <c r="D129" s="112"/>
      <c r="E129" s="112"/>
      <c r="F129" s="112"/>
      <c r="G129" s="112"/>
      <c r="H129" s="112"/>
      <c r="J129" s="112"/>
      <c r="K129" s="112"/>
      <c r="N129" s="112"/>
    </row>
    <row r="130" spans="1:14" x14ac:dyDescent="0.2">
      <c r="A130" s="167"/>
      <c r="D130" s="112"/>
      <c r="E130" s="112"/>
      <c r="F130" s="112"/>
      <c r="G130" s="112"/>
      <c r="H130" s="112"/>
      <c r="J130" s="112"/>
      <c r="K130" s="112"/>
      <c r="N130" s="112"/>
    </row>
    <row r="131" spans="1:14" x14ac:dyDescent="0.2">
      <c r="A131" s="167"/>
      <c r="D131" s="112"/>
      <c r="E131" s="112"/>
      <c r="F131" s="112"/>
      <c r="G131" s="112"/>
      <c r="H131" s="112"/>
      <c r="J131" s="112"/>
      <c r="K131" s="112"/>
      <c r="N131" s="112"/>
    </row>
    <row r="132" spans="1:14" x14ac:dyDescent="0.2">
      <c r="A132" s="167"/>
      <c r="D132" s="112"/>
      <c r="E132" s="112"/>
      <c r="F132" s="112"/>
      <c r="G132" s="112"/>
      <c r="H132" s="112"/>
      <c r="J132" s="112"/>
      <c r="K132" s="112"/>
      <c r="N132" s="112"/>
    </row>
    <row r="133" spans="1:14" x14ac:dyDescent="0.2">
      <c r="A133" s="167"/>
      <c r="D133" s="112"/>
      <c r="E133" s="112"/>
      <c r="F133" s="112"/>
      <c r="G133" s="112"/>
      <c r="H133" s="112"/>
      <c r="J133" s="112"/>
      <c r="K133" s="112"/>
      <c r="N133" s="112"/>
    </row>
    <row r="134" spans="1:14" x14ac:dyDescent="0.2">
      <c r="A134" s="167"/>
      <c r="D134" s="112"/>
      <c r="E134" s="112"/>
      <c r="F134" s="112"/>
      <c r="G134" s="112"/>
      <c r="H134" s="112"/>
      <c r="J134" s="112"/>
      <c r="K134" s="112"/>
      <c r="N134" s="112"/>
    </row>
    <row r="135" spans="1:14" x14ac:dyDescent="0.2">
      <c r="A135" s="167"/>
      <c r="D135" s="112"/>
      <c r="E135" s="112"/>
      <c r="F135" s="112"/>
      <c r="G135" s="112"/>
      <c r="H135" s="112"/>
      <c r="J135" s="112"/>
      <c r="K135" s="112"/>
      <c r="N135" s="112"/>
    </row>
    <row r="136" spans="1:14" x14ac:dyDescent="0.2">
      <c r="A136" s="167"/>
      <c r="D136" s="112"/>
      <c r="E136" s="112"/>
      <c r="F136" s="112"/>
      <c r="G136" s="112"/>
      <c r="H136" s="112"/>
      <c r="J136" s="112"/>
      <c r="K136" s="112"/>
      <c r="N136" s="112"/>
    </row>
    <row r="137" spans="1:14" x14ac:dyDescent="0.2">
      <c r="A137" s="167"/>
      <c r="D137" s="112"/>
      <c r="E137" s="112"/>
      <c r="F137" s="112"/>
      <c r="G137" s="112"/>
      <c r="H137" s="112"/>
      <c r="J137" s="112"/>
      <c r="K137" s="112"/>
      <c r="N137" s="112"/>
    </row>
    <row r="138" spans="1:14" x14ac:dyDescent="0.2">
      <c r="A138" s="167"/>
      <c r="D138" s="112"/>
      <c r="E138" s="112"/>
      <c r="F138" s="112"/>
      <c r="G138" s="112"/>
      <c r="H138" s="112"/>
      <c r="J138" s="112"/>
      <c r="K138" s="112"/>
      <c r="N138" s="112"/>
    </row>
    <row r="139" spans="1:14" x14ac:dyDescent="0.2">
      <c r="A139" s="167"/>
      <c r="D139" s="112"/>
      <c r="E139" s="112"/>
      <c r="F139" s="112"/>
      <c r="G139" s="112"/>
      <c r="H139" s="112"/>
      <c r="J139" s="112"/>
      <c r="K139" s="112"/>
      <c r="N139" s="112"/>
    </row>
    <row r="140" spans="1:14" x14ac:dyDescent="0.2">
      <c r="A140" s="167"/>
      <c r="D140" s="112"/>
      <c r="E140" s="112"/>
      <c r="F140" s="112"/>
      <c r="G140" s="112"/>
      <c r="H140" s="112"/>
      <c r="J140" s="112"/>
      <c r="K140" s="112"/>
      <c r="N140" s="112"/>
    </row>
    <row r="141" spans="1:14" x14ac:dyDescent="0.2">
      <c r="A141" s="167"/>
      <c r="D141" s="112"/>
      <c r="E141" s="112"/>
      <c r="F141" s="112"/>
      <c r="G141" s="112"/>
      <c r="H141" s="112"/>
      <c r="J141" s="112"/>
      <c r="K141" s="112"/>
      <c r="N141" s="112"/>
    </row>
    <row r="142" spans="1:14" x14ac:dyDescent="0.2">
      <c r="A142" s="167"/>
      <c r="D142" s="112"/>
      <c r="E142" s="112"/>
      <c r="F142" s="112"/>
      <c r="G142" s="112"/>
      <c r="H142" s="112"/>
      <c r="J142" s="112"/>
      <c r="K142" s="112"/>
      <c r="N142" s="112"/>
    </row>
    <row r="143" spans="1:14" x14ac:dyDescent="0.2">
      <c r="A143" s="167"/>
      <c r="D143" s="112"/>
      <c r="E143" s="112"/>
      <c r="F143" s="112"/>
      <c r="G143" s="112"/>
      <c r="H143" s="112"/>
      <c r="J143" s="112"/>
      <c r="K143" s="112"/>
      <c r="N143" s="112"/>
    </row>
    <row r="144" spans="1:14" x14ac:dyDescent="0.2">
      <c r="A144" s="167"/>
      <c r="D144" s="112"/>
      <c r="E144" s="112"/>
      <c r="F144" s="112"/>
      <c r="G144" s="112"/>
      <c r="H144" s="112"/>
      <c r="J144" s="112"/>
      <c r="K144" s="112"/>
      <c r="N144" s="112"/>
    </row>
    <row r="145" spans="1:14" x14ac:dyDescent="0.2">
      <c r="A145" s="167"/>
      <c r="D145" s="112"/>
      <c r="E145" s="112"/>
      <c r="F145" s="112"/>
      <c r="G145" s="112"/>
      <c r="H145" s="112"/>
      <c r="J145" s="112"/>
      <c r="K145" s="112"/>
      <c r="N145" s="112"/>
    </row>
    <row r="146" spans="1:14" x14ac:dyDescent="0.2">
      <c r="A146" s="167"/>
      <c r="D146" s="112"/>
      <c r="E146" s="112"/>
      <c r="F146" s="112"/>
      <c r="G146" s="112"/>
      <c r="H146" s="112"/>
      <c r="J146" s="112"/>
      <c r="K146" s="112"/>
      <c r="N146" s="112"/>
    </row>
    <row r="147" spans="1:14" x14ac:dyDescent="0.2">
      <c r="A147" s="167"/>
      <c r="D147" s="112"/>
      <c r="E147" s="112"/>
      <c r="F147" s="112"/>
      <c r="G147" s="112"/>
      <c r="H147" s="112"/>
      <c r="J147" s="112"/>
      <c r="K147" s="112"/>
      <c r="N147" s="112"/>
    </row>
    <row r="148" spans="1:14" x14ac:dyDescent="0.2">
      <c r="A148" s="167"/>
      <c r="D148" s="112"/>
      <c r="E148" s="112"/>
      <c r="F148" s="112"/>
      <c r="G148" s="112"/>
      <c r="H148" s="112"/>
      <c r="J148" s="112"/>
      <c r="K148" s="112"/>
      <c r="N148" s="112"/>
    </row>
    <row r="149" spans="1:14" x14ac:dyDescent="0.2">
      <c r="A149" s="167"/>
      <c r="D149" s="112"/>
      <c r="E149" s="112"/>
      <c r="F149" s="112"/>
      <c r="G149" s="112"/>
      <c r="H149" s="112"/>
      <c r="J149" s="112"/>
      <c r="K149" s="112"/>
      <c r="N149" s="112"/>
    </row>
    <row r="150" spans="1:14" x14ac:dyDescent="0.2">
      <c r="A150" s="167"/>
      <c r="D150" s="112"/>
      <c r="E150" s="112"/>
      <c r="F150" s="112"/>
      <c r="G150" s="112"/>
      <c r="H150" s="112"/>
      <c r="J150" s="112"/>
      <c r="K150" s="112"/>
      <c r="N150" s="112"/>
    </row>
    <row r="151" spans="1:14" x14ac:dyDescent="0.2">
      <c r="A151" s="167"/>
      <c r="D151" s="112"/>
      <c r="E151" s="112"/>
      <c r="F151" s="112"/>
      <c r="G151" s="112"/>
      <c r="H151" s="112"/>
      <c r="J151" s="112"/>
      <c r="K151" s="112"/>
      <c r="N151" s="112"/>
    </row>
    <row r="152" spans="1:14" x14ac:dyDescent="0.2">
      <c r="A152" s="167"/>
      <c r="D152" s="112"/>
      <c r="E152" s="112"/>
      <c r="F152" s="112"/>
      <c r="G152" s="112"/>
      <c r="H152" s="112"/>
      <c r="J152" s="112"/>
      <c r="K152" s="112"/>
      <c r="N152" s="112"/>
    </row>
    <row r="153" spans="1:14" x14ac:dyDescent="0.2">
      <c r="A153" s="167"/>
      <c r="D153" s="112"/>
      <c r="E153" s="112"/>
      <c r="F153" s="112"/>
      <c r="G153" s="112"/>
      <c r="H153" s="112"/>
      <c r="J153" s="112"/>
      <c r="K153" s="112"/>
      <c r="N153" s="112"/>
    </row>
    <row r="154" spans="1:14" x14ac:dyDescent="0.2">
      <c r="A154" s="167"/>
      <c r="D154" s="112"/>
      <c r="E154" s="112"/>
      <c r="F154" s="112"/>
      <c r="G154" s="112"/>
      <c r="H154" s="112"/>
      <c r="J154" s="112"/>
      <c r="K154" s="112"/>
      <c r="N154" s="112"/>
    </row>
    <row r="155" spans="1:14" x14ac:dyDescent="0.2">
      <c r="A155" s="167"/>
      <c r="D155" s="112"/>
      <c r="E155" s="112"/>
      <c r="F155" s="112"/>
      <c r="G155" s="112"/>
      <c r="H155" s="112"/>
      <c r="J155" s="112"/>
      <c r="K155" s="112"/>
      <c r="N155" s="112"/>
    </row>
    <row r="156" spans="1:14" x14ac:dyDescent="0.2">
      <c r="A156" s="167"/>
      <c r="D156" s="112"/>
      <c r="E156" s="112"/>
      <c r="F156" s="112"/>
      <c r="G156" s="112"/>
      <c r="H156" s="112"/>
      <c r="J156" s="112"/>
      <c r="K156" s="112"/>
      <c r="N156" s="112"/>
    </row>
    <row r="157" spans="1:14" x14ac:dyDescent="0.2">
      <c r="A157" s="167"/>
      <c r="D157" s="112"/>
      <c r="E157" s="112"/>
      <c r="F157" s="112"/>
      <c r="G157" s="112"/>
      <c r="H157" s="112"/>
      <c r="J157" s="112"/>
      <c r="K157" s="112"/>
      <c r="N157" s="112"/>
    </row>
    <row r="158" spans="1:14" x14ac:dyDescent="0.2">
      <c r="A158" s="167"/>
      <c r="D158" s="112"/>
      <c r="E158" s="112"/>
      <c r="F158" s="112"/>
      <c r="G158" s="112"/>
      <c r="H158" s="112"/>
      <c r="J158" s="112"/>
      <c r="K158" s="112"/>
      <c r="N158" s="112"/>
    </row>
    <row r="159" spans="1:14" x14ac:dyDescent="0.2">
      <c r="A159" s="167"/>
      <c r="D159" s="112"/>
      <c r="E159" s="112"/>
      <c r="F159" s="112"/>
      <c r="G159" s="112"/>
      <c r="H159" s="112"/>
      <c r="J159" s="112"/>
      <c r="K159" s="112"/>
      <c r="N159" s="112"/>
    </row>
    <row r="160" spans="1:14" x14ac:dyDescent="0.2">
      <c r="A160" s="167"/>
      <c r="D160" s="112"/>
      <c r="E160" s="112"/>
      <c r="F160" s="112"/>
      <c r="G160" s="112"/>
      <c r="H160" s="112"/>
      <c r="J160" s="112"/>
      <c r="K160" s="112"/>
      <c r="N160" s="112"/>
    </row>
    <row r="161" spans="1:14" x14ac:dyDescent="0.2">
      <c r="A161" s="167"/>
      <c r="D161" s="112"/>
      <c r="E161" s="112"/>
      <c r="F161" s="112"/>
      <c r="G161" s="112"/>
      <c r="H161" s="112"/>
      <c r="J161" s="112"/>
      <c r="K161" s="112"/>
      <c r="N161" s="112"/>
    </row>
    <row r="162" spans="1:14" x14ac:dyDescent="0.2">
      <c r="A162" s="167"/>
      <c r="D162" s="112"/>
      <c r="E162" s="112"/>
      <c r="F162" s="112"/>
      <c r="G162" s="112"/>
      <c r="H162" s="112"/>
      <c r="J162" s="112"/>
      <c r="K162" s="112"/>
      <c r="N162" s="112"/>
    </row>
    <row r="163" spans="1:14" x14ac:dyDescent="0.2">
      <c r="A163" s="167"/>
      <c r="D163" s="112"/>
      <c r="E163" s="112"/>
      <c r="F163" s="112"/>
      <c r="G163" s="112"/>
      <c r="H163" s="112"/>
      <c r="J163" s="112"/>
      <c r="K163" s="112"/>
      <c r="N163" s="112"/>
    </row>
    <row r="164" spans="1:14" x14ac:dyDescent="0.2">
      <c r="A164" s="167"/>
      <c r="D164" s="112"/>
      <c r="E164" s="112"/>
      <c r="F164" s="112"/>
      <c r="G164" s="112"/>
      <c r="H164" s="112"/>
      <c r="J164" s="112"/>
      <c r="K164" s="112"/>
      <c r="N164" s="112"/>
    </row>
    <row r="165" spans="1:14" x14ac:dyDescent="0.2">
      <c r="A165" s="167"/>
      <c r="D165" s="112"/>
      <c r="E165" s="112"/>
      <c r="F165" s="112"/>
      <c r="G165" s="112"/>
      <c r="H165" s="112"/>
      <c r="J165" s="112"/>
      <c r="K165" s="112"/>
      <c r="N165" s="112"/>
    </row>
    <row r="166" spans="1:14" x14ac:dyDescent="0.2">
      <c r="A166" s="167"/>
      <c r="D166" s="112"/>
      <c r="E166" s="112"/>
      <c r="F166" s="112"/>
      <c r="G166" s="112"/>
      <c r="H166" s="112"/>
      <c r="J166" s="112"/>
      <c r="K166" s="112"/>
      <c r="N166" s="112"/>
    </row>
    <row r="167" spans="1:14" x14ac:dyDescent="0.2">
      <c r="A167" s="167"/>
      <c r="D167" s="112"/>
      <c r="E167" s="112"/>
      <c r="F167" s="112"/>
      <c r="G167" s="112"/>
      <c r="H167" s="112"/>
      <c r="J167" s="112"/>
      <c r="K167" s="112"/>
      <c r="N167" s="112"/>
    </row>
    <row r="168" spans="1:14" x14ac:dyDescent="0.2">
      <c r="A168" s="167"/>
      <c r="D168" s="112"/>
      <c r="E168" s="112"/>
      <c r="F168" s="112"/>
      <c r="G168" s="112"/>
      <c r="H168" s="112"/>
      <c r="J168" s="112"/>
      <c r="K168" s="112"/>
      <c r="N168" s="112"/>
    </row>
    <row r="169" spans="1:14" x14ac:dyDescent="0.2">
      <c r="A169" s="167"/>
      <c r="D169" s="112"/>
      <c r="E169" s="112"/>
      <c r="F169" s="112"/>
      <c r="G169" s="112"/>
      <c r="H169" s="112"/>
      <c r="J169" s="112"/>
      <c r="K169" s="112"/>
      <c r="N169" s="112"/>
    </row>
    <row r="170" spans="1:14" x14ac:dyDescent="0.2">
      <c r="A170" s="167"/>
      <c r="D170" s="112"/>
      <c r="E170" s="112"/>
      <c r="F170" s="112"/>
      <c r="G170" s="112"/>
      <c r="H170" s="112"/>
      <c r="J170" s="112"/>
      <c r="K170" s="112"/>
      <c r="N170" s="112"/>
    </row>
    <row r="171" spans="1:14" x14ac:dyDescent="0.2">
      <c r="A171" s="167"/>
      <c r="D171" s="112"/>
      <c r="E171" s="112"/>
      <c r="F171" s="112"/>
      <c r="G171" s="112"/>
      <c r="H171" s="112"/>
      <c r="J171" s="112"/>
      <c r="K171" s="112"/>
      <c r="N171" s="112"/>
    </row>
    <row r="172" spans="1:14" x14ac:dyDescent="0.2">
      <c r="A172" s="167"/>
      <c r="D172" s="112"/>
      <c r="E172" s="112"/>
      <c r="F172" s="112"/>
      <c r="G172" s="112"/>
      <c r="H172" s="112"/>
      <c r="J172" s="112"/>
      <c r="K172" s="112"/>
      <c r="N172" s="112"/>
    </row>
    <row r="173" spans="1:14" x14ac:dyDescent="0.2">
      <c r="A173" s="167"/>
      <c r="D173" s="112"/>
      <c r="E173" s="112"/>
      <c r="F173" s="112"/>
      <c r="G173" s="112"/>
      <c r="H173" s="112"/>
      <c r="J173" s="112"/>
      <c r="K173" s="112"/>
      <c r="N173" s="112"/>
    </row>
    <row r="174" spans="1:14" x14ac:dyDescent="0.2">
      <c r="A174" s="167"/>
      <c r="D174" s="112"/>
      <c r="E174" s="112"/>
      <c r="F174" s="112"/>
      <c r="G174" s="112"/>
      <c r="H174" s="112"/>
      <c r="J174" s="112"/>
      <c r="K174" s="112"/>
      <c r="N174" s="112"/>
    </row>
    <row r="175" spans="1:14" x14ac:dyDescent="0.2">
      <c r="A175" s="167"/>
      <c r="D175" s="112"/>
      <c r="E175" s="112"/>
      <c r="F175" s="112"/>
      <c r="G175" s="112"/>
      <c r="H175" s="112"/>
      <c r="J175" s="112"/>
      <c r="K175" s="112"/>
      <c r="N175" s="112"/>
    </row>
    <row r="176" spans="1:14" x14ac:dyDescent="0.2">
      <c r="A176" s="167"/>
      <c r="D176" s="112"/>
      <c r="E176" s="112"/>
      <c r="F176" s="112"/>
      <c r="G176" s="112"/>
      <c r="H176" s="112"/>
      <c r="J176" s="112"/>
      <c r="K176" s="112"/>
      <c r="N176" s="112"/>
    </row>
    <row r="177" spans="1:14" x14ac:dyDescent="0.2">
      <c r="A177" s="167"/>
      <c r="D177" s="112"/>
      <c r="E177" s="112"/>
      <c r="F177" s="112"/>
      <c r="G177" s="112"/>
      <c r="H177" s="112"/>
      <c r="J177" s="112"/>
      <c r="K177" s="112"/>
      <c r="N177" s="112"/>
    </row>
    <row r="178" spans="1:14" x14ac:dyDescent="0.2">
      <c r="A178" s="167"/>
      <c r="D178" s="112"/>
      <c r="E178" s="112"/>
      <c r="F178" s="112"/>
      <c r="G178" s="112"/>
      <c r="H178" s="112"/>
      <c r="J178" s="112"/>
      <c r="K178" s="112"/>
      <c r="N178" s="112"/>
    </row>
    <row r="179" spans="1:14" x14ac:dyDescent="0.2">
      <c r="A179" s="167"/>
      <c r="D179" s="112"/>
      <c r="E179" s="112"/>
      <c r="F179" s="112"/>
      <c r="G179" s="112"/>
      <c r="H179" s="112"/>
      <c r="J179" s="112"/>
      <c r="K179" s="112"/>
      <c r="N179" s="112"/>
    </row>
    <row r="180" spans="1:14" x14ac:dyDescent="0.2">
      <c r="A180" s="167"/>
      <c r="D180" s="112"/>
      <c r="E180" s="112"/>
      <c r="F180" s="112"/>
      <c r="G180" s="112"/>
      <c r="H180" s="112"/>
      <c r="J180" s="112"/>
      <c r="K180" s="112"/>
      <c r="N180" s="112"/>
    </row>
    <row r="181" spans="1:14" x14ac:dyDescent="0.2">
      <c r="A181" s="167"/>
      <c r="D181" s="112"/>
      <c r="E181" s="112"/>
      <c r="F181" s="112"/>
      <c r="G181" s="112"/>
      <c r="H181" s="112"/>
      <c r="J181" s="112"/>
      <c r="K181" s="112"/>
      <c r="N181" s="112"/>
    </row>
    <row r="182" spans="1:14" x14ac:dyDescent="0.2">
      <c r="A182" s="167"/>
      <c r="D182" s="112"/>
      <c r="E182" s="112"/>
      <c r="F182" s="112"/>
      <c r="G182" s="112"/>
      <c r="H182" s="112"/>
      <c r="J182" s="112"/>
      <c r="K182" s="112"/>
      <c r="N182" s="112"/>
    </row>
    <row r="183" spans="1:14" x14ac:dyDescent="0.2">
      <c r="A183" s="167"/>
      <c r="D183" s="112"/>
      <c r="E183" s="112"/>
      <c r="F183" s="112"/>
      <c r="G183" s="112"/>
      <c r="H183" s="112"/>
      <c r="J183" s="112"/>
      <c r="K183" s="112"/>
      <c r="N183" s="112"/>
    </row>
    <row r="184" spans="1:14" x14ac:dyDescent="0.2">
      <c r="A184" s="167"/>
      <c r="D184" s="112"/>
      <c r="E184" s="112"/>
      <c r="F184" s="112"/>
      <c r="G184" s="112"/>
      <c r="H184" s="112"/>
      <c r="J184" s="112"/>
      <c r="K184" s="112"/>
      <c r="N184" s="112"/>
    </row>
    <row r="185" spans="1:14" x14ac:dyDescent="0.2">
      <c r="A185" s="167"/>
      <c r="D185" s="112"/>
      <c r="E185" s="112"/>
      <c r="F185" s="112"/>
      <c r="G185" s="112"/>
      <c r="H185" s="112"/>
      <c r="J185" s="112"/>
      <c r="K185" s="112"/>
      <c r="N185" s="112"/>
    </row>
    <row r="186" spans="1:14" x14ac:dyDescent="0.2">
      <c r="A186" s="167"/>
      <c r="D186" s="112"/>
      <c r="E186" s="112"/>
      <c r="F186" s="112"/>
      <c r="G186" s="112"/>
      <c r="H186" s="112"/>
      <c r="J186" s="112"/>
      <c r="K186" s="112"/>
      <c r="N186" s="112"/>
    </row>
    <row r="187" spans="1:14" x14ac:dyDescent="0.2">
      <c r="A187" s="167"/>
      <c r="D187" s="112"/>
      <c r="E187" s="112"/>
      <c r="F187" s="112"/>
      <c r="G187" s="112"/>
      <c r="H187" s="112"/>
      <c r="J187" s="112"/>
      <c r="K187" s="112"/>
      <c r="N187" s="112"/>
    </row>
    <row r="188" spans="1:14" x14ac:dyDescent="0.2">
      <c r="A188" s="167"/>
      <c r="D188" s="112"/>
      <c r="E188" s="112"/>
      <c r="F188" s="112"/>
      <c r="G188" s="112"/>
      <c r="H188" s="112"/>
      <c r="J188" s="112"/>
      <c r="K188" s="112"/>
      <c r="N188" s="112"/>
    </row>
    <row r="189" spans="1:14" x14ac:dyDescent="0.2">
      <c r="A189" s="167"/>
      <c r="D189" s="112"/>
      <c r="E189" s="112"/>
      <c r="F189" s="112"/>
      <c r="G189" s="112"/>
      <c r="H189" s="112"/>
      <c r="J189" s="112"/>
      <c r="K189" s="112"/>
      <c r="N189" s="112"/>
    </row>
    <row r="190" spans="1:14" x14ac:dyDescent="0.2">
      <c r="A190" s="167"/>
      <c r="D190" s="112"/>
      <c r="E190" s="112"/>
      <c r="F190" s="112"/>
      <c r="G190" s="112"/>
      <c r="H190" s="112"/>
      <c r="J190" s="112"/>
      <c r="K190" s="112"/>
      <c r="N190" s="112"/>
    </row>
    <row r="191" spans="1:14" x14ac:dyDescent="0.2">
      <c r="A191" s="167"/>
      <c r="D191" s="112"/>
      <c r="E191" s="112"/>
      <c r="F191" s="112"/>
      <c r="G191" s="112"/>
      <c r="H191" s="112"/>
      <c r="J191" s="112"/>
      <c r="K191" s="112"/>
      <c r="N191" s="112"/>
    </row>
    <row r="192" spans="1:14" x14ac:dyDescent="0.2">
      <c r="A192" s="167"/>
      <c r="D192" s="112"/>
      <c r="E192" s="112"/>
      <c r="F192" s="112"/>
      <c r="G192" s="112"/>
      <c r="H192" s="112"/>
      <c r="J192" s="112"/>
      <c r="K192" s="112"/>
      <c r="N192" s="112"/>
    </row>
    <row r="193" spans="1:14" x14ac:dyDescent="0.2">
      <c r="A193" s="167"/>
      <c r="D193" s="112"/>
      <c r="E193" s="112"/>
      <c r="F193" s="112"/>
      <c r="G193" s="112"/>
      <c r="H193" s="112"/>
      <c r="J193" s="112"/>
      <c r="K193" s="112"/>
      <c r="N193" s="112"/>
    </row>
    <row r="194" spans="1:14" x14ac:dyDescent="0.2">
      <c r="A194" s="167"/>
      <c r="D194" s="112"/>
      <c r="E194" s="112"/>
      <c r="F194" s="112"/>
      <c r="G194" s="112"/>
      <c r="H194" s="112"/>
      <c r="J194" s="112"/>
      <c r="K194" s="112"/>
      <c r="N194" s="112"/>
    </row>
    <row r="195" spans="1:14" x14ac:dyDescent="0.2">
      <c r="A195" s="167"/>
      <c r="D195" s="112"/>
      <c r="E195" s="112"/>
      <c r="F195" s="112"/>
      <c r="G195" s="112"/>
      <c r="H195" s="112"/>
      <c r="J195" s="112"/>
      <c r="K195" s="112"/>
      <c r="N195" s="112"/>
    </row>
    <row r="196" spans="1:14" x14ac:dyDescent="0.2">
      <c r="A196" s="167"/>
      <c r="D196" s="112"/>
      <c r="E196" s="112"/>
      <c r="F196" s="112"/>
      <c r="G196" s="112"/>
      <c r="H196" s="112"/>
      <c r="J196" s="112"/>
      <c r="K196" s="112"/>
      <c r="N196" s="112"/>
    </row>
    <row r="197" spans="1:14" x14ac:dyDescent="0.2">
      <c r="A197" s="167"/>
      <c r="D197" s="112"/>
      <c r="E197" s="112"/>
      <c r="F197" s="112"/>
      <c r="G197" s="112"/>
      <c r="H197" s="112"/>
      <c r="J197" s="112"/>
      <c r="K197" s="112"/>
      <c r="N197" s="112"/>
    </row>
    <row r="198" spans="1:14" x14ac:dyDescent="0.2">
      <c r="A198" s="167"/>
      <c r="D198" s="112"/>
      <c r="E198" s="112"/>
      <c r="F198" s="112"/>
      <c r="G198" s="112"/>
      <c r="H198" s="112"/>
      <c r="J198" s="112"/>
      <c r="K198" s="112"/>
      <c r="N198" s="112"/>
    </row>
    <row r="199" spans="1:14" x14ac:dyDescent="0.2">
      <c r="A199" s="167"/>
      <c r="D199" s="112"/>
      <c r="E199" s="112"/>
      <c r="F199" s="112"/>
      <c r="G199" s="112"/>
      <c r="H199" s="112"/>
      <c r="J199" s="112"/>
      <c r="K199" s="112"/>
      <c r="N199" s="112"/>
    </row>
    <row r="200" spans="1:14" x14ac:dyDescent="0.2">
      <c r="A200" s="167"/>
      <c r="D200" s="112"/>
      <c r="E200" s="112"/>
      <c r="F200" s="112"/>
      <c r="G200" s="112"/>
      <c r="H200" s="112"/>
      <c r="J200" s="112"/>
      <c r="K200" s="112"/>
      <c r="N200" s="112"/>
    </row>
    <row r="201" spans="1:14" x14ac:dyDescent="0.2">
      <c r="A201" s="167"/>
      <c r="D201" s="112"/>
      <c r="E201" s="112"/>
      <c r="F201" s="112"/>
      <c r="G201" s="112"/>
      <c r="H201" s="112"/>
      <c r="J201" s="112"/>
      <c r="K201" s="112"/>
      <c r="N201" s="112"/>
    </row>
    <row r="202" spans="1:14" x14ac:dyDescent="0.2">
      <c r="A202" s="167"/>
      <c r="D202" s="112"/>
      <c r="E202" s="112"/>
      <c r="F202" s="112"/>
      <c r="G202" s="112"/>
      <c r="H202" s="112"/>
      <c r="J202" s="112"/>
      <c r="K202" s="112"/>
      <c r="N202" s="112"/>
    </row>
    <row r="203" spans="1:14" x14ac:dyDescent="0.2">
      <c r="A203" s="167"/>
      <c r="D203" s="112"/>
      <c r="E203" s="112"/>
      <c r="F203" s="112"/>
      <c r="G203" s="112"/>
      <c r="H203" s="112"/>
      <c r="J203" s="112"/>
      <c r="K203" s="112"/>
      <c r="N203" s="112"/>
    </row>
    <row r="204" spans="1:14" x14ac:dyDescent="0.2">
      <c r="D204" s="112"/>
      <c r="E204" s="112"/>
      <c r="F204" s="112"/>
      <c r="G204" s="112"/>
      <c r="H204" s="112"/>
      <c r="J204" s="112"/>
      <c r="K204" s="112"/>
      <c r="N204" s="112"/>
    </row>
  </sheetData>
  <mergeCells count="50">
    <mergeCell ref="B55:M55"/>
    <mergeCell ref="C13:F14"/>
    <mergeCell ref="C15:F16"/>
    <mergeCell ref="C17:F18"/>
    <mergeCell ref="B13:B14"/>
    <mergeCell ref="B15:B16"/>
    <mergeCell ref="B17:B18"/>
    <mergeCell ref="J17:J18"/>
    <mergeCell ref="K17:K18"/>
    <mergeCell ref="L17:L18"/>
    <mergeCell ref="M17:M18"/>
    <mergeCell ref="J13:J14"/>
    <mergeCell ref="K13:K14"/>
    <mergeCell ref="L13:L14"/>
    <mergeCell ref="M13:M14"/>
    <mergeCell ref="J15:J16"/>
    <mergeCell ref="K15:K16"/>
    <mergeCell ref="L15:L16"/>
    <mergeCell ref="M15:M16"/>
    <mergeCell ref="B54:M54"/>
    <mergeCell ref="J22:J23"/>
    <mergeCell ref="J24:J25"/>
    <mergeCell ref="J26:J27"/>
    <mergeCell ref="J31:J32"/>
    <mergeCell ref="M22:M23"/>
    <mergeCell ref="M24:M25"/>
    <mergeCell ref="M26:M27"/>
    <mergeCell ref="M31:M32"/>
    <mergeCell ref="L24:L25"/>
    <mergeCell ref="L26:L27"/>
    <mergeCell ref="K31:K32"/>
    <mergeCell ref="L31:L32"/>
    <mergeCell ref="L33:L34"/>
    <mergeCell ref="M33:M34"/>
    <mergeCell ref="C22:F23"/>
    <mergeCell ref="C24:F25"/>
    <mergeCell ref="L22:L23"/>
    <mergeCell ref="B33:B34"/>
    <mergeCell ref="C33:F34"/>
    <mergeCell ref="J33:J34"/>
    <mergeCell ref="K22:K23"/>
    <mergeCell ref="K24:K25"/>
    <mergeCell ref="K26:K27"/>
    <mergeCell ref="B26:B27"/>
    <mergeCell ref="C26:F27"/>
    <mergeCell ref="B24:B25"/>
    <mergeCell ref="B22:B23"/>
    <mergeCell ref="B31:B32"/>
    <mergeCell ref="C31:F32"/>
    <mergeCell ref="K33:K34"/>
  </mergeCells>
  <printOptions horizontalCentered="1"/>
  <pageMargins left="0.7" right="0.7" top="0.75" bottom="0.75" header="0.3" footer="0.3"/>
  <pageSetup scale="76" orientation="landscape" r:id="rId1"/>
  <headerFooter alignWithMargins="0">
    <oddHeader>&amp;RElectric Schedule 120 Rate Design Workpapers
Page &amp;P of &amp;N</oddHeader>
    <oddFooter>&amp;L&amp;F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1"/>
  <sheetViews>
    <sheetView workbookViewId="0"/>
  </sheetViews>
  <sheetFormatPr defaultColWidth="8.88671875" defaultRowHeight="13.2" x14ac:dyDescent="0.25"/>
  <cols>
    <col min="1" max="16384" width="8.88671875" style="54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  <pageSetUpPr fitToPage="1"/>
  </sheetPr>
  <dimension ref="A1:J57"/>
  <sheetViews>
    <sheetView zoomScaleNormal="100" workbookViewId="0">
      <pane ySplit="6" topLeftCell="A7" activePane="bottomLeft" state="frozen"/>
      <selection pane="bottomLeft"/>
    </sheetView>
  </sheetViews>
  <sheetFormatPr defaultColWidth="9.109375" defaultRowHeight="10.199999999999999" x14ac:dyDescent="0.2"/>
  <cols>
    <col min="1" max="1" width="4.6640625" style="6" customWidth="1"/>
    <col min="2" max="2" width="51" style="6" bestFit="1" customWidth="1"/>
    <col min="3" max="3" width="12.5546875" style="6" bestFit="1" customWidth="1"/>
    <col min="4" max="4" width="10.33203125" style="6" customWidth="1"/>
    <col min="5" max="5" width="9.5546875" style="6" customWidth="1"/>
    <col min="6" max="6" width="11.33203125" style="6" customWidth="1"/>
    <col min="7" max="7" width="13.88671875" style="6" bestFit="1" customWidth="1"/>
    <col min="8" max="8" width="12.6640625" style="6" bestFit="1" customWidth="1"/>
    <col min="9" max="9" width="15.44140625" style="6" customWidth="1"/>
    <col min="10" max="10" width="13" style="6" customWidth="1"/>
    <col min="11" max="11" width="15.5546875" style="6" customWidth="1"/>
    <col min="12" max="12" width="11.44140625" style="6" customWidth="1"/>
    <col min="13" max="16384" width="9.109375" style="6"/>
  </cols>
  <sheetData>
    <row r="1" spans="1:10" s="7" customFormat="1" ht="12" customHeight="1" x14ac:dyDescent="0.2">
      <c r="A1" s="10" t="str">
        <f>'Sch 141COL Rates'!A1</f>
        <v>PUGET SOUND ENERGY</v>
      </c>
      <c r="B1" s="261"/>
      <c r="C1" s="261"/>
      <c r="D1" s="261"/>
      <c r="E1" s="261"/>
      <c r="F1" s="261"/>
      <c r="G1" s="261"/>
      <c r="H1" s="261"/>
      <c r="I1" s="261"/>
      <c r="J1" s="262"/>
    </row>
    <row r="2" spans="1:10" s="7" customFormat="1" ht="12" customHeight="1" x14ac:dyDescent="0.2">
      <c r="A2" s="10" t="str">
        <f>'Sch 141COL Rates'!A2</f>
        <v>Schedule 141COL Colstrip Adjustment Tracker</v>
      </c>
      <c r="B2" s="261"/>
      <c r="C2" s="261"/>
      <c r="D2" s="261"/>
      <c r="E2" s="261"/>
      <c r="F2" s="261"/>
      <c r="G2" s="261"/>
      <c r="H2" s="261"/>
      <c r="I2" s="261"/>
      <c r="J2" s="262"/>
    </row>
    <row r="3" spans="1:10" s="7" customFormat="1" ht="12" customHeight="1" x14ac:dyDescent="0.2">
      <c r="A3" s="10" t="str">
        <f>"For the Forecasted Period "&amp;TEXT(Inputs!B1,"mmmm d, yyyy")&amp;" - "&amp;TEXT(Inputs!B4,"mmmm d, yyyy")</f>
        <v>For the Forecasted Period January 1, 2025 - December 31, 2025</v>
      </c>
      <c r="B3" s="261"/>
      <c r="C3" s="261"/>
      <c r="D3" s="261"/>
      <c r="E3" s="261"/>
      <c r="F3" s="261"/>
      <c r="G3" s="261"/>
      <c r="H3" s="261"/>
      <c r="I3" s="261"/>
      <c r="J3" s="262"/>
    </row>
    <row r="4" spans="1:10" s="7" customFormat="1" ht="12" customHeight="1" x14ac:dyDescent="0.2">
      <c r="A4" s="10" t="str">
        <f>"Proposed Rate Effective "&amp;TEXT(Inputs!B1,"mmmm d, yyyy")</f>
        <v>Proposed Rate Effective January 1, 2025</v>
      </c>
      <c r="B4" s="261"/>
      <c r="C4" s="261"/>
      <c r="D4" s="261"/>
      <c r="E4" s="261"/>
      <c r="F4" s="261"/>
      <c r="G4" s="261"/>
      <c r="H4" s="261"/>
      <c r="I4" s="261"/>
      <c r="J4" s="262"/>
    </row>
    <row r="5" spans="1:10" s="7" customFormat="1" ht="10.199999999999999" customHeight="1" x14ac:dyDescent="0.2">
      <c r="A5" s="263" t="s">
        <v>132</v>
      </c>
      <c r="B5" s="264"/>
      <c r="C5" s="264"/>
      <c r="D5" s="264"/>
      <c r="E5" s="264"/>
      <c r="F5" s="264"/>
      <c r="G5" s="264"/>
      <c r="H5" s="264"/>
      <c r="I5" s="264"/>
      <c r="J5" s="265"/>
    </row>
    <row r="6" spans="1:10" s="9" customFormat="1" ht="10.8" thickBot="1" x14ac:dyDescent="0.25">
      <c r="B6" s="10"/>
      <c r="C6" s="10"/>
    </row>
    <row r="7" spans="1:10" s="8" customFormat="1" ht="51.6" thickBot="1" x14ac:dyDescent="0.25">
      <c r="A7" s="12" t="s">
        <v>0</v>
      </c>
      <c r="B7" s="13" t="s">
        <v>55</v>
      </c>
      <c r="C7" s="13" t="s">
        <v>56</v>
      </c>
      <c r="D7" s="14" t="s">
        <v>192</v>
      </c>
      <c r="E7" s="14" t="s">
        <v>95</v>
      </c>
      <c r="F7" s="15" t="s">
        <v>94</v>
      </c>
      <c r="G7" s="16" t="s">
        <v>183</v>
      </c>
      <c r="H7" s="17" t="s">
        <v>184</v>
      </c>
      <c r="I7" s="17" t="str">
        <f>Inputs!B2&amp;" Forecast Billing Determinants "&amp;TEXT(Inputs!B3,"mm/d/yy")&amp;"-"&amp;TEXT(Inputs!B4,"mm/d/yy")</f>
        <v>F2024 Forecast Billing Determinants 01/1/25-12/31/25</v>
      </c>
      <c r="J7" s="18" t="str">
        <f>"Proposed Rates
Eff "&amp;TEXT(Inputs!B1,"mm/d/yy")</f>
        <v>Proposed Rates
Eff 01/1/25</v>
      </c>
    </row>
    <row r="8" spans="1:10" s="8" customFormat="1" x14ac:dyDescent="0.2">
      <c r="A8" s="19"/>
      <c r="B8" s="20"/>
      <c r="C8" s="20"/>
      <c r="D8" s="21"/>
      <c r="E8" s="21"/>
      <c r="F8" s="22"/>
      <c r="G8" s="23"/>
      <c r="H8" s="24"/>
      <c r="I8" s="22"/>
      <c r="J8" s="25"/>
    </row>
    <row r="9" spans="1:10" x14ac:dyDescent="0.2">
      <c r="A9" s="26">
        <v>1</v>
      </c>
      <c r="B9" s="11" t="s">
        <v>60</v>
      </c>
      <c r="C9" s="27" t="s">
        <v>96</v>
      </c>
      <c r="D9" s="29">
        <v>0.10977174165570475</v>
      </c>
      <c r="E9" s="29">
        <v>0.47242859385465685</v>
      </c>
      <c r="F9" s="29">
        <v>0.58220033551036154</v>
      </c>
      <c r="G9" s="30"/>
      <c r="H9" s="266">
        <f>+F9*($G$49)</f>
        <v>33465310.259494204</v>
      </c>
      <c r="I9" s="267">
        <v>11319130621.398149</v>
      </c>
      <c r="J9" s="31">
        <f>+H9/I9</f>
        <v>2.9565265548071339E-3</v>
      </c>
    </row>
    <row r="10" spans="1:10" x14ac:dyDescent="0.2">
      <c r="A10" s="26">
        <f t="shared" ref="A10:A55" si="0">+A9+1</f>
        <v>2</v>
      </c>
      <c r="B10" s="11"/>
      <c r="C10" s="33"/>
      <c r="D10" s="29"/>
      <c r="E10" s="29"/>
      <c r="F10" s="29"/>
      <c r="G10" s="30"/>
      <c r="H10" s="266"/>
      <c r="I10" s="268"/>
      <c r="J10" s="34"/>
    </row>
    <row r="11" spans="1:10" x14ac:dyDescent="0.2">
      <c r="A11" s="26">
        <f t="shared" si="0"/>
        <v>3</v>
      </c>
      <c r="B11" s="35" t="s">
        <v>61</v>
      </c>
      <c r="C11" s="36" t="s">
        <v>97</v>
      </c>
      <c r="D11" s="29">
        <v>2.5771395226212902E-2</v>
      </c>
      <c r="E11" s="29">
        <v>0.10012470048498022</v>
      </c>
      <c r="F11" s="29">
        <v>0.12589609571119312</v>
      </c>
      <c r="G11" s="30"/>
      <c r="H11" s="266">
        <f>+F11*($G$49)</f>
        <v>7236601.6411529072</v>
      </c>
      <c r="I11" s="267">
        <v>2693210047.3914232</v>
      </c>
      <c r="J11" s="31">
        <f>+H11/I11</f>
        <v>2.6869800401057098E-3</v>
      </c>
    </row>
    <row r="12" spans="1:10" x14ac:dyDescent="0.2">
      <c r="A12" s="26">
        <f t="shared" si="0"/>
        <v>4</v>
      </c>
      <c r="B12" s="35"/>
      <c r="C12" s="36"/>
      <c r="D12" s="29"/>
      <c r="E12" s="29"/>
      <c r="F12" s="29"/>
      <c r="G12" s="30"/>
      <c r="H12" s="266"/>
      <c r="I12" s="268"/>
      <c r="J12" s="31"/>
    </row>
    <row r="13" spans="1:10" x14ac:dyDescent="0.2">
      <c r="A13" s="26">
        <f t="shared" si="0"/>
        <v>5</v>
      </c>
      <c r="B13" s="11" t="s">
        <v>62</v>
      </c>
      <c r="C13" s="36" t="s">
        <v>128</v>
      </c>
      <c r="D13" s="29"/>
      <c r="E13" s="29"/>
      <c r="F13" s="29"/>
      <c r="G13" s="30"/>
      <c r="H13" s="266">
        <f>H15*0.2</f>
        <v>1555331.1441342873</v>
      </c>
      <c r="I13" s="267">
        <v>2971751015.5674863</v>
      </c>
      <c r="J13" s="31">
        <f>+H13/I13</f>
        <v>5.2337195679809693E-4</v>
      </c>
    </row>
    <row r="14" spans="1:10" x14ac:dyDescent="0.2">
      <c r="A14" s="26">
        <f t="shared" si="0"/>
        <v>6</v>
      </c>
      <c r="B14" s="11" t="s">
        <v>63</v>
      </c>
      <c r="C14" s="36" t="s">
        <v>128</v>
      </c>
      <c r="D14" s="29"/>
      <c r="E14" s="29"/>
      <c r="F14" s="29"/>
      <c r="G14" s="30"/>
      <c r="H14" s="37">
        <f>H15*0.8</f>
        <v>6221324.576537149</v>
      </c>
      <c r="I14" s="267">
        <v>4980294.6446532551</v>
      </c>
      <c r="J14" s="38">
        <f>+H14/I14</f>
        <v>1.2491880542080456</v>
      </c>
    </row>
    <row r="15" spans="1:10" x14ac:dyDescent="0.2">
      <c r="A15" s="26">
        <f t="shared" si="0"/>
        <v>7</v>
      </c>
      <c r="B15" s="11" t="s">
        <v>64</v>
      </c>
      <c r="C15" s="36" t="s">
        <v>128</v>
      </c>
      <c r="D15" s="29">
        <v>2.7694929350211114E-2</v>
      </c>
      <c r="E15" s="29">
        <v>0.10759655710594679</v>
      </c>
      <c r="F15" s="29">
        <v>0.13529148645615791</v>
      </c>
      <c r="G15" s="30"/>
      <c r="H15" s="39">
        <f>+F15*($G$49)</f>
        <v>7776655.7206714358</v>
      </c>
      <c r="I15" s="268"/>
      <c r="J15" s="31"/>
    </row>
    <row r="16" spans="1:10" x14ac:dyDescent="0.2">
      <c r="A16" s="26">
        <f t="shared" si="0"/>
        <v>8</v>
      </c>
      <c r="B16" s="11"/>
      <c r="C16" s="36"/>
      <c r="D16" s="29"/>
      <c r="E16" s="29"/>
      <c r="F16" s="29"/>
      <c r="G16" s="30"/>
      <c r="H16" s="266"/>
      <c r="I16" s="268"/>
      <c r="J16" s="31"/>
    </row>
    <row r="17" spans="1:10" x14ac:dyDescent="0.2">
      <c r="A17" s="26">
        <f t="shared" si="0"/>
        <v>9</v>
      </c>
      <c r="B17" s="11" t="s">
        <v>65</v>
      </c>
      <c r="C17" s="36" t="s">
        <v>98</v>
      </c>
      <c r="D17" s="29"/>
      <c r="E17" s="29"/>
      <c r="F17" s="29"/>
      <c r="G17" s="30"/>
      <c r="H17" s="266">
        <f>H19*0.2</f>
        <v>898263.96232927742</v>
      </c>
      <c r="I17" s="267">
        <v>2037371160.2613628</v>
      </c>
      <c r="J17" s="31">
        <f>+H17/I17</f>
        <v>4.4089362795046347E-4</v>
      </c>
    </row>
    <row r="18" spans="1:10" x14ac:dyDescent="0.2">
      <c r="A18" s="26">
        <f t="shared" si="0"/>
        <v>10</v>
      </c>
      <c r="B18" s="11" t="s">
        <v>66</v>
      </c>
      <c r="C18" s="36" t="s">
        <v>98</v>
      </c>
      <c r="D18" s="29"/>
      <c r="E18" s="29"/>
      <c r="F18" s="29"/>
      <c r="G18" s="30"/>
      <c r="H18" s="37">
        <f>H19*0.8</f>
        <v>3593055.8493171097</v>
      </c>
      <c r="I18" s="267">
        <v>5072461.2888948843</v>
      </c>
      <c r="J18" s="38">
        <f>+H18/I18</f>
        <v>0.70834564221975826</v>
      </c>
    </row>
    <row r="19" spans="1:10" x14ac:dyDescent="0.2">
      <c r="A19" s="26">
        <f t="shared" si="0"/>
        <v>11</v>
      </c>
      <c r="B19" s="11" t="s">
        <v>67</v>
      </c>
      <c r="C19" s="36" t="s">
        <v>98</v>
      </c>
      <c r="D19" s="29">
        <v>1.7128888045184625E-2</v>
      </c>
      <c r="E19" s="29">
        <v>6.100718423231713E-2</v>
      </c>
      <c r="F19" s="29">
        <v>7.8136072277501759E-2</v>
      </c>
      <c r="G19" s="30"/>
      <c r="H19" s="266">
        <f>+F19*($G$49)</f>
        <v>4491319.811646387</v>
      </c>
      <c r="I19" s="268"/>
      <c r="J19" s="31"/>
    </row>
    <row r="20" spans="1:10" x14ac:dyDescent="0.2">
      <c r="A20" s="26">
        <f t="shared" si="0"/>
        <v>12</v>
      </c>
      <c r="B20" s="11"/>
      <c r="C20" s="36"/>
      <c r="D20" s="29"/>
      <c r="E20" s="29"/>
      <c r="F20" s="29"/>
      <c r="G20" s="30"/>
      <c r="H20" s="266"/>
      <c r="I20" s="269"/>
      <c r="J20" s="40"/>
    </row>
    <row r="21" spans="1:10" x14ac:dyDescent="0.2">
      <c r="A21" s="26">
        <f t="shared" si="0"/>
        <v>13</v>
      </c>
      <c r="B21" s="11" t="s">
        <v>68</v>
      </c>
      <c r="C21" s="36">
        <v>29</v>
      </c>
      <c r="D21" s="29"/>
      <c r="E21" s="29"/>
      <c r="F21" s="29"/>
      <c r="G21" s="30"/>
      <c r="H21" s="266">
        <f>H23*0.2</f>
        <v>8344.5138676131664</v>
      </c>
      <c r="I21" s="267">
        <v>14436685.877551533</v>
      </c>
      <c r="J21" s="31">
        <f>+H21/I21</f>
        <v>5.7800758002143351E-4</v>
      </c>
    </row>
    <row r="22" spans="1:10" x14ac:dyDescent="0.2">
      <c r="A22" s="26">
        <f t="shared" si="0"/>
        <v>14</v>
      </c>
      <c r="B22" s="11" t="s">
        <v>69</v>
      </c>
      <c r="C22" s="36">
        <v>29</v>
      </c>
      <c r="D22" s="29"/>
      <c r="E22" s="29"/>
      <c r="F22" s="29"/>
      <c r="G22" s="30"/>
      <c r="H22" s="37">
        <f>H23*0.8</f>
        <v>33378.055470452666</v>
      </c>
      <c r="I22" s="267">
        <v>7827.9292853038123</v>
      </c>
      <c r="J22" s="38">
        <f>+H22/I22</f>
        <v>4.2639699790232868</v>
      </c>
    </row>
    <row r="23" spans="1:10" x14ac:dyDescent="0.2">
      <c r="A23" s="26">
        <f t="shared" si="0"/>
        <v>15</v>
      </c>
      <c r="B23" s="11" t="s">
        <v>70</v>
      </c>
      <c r="C23" s="36">
        <v>29</v>
      </c>
      <c r="D23" s="29">
        <v>1.478947722189603E-4</v>
      </c>
      <c r="E23" s="29">
        <v>5.7795816859113882E-4</v>
      </c>
      <c r="F23" s="29">
        <v>7.2585294081009913E-4</v>
      </c>
      <c r="G23" s="30"/>
      <c r="H23" s="266">
        <f>+F23*($G$49)</f>
        <v>41722.569338065827</v>
      </c>
      <c r="I23" s="267"/>
      <c r="J23" s="31"/>
    </row>
    <row r="24" spans="1:10" x14ac:dyDescent="0.2">
      <c r="A24" s="26">
        <f t="shared" si="0"/>
        <v>16</v>
      </c>
      <c r="B24" s="11"/>
      <c r="C24" s="36"/>
      <c r="D24" s="29"/>
      <c r="E24" s="29"/>
      <c r="F24" s="29"/>
      <c r="G24" s="30"/>
      <c r="H24" s="266"/>
      <c r="I24" s="268"/>
      <c r="J24" s="34"/>
    </row>
    <row r="25" spans="1:10" x14ac:dyDescent="0.2">
      <c r="A25" s="26">
        <f t="shared" si="0"/>
        <v>17</v>
      </c>
      <c r="B25" s="11" t="s">
        <v>71</v>
      </c>
      <c r="C25" s="36" t="s">
        <v>99</v>
      </c>
      <c r="D25" s="29"/>
      <c r="E25" s="29"/>
      <c r="F25" s="29"/>
      <c r="G25" s="30"/>
      <c r="H25" s="266">
        <f>H27*0.2</f>
        <v>627290.39002472709</v>
      </c>
      <c r="I25" s="267">
        <v>1378502364.5436404</v>
      </c>
      <c r="J25" s="31">
        <f>+H25/I25</f>
        <v>4.5505209578105768E-4</v>
      </c>
    </row>
    <row r="26" spans="1:10" x14ac:dyDescent="0.2">
      <c r="A26" s="26">
        <f t="shared" si="0"/>
        <v>18</v>
      </c>
      <c r="B26" s="11" t="s">
        <v>72</v>
      </c>
      <c r="C26" s="36" t="s">
        <v>99</v>
      </c>
      <c r="D26" s="29"/>
      <c r="E26" s="29"/>
      <c r="F26" s="29"/>
      <c r="G26" s="30"/>
      <c r="H26" s="37">
        <f>H27*0.8</f>
        <v>2509161.5600989084</v>
      </c>
      <c r="I26" s="267">
        <v>3446764.4905044795</v>
      </c>
      <c r="J26" s="38">
        <f>+H26/I26</f>
        <v>0.72797592264032507</v>
      </c>
    </row>
    <row r="27" spans="1:10" x14ac:dyDescent="0.2">
      <c r="A27" s="26">
        <f t="shared" si="0"/>
        <v>19</v>
      </c>
      <c r="B27" s="11" t="s">
        <v>73</v>
      </c>
      <c r="C27" s="36" t="s">
        <v>99</v>
      </c>
      <c r="D27" s="29">
        <v>1.2104983402502458E-2</v>
      </c>
      <c r="E27" s="29">
        <v>4.2460277266373442E-2</v>
      </c>
      <c r="F27" s="29">
        <v>5.4565260668875903E-2</v>
      </c>
      <c r="G27" s="30"/>
      <c r="H27" s="266">
        <f>+F27*($G$49)</f>
        <v>3136451.9501236356</v>
      </c>
      <c r="I27" s="268"/>
      <c r="J27" s="31"/>
    </row>
    <row r="28" spans="1:10" x14ac:dyDescent="0.2">
      <c r="A28" s="26">
        <f t="shared" si="0"/>
        <v>20</v>
      </c>
      <c r="B28" s="11"/>
      <c r="C28" s="36"/>
      <c r="D28" s="29"/>
      <c r="E28" s="29"/>
      <c r="F28" s="29"/>
      <c r="G28" s="30"/>
      <c r="H28" s="266"/>
      <c r="I28" s="268"/>
      <c r="J28" s="31"/>
    </row>
    <row r="29" spans="1:10" x14ac:dyDescent="0.2">
      <c r="A29" s="26">
        <f t="shared" si="0"/>
        <v>21</v>
      </c>
      <c r="B29" s="11" t="s">
        <v>74</v>
      </c>
      <c r="C29" s="36">
        <v>35</v>
      </c>
      <c r="D29" s="29"/>
      <c r="E29" s="29"/>
      <c r="F29" s="29"/>
      <c r="G29" s="30"/>
      <c r="H29" s="266">
        <f>H31*0.2</f>
        <v>1510.6317580788636</v>
      </c>
      <c r="I29" s="267">
        <v>5934926.6636967957</v>
      </c>
      <c r="J29" s="31">
        <f>+H29/I29</f>
        <v>2.5453250624295144E-4</v>
      </c>
    </row>
    <row r="30" spans="1:10" x14ac:dyDescent="0.2">
      <c r="A30" s="26">
        <f t="shared" si="0"/>
        <v>22</v>
      </c>
      <c r="B30" s="11" t="s">
        <v>75</v>
      </c>
      <c r="C30" s="36">
        <v>35</v>
      </c>
      <c r="D30" s="29"/>
      <c r="E30" s="29"/>
      <c r="F30" s="29"/>
      <c r="G30" s="30"/>
      <c r="H30" s="37">
        <f>H31*0.8</f>
        <v>6042.5270323154546</v>
      </c>
      <c r="I30" s="267">
        <v>10670.270946232487</v>
      </c>
      <c r="J30" s="38">
        <f>+H30/I30</f>
        <v>0.56629555732593462</v>
      </c>
    </row>
    <row r="31" spans="1:10" x14ac:dyDescent="0.2">
      <c r="A31" s="26">
        <f t="shared" si="0"/>
        <v>23</v>
      </c>
      <c r="B31" s="11" t="s">
        <v>76</v>
      </c>
      <c r="C31" s="36">
        <v>35</v>
      </c>
      <c r="D31" s="29">
        <v>4.0511783439354425E-5</v>
      </c>
      <c r="E31" s="29">
        <v>9.0891497983474736E-5</v>
      </c>
      <c r="F31" s="29">
        <v>1.3140328142282915E-4</v>
      </c>
      <c r="G31" s="30"/>
      <c r="H31" s="266">
        <f>+F31*($G$49)</f>
        <v>7553.1587903943182</v>
      </c>
      <c r="I31" s="268"/>
      <c r="J31" s="31"/>
    </row>
    <row r="32" spans="1:10" x14ac:dyDescent="0.2">
      <c r="A32" s="26">
        <f t="shared" si="0"/>
        <v>24</v>
      </c>
      <c r="B32" s="11"/>
      <c r="C32" s="36"/>
      <c r="D32" s="29"/>
      <c r="E32" s="29"/>
      <c r="F32" s="29"/>
      <c r="G32" s="30"/>
      <c r="H32" s="266"/>
      <c r="I32" s="268"/>
      <c r="J32" s="31"/>
    </row>
    <row r="33" spans="1:10" x14ac:dyDescent="0.2">
      <c r="A33" s="26">
        <f t="shared" si="0"/>
        <v>25</v>
      </c>
      <c r="B33" s="11" t="s">
        <v>77</v>
      </c>
      <c r="C33" s="36">
        <v>43</v>
      </c>
      <c r="D33" s="29"/>
      <c r="E33" s="29"/>
      <c r="F33" s="29"/>
      <c r="G33" s="30"/>
      <c r="H33" s="266">
        <f>H35*0.2</f>
        <v>11910.469101326569</v>
      </c>
      <c r="I33" s="267">
        <v>109828264.79087074</v>
      </c>
      <c r="J33" s="31">
        <f>+H33/I33</f>
        <v>1.0844630135972615E-4</v>
      </c>
    </row>
    <row r="34" spans="1:10" x14ac:dyDescent="0.2">
      <c r="A34" s="26">
        <f t="shared" si="0"/>
        <v>26</v>
      </c>
      <c r="B34" s="11" t="s">
        <v>78</v>
      </c>
      <c r="C34" s="36">
        <v>43</v>
      </c>
      <c r="D34" s="29"/>
      <c r="E34" s="29"/>
      <c r="F34" s="29"/>
      <c r="G34" s="30"/>
      <c r="H34" s="37">
        <f>H35*0.8</f>
        <v>47641.876405306277</v>
      </c>
      <c r="I34" s="267">
        <v>510328.94558898755</v>
      </c>
      <c r="J34" s="38">
        <f>+H34/I34</f>
        <v>9.3355230615659493E-2</v>
      </c>
    </row>
    <row r="35" spans="1:10" x14ac:dyDescent="0.2">
      <c r="A35" s="26">
        <f t="shared" si="0"/>
        <v>27</v>
      </c>
      <c r="B35" s="11" t="s">
        <v>79</v>
      </c>
      <c r="C35" s="36">
        <v>43</v>
      </c>
      <c r="D35" s="29">
        <v>1.0360398653275369E-3</v>
      </c>
      <c r="E35" s="29">
        <v>0</v>
      </c>
      <c r="F35" s="29">
        <v>1.0360398653275369E-3</v>
      </c>
      <c r="G35" s="30"/>
      <c r="H35" s="266">
        <f>+F35*($G$49)</f>
        <v>59552.345506632846</v>
      </c>
      <c r="I35" s="268"/>
      <c r="J35" s="31"/>
    </row>
    <row r="36" spans="1:10" x14ac:dyDescent="0.2">
      <c r="A36" s="26">
        <f t="shared" si="0"/>
        <v>28</v>
      </c>
      <c r="B36" s="11"/>
      <c r="C36" s="36"/>
      <c r="D36" s="29"/>
      <c r="E36" s="29"/>
      <c r="F36" s="29"/>
      <c r="G36" s="30"/>
      <c r="H36" s="266"/>
      <c r="I36" s="268"/>
      <c r="J36" s="34"/>
    </row>
    <row r="37" spans="1:10" x14ac:dyDescent="0.2">
      <c r="A37" s="26">
        <f t="shared" si="0"/>
        <v>29</v>
      </c>
      <c r="B37" s="35" t="s">
        <v>80</v>
      </c>
      <c r="C37" s="36">
        <v>46</v>
      </c>
      <c r="D37" s="29"/>
      <c r="E37" s="29"/>
      <c r="F37" s="29"/>
      <c r="G37" s="30"/>
      <c r="H37" s="266">
        <f>H39*0.2</f>
        <v>10486.132999763322</v>
      </c>
      <c r="I37" s="267">
        <v>93576444.299349248</v>
      </c>
      <c r="J37" s="31">
        <f>+H37/I37</f>
        <v>1.1205953675925519E-4</v>
      </c>
    </row>
    <row r="38" spans="1:10" x14ac:dyDescent="0.2">
      <c r="A38" s="26">
        <f t="shared" si="0"/>
        <v>30</v>
      </c>
      <c r="B38" s="35" t="s">
        <v>81</v>
      </c>
      <c r="C38" s="36">
        <v>46</v>
      </c>
      <c r="D38" s="29"/>
      <c r="E38" s="29"/>
      <c r="F38" s="29"/>
      <c r="G38" s="30"/>
      <c r="H38" s="37">
        <f>H39*0.8</f>
        <v>41944.531999053288</v>
      </c>
      <c r="I38" s="267">
        <v>442922.54011431197</v>
      </c>
      <c r="J38" s="38">
        <f>+H38/I38</f>
        <v>9.4699474965144026E-2</v>
      </c>
    </row>
    <row r="39" spans="1:10" x14ac:dyDescent="0.2">
      <c r="A39" s="26">
        <f t="shared" si="0"/>
        <v>31</v>
      </c>
      <c r="B39" s="35" t="s">
        <v>82</v>
      </c>
      <c r="C39" s="36">
        <v>46</v>
      </c>
      <c r="D39" s="29">
        <v>9.1214306745243234E-4</v>
      </c>
      <c r="E39" s="29">
        <v>0</v>
      </c>
      <c r="F39" s="29">
        <v>9.1214306745243234E-4</v>
      </c>
      <c r="G39" s="30"/>
      <c r="H39" s="266">
        <f>+F39*($G$49)</f>
        <v>52430.664998816603</v>
      </c>
      <c r="I39" s="268"/>
      <c r="J39" s="31"/>
    </row>
    <row r="40" spans="1:10" x14ac:dyDescent="0.2">
      <c r="A40" s="26">
        <f t="shared" si="0"/>
        <v>32</v>
      </c>
      <c r="B40" s="35"/>
      <c r="C40" s="36"/>
      <c r="D40" s="29"/>
      <c r="E40" s="29"/>
      <c r="F40" s="29"/>
      <c r="G40" s="30"/>
      <c r="H40" s="266"/>
      <c r="I40" s="268"/>
      <c r="J40" s="31"/>
    </row>
    <row r="41" spans="1:10" x14ac:dyDescent="0.2">
      <c r="A41" s="26">
        <f t="shared" si="0"/>
        <v>33</v>
      </c>
      <c r="B41" s="35" t="s">
        <v>83</v>
      </c>
      <c r="C41" s="36">
        <v>49</v>
      </c>
      <c r="D41" s="29"/>
      <c r="E41" s="29"/>
      <c r="F41" s="29"/>
      <c r="G41" s="30"/>
      <c r="H41" s="266">
        <f>H43*0.2</f>
        <v>221816.00755265844</v>
      </c>
      <c r="I41" s="267">
        <v>530780105.2278645</v>
      </c>
      <c r="J41" s="31">
        <f>+H41/I41</f>
        <v>4.1790565503097102E-4</v>
      </c>
    </row>
    <row r="42" spans="1:10" x14ac:dyDescent="0.2">
      <c r="A42" s="26">
        <f t="shared" si="0"/>
        <v>34</v>
      </c>
      <c r="B42" s="35" t="s">
        <v>84</v>
      </c>
      <c r="C42" s="36">
        <v>49</v>
      </c>
      <c r="D42" s="29"/>
      <c r="E42" s="29"/>
      <c r="F42" s="29"/>
      <c r="G42" s="30"/>
      <c r="H42" s="37">
        <f>H43*0.8</f>
        <v>887264.03021063376</v>
      </c>
      <c r="I42" s="267">
        <v>1310476.7546682116</v>
      </c>
      <c r="J42" s="38">
        <f>+H42/I42</f>
        <v>0.67705438272750784</v>
      </c>
    </row>
    <row r="43" spans="1:10" x14ac:dyDescent="0.2">
      <c r="A43" s="26">
        <f t="shared" si="0"/>
        <v>35</v>
      </c>
      <c r="B43" s="35" t="s">
        <v>85</v>
      </c>
      <c r="C43" s="36">
        <v>49</v>
      </c>
      <c r="D43" s="29">
        <v>4.6441318886753583E-3</v>
      </c>
      <c r="E43" s="29">
        <v>1.4650677126592749E-2</v>
      </c>
      <c r="F43" s="29">
        <v>1.9294809015268109E-2</v>
      </c>
      <c r="G43" s="30"/>
      <c r="H43" s="266">
        <f>+F43*($G$49)</f>
        <v>1109080.0377632922</v>
      </c>
      <c r="I43" s="268"/>
      <c r="J43" s="31"/>
    </row>
    <row r="44" spans="1:10" x14ac:dyDescent="0.2">
      <c r="A44" s="26">
        <f t="shared" si="0"/>
        <v>36</v>
      </c>
      <c r="B44" s="35"/>
      <c r="C44" s="36"/>
      <c r="D44" s="29"/>
      <c r="E44" s="29"/>
      <c r="F44" s="29"/>
      <c r="G44" s="30"/>
      <c r="H44" s="266"/>
      <c r="I44" s="268"/>
      <c r="J44" s="34"/>
    </row>
    <row r="45" spans="1:10" x14ac:dyDescent="0.2">
      <c r="A45" s="26">
        <f t="shared" si="0"/>
        <v>37</v>
      </c>
      <c r="B45" s="11" t="s">
        <v>52</v>
      </c>
      <c r="C45" s="36" t="s">
        <v>2</v>
      </c>
      <c r="D45" s="29">
        <v>6.798581562777841E-4</v>
      </c>
      <c r="E45" s="29">
        <v>8.4605594297814757E-4</v>
      </c>
      <c r="F45" s="29">
        <v>1.5259140992559318E-3</v>
      </c>
      <c r="G45" s="30"/>
      <c r="H45" s="266">
        <f>+F45*($G$49)</f>
        <v>87710.682468384752</v>
      </c>
      <c r="I45" s="267">
        <v>64491873.674880393</v>
      </c>
      <c r="J45" s="31">
        <f>+H45/I45</f>
        <v>1.3600268913034866E-3</v>
      </c>
    </row>
    <row r="46" spans="1:10" x14ac:dyDescent="0.2">
      <c r="A46" s="26">
        <f t="shared" si="0"/>
        <v>38</v>
      </c>
      <c r="B46" s="11"/>
      <c r="C46" s="36"/>
      <c r="D46" s="29"/>
      <c r="E46" s="29"/>
      <c r="F46" s="29"/>
      <c r="G46" s="30"/>
      <c r="H46" s="266"/>
      <c r="I46" s="268"/>
      <c r="J46" s="31"/>
    </row>
    <row r="47" spans="1:10" x14ac:dyDescent="0.2">
      <c r="A47" s="26">
        <f>+A46+1</f>
        <v>39</v>
      </c>
      <c r="B47" s="35" t="s">
        <v>86</v>
      </c>
      <c r="C47" s="36">
        <v>5</v>
      </c>
      <c r="D47" s="29">
        <v>6.7482786792761397E-5</v>
      </c>
      <c r="E47" s="29">
        <v>2.1710431957995774E-4</v>
      </c>
      <c r="F47" s="29">
        <v>2.8458710637271911E-4</v>
      </c>
      <c r="G47" s="30"/>
      <c r="H47" s="266">
        <f>+F47*($G$49)</f>
        <v>16358.279495435345</v>
      </c>
      <c r="I47" s="267">
        <v>7578921.5862422688</v>
      </c>
      <c r="J47" s="31">
        <f>+H47/I47</f>
        <v>2.1583914425411018E-3</v>
      </c>
    </row>
    <row r="48" spans="1:10" x14ac:dyDescent="0.2">
      <c r="A48" s="26">
        <f>+A47+1</f>
        <v>40</v>
      </c>
      <c r="B48" s="11"/>
      <c r="C48" s="36"/>
      <c r="D48" s="29"/>
      <c r="E48" s="11"/>
      <c r="F48" s="11"/>
      <c r="G48" s="41"/>
      <c r="H48" s="266"/>
      <c r="I48" s="269"/>
      <c r="J48" s="34"/>
    </row>
    <row r="49" spans="1:10" x14ac:dyDescent="0.2">
      <c r="A49" s="26">
        <f t="shared" si="0"/>
        <v>41</v>
      </c>
      <c r="B49" s="11" t="s">
        <v>45</v>
      </c>
      <c r="C49" s="36"/>
      <c r="D49" s="29">
        <v>0.20000000000000004</v>
      </c>
      <c r="E49" s="29">
        <v>0.8</v>
      </c>
      <c r="F49" s="29">
        <v>0.99999999999999989</v>
      </c>
      <c r="G49" s="270">
        <v>57480747.121449597</v>
      </c>
      <c r="H49" s="266">
        <f>SUM(H9,H11,H15,H19,H23,H27,H31,H35,H39,H43,H45,H47)</f>
        <v>57480747.12144959</v>
      </c>
      <c r="I49" s="268"/>
      <c r="J49" s="31"/>
    </row>
    <row r="50" spans="1:10" x14ac:dyDescent="0.2">
      <c r="A50" s="26">
        <f t="shared" si="0"/>
        <v>42</v>
      </c>
      <c r="B50" s="11"/>
      <c r="C50" s="36"/>
      <c r="D50" s="29"/>
      <c r="E50" s="29"/>
      <c r="F50" s="29"/>
      <c r="G50" s="32"/>
      <c r="H50" s="266"/>
      <c r="I50" s="268"/>
      <c r="J50" s="31"/>
    </row>
    <row r="51" spans="1:10" x14ac:dyDescent="0.2">
      <c r="A51" s="26">
        <f t="shared" si="0"/>
        <v>43</v>
      </c>
      <c r="B51" s="11" t="s">
        <v>89</v>
      </c>
      <c r="C51" s="36" t="s">
        <v>39</v>
      </c>
      <c r="D51" s="29"/>
      <c r="E51" s="29"/>
      <c r="F51" s="29"/>
      <c r="G51" s="51">
        <v>0</v>
      </c>
      <c r="H51" s="266">
        <f>+G51</f>
        <v>0</v>
      </c>
      <c r="I51" s="267">
        <v>319873933.30400002</v>
      </c>
      <c r="J51" s="31">
        <f>+H51/I51</f>
        <v>0</v>
      </c>
    </row>
    <row r="52" spans="1:10" x14ac:dyDescent="0.2">
      <c r="A52" s="26">
        <f t="shared" si="0"/>
        <v>44</v>
      </c>
      <c r="B52" s="11"/>
      <c r="C52" s="36"/>
      <c r="D52" s="11"/>
      <c r="E52" s="11"/>
      <c r="F52" s="11"/>
      <c r="G52" s="41"/>
      <c r="H52" s="266"/>
      <c r="I52" s="269"/>
      <c r="J52" s="42"/>
    </row>
    <row r="53" spans="1:10" x14ac:dyDescent="0.2">
      <c r="A53" s="26">
        <f t="shared" si="0"/>
        <v>45</v>
      </c>
      <c r="B53" s="11" t="s">
        <v>87</v>
      </c>
      <c r="C53" s="36" t="s">
        <v>88</v>
      </c>
      <c r="D53" s="11"/>
      <c r="E53" s="11"/>
      <c r="F53" s="28"/>
      <c r="G53" s="43"/>
      <c r="H53" s="271">
        <v>0</v>
      </c>
      <c r="I53" s="267">
        <v>1954312680.3583896</v>
      </c>
      <c r="J53" s="31">
        <f>+H53/I53</f>
        <v>0</v>
      </c>
    </row>
    <row r="54" spans="1:10" x14ac:dyDescent="0.2">
      <c r="A54" s="26">
        <f t="shared" si="0"/>
        <v>46</v>
      </c>
      <c r="B54" s="11"/>
      <c r="C54" s="11"/>
      <c r="D54" s="11"/>
      <c r="E54" s="11"/>
      <c r="F54" s="11"/>
      <c r="G54" s="41"/>
      <c r="H54" s="269"/>
      <c r="I54" s="269"/>
      <c r="J54" s="40"/>
    </row>
    <row r="55" spans="1:10" x14ac:dyDescent="0.2">
      <c r="A55" s="26">
        <f t="shared" si="0"/>
        <v>47</v>
      </c>
      <c r="B55" s="11" t="s">
        <v>3</v>
      </c>
      <c r="C55" s="11"/>
      <c r="D55" s="11"/>
      <c r="E55" s="11"/>
      <c r="F55" s="11"/>
      <c r="G55" s="32">
        <f>SUM(G49:G53)</f>
        <v>57480747.121449597</v>
      </c>
      <c r="H55" s="266">
        <f>SUM(H49,H51)</f>
        <v>57480747.12144959</v>
      </c>
      <c r="I55" s="269"/>
      <c r="J55" s="34"/>
    </row>
    <row r="56" spans="1:10" x14ac:dyDescent="0.2">
      <c r="A56" s="26"/>
      <c r="B56" s="11"/>
      <c r="C56" s="11"/>
      <c r="D56" s="11"/>
      <c r="E56" s="11"/>
      <c r="F56" s="11"/>
      <c r="G56" s="41"/>
      <c r="H56" s="266"/>
      <c r="I56" s="268"/>
      <c r="J56" s="40"/>
    </row>
    <row r="57" spans="1:10" ht="10.8" thickBot="1" x14ac:dyDescent="0.25">
      <c r="A57" s="44"/>
      <c r="B57" s="45"/>
      <c r="C57" s="45"/>
      <c r="D57" s="45"/>
      <c r="E57" s="45"/>
      <c r="F57" s="45"/>
      <c r="G57" s="46"/>
      <c r="H57" s="45"/>
      <c r="I57" s="45"/>
      <c r="J57" s="47"/>
    </row>
  </sheetData>
  <printOptions horizontalCentered="1"/>
  <pageMargins left="0.7" right="0.7" top="0.75" bottom="0.75" header="0.3" footer="0.3"/>
  <pageSetup scale="79" fitToHeight="0" orientation="landscape" r:id="rId1"/>
  <headerFooter alignWithMargins="0">
    <oddFooter xml:space="preserve">&amp;L&amp;F
&amp;A&amp;RPage &amp;P of &amp;N
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71"/>
  <sheetViews>
    <sheetView zoomScaleNormal="100" workbookViewId="0">
      <pane ySplit="8" topLeftCell="A9" activePane="bottomLeft" state="frozen"/>
      <selection activeCell="L78" sqref="L78"/>
      <selection pane="bottomLeft"/>
    </sheetView>
  </sheetViews>
  <sheetFormatPr defaultColWidth="8.88671875" defaultRowHeight="10.199999999999999" x14ac:dyDescent="0.2"/>
  <cols>
    <col min="1" max="1" width="6.6640625" style="67" bestFit="1" customWidth="1"/>
    <col min="2" max="2" width="20.109375" style="67" customWidth="1"/>
    <col min="3" max="3" width="16.44140625" style="67" customWidth="1"/>
    <col min="4" max="4" width="16.6640625" style="67" customWidth="1"/>
    <col min="5" max="5" width="15.88671875" style="67" bestFit="1" customWidth="1"/>
    <col min="6" max="6" width="11.44140625" style="67" customWidth="1"/>
    <col min="7" max="7" width="11.5546875" style="67" customWidth="1"/>
    <col min="8" max="8" width="12.33203125" style="67" customWidth="1"/>
    <col min="9" max="9" width="1.33203125" style="67" customWidth="1"/>
    <col min="10" max="16384" width="8.88671875" style="67"/>
  </cols>
  <sheetData>
    <row r="1" spans="1:11" s="56" customFormat="1" x14ac:dyDescent="0.2">
      <c r="A1" s="55" t="str">
        <f>'Sch 141COL Rates'!A1</f>
        <v>PUGET SOUND ENERGY</v>
      </c>
      <c r="B1" s="55"/>
      <c r="C1" s="55"/>
      <c r="D1" s="55"/>
      <c r="E1" s="55"/>
      <c r="F1" s="55"/>
      <c r="G1" s="55"/>
      <c r="H1" s="55"/>
    </row>
    <row r="2" spans="1:11" s="56" customFormat="1" x14ac:dyDescent="0.2">
      <c r="A2" s="55" t="str">
        <f>'Sch 141COL Rates'!A2</f>
        <v>Schedule 141COL Colstrip Adjustment Tracker</v>
      </c>
      <c r="B2" s="55"/>
      <c r="C2" s="55"/>
      <c r="D2" s="55"/>
      <c r="E2" s="55"/>
      <c r="F2" s="55"/>
      <c r="G2" s="55"/>
      <c r="H2" s="55"/>
    </row>
    <row r="3" spans="1:11" s="56" customFormat="1" x14ac:dyDescent="0.2">
      <c r="A3" s="55" t="str">
        <f>Inputs!B2&amp;" Forecasted Rate-Year Ended "&amp;TEXT(Inputs!B4,"mmmm d, yyyy")</f>
        <v>F2024 Forecasted Rate-Year Ended December 31, 2025</v>
      </c>
      <c r="B3" s="55"/>
      <c r="C3" s="55"/>
      <c r="D3" s="55"/>
      <c r="E3" s="55"/>
      <c r="F3" s="55"/>
      <c r="G3" s="55"/>
      <c r="H3" s="55"/>
    </row>
    <row r="4" spans="1:11" s="56" customFormat="1" x14ac:dyDescent="0.2">
      <c r="A4" s="55" t="str">
        <f>"Proposed Rate Effective "&amp;TEXT(Inputs!B1,"mmmm d, yyyy")</f>
        <v>Proposed Rate Effective January 1, 2025</v>
      </c>
      <c r="B4" s="55"/>
      <c r="C4" s="55"/>
      <c r="D4" s="55"/>
      <c r="E4" s="55"/>
      <c r="F4" s="55"/>
      <c r="G4" s="55"/>
      <c r="H4" s="55"/>
    </row>
    <row r="5" spans="1:11" s="56" customFormat="1" x14ac:dyDescent="0.2">
      <c r="A5" s="57" t="s">
        <v>100</v>
      </c>
      <c r="B5" s="55"/>
      <c r="C5" s="55"/>
      <c r="D5" s="55"/>
      <c r="E5" s="55"/>
      <c r="F5" s="55"/>
      <c r="G5" s="55"/>
      <c r="H5" s="55"/>
    </row>
    <row r="6" spans="1:11" s="56" customFormat="1" x14ac:dyDescent="0.2">
      <c r="A6" s="58"/>
    </row>
    <row r="7" spans="1:11" s="58" customFormat="1" ht="31.8" x14ac:dyDescent="0.2">
      <c r="A7" s="59" t="s">
        <v>0</v>
      </c>
      <c r="B7" s="59" t="s">
        <v>1</v>
      </c>
      <c r="C7" s="59" t="s">
        <v>4</v>
      </c>
      <c r="D7" s="59" t="s">
        <v>7</v>
      </c>
      <c r="E7" s="60" t="s">
        <v>175</v>
      </c>
      <c r="F7" s="60" t="s">
        <v>101</v>
      </c>
      <c r="G7" s="60" t="s">
        <v>176</v>
      </c>
      <c r="H7" s="60" t="s">
        <v>102</v>
      </c>
    </row>
    <row r="8" spans="1:11" s="64" customFormat="1" x14ac:dyDescent="0.2">
      <c r="A8" s="61"/>
      <c r="B8" s="62" t="s">
        <v>57</v>
      </c>
      <c r="C8" s="62" t="s">
        <v>103</v>
      </c>
      <c r="D8" s="63" t="s">
        <v>58</v>
      </c>
      <c r="E8" s="63" t="s">
        <v>104</v>
      </c>
      <c r="F8" s="63" t="s">
        <v>105</v>
      </c>
      <c r="G8" s="63" t="s">
        <v>59</v>
      </c>
      <c r="H8" s="63" t="s">
        <v>106</v>
      </c>
    </row>
    <row r="9" spans="1:11" x14ac:dyDescent="0.2">
      <c r="A9" s="65">
        <v>1</v>
      </c>
      <c r="B9" s="65"/>
      <c r="C9" s="65"/>
      <c r="D9" s="66"/>
      <c r="F9" s="68"/>
      <c r="G9" s="69"/>
      <c r="H9" s="68"/>
    </row>
    <row r="10" spans="1:11" ht="12" x14ac:dyDescent="0.35">
      <c r="A10" s="65">
        <f t="shared" ref="A10:A73" si="0">+A9+1</f>
        <v>2</v>
      </c>
      <c r="B10" s="70" t="s">
        <v>107</v>
      </c>
    </row>
    <row r="11" spans="1:11" x14ac:dyDescent="0.2">
      <c r="A11" s="65">
        <f t="shared" si="0"/>
        <v>3</v>
      </c>
      <c r="B11" s="71" t="s">
        <v>8</v>
      </c>
      <c r="C11" s="72" t="s">
        <v>46</v>
      </c>
      <c r="D11" s="73">
        <v>22</v>
      </c>
      <c r="E11" s="74">
        <v>0.5</v>
      </c>
      <c r="F11" s="75">
        <f>E11*$H$168</f>
        <v>1.1375846435364809E-2</v>
      </c>
      <c r="G11" s="76">
        <v>649</v>
      </c>
      <c r="H11" s="77">
        <f>F11*G11</f>
        <v>7.3829243365517607</v>
      </c>
      <c r="J11" s="78"/>
      <c r="K11" s="79"/>
    </row>
    <row r="12" spans="1:11" x14ac:dyDescent="0.2">
      <c r="A12" s="65">
        <f t="shared" si="0"/>
        <v>4</v>
      </c>
      <c r="B12" s="80"/>
      <c r="C12" s="66"/>
      <c r="D12" s="73"/>
      <c r="E12" s="74"/>
      <c r="F12" s="75"/>
      <c r="G12" s="76"/>
      <c r="H12" s="81"/>
      <c r="J12" s="78"/>
      <c r="K12" s="79"/>
    </row>
    <row r="13" spans="1:11" x14ac:dyDescent="0.2">
      <c r="A13" s="65">
        <f t="shared" si="0"/>
        <v>5</v>
      </c>
      <c r="B13" s="71" t="s">
        <v>47</v>
      </c>
      <c r="C13" s="81" t="s">
        <v>5</v>
      </c>
      <c r="D13" s="82">
        <v>100</v>
      </c>
      <c r="E13" s="74">
        <v>2.2799999999999998</v>
      </c>
      <c r="F13" s="75">
        <f>E13*$H$168</f>
        <v>5.1873859745263526E-2</v>
      </c>
      <c r="G13" s="76">
        <v>33</v>
      </c>
      <c r="H13" s="77">
        <f>F13*G13</f>
        <v>1.7118373715936963</v>
      </c>
      <c r="J13" s="78"/>
      <c r="K13" s="79"/>
    </row>
    <row r="14" spans="1:11" x14ac:dyDescent="0.2">
      <c r="A14" s="65">
        <f t="shared" si="0"/>
        <v>6</v>
      </c>
      <c r="B14" s="71" t="str">
        <f>+B13</f>
        <v>50E</v>
      </c>
      <c r="C14" s="81" t="s">
        <v>5</v>
      </c>
      <c r="D14" s="82">
        <v>175</v>
      </c>
      <c r="E14" s="74">
        <v>3.98</v>
      </c>
      <c r="F14" s="75">
        <f>E14*$H$168</f>
        <v>9.0551737625503878E-2</v>
      </c>
      <c r="G14" s="76">
        <v>240</v>
      </c>
      <c r="H14" s="77">
        <f>F14*G14</f>
        <v>21.732417030120931</v>
      </c>
      <c r="J14" s="78"/>
      <c r="K14" s="79"/>
    </row>
    <row r="15" spans="1:11" x14ac:dyDescent="0.2">
      <c r="A15" s="65">
        <f t="shared" si="0"/>
        <v>7</v>
      </c>
      <c r="B15" s="71" t="str">
        <f>+B14</f>
        <v>50E</v>
      </c>
      <c r="C15" s="81" t="s">
        <v>5</v>
      </c>
      <c r="D15" s="82">
        <v>400</v>
      </c>
      <c r="E15" s="74">
        <v>9.1</v>
      </c>
      <c r="F15" s="75">
        <f>E15*$H$168</f>
        <v>0.2070404051236395</v>
      </c>
      <c r="G15" s="76">
        <v>229</v>
      </c>
      <c r="H15" s="77">
        <f>F15*G15</f>
        <v>47.412252773313448</v>
      </c>
      <c r="J15" s="78"/>
      <c r="K15" s="79"/>
    </row>
    <row r="16" spans="1:11" x14ac:dyDescent="0.2">
      <c r="A16" s="65">
        <f t="shared" si="0"/>
        <v>8</v>
      </c>
      <c r="B16" s="71" t="str">
        <f>+B15</f>
        <v>50E</v>
      </c>
      <c r="C16" s="81" t="s">
        <v>5</v>
      </c>
      <c r="D16" s="82">
        <v>700</v>
      </c>
      <c r="E16" s="74">
        <v>15.93</v>
      </c>
      <c r="F16" s="75">
        <f>E16*$H$168</f>
        <v>0.36243446743072277</v>
      </c>
      <c r="G16" s="83">
        <v>0</v>
      </c>
      <c r="H16" s="77">
        <f>F16*G16</f>
        <v>0</v>
      </c>
      <c r="J16" s="78"/>
      <c r="K16" s="79"/>
    </row>
    <row r="17" spans="1:11" x14ac:dyDescent="0.2">
      <c r="A17" s="65">
        <f t="shared" si="0"/>
        <v>9</v>
      </c>
      <c r="D17" s="84"/>
      <c r="E17" s="74"/>
      <c r="F17" s="75"/>
      <c r="G17" s="76"/>
      <c r="H17" s="81"/>
      <c r="J17" s="78"/>
      <c r="K17" s="79"/>
    </row>
    <row r="18" spans="1:11" ht="12" x14ac:dyDescent="0.35">
      <c r="A18" s="65">
        <f t="shared" si="0"/>
        <v>10</v>
      </c>
      <c r="B18" s="70" t="s">
        <v>9</v>
      </c>
      <c r="D18" s="84"/>
      <c r="E18" s="74"/>
      <c r="F18" s="75"/>
      <c r="G18" s="76"/>
      <c r="H18" s="81"/>
      <c r="J18" s="78"/>
      <c r="K18" s="79"/>
    </row>
    <row r="19" spans="1:11" x14ac:dyDescent="0.2">
      <c r="A19" s="65">
        <f t="shared" si="0"/>
        <v>11</v>
      </c>
      <c r="B19" s="71" t="s">
        <v>10</v>
      </c>
      <c r="C19" s="81" t="s">
        <v>11</v>
      </c>
      <c r="D19" s="84" t="s">
        <v>48</v>
      </c>
      <c r="E19" s="74">
        <v>0.33999999999999997</v>
      </c>
      <c r="F19" s="75">
        <f t="shared" ref="F19:F28" si="1">E19*$H$168</f>
        <v>7.7355755760480692E-3</v>
      </c>
      <c r="G19" s="76">
        <v>408</v>
      </c>
      <c r="H19" s="77">
        <f t="shared" ref="H19:H29" si="2">F19*G19</f>
        <v>3.156114835027612</v>
      </c>
      <c r="J19" s="78"/>
      <c r="K19" s="79"/>
    </row>
    <row r="20" spans="1:11" x14ac:dyDescent="0.2">
      <c r="A20" s="65">
        <f t="shared" si="0"/>
        <v>12</v>
      </c>
      <c r="B20" s="71" t="s">
        <v>10</v>
      </c>
      <c r="C20" s="81" t="s">
        <v>11</v>
      </c>
      <c r="D20" s="85" t="s">
        <v>49</v>
      </c>
      <c r="E20" s="74">
        <v>1.02</v>
      </c>
      <c r="F20" s="75">
        <f t="shared" si="1"/>
        <v>2.3206726728144209E-2</v>
      </c>
      <c r="G20" s="76">
        <v>62884</v>
      </c>
      <c r="H20" s="77">
        <f t="shared" si="2"/>
        <v>1459.3318035726204</v>
      </c>
      <c r="J20" s="78"/>
      <c r="K20" s="79"/>
    </row>
    <row r="21" spans="1:11" x14ac:dyDescent="0.2">
      <c r="A21" s="65">
        <f t="shared" si="0"/>
        <v>13</v>
      </c>
      <c r="B21" s="71" t="s">
        <v>10</v>
      </c>
      <c r="C21" s="81" t="s">
        <v>11</v>
      </c>
      <c r="D21" s="82" t="s">
        <v>13</v>
      </c>
      <c r="E21" s="74">
        <v>1.7</v>
      </c>
      <c r="F21" s="75">
        <f t="shared" si="1"/>
        <v>3.8677877880240345E-2</v>
      </c>
      <c r="G21" s="76">
        <v>35897</v>
      </c>
      <c r="H21" s="77">
        <f t="shared" si="2"/>
        <v>1388.4197822669876</v>
      </c>
      <c r="J21" s="78"/>
      <c r="K21" s="79"/>
    </row>
    <row r="22" spans="1:11" x14ac:dyDescent="0.2">
      <c r="A22" s="65">
        <f t="shared" si="0"/>
        <v>14</v>
      </c>
      <c r="B22" s="71" t="s">
        <v>10</v>
      </c>
      <c r="C22" s="81" t="s">
        <v>11</v>
      </c>
      <c r="D22" s="82" t="s">
        <v>14</v>
      </c>
      <c r="E22" s="74">
        <v>2.38</v>
      </c>
      <c r="F22" s="75">
        <f t="shared" si="1"/>
        <v>5.4149029032336489E-2</v>
      </c>
      <c r="G22" s="76">
        <v>15040</v>
      </c>
      <c r="H22" s="77">
        <f t="shared" si="2"/>
        <v>814.4013966463408</v>
      </c>
      <c r="J22" s="78"/>
      <c r="K22" s="79"/>
    </row>
    <row r="23" spans="1:11" x14ac:dyDescent="0.2">
      <c r="A23" s="65">
        <f t="shared" si="0"/>
        <v>15</v>
      </c>
      <c r="B23" s="71" t="s">
        <v>10</v>
      </c>
      <c r="C23" s="81" t="s">
        <v>11</v>
      </c>
      <c r="D23" s="82" t="s">
        <v>15</v>
      </c>
      <c r="E23" s="74">
        <v>3.0700000000000003</v>
      </c>
      <c r="F23" s="75">
        <f t="shared" si="1"/>
        <v>6.9847697113139928E-2</v>
      </c>
      <c r="G23" s="76">
        <v>7113</v>
      </c>
      <c r="H23" s="77">
        <f t="shared" si="2"/>
        <v>496.82666956576429</v>
      </c>
      <c r="J23" s="78"/>
      <c r="K23" s="79"/>
    </row>
    <row r="24" spans="1:11" x14ac:dyDescent="0.2">
      <c r="A24" s="65">
        <f t="shared" si="0"/>
        <v>16</v>
      </c>
      <c r="B24" s="71" t="s">
        <v>10</v>
      </c>
      <c r="C24" s="81" t="s">
        <v>11</v>
      </c>
      <c r="D24" s="82" t="s">
        <v>16</v>
      </c>
      <c r="E24" s="74">
        <v>3.75</v>
      </c>
      <c r="F24" s="75">
        <f t="shared" si="1"/>
        <v>8.5318848265236058E-2</v>
      </c>
      <c r="G24" s="76">
        <v>905</v>
      </c>
      <c r="H24" s="77">
        <f t="shared" si="2"/>
        <v>77.213557680038633</v>
      </c>
      <c r="J24" s="78"/>
      <c r="K24" s="79"/>
    </row>
    <row r="25" spans="1:11" x14ac:dyDescent="0.2">
      <c r="A25" s="65">
        <f t="shared" si="0"/>
        <v>17</v>
      </c>
      <c r="B25" s="71" t="s">
        <v>10</v>
      </c>
      <c r="C25" s="81" t="s">
        <v>11</v>
      </c>
      <c r="D25" s="82" t="s">
        <v>17</v>
      </c>
      <c r="E25" s="74">
        <v>4.43</v>
      </c>
      <c r="F25" s="75">
        <f t="shared" si="1"/>
        <v>0.1007899994173322</v>
      </c>
      <c r="G25" s="76">
        <v>2319</v>
      </c>
      <c r="H25" s="77">
        <f t="shared" si="2"/>
        <v>233.73200864879337</v>
      </c>
      <c r="J25" s="78"/>
      <c r="K25" s="79"/>
    </row>
    <row r="26" spans="1:11" x14ac:dyDescent="0.2">
      <c r="A26" s="65">
        <f t="shared" si="0"/>
        <v>18</v>
      </c>
      <c r="B26" s="71" t="s">
        <v>10</v>
      </c>
      <c r="C26" s="81" t="s">
        <v>11</v>
      </c>
      <c r="D26" s="82" t="s">
        <v>18</v>
      </c>
      <c r="E26" s="74">
        <v>5.12</v>
      </c>
      <c r="F26" s="75">
        <f t="shared" si="1"/>
        <v>0.11648866749813565</v>
      </c>
      <c r="G26" s="76">
        <v>959</v>
      </c>
      <c r="H26" s="77">
        <f t="shared" si="2"/>
        <v>111.71263213071208</v>
      </c>
      <c r="J26" s="78"/>
      <c r="K26" s="79"/>
    </row>
    <row r="27" spans="1:11" x14ac:dyDescent="0.2">
      <c r="A27" s="65">
        <f t="shared" si="0"/>
        <v>19</v>
      </c>
      <c r="B27" s="71" t="s">
        <v>10</v>
      </c>
      <c r="C27" s="81" t="s">
        <v>11</v>
      </c>
      <c r="D27" s="82" t="s">
        <v>19</v>
      </c>
      <c r="E27" s="74">
        <v>5.8</v>
      </c>
      <c r="F27" s="75">
        <f t="shared" si="1"/>
        <v>0.13195981865023176</v>
      </c>
      <c r="G27" s="76">
        <v>74</v>
      </c>
      <c r="H27" s="77">
        <f t="shared" si="2"/>
        <v>9.7650265801171514</v>
      </c>
      <c r="J27" s="78"/>
      <c r="K27" s="79"/>
    </row>
    <row r="28" spans="1:11" x14ac:dyDescent="0.2">
      <c r="A28" s="65">
        <f t="shared" si="0"/>
        <v>20</v>
      </c>
      <c r="B28" s="71" t="s">
        <v>10</v>
      </c>
      <c r="C28" s="81" t="s">
        <v>11</v>
      </c>
      <c r="D28" s="82" t="s">
        <v>20</v>
      </c>
      <c r="E28" s="74">
        <v>6.48</v>
      </c>
      <c r="F28" s="75">
        <f t="shared" si="1"/>
        <v>0.14743096980232792</v>
      </c>
      <c r="G28" s="76">
        <v>947</v>
      </c>
      <c r="H28" s="77">
        <f t="shared" si="2"/>
        <v>139.61712840280455</v>
      </c>
      <c r="J28" s="78"/>
      <c r="K28" s="79"/>
    </row>
    <row r="29" spans="1:11" x14ac:dyDescent="0.2">
      <c r="A29" s="65">
        <f t="shared" si="0"/>
        <v>21</v>
      </c>
      <c r="B29" s="71" t="s">
        <v>108</v>
      </c>
      <c r="C29" s="81" t="s">
        <v>43</v>
      </c>
      <c r="D29" s="86" t="s">
        <v>50</v>
      </c>
      <c r="E29" s="87">
        <v>6.4988000000000004E-2</v>
      </c>
      <c r="F29" s="87">
        <f>'Rate Impacts'!I41</f>
        <v>1.3600000000000001E-3</v>
      </c>
      <c r="G29" s="76">
        <v>152499</v>
      </c>
      <c r="H29" s="77">
        <f t="shared" si="2"/>
        <v>207.39864000000003</v>
      </c>
      <c r="J29" s="78"/>
      <c r="K29" s="79"/>
    </row>
    <row r="30" spans="1:11" x14ac:dyDescent="0.2">
      <c r="A30" s="65">
        <f t="shared" si="0"/>
        <v>22</v>
      </c>
      <c r="D30" s="84"/>
      <c r="E30" s="74"/>
      <c r="F30" s="75"/>
      <c r="G30" s="76"/>
      <c r="H30" s="81"/>
      <c r="J30" s="78"/>
      <c r="K30" s="79"/>
    </row>
    <row r="31" spans="1:11" ht="12" x14ac:dyDescent="0.35">
      <c r="A31" s="65">
        <f t="shared" si="0"/>
        <v>23</v>
      </c>
      <c r="B31" s="70" t="s">
        <v>109</v>
      </c>
      <c r="D31" s="84"/>
      <c r="E31" s="74"/>
      <c r="F31" s="75"/>
      <c r="G31" s="76"/>
      <c r="H31" s="81"/>
      <c r="J31" s="78"/>
      <c r="K31" s="79"/>
    </row>
    <row r="32" spans="1:11" x14ac:dyDescent="0.2">
      <c r="A32" s="65">
        <f t="shared" si="0"/>
        <v>24</v>
      </c>
      <c r="B32" s="71" t="s">
        <v>21</v>
      </c>
      <c r="C32" s="81" t="s">
        <v>6</v>
      </c>
      <c r="D32" s="82">
        <v>50</v>
      </c>
      <c r="E32" s="74">
        <v>1.1299999999999999</v>
      </c>
      <c r="F32" s="75">
        <f t="shared" ref="F32:F39" si="3">E32*$H$168</f>
        <v>2.5709412943924464E-2</v>
      </c>
      <c r="G32" s="83">
        <v>0</v>
      </c>
      <c r="H32" s="77">
        <f t="shared" ref="H32:H39" si="4">F32*G32</f>
        <v>0</v>
      </c>
      <c r="J32" s="78"/>
      <c r="K32" s="79"/>
    </row>
    <row r="33" spans="1:11" x14ac:dyDescent="0.2">
      <c r="A33" s="65">
        <f t="shared" si="0"/>
        <v>25</v>
      </c>
      <c r="B33" s="71" t="str">
        <f t="shared" ref="B33:B39" si="5">+B32</f>
        <v xml:space="preserve">52E </v>
      </c>
      <c r="C33" s="81" t="s">
        <v>6</v>
      </c>
      <c r="D33" s="82">
        <v>70</v>
      </c>
      <c r="E33" s="74">
        <v>1.6</v>
      </c>
      <c r="F33" s="75">
        <f t="shared" si="3"/>
        <v>3.6402708593167389E-2</v>
      </c>
      <c r="G33" s="76">
        <v>7987</v>
      </c>
      <c r="H33" s="77">
        <f t="shared" si="4"/>
        <v>290.74843353362792</v>
      </c>
      <c r="J33" s="78"/>
      <c r="K33" s="79"/>
    </row>
    <row r="34" spans="1:11" x14ac:dyDescent="0.2">
      <c r="A34" s="65">
        <f t="shared" si="0"/>
        <v>26</v>
      </c>
      <c r="B34" s="71" t="str">
        <f t="shared" si="5"/>
        <v xml:space="preserve">52E </v>
      </c>
      <c r="C34" s="81" t="s">
        <v>6</v>
      </c>
      <c r="D34" s="82">
        <v>100</v>
      </c>
      <c r="E34" s="74">
        <v>2.2799999999999998</v>
      </c>
      <c r="F34" s="75">
        <f t="shared" si="3"/>
        <v>5.1873859745263526E-2</v>
      </c>
      <c r="G34" s="76">
        <v>112813</v>
      </c>
      <c r="H34" s="77">
        <f t="shared" si="4"/>
        <v>5852.0457394424138</v>
      </c>
      <c r="J34" s="78"/>
      <c r="K34" s="79"/>
    </row>
    <row r="35" spans="1:11" x14ac:dyDescent="0.2">
      <c r="A35" s="65">
        <f t="shared" si="0"/>
        <v>27</v>
      </c>
      <c r="B35" s="71" t="str">
        <f t="shared" si="5"/>
        <v xml:space="preserve">52E </v>
      </c>
      <c r="C35" s="81" t="s">
        <v>6</v>
      </c>
      <c r="D35" s="82">
        <v>150</v>
      </c>
      <c r="E35" s="74">
        <v>3.41</v>
      </c>
      <c r="F35" s="75">
        <f t="shared" si="3"/>
        <v>7.7583272689187993E-2</v>
      </c>
      <c r="G35" s="76">
        <v>52631</v>
      </c>
      <c r="H35" s="77">
        <f t="shared" si="4"/>
        <v>4083.2852249046532</v>
      </c>
      <c r="J35" s="78"/>
      <c r="K35" s="79"/>
    </row>
    <row r="36" spans="1:11" x14ac:dyDescent="0.2">
      <c r="A36" s="65">
        <f t="shared" si="0"/>
        <v>28</v>
      </c>
      <c r="B36" s="71" t="str">
        <f t="shared" si="5"/>
        <v xml:space="preserve">52E </v>
      </c>
      <c r="C36" s="81" t="s">
        <v>6</v>
      </c>
      <c r="D36" s="82">
        <v>200</v>
      </c>
      <c r="E36" s="74">
        <v>4.55</v>
      </c>
      <c r="F36" s="75">
        <f t="shared" si="3"/>
        <v>0.10352020256181975</v>
      </c>
      <c r="G36" s="76">
        <v>10988</v>
      </c>
      <c r="H36" s="77">
        <f t="shared" si="4"/>
        <v>1137.4799857492753</v>
      </c>
      <c r="J36" s="78"/>
      <c r="K36" s="79"/>
    </row>
    <row r="37" spans="1:11" x14ac:dyDescent="0.2">
      <c r="A37" s="65">
        <f t="shared" si="0"/>
        <v>29</v>
      </c>
      <c r="B37" s="71" t="str">
        <f t="shared" si="5"/>
        <v xml:space="preserve">52E </v>
      </c>
      <c r="C37" s="81" t="s">
        <v>6</v>
      </c>
      <c r="D37" s="82">
        <v>250</v>
      </c>
      <c r="E37" s="74">
        <v>5.68</v>
      </c>
      <c r="F37" s="75">
        <f t="shared" si="3"/>
        <v>0.12922961550574422</v>
      </c>
      <c r="G37" s="76">
        <v>16314</v>
      </c>
      <c r="H37" s="77">
        <f t="shared" si="4"/>
        <v>2108.2519473607113</v>
      </c>
      <c r="J37" s="78"/>
      <c r="K37" s="79"/>
    </row>
    <row r="38" spans="1:11" x14ac:dyDescent="0.2">
      <c r="A38" s="65">
        <f t="shared" si="0"/>
        <v>30</v>
      </c>
      <c r="B38" s="71" t="str">
        <f t="shared" si="5"/>
        <v xml:space="preserve">52E </v>
      </c>
      <c r="C38" s="81" t="s">
        <v>6</v>
      </c>
      <c r="D38" s="82">
        <v>310</v>
      </c>
      <c r="E38" s="74">
        <v>7.05</v>
      </c>
      <c r="F38" s="75">
        <f t="shared" si="3"/>
        <v>0.16039943473864379</v>
      </c>
      <c r="G38" s="76">
        <v>1679</v>
      </c>
      <c r="H38" s="77">
        <f t="shared" si="4"/>
        <v>269.31065092618292</v>
      </c>
      <c r="J38" s="78"/>
      <c r="K38" s="79"/>
    </row>
    <row r="39" spans="1:11" x14ac:dyDescent="0.2">
      <c r="A39" s="65">
        <f t="shared" si="0"/>
        <v>31</v>
      </c>
      <c r="B39" s="71" t="str">
        <f t="shared" si="5"/>
        <v xml:space="preserve">52E </v>
      </c>
      <c r="C39" s="81" t="s">
        <v>6</v>
      </c>
      <c r="D39" s="82">
        <v>400</v>
      </c>
      <c r="E39" s="74">
        <v>9.1</v>
      </c>
      <c r="F39" s="75">
        <f t="shared" si="3"/>
        <v>0.2070404051236395</v>
      </c>
      <c r="G39" s="76">
        <v>6867</v>
      </c>
      <c r="H39" s="77">
        <f t="shared" si="4"/>
        <v>1421.7464619840325</v>
      </c>
      <c r="J39" s="78"/>
      <c r="K39" s="79"/>
    </row>
    <row r="40" spans="1:11" x14ac:dyDescent="0.2">
      <c r="A40" s="65">
        <f t="shared" si="0"/>
        <v>32</v>
      </c>
      <c r="B40" s="88"/>
      <c r="C40" s="81"/>
      <c r="D40" s="82"/>
      <c r="E40" s="74"/>
      <c r="F40" s="75"/>
      <c r="G40" s="76"/>
      <c r="H40" s="81"/>
      <c r="J40" s="78"/>
      <c r="K40" s="79"/>
    </row>
    <row r="41" spans="1:11" x14ac:dyDescent="0.2">
      <c r="A41" s="65">
        <f t="shared" si="0"/>
        <v>33</v>
      </c>
      <c r="B41" s="71" t="str">
        <f>+B36</f>
        <v xml:space="preserve">52E </v>
      </c>
      <c r="C41" s="81" t="s">
        <v>22</v>
      </c>
      <c r="D41" s="82">
        <v>70</v>
      </c>
      <c r="E41" s="74">
        <v>1.6</v>
      </c>
      <c r="F41" s="75">
        <f t="shared" ref="F41:F47" si="6">E41*$H$168</f>
        <v>3.6402708593167389E-2</v>
      </c>
      <c r="G41" s="76">
        <v>838</v>
      </c>
      <c r="H41" s="77">
        <f t="shared" ref="H41:H47" si="7">F41*G41</f>
        <v>30.505469801074273</v>
      </c>
      <c r="J41" s="78"/>
      <c r="K41" s="79"/>
    </row>
    <row r="42" spans="1:11" x14ac:dyDescent="0.2">
      <c r="A42" s="65">
        <f t="shared" si="0"/>
        <v>34</v>
      </c>
      <c r="B42" s="71" t="str">
        <f>+B37</f>
        <v xml:space="preserve">52E </v>
      </c>
      <c r="C42" s="81" t="s">
        <v>22</v>
      </c>
      <c r="D42" s="82">
        <v>100</v>
      </c>
      <c r="E42" s="74">
        <v>2.2799999999999998</v>
      </c>
      <c r="F42" s="75">
        <f t="shared" si="6"/>
        <v>5.1873859745263526E-2</v>
      </c>
      <c r="G42" s="76">
        <v>50</v>
      </c>
      <c r="H42" s="77">
        <f t="shared" si="7"/>
        <v>2.5936929872631764</v>
      </c>
      <c r="J42" s="78"/>
      <c r="K42" s="79"/>
    </row>
    <row r="43" spans="1:11" x14ac:dyDescent="0.2">
      <c r="A43" s="65">
        <f t="shared" si="0"/>
        <v>35</v>
      </c>
      <c r="B43" s="71" t="str">
        <f>+B38</f>
        <v xml:space="preserve">52E </v>
      </c>
      <c r="C43" s="81" t="s">
        <v>22</v>
      </c>
      <c r="D43" s="82">
        <v>150</v>
      </c>
      <c r="E43" s="74">
        <v>3.41</v>
      </c>
      <c r="F43" s="75">
        <f t="shared" si="6"/>
        <v>7.7583272689187993E-2</v>
      </c>
      <c r="G43" s="76">
        <v>2364</v>
      </c>
      <c r="H43" s="77">
        <f t="shared" si="7"/>
        <v>183.40685663724042</v>
      </c>
      <c r="J43" s="78"/>
      <c r="K43" s="79"/>
    </row>
    <row r="44" spans="1:11" x14ac:dyDescent="0.2">
      <c r="A44" s="65">
        <f t="shared" si="0"/>
        <v>36</v>
      </c>
      <c r="B44" s="71" t="str">
        <f>+B39</f>
        <v xml:space="preserve">52E </v>
      </c>
      <c r="C44" s="81" t="s">
        <v>22</v>
      </c>
      <c r="D44" s="82">
        <v>175</v>
      </c>
      <c r="E44" s="74">
        <v>3.98</v>
      </c>
      <c r="F44" s="75">
        <f t="shared" si="6"/>
        <v>9.0551737625503878E-2</v>
      </c>
      <c r="G44" s="76">
        <v>2450</v>
      </c>
      <c r="H44" s="77">
        <f t="shared" si="7"/>
        <v>221.8517571824845</v>
      </c>
      <c r="J44" s="78"/>
      <c r="K44" s="79"/>
    </row>
    <row r="45" spans="1:11" x14ac:dyDescent="0.2">
      <c r="A45" s="65">
        <f t="shared" si="0"/>
        <v>37</v>
      </c>
      <c r="B45" s="71" t="str">
        <f t="shared" ref="B45:C47" si="8">+B44</f>
        <v xml:space="preserve">52E </v>
      </c>
      <c r="C45" s="81" t="str">
        <f t="shared" si="8"/>
        <v>Metal Halide</v>
      </c>
      <c r="D45" s="82">
        <v>250</v>
      </c>
      <c r="E45" s="74">
        <v>5.68</v>
      </c>
      <c r="F45" s="75">
        <f t="shared" si="6"/>
        <v>0.12922961550574422</v>
      </c>
      <c r="G45" s="76">
        <v>404</v>
      </c>
      <c r="H45" s="77">
        <f t="shared" si="7"/>
        <v>52.208764664320661</v>
      </c>
      <c r="J45" s="78"/>
      <c r="K45" s="79"/>
    </row>
    <row r="46" spans="1:11" x14ac:dyDescent="0.2">
      <c r="A46" s="65">
        <f t="shared" si="0"/>
        <v>38</v>
      </c>
      <c r="B46" s="71" t="str">
        <f t="shared" si="8"/>
        <v xml:space="preserve">52E </v>
      </c>
      <c r="C46" s="81" t="str">
        <f t="shared" si="8"/>
        <v>Metal Halide</v>
      </c>
      <c r="D46" s="82">
        <v>400</v>
      </c>
      <c r="E46" s="74">
        <v>9.1</v>
      </c>
      <c r="F46" s="75">
        <f t="shared" si="6"/>
        <v>0.2070404051236395</v>
      </c>
      <c r="G46" s="76">
        <v>684</v>
      </c>
      <c r="H46" s="77">
        <f t="shared" si="7"/>
        <v>141.61563710456943</v>
      </c>
      <c r="J46" s="78"/>
      <c r="K46" s="79"/>
    </row>
    <row r="47" spans="1:11" x14ac:dyDescent="0.2">
      <c r="A47" s="65">
        <f t="shared" si="0"/>
        <v>39</v>
      </c>
      <c r="B47" s="71" t="str">
        <f t="shared" si="8"/>
        <v xml:space="preserve">52E </v>
      </c>
      <c r="C47" s="81" t="str">
        <f t="shared" si="8"/>
        <v>Metal Halide</v>
      </c>
      <c r="D47" s="82">
        <v>1000</v>
      </c>
      <c r="E47" s="74">
        <v>22.74</v>
      </c>
      <c r="F47" s="75">
        <f t="shared" si="6"/>
        <v>0.5173734958803915</v>
      </c>
      <c r="G47" s="76">
        <v>216</v>
      </c>
      <c r="H47" s="77">
        <f t="shared" si="7"/>
        <v>111.75267511016456</v>
      </c>
      <c r="J47" s="78"/>
      <c r="K47" s="79"/>
    </row>
    <row r="48" spans="1:11" x14ac:dyDescent="0.2">
      <c r="A48" s="65">
        <f t="shared" si="0"/>
        <v>40</v>
      </c>
      <c r="D48" s="84"/>
      <c r="E48" s="74"/>
      <c r="F48" s="75"/>
      <c r="G48" s="76"/>
      <c r="H48" s="81"/>
      <c r="J48" s="78"/>
      <c r="K48" s="79"/>
    </row>
    <row r="49" spans="1:11" ht="12" x14ac:dyDescent="0.35">
      <c r="A49" s="65">
        <f t="shared" si="0"/>
        <v>41</v>
      </c>
      <c r="B49" s="70" t="s">
        <v>110</v>
      </c>
      <c r="D49" s="84"/>
      <c r="E49" s="74"/>
      <c r="F49" s="75"/>
      <c r="G49" s="76"/>
      <c r="H49" s="81"/>
      <c r="J49" s="78"/>
      <c r="K49" s="79"/>
    </row>
    <row r="50" spans="1:11" x14ac:dyDescent="0.2">
      <c r="A50" s="65">
        <f t="shared" si="0"/>
        <v>42</v>
      </c>
      <c r="B50" s="71" t="s">
        <v>51</v>
      </c>
      <c r="C50" s="81" t="s">
        <v>6</v>
      </c>
      <c r="D50" s="82">
        <v>50</v>
      </c>
      <c r="E50" s="74">
        <v>1.1299999999999999</v>
      </c>
      <c r="F50" s="75">
        <f t="shared" ref="F50:F58" si="9">E50*$H$168</f>
        <v>2.5709412943924464E-2</v>
      </c>
      <c r="G50" s="76">
        <v>0</v>
      </c>
      <c r="H50" s="77">
        <f t="shared" ref="H50:H58" si="10">F50*G50</f>
        <v>0</v>
      </c>
      <c r="J50" s="78"/>
      <c r="K50" s="79"/>
    </row>
    <row r="51" spans="1:11" x14ac:dyDescent="0.2">
      <c r="A51" s="65">
        <f t="shared" si="0"/>
        <v>43</v>
      </c>
      <c r="B51" s="71" t="str">
        <f t="shared" ref="B51:B58" si="11">+B50</f>
        <v>53E</v>
      </c>
      <c r="C51" s="81" t="s">
        <v>6</v>
      </c>
      <c r="D51" s="82">
        <v>70</v>
      </c>
      <c r="E51" s="74">
        <v>1.6</v>
      </c>
      <c r="F51" s="75">
        <f t="shared" si="9"/>
        <v>3.6402708593167389E-2</v>
      </c>
      <c r="G51" s="76">
        <v>42559</v>
      </c>
      <c r="H51" s="77">
        <f t="shared" si="10"/>
        <v>1549.2628750166109</v>
      </c>
      <c r="J51" s="78"/>
      <c r="K51" s="79"/>
    </row>
    <row r="52" spans="1:11" x14ac:dyDescent="0.2">
      <c r="A52" s="65">
        <f t="shared" si="0"/>
        <v>44</v>
      </c>
      <c r="B52" s="71" t="str">
        <f t="shared" si="11"/>
        <v>53E</v>
      </c>
      <c r="C52" s="81" t="s">
        <v>6</v>
      </c>
      <c r="D52" s="82">
        <v>100</v>
      </c>
      <c r="E52" s="74">
        <v>2.2799999999999998</v>
      </c>
      <c r="F52" s="75">
        <f t="shared" si="9"/>
        <v>5.1873859745263526E-2</v>
      </c>
      <c r="G52" s="76">
        <v>325021</v>
      </c>
      <c r="H52" s="77">
        <f t="shared" si="10"/>
        <v>16860.093768265295</v>
      </c>
      <c r="J52" s="78"/>
      <c r="K52" s="79"/>
    </row>
    <row r="53" spans="1:11" x14ac:dyDescent="0.2">
      <c r="A53" s="65">
        <f t="shared" si="0"/>
        <v>45</v>
      </c>
      <c r="B53" s="71" t="str">
        <f t="shared" si="11"/>
        <v>53E</v>
      </c>
      <c r="C53" s="81" t="s">
        <v>6</v>
      </c>
      <c r="D53" s="82">
        <v>150</v>
      </c>
      <c r="E53" s="74">
        <v>3.41</v>
      </c>
      <c r="F53" s="75">
        <f t="shared" si="9"/>
        <v>7.7583272689187993E-2</v>
      </c>
      <c r="G53" s="76">
        <v>39168</v>
      </c>
      <c r="H53" s="77">
        <f t="shared" si="10"/>
        <v>3038.7816246901152</v>
      </c>
      <c r="J53" s="78"/>
      <c r="K53" s="79"/>
    </row>
    <row r="54" spans="1:11" x14ac:dyDescent="0.2">
      <c r="A54" s="65">
        <f t="shared" si="0"/>
        <v>46</v>
      </c>
      <c r="B54" s="71" t="str">
        <f t="shared" si="11"/>
        <v>53E</v>
      </c>
      <c r="C54" s="81" t="s">
        <v>6</v>
      </c>
      <c r="D54" s="82">
        <v>200</v>
      </c>
      <c r="E54" s="74">
        <v>4.55</v>
      </c>
      <c r="F54" s="75">
        <f t="shared" si="9"/>
        <v>0.10352020256181975</v>
      </c>
      <c r="G54" s="76">
        <v>52444</v>
      </c>
      <c r="H54" s="77">
        <f t="shared" si="10"/>
        <v>5429.0135031520749</v>
      </c>
      <c r="J54" s="78"/>
      <c r="K54" s="79"/>
    </row>
    <row r="55" spans="1:11" x14ac:dyDescent="0.2">
      <c r="A55" s="65">
        <f t="shared" si="0"/>
        <v>47</v>
      </c>
      <c r="B55" s="71" t="str">
        <f t="shared" si="11"/>
        <v>53E</v>
      </c>
      <c r="C55" s="81" t="s">
        <v>6</v>
      </c>
      <c r="D55" s="82">
        <v>250</v>
      </c>
      <c r="E55" s="74">
        <v>5.68</v>
      </c>
      <c r="F55" s="75">
        <f t="shared" si="9"/>
        <v>0.12922961550574422</v>
      </c>
      <c r="G55" s="76">
        <v>20979</v>
      </c>
      <c r="H55" s="77">
        <f t="shared" si="10"/>
        <v>2711.1081036950081</v>
      </c>
      <c r="J55" s="78"/>
      <c r="K55" s="79"/>
    </row>
    <row r="56" spans="1:11" x14ac:dyDescent="0.2">
      <c r="A56" s="65">
        <f t="shared" si="0"/>
        <v>48</v>
      </c>
      <c r="B56" s="71" t="str">
        <f t="shared" si="11"/>
        <v>53E</v>
      </c>
      <c r="C56" s="81" t="s">
        <v>6</v>
      </c>
      <c r="D56" s="82">
        <v>310</v>
      </c>
      <c r="E56" s="74">
        <v>7.05</v>
      </c>
      <c r="F56" s="75">
        <f t="shared" si="9"/>
        <v>0.16039943473864379</v>
      </c>
      <c r="G56" s="76">
        <v>235</v>
      </c>
      <c r="H56" s="77">
        <f t="shared" si="10"/>
        <v>37.693867163581288</v>
      </c>
      <c r="J56" s="78"/>
      <c r="K56" s="79"/>
    </row>
    <row r="57" spans="1:11" x14ac:dyDescent="0.2">
      <c r="A57" s="65">
        <f t="shared" si="0"/>
        <v>49</v>
      </c>
      <c r="B57" s="71" t="str">
        <f t="shared" si="11"/>
        <v>53E</v>
      </c>
      <c r="C57" s="81" t="s">
        <v>6</v>
      </c>
      <c r="D57" s="82">
        <v>400</v>
      </c>
      <c r="E57" s="74">
        <v>9.1</v>
      </c>
      <c r="F57" s="75">
        <f t="shared" si="9"/>
        <v>0.2070404051236395</v>
      </c>
      <c r="G57" s="76">
        <v>14431</v>
      </c>
      <c r="H57" s="77">
        <f t="shared" si="10"/>
        <v>2987.8000863392417</v>
      </c>
      <c r="J57" s="78"/>
      <c r="K57" s="79"/>
    </row>
    <row r="58" spans="1:11" x14ac:dyDescent="0.2">
      <c r="A58" s="65">
        <f t="shared" si="0"/>
        <v>50</v>
      </c>
      <c r="B58" s="71" t="str">
        <f t="shared" si="11"/>
        <v>53E</v>
      </c>
      <c r="C58" s="81" t="s">
        <v>6</v>
      </c>
      <c r="D58" s="82">
        <v>1000</v>
      </c>
      <c r="E58" s="74">
        <v>22.74</v>
      </c>
      <c r="F58" s="75">
        <f t="shared" si="9"/>
        <v>0.5173734958803915</v>
      </c>
      <c r="G58" s="76">
        <v>0</v>
      </c>
      <c r="H58" s="77">
        <f t="shared" si="10"/>
        <v>0</v>
      </c>
      <c r="J58" s="78"/>
      <c r="K58" s="79"/>
    </row>
    <row r="59" spans="1:11" x14ac:dyDescent="0.2">
      <c r="A59" s="65">
        <f t="shared" si="0"/>
        <v>51</v>
      </c>
      <c r="B59" s="71"/>
      <c r="C59" s="81"/>
      <c r="D59" s="82"/>
      <c r="E59" s="74"/>
      <c r="F59" s="75"/>
      <c r="G59" s="76"/>
      <c r="H59" s="81"/>
      <c r="J59" s="78"/>
      <c r="K59" s="79"/>
    </row>
    <row r="60" spans="1:11" x14ac:dyDescent="0.2">
      <c r="A60" s="65">
        <f t="shared" si="0"/>
        <v>52</v>
      </c>
      <c r="B60" s="71" t="str">
        <f>+B58</f>
        <v>53E</v>
      </c>
      <c r="C60" s="81" t="s">
        <v>22</v>
      </c>
      <c r="D60" s="82">
        <v>70</v>
      </c>
      <c r="E60" s="74">
        <v>1.6</v>
      </c>
      <c r="F60" s="75">
        <f t="shared" ref="F60:F65" si="12">E60*$H$168</f>
        <v>3.6402708593167389E-2</v>
      </c>
      <c r="G60" s="83">
        <v>0</v>
      </c>
      <c r="H60" s="77">
        <f t="shared" ref="H60:H65" si="13">F60*G60</f>
        <v>0</v>
      </c>
      <c r="J60" s="78"/>
      <c r="K60" s="79"/>
    </row>
    <row r="61" spans="1:11" x14ac:dyDescent="0.2">
      <c r="A61" s="65">
        <f t="shared" si="0"/>
        <v>53</v>
      </c>
      <c r="B61" s="71" t="str">
        <f>+B60</f>
        <v>53E</v>
      </c>
      <c r="C61" s="81" t="s">
        <v>22</v>
      </c>
      <c r="D61" s="82">
        <v>100</v>
      </c>
      <c r="E61" s="74">
        <v>2.2799999999999998</v>
      </c>
      <c r="F61" s="75">
        <f t="shared" si="12"/>
        <v>5.1873859745263526E-2</v>
      </c>
      <c r="G61" s="83">
        <v>0</v>
      </c>
      <c r="H61" s="77">
        <f t="shared" si="13"/>
        <v>0</v>
      </c>
      <c r="J61" s="78"/>
      <c r="K61" s="79"/>
    </row>
    <row r="62" spans="1:11" x14ac:dyDescent="0.2">
      <c r="A62" s="65">
        <f t="shared" si="0"/>
        <v>54</v>
      </c>
      <c r="B62" s="71" t="str">
        <f>+B61</f>
        <v>53E</v>
      </c>
      <c r="C62" s="81" t="s">
        <v>22</v>
      </c>
      <c r="D62" s="82">
        <v>150</v>
      </c>
      <c r="E62" s="74">
        <v>3.41</v>
      </c>
      <c r="F62" s="75">
        <f t="shared" si="12"/>
        <v>7.7583272689187993E-2</v>
      </c>
      <c r="G62" s="83">
        <v>0</v>
      </c>
      <c r="H62" s="77">
        <f t="shared" si="13"/>
        <v>0</v>
      </c>
      <c r="J62" s="78"/>
      <c r="K62" s="79"/>
    </row>
    <row r="63" spans="1:11" x14ac:dyDescent="0.2">
      <c r="A63" s="65">
        <f t="shared" si="0"/>
        <v>55</v>
      </c>
      <c r="B63" s="71" t="str">
        <f>+B62</f>
        <v>53E</v>
      </c>
      <c r="C63" s="81" t="s">
        <v>22</v>
      </c>
      <c r="D63" s="82">
        <v>175</v>
      </c>
      <c r="E63" s="74">
        <v>3.98</v>
      </c>
      <c r="F63" s="75">
        <f t="shared" si="12"/>
        <v>9.0551737625503878E-2</v>
      </c>
      <c r="G63" s="76">
        <v>48</v>
      </c>
      <c r="H63" s="77">
        <f t="shared" si="13"/>
        <v>4.3464834060241859</v>
      </c>
      <c r="J63" s="78"/>
      <c r="K63" s="79"/>
    </row>
    <row r="64" spans="1:11" x14ac:dyDescent="0.2">
      <c r="A64" s="65">
        <f t="shared" si="0"/>
        <v>56</v>
      </c>
      <c r="B64" s="71" t="str">
        <f>+B63</f>
        <v>53E</v>
      </c>
      <c r="C64" s="81" t="s">
        <v>22</v>
      </c>
      <c r="D64" s="82">
        <v>250</v>
      </c>
      <c r="E64" s="74">
        <v>5.68</v>
      </c>
      <c r="F64" s="75">
        <f t="shared" si="12"/>
        <v>0.12922961550574422</v>
      </c>
      <c r="G64" s="83">
        <v>0</v>
      </c>
      <c r="H64" s="77">
        <f t="shared" si="13"/>
        <v>0</v>
      </c>
      <c r="J64" s="78"/>
      <c r="K64" s="79"/>
    </row>
    <row r="65" spans="1:11" x14ac:dyDescent="0.2">
      <c r="A65" s="65">
        <f t="shared" si="0"/>
        <v>57</v>
      </c>
      <c r="B65" s="71" t="str">
        <f>+B64</f>
        <v>53E</v>
      </c>
      <c r="C65" s="81" t="s">
        <v>22</v>
      </c>
      <c r="D65" s="82">
        <v>400</v>
      </c>
      <c r="E65" s="74">
        <v>9.1</v>
      </c>
      <c r="F65" s="75">
        <f t="shared" si="12"/>
        <v>0.2070404051236395</v>
      </c>
      <c r="G65" s="83">
        <v>0</v>
      </c>
      <c r="H65" s="77">
        <f t="shared" si="13"/>
        <v>0</v>
      </c>
      <c r="J65" s="78"/>
      <c r="K65" s="79"/>
    </row>
    <row r="66" spans="1:11" x14ac:dyDescent="0.2">
      <c r="A66" s="65">
        <f t="shared" si="0"/>
        <v>58</v>
      </c>
      <c r="B66" s="71"/>
      <c r="C66" s="81"/>
      <c r="D66" s="82"/>
      <c r="E66" s="74"/>
      <c r="F66" s="75"/>
      <c r="G66" s="76"/>
      <c r="H66" s="81"/>
      <c r="J66" s="78"/>
      <c r="K66" s="79"/>
    </row>
    <row r="67" spans="1:11" x14ac:dyDescent="0.2">
      <c r="A67" s="65">
        <f t="shared" si="0"/>
        <v>59</v>
      </c>
      <c r="B67" s="71" t="str">
        <f>+B64</f>
        <v>53E</v>
      </c>
      <c r="C67" s="81" t="s">
        <v>11</v>
      </c>
      <c r="D67" s="84" t="s">
        <v>48</v>
      </c>
      <c r="E67" s="74">
        <v>0.33999999999999997</v>
      </c>
      <c r="F67" s="75">
        <f t="shared" ref="F67:F76" si="14">E67*$H$168</f>
        <v>7.7355755760480692E-3</v>
      </c>
      <c r="G67" s="76">
        <v>1595</v>
      </c>
      <c r="H67" s="77">
        <f t="shared" ref="H67:H77" si="15">F67*G67</f>
        <v>12.33824304379667</v>
      </c>
      <c r="J67" s="78"/>
      <c r="K67" s="79"/>
    </row>
    <row r="68" spans="1:11" x14ac:dyDescent="0.2">
      <c r="A68" s="65">
        <f t="shared" si="0"/>
        <v>60</v>
      </c>
      <c r="B68" s="71" t="str">
        <f>+B65</f>
        <v>53E</v>
      </c>
      <c r="C68" s="81" t="s">
        <v>11</v>
      </c>
      <c r="D68" s="85" t="s">
        <v>49</v>
      </c>
      <c r="E68" s="74">
        <v>1.02</v>
      </c>
      <c r="F68" s="75">
        <f t="shared" si="14"/>
        <v>2.3206726728144209E-2</v>
      </c>
      <c r="G68" s="76">
        <v>230234</v>
      </c>
      <c r="H68" s="77">
        <f t="shared" si="15"/>
        <v>5342.977521527554</v>
      </c>
      <c r="J68" s="78"/>
      <c r="K68" s="79"/>
    </row>
    <row r="69" spans="1:11" x14ac:dyDescent="0.2">
      <c r="A69" s="65">
        <f t="shared" si="0"/>
        <v>61</v>
      </c>
      <c r="B69" s="71" t="str">
        <f t="shared" ref="B69:B76" si="16">B68</f>
        <v>53E</v>
      </c>
      <c r="C69" s="81" t="s">
        <v>11</v>
      </c>
      <c r="D69" s="82" t="s">
        <v>13</v>
      </c>
      <c r="E69" s="74">
        <v>1.7</v>
      </c>
      <c r="F69" s="75">
        <f t="shared" si="14"/>
        <v>3.8677877880240345E-2</v>
      </c>
      <c r="G69" s="76">
        <v>14998</v>
      </c>
      <c r="H69" s="77">
        <f t="shared" si="15"/>
        <v>580.09081244784466</v>
      </c>
      <c r="J69" s="78"/>
      <c r="K69" s="79"/>
    </row>
    <row r="70" spans="1:11" x14ac:dyDescent="0.2">
      <c r="A70" s="65">
        <f t="shared" si="0"/>
        <v>62</v>
      </c>
      <c r="B70" s="71" t="str">
        <f t="shared" si="16"/>
        <v>53E</v>
      </c>
      <c r="C70" s="81" t="s">
        <v>11</v>
      </c>
      <c r="D70" s="82" t="s">
        <v>14</v>
      </c>
      <c r="E70" s="74">
        <v>2.38</v>
      </c>
      <c r="F70" s="75">
        <f t="shared" si="14"/>
        <v>5.4149029032336489E-2</v>
      </c>
      <c r="G70" s="76">
        <v>34477</v>
      </c>
      <c r="H70" s="77">
        <f t="shared" si="15"/>
        <v>1866.896073947865</v>
      </c>
      <c r="J70" s="78"/>
      <c r="K70" s="79"/>
    </row>
    <row r="71" spans="1:11" x14ac:dyDescent="0.2">
      <c r="A71" s="65">
        <f t="shared" si="0"/>
        <v>63</v>
      </c>
      <c r="B71" s="71" t="str">
        <f t="shared" si="16"/>
        <v>53E</v>
      </c>
      <c r="C71" s="81" t="s">
        <v>11</v>
      </c>
      <c r="D71" s="82" t="s">
        <v>15</v>
      </c>
      <c r="E71" s="74">
        <v>3.0700000000000003</v>
      </c>
      <c r="F71" s="75">
        <f t="shared" si="14"/>
        <v>6.9847697113139928E-2</v>
      </c>
      <c r="G71" s="76">
        <v>21256</v>
      </c>
      <c r="H71" s="77">
        <f t="shared" si="15"/>
        <v>1484.6826498369023</v>
      </c>
      <c r="J71" s="78"/>
      <c r="K71" s="79"/>
    </row>
    <row r="72" spans="1:11" x14ac:dyDescent="0.2">
      <c r="A72" s="65">
        <f t="shared" si="0"/>
        <v>64</v>
      </c>
      <c r="B72" s="71" t="str">
        <f t="shared" si="16"/>
        <v>53E</v>
      </c>
      <c r="C72" s="81" t="s">
        <v>11</v>
      </c>
      <c r="D72" s="82" t="s">
        <v>16</v>
      </c>
      <c r="E72" s="74">
        <v>3.75</v>
      </c>
      <c r="F72" s="75">
        <f t="shared" si="14"/>
        <v>8.5318848265236058E-2</v>
      </c>
      <c r="G72" s="76">
        <v>17354</v>
      </c>
      <c r="H72" s="77">
        <f t="shared" si="15"/>
        <v>1480.6232927949065</v>
      </c>
      <c r="J72" s="78"/>
      <c r="K72" s="79"/>
    </row>
    <row r="73" spans="1:11" x14ac:dyDescent="0.2">
      <c r="A73" s="65">
        <f t="shared" si="0"/>
        <v>65</v>
      </c>
      <c r="B73" s="71" t="str">
        <f t="shared" si="16"/>
        <v>53E</v>
      </c>
      <c r="C73" s="81" t="s">
        <v>11</v>
      </c>
      <c r="D73" s="82" t="s">
        <v>17</v>
      </c>
      <c r="E73" s="74">
        <v>4.43</v>
      </c>
      <c r="F73" s="75">
        <f t="shared" si="14"/>
        <v>0.1007899994173322</v>
      </c>
      <c r="G73" s="76">
        <v>5552</v>
      </c>
      <c r="H73" s="77">
        <f t="shared" si="15"/>
        <v>559.58607676502834</v>
      </c>
      <c r="J73" s="78"/>
      <c r="K73" s="79"/>
    </row>
    <row r="74" spans="1:11" x14ac:dyDescent="0.2">
      <c r="A74" s="65">
        <f t="shared" ref="A74:A137" si="17">+A73+1</f>
        <v>66</v>
      </c>
      <c r="B74" s="71" t="str">
        <f t="shared" si="16"/>
        <v>53E</v>
      </c>
      <c r="C74" s="81" t="s">
        <v>11</v>
      </c>
      <c r="D74" s="82" t="s">
        <v>18</v>
      </c>
      <c r="E74" s="74">
        <v>5.12</v>
      </c>
      <c r="F74" s="75">
        <f t="shared" si="14"/>
        <v>0.11648866749813565</v>
      </c>
      <c r="G74" s="76">
        <v>778</v>
      </c>
      <c r="H74" s="77">
        <f t="shared" si="15"/>
        <v>90.628183313549528</v>
      </c>
      <c r="J74" s="78"/>
      <c r="K74" s="79"/>
    </row>
    <row r="75" spans="1:11" x14ac:dyDescent="0.2">
      <c r="A75" s="65">
        <f t="shared" si="17"/>
        <v>67</v>
      </c>
      <c r="B75" s="71" t="str">
        <f t="shared" si="16"/>
        <v>53E</v>
      </c>
      <c r="C75" s="81" t="s">
        <v>11</v>
      </c>
      <c r="D75" s="82" t="s">
        <v>19</v>
      </c>
      <c r="E75" s="74">
        <v>5.8</v>
      </c>
      <c r="F75" s="75">
        <f t="shared" si="14"/>
        <v>0.13195981865023176</v>
      </c>
      <c r="G75" s="76">
        <v>290</v>
      </c>
      <c r="H75" s="77">
        <f t="shared" si="15"/>
        <v>38.268347408567209</v>
      </c>
      <c r="J75" s="78"/>
      <c r="K75" s="79"/>
    </row>
    <row r="76" spans="1:11" x14ac:dyDescent="0.2">
      <c r="A76" s="65">
        <f t="shared" si="17"/>
        <v>68</v>
      </c>
      <c r="B76" s="71" t="str">
        <f t="shared" si="16"/>
        <v>53E</v>
      </c>
      <c r="C76" s="81" t="s">
        <v>11</v>
      </c>
      <c r="D76" s="82" t="s">
        <v>20</v>
      </c>
      <c r="E76" s="74">
        <v>6.48</v>
      </c>
      <c r="F76" s="75">
        <f t="shared" si="14"/>
        <v>0.14743096980232792</v>
      </c>
      <c r="G76" s="76">
        <v>1790</v>
      </c>
      <c r="H76" s="77">
        <f t="shared" si="15"/>
        <v>263.901435946167</v>
      </c>
      <c r="J76" s="78"/>
      <c r="K76" s="79"/>
    </row>
    <row r="77" spans="1:11" x14ac:dyDescent="0.2">
      <c r="A77" s="65">
        <f t="shared" si="17"/>
        <v>69</v>
      </c>
      <c r="B77" s="71" t="s">
        <v>111</v>
      </c>
      <c r="C77" s="81" t="s">
        <v>43</v>
      </c>
      <c r="D77" s="86" t="s">
        <v>50</v>
      </c>
      <c r="E77" s="87">
        <v>6.4988000000000004E-2</v>
      </c>
      <c r="F77" s="87">
        <f>'Rate Impacts'!I41</f>
        <v>1.3600000000000001E-3</v>
      </c>
      <c r="G77" s="76">
        <v>2016760</v>
      </c>
      <c r="H77" s="77">
        <f t="shared" si="15"/>
        <v>2742.7936000000004</v>
      </c>
      <c r="J77" s="78"/>
      <c r="K77" s="79"/>
    </row>
    <row r="78" spans="1:11" x14ac:dyDescent="0.2">
      <c r="A78" s="65">
        <f t="shared" si="17"/>
        <v>70</v>
      </c>
      <c r="B78" s="89"/>
      <c r="C78" s="81"/>
      <c r="D78" s="82"/>
      <c r="E78" s="74"/>
      <c r="F78" s="75"/>
      <c r="G78" s="76"/>
      <c r="H78" s="81"/>
      <c r="J78" s="78"/>
      <c r="K78" s="79"/>
    </row>
    <row r="79" spans="1:11" ht="12" x14ac:dyDescent="0.35">
      <c r="A79" s="65">
        <f t="shared" si="17"/>
        <v>71</v>
      </c>
      <c r="B79" s="70" t="s">
        <v>112</v>
      </c>
      <c r="D79" s="84"/>
      <c r="E79" s="74"/>
      <c r="F79" s="75"/>
      <c r="G79" s="76"/>
      <c r="H79" s="81"/>
      <c r="J79" s="78"/>
      <c r="K79" s="79"/>
    </row>
    <row r="80" spans="1:11" x14ac:dyDescent="0.2">
      <c r="A80" s="65">
        <f t="shared" si="17"/>
        <v>72</v>
      </c>
      <c r="B80" s="71" t="s">
        <v>23</v>
      </c>
      <c r="C80" s="81" t="s">
        <v>6</v>
      </c>
      <c r="D80" s="82">
        <v>50</v>
      </c>
      <c r="E80" s="74">
        <v>1.1299999999999999</v>
      </c>
      <c r="F80" s="75">
        <f t="shared" ref="F80:F88" si="18">E80*$H$168</f>
        <v>2.5709412943924464E-2</v>
      </c>
      <c r="G80" s="76">
        <v>422</v>
      </c>
      <c r="H80" s="77">
        <f t="shared" ref="H80:H88" si="19">F80*G80</f>
        <v>10.849372262336123</v>
      </c>
      <c r="J80" s="78"/>
      <c r="K80" s="79"/>
    </row>
    <row r="81" spans="1:11" x14ac:dyDescent="0.2">
      <c r="A81" s="65">
        <f t="shared" si="17"/>
        <v>73</v>
      </c>
      <c r="B81" s="71" t="str">
        <f t="shared" ref="B81:B88" si="20">+B80</f>
        <v>54E</v>
      </c>
      <c r="C81" s="81" t="s">
        <v>6</v>
      </c>
      <c r="D81" s="82">
        <v>70</v>
      </c>
      <c r="E81" s="74">
        <v>1.6</v>
      </c>
      <c r="F81" s="75">
        <f t="shared" si="18"/>
        <v>3.6402708593167389E-2</v>
      </c>
      <c r="G81" s="76">
        <v>1778</v>
      </c>
      <c r="H81" s="77">
        <f t="shared" si="19"/>
        <v>64.724015878651613</v>
      </c>
      <c r="J81" s="78"/>
      <c r="K81" s="79"/>
    </row>
    <row r="82" spans="1:11" x14ac:dyDescent="0.2">
      <c r="A82" s="65">
        <f t="shared" si="17"/>
        <v>74</v>
      </c>
      <c r="B82" s="71" t="str">
        <f t="shared" si="20"/>
        <v>54E</v>
      </c>
      <c r="C82" s="81" t="s">
        <v>6</v>
      </c>
      <c r="D82" s="82">
        <v>100</v>
      </c>
      <c r="E82" s="74">
        <v>2.2799999999999998</v>
      </c>
      <c r="F82" s="75">
        <f t="shared" si="18"/>
        <v>5.1873859745263526E-2</v>
      </c>
      <c r="G82" s="76">
        <v>9944</v>
      </c>
      <c r="H82" s="77">
        <f t="shared" si="19"/>
        <v>515.83366130690047</v>
      </c>
      <c r="J82" s="78"/>
      <c r="K82" s="79"/>
    </row>
    <row r="83" spans="1:11" x14ac:dyDescent="0.2">
      <c r="A83" s="65">
        <f t="shared" si="17"/>
        <v>75</v>
      </c>
      <c r="B83" s="71" t="str">
        <f t="shared" si="20"/>
        <v>54E</v>
      </c>
      <c r="C83" s="81" t="s">
        <v>6</v>
      </c>
      <c r="D83" s="82">
        <v>150</v>
      </c>
      <c r="E83" s="74">
        <v>3.41</v>
      </c>
      <c r="F83" s="75">
        <f t="shared" si="18"/>
        <v>7.7583272689187993E-2</v>
      </c>
      <c r="G83" s="76">
        <v>3449</v>
      </c>
      <c r="H83" s="77">
        <f t="shared" si="19"/>
        <v>267.58470750500936</v>
      </c>
      <c r="J83" s="78"/>
      <c r="K83" s="79"/>
    </row>
    <row r="84" spans="1:11" x14ac:dyDescent="0.2">
      <c r="A84" s="65">
        <f t="shared" si="17"/>
        <v>76</v>
      </c>
      <c r="B84" s="71" t="str">
        <f t="shared" si="20"/>
        <v>54E</v>
      </c>
      <c r="C84" s="81" t="s">
        <v>6</v>
      </c>
      <c r="D84" s="82">
        <v>200</v>
      </c>
      <c r="E84" s="74">
        <v>4.55</v>
      </c>
      <c r="F84" s="75">
        <f t="shared" si="18"/>
        <v>0.10352020256181975</v>
      </c>
      <c r="G84" s="76">
        <v>3300</v>
      </c>
      <c r="H84" s="77">
        <f t="shared" si="19"/>
        <v>341.61666845400515</v>
      </c>
      <c r="J84" s="78"/>
      <c r="K84" s="79"/>
    </row>
    <row r="85" spans="1:11" x14ac:dyDescent="0.2">
      <c r="A85" s="65">
        <f t="shared" si="17"/>
        <v>77</v>
      </c>
      <c r="B85" s="71" t="str">
        <f t="shared" si="20"/>
        <v>54E</v>
      </c>
      <c r="C85" s="81" t="s">
        <v>6</v>
      </c>
      <c r="D85" s="82">
        <v>250</v>
      </c>
      <c r="E85" s="74">
        <v>5.68</v>
      </c>
      <c r="F85" s="75">
        <f t="shared" si="18"/>
        <v>0.12922961550574422</v>
      </c>
      <c r="G85" s="76">
        <v>3581</v>
      </c>
      <c r="H85" s="77">
        <f t="shared" si="19"/>
        <v>462.77125312607006</v>
      </c>
      <c r="J85" s="78"/>
      <c r="K85" s="79"/>
    </row>
    <row r="86" spans="1:11" x14ac:dyDescent="0.2">
      <c r="A86" s="65">
        <f t="shared" si="17"/>
        <v>78</v>
      </c>
      <c r="B86" s="71" t="str">
        <f t="shared" si="20"/>
        <v>54E</v>
      </c>
      <c r="C86" s="81" t="s">
        <v>6</v>
      </c>
      <c r="D86" s="82">
        <v>310</v>
      </c>
      <c r="E86" s="74">
        <v>7.05</v>
      </c>
      <c r="F86" s="75">
        <f t="shared" si="18"/>
        <v>0.16039943473864379</v>
      </c>
      <c r="G86" s="76">
        <v>670</v>
      </c>
      <c r="H86" s="77">
        <f t="shared" si="19"/>
        <v>107.46762127489134</v>
      </c>
      <c r="J86" s="78"/>
      <c r="K86" s="79"/>
    </row>
    <row r="87" spans="1:11" x14ac:dyDescent="0.2">
      <c r="A87" s="65">
        <f t="shared" si="17"/>
        <v>79</v>
      </c>
      <c r="B87" s="71" t="str">
        <f t="shared" si="20"/>
        <v>54E</v>
      </c>
      <c r="C87" s="81" t="s">
        <v>6</v>
      </c>
      <c r="D87" s="82">
        <v>400</v>
      </c>
      <c r="E87" s="74">
        <v>9.1</v>
      </c>
      <c r="F87" s="75">
        <f t="shared" si="18"/>
        <v>0.2070404051236395</v>
      </c>
      <c r="G87" s="76">
        <v>6770</v>
      </c>
      <c r="H87" s="77">
        <f t="shared" si="19"/>
        <v>1401.6635426870394</v>
      </c>
      <c r="J87" s="78"/>
      <c r="K87" s="79"/>
    </row>
    <row r="88" spans="1:11" x14ac:dyDescent="0.2">
      <c r="A88" s="65">
        <f t="shared" si="17"/>
        <v>80</v>
      </c>
      <c r="B88" s="71" t="str">
        <f t="shared" si="20"/>
        <v>54E</v>
      </c>
      <c r="C88" s="81" t="s">
        <v>6</v>
      </c>
      <c r="D88" s="82">
        <v>1000</v>
      </c>
      <c r="E88" s="74">
        <v>22.74</v>
      </c>
      <c r="F88" s="75">
        <f t="shared" si="18"/>
        <v>0.5173734958803915</v>
      </c>
      <c r="G88" s="76">
        <v>0</v>
      </c>
      <c r="H88" s="77">
        <f t="shared" si="19"/>
        <v>0</v>
      </c>
      <c r="J88" s="78"/>
      <c r="K88" s="79"/>
    </row>
    <row r="89" spans="1:11" x14ac:dyDescent="0.2">
      <c r="A89" s="65">
        <f t="shared" si="17"/>
        <v>81</v>
      </c>
      <c r="B89" s="89"/>
      <c r="C89" s="81"/>
      <c r="D89" s="82"/>
      <c r="E89" s="74"/>
      <c r="F89" s="75"/>
      <c r="G89" s="76"/>
      <c r="H89" s="81"/>
      <c r="J89" s="78"/>
      <c r="K89" s="79"/>
    </row>
    <row r="90" spans="1:11" x14ac:dyDescent="0.2">
      <c r="A90" s="65">
        <f t="shared" si="17"/>
        <v>82</v>
      </c>
      <c r="B90" s="71" t="str">
        <f>+B87</f>
        <v>54E</v>
      </c>
      <c r="C90" s="81" t="s">
        <v>11</v>
      </c>
      <c r="D90" s="85" t="s">
        <v>44</v>
      </c>
      <c r="E90" s="74">
        <v>0.33999999999999997</v>
      </c>
      <c r="F90" s="75">
        <f t="shared" ref="F90:F99" si="21">E90*$H$168</f>
        <v>7.7355755760480692E-3</v>
      </c>
      <c r="G90" s="76">
        <v>2764</v>
      </c>
      <c r="H90" s="77">
        <f t="shared" ref="H90:H99" si="22">F90*G90</f>
        <v>21.381130892196865</v>
      </c>
      <c r="J90" s="78"/>
      <c r="K90" s="79"/>
    </row>
    <row r="91" spans="1:11" x14ac:dyDescent="0.2">
      <c r="A91" s="65">
        <f t="shared" si="17"/>
        <v>83</v>
      </c>
      <c r="B91" s="71" t="str">
        <f>+B88</f>
        <v>54E</v>
      </c>
      <c r="C91" s="81" t="s">
        <v>11</v>
      </c>
      <c r="D91" s="85" t="s">
        <v>12</v>
      </c>
      <c r="E91" s="74">
        <v>1.02</v>
      </c>
      <c r="F91" s="75">
        <f t="shared" si="21"/>
        <v>2.3206726728144209E-2</v>
      </c>
      <c r="G91" s="76">
        <v>31614</v>
      </c>
      <c r="H91" s="77">
        <f t="shared" si="22"/>
        <v>733.65745878355096</v>
      </c>
      <c r="J91" s="78"/>
      <c r="K91" s="79"/>
    </row>
    <row r="92" spans="1:11" x14ac:dyDescent="0.2">
      <c r="A92" s="65">
        <f t="shared" si="17"/>
        <v>84</v>
      </c>
      <c r="B92" s="71" t="str">
        <f t="shared" ref="B92:B99" si="23">+B91</f>
        <v>54E</v>
      </c>
      <c r="C92" s="81" t="s">
        <v>11</v>
      </c>
      <c r="D92" s="82" t="s">
        <v>13</v>
      </c>
      <c r="E92" s="74">
        <v>1.7</v>
      </c>
      <c r="F92" s="75">
        <f t="shared" si="21"/>
        <v>3.8677877880240345E-2</v>
      </c>
      <c r="G92" s="76">
        <v>2651</v>
      </c>
      <c r="H92" s="77">
        <f t="shared" si="22"/>
        <v>102.53505426051716</v>
      </c>
      <c r="J92" s="78"/>
      <c r="K92" s="79"/>
    </row>
    <row r="93" spans="1:11" x14ac:dyDescent="0.2">
      <c r="A93" s="65">
        <f t="shared" si="17"/>
        <v>85</v>
      </c>
      <c r="B93" s="71" t="str">
        <f t="shared" si="23"/>
        <v>54E</v>
      </c>
      <c r="C93" s="81" t="s">
        <v>11</v>
      </c>
      <c r="D93" s="82" t="s">
        <v>14</v>
      </c>
      <c r="E93" s="74">
        <v>2.38</v>
      </c>
      <c r="F93" s="75">
        <f t="shared" si="21"/>
        <v>5.4149029032336489E-2</v>
      </c>
      <c r="G93" s="76">
        <v>35407</v>
      </c>
      <c r="H93" s="77">
        <f t="shared" si="22"/>
        <v>1917.2546709479382</v>
      </c>
      <c r="J93" s="78"/>
      <c r="K93" s="79"/>
    </row>
    <row r="94" spans="1:11" x14ac:dyDescent="0.2">
      <c r="A94" s="65">
        <f t="shared" si="17"/>
        <v>86</v>
      </c>
      <c r="B94" s="71" t="str">
        <f t="shared" si="23"/>
        <v>54E</v>
      </c>
      <c r="C94" s="81" t="s">
        <v>11</v>
      </c>
      <c r="D94" s="82" t="s">
        <v>15</v>
      </c>
      <c r="E94" s="74">
        <v>3.0700000000000003</v>
      </c>
      <c r="F94" s="75">
        <f t="shared" si="21"/>
        <v>6.9847697113139928E-2</v>
      </c>
      <c r="G94" s="76">
        <v>12747</v>
      </c>
      <c r="H94" s="77">
        <f t="shared" si="22"/>
        <v>890.34859510119463</v>
      </c>
      <c r="J94" s="78"/>
      <c r="K94" s="79"/>
    </row>
    <row r="95" spans="1:11" x14ac:dyDescent="0.2">
      <c r="A95" s="65">
        <f t="shared" si="17"/>
        <v>87</v>
      </c>
      <c r="B95" s="71" t="str">
        <f t="shared" si="23"/>
        <v>54E</v>
      </c>
      <c r="C95" s="81" t="s">
        <v>11</v>
      </c>
      <c r="D95" s="82" t="s">
        <v>16</v>
      </c>
      <c r="E95" s="74">
        <v>3.75</v>
      </c>
      <c r="F95" s="75">
        <f t="shared" si="21"/>
        <v>8.5318848265236058E-2</v>
      </c>
      <c r="G95" s="76">
        <v>5352</v>
      </c>
      <c r="H95" s="77">
        <f t="shared" si="22"/>
        <v>456.62647591554338</v>
      </c>
      <c r="J95" s="78"/>
      <c r="K95" s="79"/>
    </row>
    <row r="96" spans="1:11" x14ac:dyDescent="0.2">
      <c r="A96" s="65">
        <f t="shared" si="17"/>
        <v>88</v>
      </c>
      <c r="B96" s="71" t="str">
        <f t="shared" si="23"/>
        <v>54E</v>
      </c>
      <c r="C96" s="81" t="s">
        <v>11</v>
      </c>
      <c r="D96" s="82" t="s">
        <v>17</v>
      </c>
      <c r="E96" s="74">
        <v>4.43</v>
      </c>
      <c r="F96" s="75">
        <f t="shared" si="21"/>
        <v>0.1007899994173322</v>
      </c>
      <c r="G96" s="76">
        <v>1866</v>
      </c>
      <c r="H96" s="77">
        <f t="shared" si="22"/>
        <v>188.07413891274189</v>
      </c>
      <c r="J96" s="78"/>
      <c r="K96" s="79"/>
    </row>
    <row r="97" spans="1:11" x14ac:dyDescent="0.2">
      <c r="A97" s="65">
        <f t="shared" si="17"/>
        <v>89</v>
      </c>
      <c r="B97" s="71" t="str">
        <f t="shared" si="23"/>
        <v>54E</v>
      </c>
      <c r="C97" s="81" t="s">
        <v>11</v>
      </c>
      <c r="D97" s="82" t="s">
        <v>18</v>
      </c>
      <c r="E97" s="74">
        <v>5.12</v>
      </c>
      <c r="F97" s="75">
        <f t="shared" si="21"/>
        <v>0.11648866749813565</v>
      </c>
      <c r="G97" s="76">
        <v>468</v>
      </c>
      <c r="H97" s="77">
        <f t="shared" si="22"/>
        <v>54.516696389127482</v>
      </c>
      <c r="J97" s="78"/>
      <c r="K97" s="79"/>
    </row>
    <row r="98" spans="1:11" x14ac:dyDescent="0.2">
      <c r="A98" s="65">
        <f t="shared" si="17"/>
        <v>90</v>
      </c>
      <c r="B98" s="71" t="str">
        <f t="shared" si="23"/>
        <v>54E</v>
      </c>
      <c r="C98" s="81" t="s">
        <v>11</v>
      </c>
      <c r="D98" s="82" t="s">
        <v>19</v>
      </c>
      <c r="E98" s="74">
        <v>5.8</v>
      </c>
      <c r="F98" s="75">
        <f t="shared" si="21"/>
        <v>0.13195981865023176</v>
      </c>
      <c r="G98" s="76">
        <v>47</v>
      </c>
      <c r="H98" s="77">
        <f t="shared" si="22"/>
        <v>6.2021114765608925</v>
      </c>
      <c r="J98" s="78"/>
      <c r="K98" s="79"/>
    </row>
    <row r="99" spans="1:11" x14ac:dyDescent="0.2">
      <c r="A99" s="65">
        <f t="shared" si="17"/>
        <v>91</v>
      </c>
      <c r="B99" s="71" t="str">
        <f t="shared" si="23"/>
        <v>54E</v>
      </c>
      <c r="C99" s="81" t="s">
        <v>11</v>
      </c>
      <c r="D99" s="82" t="s">
        <v>20</v>
      </c>
      <c r="E99" s="74">
        <v>6.48</v>
      </c>
      <c r="F99" s="75">
        <f t="shared" si="21"/>
        <v>0.14743096980232792</v>
      </c>
      <c r="G99" s="83">
        <v>0</v>
      </c>
      <c r="H99" s="77">
        <f t="shared" si="22"/>
        <v>0</v>
      </c>
      <c r="J99" s="78"/>
      <c r="K99" s="79"/>
    </row>
    <row r="100" spans="1:11" x14ac:dyDescent="0.2">
      <c r="A100" s="65">
        <f t="shared" si="17"/>
        <v>92</v>
      </c>
      <c r="B100" s="89"/>
      <c r="C100" s="81"/>
      <c r="D100" s="82"/>
      <c r="E100" s="74"/>
      <c r="F100" s="75"/>
      <c r="G100" s="76"/>
      <c r="H100" s="81"/>
      <c r="J100" s="78"/>
      <c r="K100" s="79"/>
    </row>
    <row r="101" spans="1:11" ht="12" x14ac:dyDescent="0.35">
      <c r="A101" s="65">
        <f t="shared" si="17"/>
        <v>93</v>
      </c>
      <c r="B101" s="70" t="s">
        <v>24</v>
      </c>
      <c r="C101" s="81"/>
      <c r="D101" s="82"/>
      <c r="E101" s="74"/>
      <c r="F101" s="75"/>
      <c r="G101" s="76"/>
      <c r="H101" s="81"/>
      <c r="J101" s="78"/>
      <c r="K101" s="79"/>
    </row>
    <row r="102" spans="1:11" x14ac:dyDescent="0.2">
      <c r="A102" s="65">
        <f t="shared" si="17"/>
        <v>94</v>
      </c>
      <c r="B102" s="71" t="s">
        <v>25</v>
      </c>
      <c r="C102" s="81" t="s">
        <v>6</v>
      </c>
      <c r="D102" s="82">
        <v>70</v>
      </c>
      <c r="E102" s="74">
        <v>1.6</v>
      </c>
      <c r="F102" s="75">
        <f t="shared" ref="F102:F107" si="24">E102*$H$168</f>
        <v>3.6402708593167389E-2</v>
      </c>
      <c r="G102" s="76">
        <v>163</v>
      </c>
      <c r="H102" s="77">
        <f t="shared" ref="H102:H107" si="25">F102*G102</f>
        <v>5.9336415006862842</v>
      </c>
      <c r="J102" s="78"/>
      <c r="K102" s="79"/>
    </row>
    <row r="103" spans="1:11" x14ac:dyDescent="0.2">
      <c r="A103" s="65">
        <f t="shared" si="17"/>
        <v>95</v>
      </c>
      <c r="B103" s="89" t="str">
        <f>+B102</f>
        <v>55E &amp; 56E</v>
      </c>
      <c r="C103" s="81" t="s">
        <v>6</v>
      </c>
      <c r="D103" s="82">
        <v>100</v>
      </c>
      <c r="E103" s="74">
        <v>2.2799999999999998</v>
      </c>
      <c r="F103" s="75">
        <f t="shared" si="24"/>
        <v>5.1873859745263526E-2</v>
      </c>
      <c r="G103" s="76">
        <v>40180</v>
      </c>
      <c r="H103" s="77">
        <f t="shared" si="25"/>
        <v>2084.2916845646887</v>
      </c>
      <c r="J103" s="78"/>
      <c r="K103" s="79"/>
    </row>
    <row r="104" spans="1:11" x14ac:dyDescent="0.2">
      <c r="A104" s="65">
        <f t="shared" si="17"/>
        <v>96</v>
      </c>
      <c r="B104" s="89" t="str">
        <f>+B103</f>
        <v>55E &amp; 56E</v>
      </c>
      <c r="C104" s="81" t="s">
        <v>6</v>
      </c>
      <c r="D104" s="82">
        <v>150</v>
      </c>
      <c r="E104" s="74">
        <v>3.42</v>
      </c>
      <c r="F104" s="75">
        <f t="shared" si="24"/>
        <v>7.7810789617895296E-2</v>
      </c>
      <c r="G104" s="76">
        <v>5432</v>
      </c>
      <c r="H104" s="77">
        <f t="shared" si="25"/>
        <v>422.66820920440722</v>
      </c>
      <c r="J104" s="78"/>
      <c r="K104" s="79"/>
    </row>
    <row r="105" spans="1:11" x14ac:dyDescent="0.2">
      <c r="A105" s="65">
        <f t="shared" si="17"/>
        <v>97</v>
      </c>
      <c r="B105" s="89" t="str">
        <f>+B104</f>
        <v>55E &amp; 56E</v>
      </c>
      <c r="C105" s="81" t="s">
        <v>6</v>
      </c>
      <c r="D105" s="82">
        <v>200</v>
      </c>
      <c r="E105" s="74">
        <v>4.5599999999999996</v>
      </c>
      <c r="F105" s="75">
        <f t="shared" si="24"/>
        <v>0.10374771949052705</v>
      </c>
      <c r="G105" s="76">
        <v>11220</v>
      </c>
      <c r="H105" s="77">
        <f t="shared" si="25"/>
        <v>1164.0494126837136</v>
      </c>
      <c r="J105" s="78"/>
      <c r="K105" s="79"/>
    </row>
    <row r="106" spans="1:11" x14ac:dyDescent="0.2">
      <c r="A106" s="65">
        <f t="shared" si="17"/>
        <v>98</v>
      </c>
      <c r="B106" s="89" t="str">
        <f>+B105</f>
        <v>55E &amp; 56E</v>
      </c>
      <c r="C106" s="81" t="s">
        <v>6</v>
      </c>
      <c r="D106" s="82">
        <v>250</v>
      </c>
      <c r="E106" s="74">
        <v>5.6999999999999993</v>
      </c>
      <c r="F106" s="75">
        <f t="shared" si="24"/>
        <v>0.12968464936315879</v>
      </c>
      <c r="G106" s="76">
        <v>1183</v>
      </c>
      <c r="H106" s="77">
        <f t="shared" si="25"/>
        <v>153.41694019661685</v>
      </c>
      <c r="J106" s="78"/>
      <c r="K106" s="79"/>
    </row>
    <row r="107" spans="1:11" x14ac:dyDescent="0.2">
      <c r="A107" s="65">
        <f t="shared" si="17"/>
        <v>99</v>
      </c>
      <c r="B107" s="89" t="str">
        <f>+B106</f>
        <v>55E &amp; 56E</v>
      </c>
      <c r="C107" s="81" t="s">
        <v>6</v>
      </c>
      <c r="D107" s="82">
        <v>400</v>
      </c>
      <c r="E107" s="74">
        <v>9.1199999999999992</v>
      </c>
      <c r="F107" s="75">
        <f t="shared" si="24"/>
        <v>0.2074954389810541</v>
      </c>
      <c r="G107" s="76">
        <v>414</v>
      </c>
      <c r="H107" s="77">
        <f t="shared" si="25"/>
        <v>85.903111738156397</v>
      </c>
      <c r="J107" s="78"/>
      <c r="K107" s="79"/>
    </row>
    <row r="108" spans="1:11" x14ac:dyDescent="0.2">
      <c r="A108" s="65">
        <f t="shared" si="17"/>
        <v>100</v>
      </c>
      <c r="B108" s="89"/>
      <c r="C108" s="81"/>
      <c r="D108" s="82"/>
      <c r="E108" s="74"/>
      <c r="F108" s="75"/>
      <c r="G108" s="76"/>
      <c r="H108" s="81"/>
      <c r="J108" s="78"/>
      <c r="K108" s="79"/>
    </row>
    <row r="109" spans="1:11" x14ac:dyDescent="0.2">
      <c r="A109" s="65">
        <f t="shared" si="17"/>
        <v>101</v>
      </c>
      <c r="B109" s="89" t="str">
        <f>+B107</f>
        <v>55E &amp; 56E</v>
      </c>
      <c r="C109" s="81" t="s">
        <v>22</v>
      </c>
      <c r="D109" s="82">
        <v>250</v>
      </c>
      <c r="E109" s="74">
        <v>5.6999999999999993</v>
      </c>
      <c r="F109" s="75">
        <f>E109*$H$168</f>
        <v>0.12968464936315879</v>
      </c>
      <c r="G109" s="76">
        <v>80</v>
      </c>
      <c r="H109" s="77">
        <f>F109*G109</f>
        <v>10.374771949052704</v>
      </c>
      <c r="J109" s="78"/>
      <c r="K109" s="79"/>
    </row>
    <row r="110" spans="1:11" x14ac:dyDescent="0.2">
      <c r="A110" s="65">
        <f t="shared" si="17"/>
        <v>102</v>
      </c>
      <c r="B110" s="89"/>
      <c r="C110" s="81"/>
      <c r="D110" s="82"/>
      <c r="E110" s="74"/>
      <c r="F110" s="75"/>
      <c r="G110" s="76"/>
      <c r="H110" s="81"/>
      <c r="J110" s="78"/>
      <c r="K110" s="79"/>
    </row>
    <row r="111" spans="1:11" x14ac:dyDescent="0.2">
      <c r="A111" s="65">
        <f t="shared" si="17"/>
        <v>103</v>
      </c>
      <c r="B111" s="89" t="s">
        <v>25</v>
      </c>
      <c r="C111" s="81" t="s">
        <v>11</v>
      </c>
      <c r="D111" s="84" t="s">
        <v>48</v>
      </c>
      <c r="E111" s="74">
        <v>0.35</v>
      </c>
      <c r="F111" s="75">
        <f t="shared" ref="F111:F120" si="26">E111*$H$168</f>
        <v>7.9630925047553657E-3</v>
      </c>
      <c r="G111" s="76">
        <v>41</v>
      </c>
      <c r="H111" s="77">
        <f t="shared" ref="H111:H120" si="27">F111*G111</f>
        <v>0.32648679269497</v>
      </c>
      <c r="J111" s="78"/>
      <c r="K111" s="79"/>
    </row>
    <row r="112" spans="1:11" x14ac:dyDescent="0.2">
      <c r="A112" s="65">
        <f t="shared" si="17"/>
        <v>104</v>
      </c>
      <c r="B112" s="89" t="s">
        <v>25</v>
      </c>
      <c r="C112" s="81" t="s">
        <v>11</v>
      </c>
      <c r="D112" s="85" t="s">
        <v>12</v>
      </c>
      <c r="E112" s="74">
        <v>1.03</v>
      </c>
      <c r="F112" s="75">
        <f t="shared" si="26"/>
        <v>2.3434243656851508E-2</v>
      </c>
      <c r="G112" s="76">
        <v>9512</v>
      </c>
      <c r="H112" s="77">
        <f t="shared" si="27"/>
        <v>222.90652566397154</v>
      </c>
      <c r="J112" s="78"/>
      <c r="K112" s="79"/>
    </row>
    <row r="113" spans="1:11" x14ac:dyDescent="0.2">
      <c r="A113" s="65">
        <f t="shared" si="17"/>
        <v>105</v>
      </c>
      <c r="B113" s="89" t="s">
        <v>25</v>
      </c>
      <c r="C113" s="81" t="s">
        <v>11</v>
      </c>
      <c r="D113" s="82" t="s">
        <v>13</v>
      </c>
      <c r="E113" s="74">
        <v>1.71</v>
      </c>
      <c r="F113" s="75">
        <f t="shared" si="26"/>
        <v>3.8905394808947648E-2</v>
      </c>
      <c r="G113" s="76">
        <v>404</v>
      </c>
      <c r="H113" s="77">
        <f t="shared" si="27"/>
        <v>15.717779502814849</v>
      </c>
      <c r="J113" s="78"/>
      <c r="K113" s="79"/>
    </row>
    <row r="114" spans="1:11" x14ac:dyDescent="0.2">
      <c r="A114" s="65">
        <f t="shared" si="17"/>
        <v>106</v>
      </c>
      <c r="B114" s="89" t="s">
        <v>25</v>
      </c>
      <c r="C114" s="81" t="s">
        <v>11</v>
      </c>
      <c r="D114" s="82" t="s">
        <v>14</v>
      </c>
      <c r="E114" s="74">
        <v>2.39</v>
      </c>
      <c r="F114" s="75">
        <f t="shared" si="26"/>
        <v>5.4376545961043792E-2</v>
      </c>
      <c r="G114" s="76">
        <v>2079</v>
      </c>
      <c r="H114" s="77">
        <f t="shared" si="27"/>
        <v>113.04883905301004</v>
      </c>
      <c r="J114" s="78"/>
      <c r="K114" s="79"/>
    </row>
    <row r="115" spans="1:11" x14ac:dyDescent="0.2">
      <c r="A115" s="65">
        <f t="shared" si="17"/>
        <v>107</v>
      </c>
      <c r="B115" s="89" t="s">
        <v>25</v>
      </c>
      <c r="C115" s="81" t="s">
        <v>11</v>
      </c>
      <c r="D115" s="82" t="s">
        <v>15</v>
      </c>
      <c r="E115" s="74">
        <v>3.08</v>
      </c>
      <c r="F115" s="75">
        <f t="shared" si="26"/>
        <v>7.0075214041847217E-2</v>
      </c>
      <c r="G115" s="76">
        <v>0</v>
      </c>
      <c r="H115" s="77">
        <f t="shared" si="27"/>
        <v>0</v>
      </c>
      <c r="J115" s="78"/>
      <c r="K115" s="79"/>
    </row>
    <row r="116" spans="1:11" x14ac:dyDescent="0.2">
      <c r="A116" s="65">
        <f t="shared" si="17"/>
        <v>108</v>
      </c>
      <c r="B116" s="89" t="s">
        <v>25</v>
      </c>
      <c r="C116" s="81" t="s">
        <v>11</v>
      </c>
      <c r="D116" s="82" t="s">
        <v>16</v>
      </c>
      <c r="E116" s="74">
        <v>3.76</v>
      </c>
      <c r="F116" s="75">
        <f t="shared" si="26"/>
        <v>8.5546365193943361E-2</v>
      </c>
      <c r="G116" s="76">
        <v>0</v>
      </c>
      <c r="H116" s="77">
        <f t="shared" si="27"/>
        <v>0</v>
      </c>
      <c r="J116" s="78"/>
      <c r="K116" s="79"/>
    </row>
    <row r="117" spans="1:11" x14ac:dyDescent="0.2">
      <c r="A117" s="65">
        <f t="shared" si="17"/>
        <v>109</v>
      </c>
      <c r="B117" s="89" t="s">
        <v>25</v>
      </c>
      <c r="C117" s="81" t="s">
        <v>11</v>
      </c>
      <c r="D117" s="82" t="s">
        <v>17</v>
      </c>
      <c r="E117" s="74">
        <v>4.4400000000000004</v>
      </c>
      <c r="F117" s="75">
        <f t="shared" si="26"/>
        <v>0.1010175163460395</v>
      </c>
      <c r="G117" s="76">
        <v>0</v>
      </c>
      <c r="H117" s="77">
        <f t="shared" si="27"/>
        <v>0</v>
      </c>
      <c r="J117" s="78"/>
      <c r="K117" s="79"/>
    </row>
    <row r="118" spans="1:11" x14ac:dyDescent="0.2">
      <c r="A118" s="65">
        <f t="shared" si="17"/>
        <v>110</v>
      </c>
      <c r="B118" s="89" t="s">
        <v>25</v>
      </c>
      <c r="C118" s="81" t="s">
        <v>11</v>
      </c>
      <c r="D118" s="82" t="s">
        <v>18</v>
      </c>
      <c r="E118" s="74">
        <v>5.13</v>
      </c>
      <c r="F118" s="75">
        <f t="shared" si="26"/>
        <v>0.11671618442684294</v>
      </c>
      <c r="G118" s="76">
        <v>0</v>
      </c>
      <c r="H118" s="77">
        <f t="shared" si="27"/>
        <v>0</v>
      </c>
      <c r="J118" s="78"/>
      <c r="K118" s="79"/>
    </row>
    <row r="119" spans="1:11" x14ac:dyDescent="0.2">
      <c r="A119" s="65">
        <f t="shared" si="17"/>
        <v>111</v>
      </c>
      <c r="B119" s="89" t="s">
        <v>25</v>
      </c>
      <c r="C119" s="81" t="s">
        <v>11</v>
      </c>
      <c r="D119" s="82" t="s">
        <v>19</v>
      </c>
      <c r="E119" s="74">
        <v>5.8100000000000005</v>
      </c>
      <c r="F119" s="75">
        <f t="shared" si="26"/>
        <v>0.13218733557893908</v>
      </c>
      <c r="G119" s="76">
        <v>0</v>
      </c>
      <c r="H119" s="77">
        <f>F119*G119</f>
        <v>0</v>
      </c>
      <c r="J119" s="78"/>
      <c r="K119" s="79"/>
    </row>
    <row r="120" spans="1:11" x14ac:dyDescent="0.2">
      <c r="A120" s="65">
        <f t="shared" si="17"/>
        <v>112</v>
      </c>
      <c r="B120" s="89" t="s">
        <v>25</v>
      </c>
      <c r="C120" s="81" t="s">
        <v>11</v>
      </c>
      <c r="D120" s="82" t="s">
        <v>20</v>
      </c>
      <c r="E120" s="74">
        <v>6.5</v>
      </c>
      <c r="F120" s="75">
        <f t="shared" si="26"/>
        <v>0.14788600365974253</v>
      </c>
      <c r="G120" s="76">
        <v>0</v>
      </c>
      <c r="H120" s="77">
        <f t="shared" si="27"/>
        <v>0</v>
      </c>
      <c r="J120" s="78"/>
      <c r="K120" s="79"/>
    </row>
    <row r="121" spans="1:11" x14ac:dyDescent="0.2">
      <c r="A121" s="65">
        <f t="shared" si="17"/>
        <v>113</v>
      </c>
      <c r="B121" s="89"/>
      <c r="C121" s="81"/>
      <c r="D121" s="82"/>
      <c r="E121" s="74"/>
      <c r="F121" s="75"/>
      <c r="G121" s="76"/>
      <c r="H121" s="81"/>
      <c r="J121" s="78"/>
      <c r="K121" s="79"/>
    </row>
    <row r="122" spans="1:11" ht="12" x14ac:dyDescent="0.35">
      <c r="A122" s="65">
        <f t="shared" si="17"/>
        <v>114</v>
      </c>
      <c r="B122" s="70" t="s">
        <v>36</v>
      </c>
      <c r="C122" s="81"/>
      <c r="D122" s="82"/>
      <c r="E122" s="74"/>
      <c r="F122" s="75"/>
      <c r="G122" s="76"/>
      <c r="H122" s="81"/>
      <c r="J122" s="78"/>
      <c r="K122" s="79"/>
    </row>
    <row r="123" spans="1:11" x14ac:dyDescent="0.2">
      <c r="A123" s="65">
        <f t="shared" si="17"/>
        <v>115</v>
      </c>
      <c r="B123" s="89" t="s">
        <v>37</v>
      </c>
      <c r="C123" s="81" t="s">
        <v>38</v>
      </c>
      <c r="D123" s="90">
        <v>0</v>
      </c>
      <c r="E123" s="91">
        <v>4.2689999999999999E-2</v>
      </c>
      <c r="F123" s="92">
        <f>E123*$H$168</f>
        <v>9.7126976865144737E-4</v>
      </c>
      <c r="G123" s="76">
        <v>5266504</v>
      </c>
      <c r="H123" s="77">
        <f>F123*G123</f>
        <v>5115.1961216819218</v>
      </c>
      <c r="J123" s="78"/>
      <c r="K123" s="79"/>
    </row>
    <row r="124" spans="1:11" x14ac:dyDescent="0.2">
      <c r="A124" s="65">
        <f t="shared" si="17"/>
        <v>116</v>
      </c>
      <c r="B124" s="89"/>
      <c r="C124" s="81"/>
      <c r="D124" s="82"/>
      <c r="E124" s="74"/>
      <c r="F124" s="75"/>
      <c r="G124" s="76"/>
      <c r="H124" s="81"/>
      <c r="J124" s="78"/>
      <c r="K124" s="79"/>
    </row>
    <row r="125" spans="1:11" ht="12" x14ac:dyDescent="0.35">
      <c r="A125" s="65">
        <f t="shared" si="17"/>
        <v>117</v>
      </c>
      <c r="B125" s="70" t="s">
        <v>26</v>
      </c>
      <c r="C125" s="81"/>
      <c r="D125" s="82"/>
      <c r="E125" s="74"/>
      <c r="F125" s="75"/>
      <c r="G125" s="76"/>
      <c r="H125" s="81"/>
      <c r="J125" s="78"/>
      <c r="K125" s="79"/>
    </row>
    <row r="126" spans="1:11" x14ac:dyDescent="0.2">
      <c r="A126" s="65">
        <f t="shared" si="17"/>
        <v>118</v>
      </c>
      <c r="B126" s="71" t="s">
        <v>27</v>
      </c>
      <c r="C126" s="81" t="s">
        <v>6</v>
      </c>
      <c r="D126" s="82">
        <v>70</v>
      </c>
      <c r="E126" s="74">
        <v>1.6</v>
      </c>
      <c r="F126" s="75">
        <f t="shared" ref="F126:F131" si="28">E126*$H$168</f>
        <v>3.6402708593167389E-2</v>
      </c>
      <c r="G126" s="76">
        <v>584</v>
      </c>
      <c r="H126" s="77">
        <f t="shared" ref="H126:H131" si="29">F126*G126</f>
        <v>21.259181818409754</v>
      </c>
      <c r="J126" s="78"/>
      <c r="K126" s="79"/>
    </row>
    <row r="127" spans="1:11" x14ac:dyDescent="0.2">
      <c r="A127" s="65">
        <f t="shared" si="17"/>
        <v>119</v>
      </c>
      <c r="B127" s="89" t="str">
        <f>+B126</f>
        <v>58E &amp; 59E - Directional</v>
      </c>
      <c r="C127" s="81" t="s">
        <v>6</v>
      </c>
      <c r="D127" s="82">
        <v>100</v>
      </c>
      <c r="E127" s="74">
        <v>2.2799999999999998</v>
      </c>
      <c r="F127" s="75">
        <f t="shared" si="28"/>
        <v>5.1873859745263526E-2</v>
      </c>
      <c r="G127" s="76">
        <v>119</v>
      </c>
      <c r="H127" s="77">
        <f t="shared" si="29"/>
        <v>6.1729893096863595</v>
      </c>
      <c r="J127" s="78"/>
      <c r="K127" s="79"/>
    </row>
    <row r="128" spans="1:11" x14ac:dyDescent="0.2">
      <c r="A128" s="65">
        <f t="shared" si="17"/>
        <v>120</v>
      </c>
      <c r="B128" s="89" t="str">
        <f>+B127</f>
        <v>58E &amp; 59E - Directional</v>
      </c>
      <c r="C128" s="81" t="s">
        <v>6</v>
      </c>
      <c r="D128" s="82">
        <v>150</v>
      </c>
      <c r="E128" s="74">
        <v>3.42</v>
      </c>
      <c r="F128" s="75">
        <f t="shared" si="28"/>
        <v>7.7810789617895296E-2</v>
      </c>
      <c r="G128" s="76">
        <v>1635</v>
      </c>
      <c r="H128" s="77">
        <f t="shared" si="29"/>
        <v>127.22064102525881</v>
      </c>
      <c r="J128" s="78"/>
      <c r="K128" s="79"/>
    </row>
    <row r="129" spans="1:11" x14ac:dyDescent="0.2">
      <c r="A129" s="65">
        <f t="shared" si="17"/>
        <v>121</v>
      </c>
      <c r="B129" s="89" t="str">
        <f>+B128</f>
        <v>58E &amp; 59E - Directional</v>
      </c>
      <c r="C129" s="81" t="s">
        <v>6</v>
      </c>
      <c r="D129" s="82">
        <v>200</v>
      </c>
      <c r="E129" s="74">
        <v>4.5599999999999996</v>
      </c>
      <c r="F129" s="75">
        <f t="shared" si="28"/>
        <v>0.10374771949052705</v>
      </c>
      <c r="G129" s="76">
        <v>2918</v>
      </c>
      <c r="H129" s="77">
        <f t="shared" si="29"/>
        <v>302.73584547335793</v>
      </c>
      <c r="J129" s="78"/>
      <c r="K129" s="79"/>
    </row>
    <row r="130" spans="1:11" x14ac:dyDescent="0.2">
      <c r="A130" s="65">
        <f t="shared" si="17"/>
        <v>122</v>
      </c>
      <c r="B130" s="89" t="str">
        <f>+B129</f>
        <v>58E &amp; 59E - Directional</v>
      </c>
      <c r="C130" s="81" t="s">
        <v>6</v>
      </c>
      <c r="D130" s="82">
        <v>250</v>
      </c>
      <c r="E130" s="74">
        <v>5.6999999999999993</v>
      </c>
      <c r="F130" s="75">
        <f t="shared" si="28"/>
        <v>0.12968464936315879</v>
      </c>
      <c r="G130" s="76">
        <v>441</v>
      </c>
      <c r="H130" s="77">
        <f t="shared" si="29"/>
        <v>57.19093036915303</v>
      </c>
      <c r="J130" s="78"/>
      <c r="K130" s="79"/>
    </row>
    <row r="131" spans="1:11" x14ac:dyDescent="0.2">
      <c r="A131" s="65">
        <f t="shared" si="17"/>
        <v>123</v>
      </c>
      <c r="B131" s="89" t="str">
        <f>+B130</f>
        <v>58E &amp; 59E - Directional</v>
      </c>
      <c r="C131" s="81" t="s">
        <v>6</v>
      </c>
      <c r="D131" s="82">
        <v>400</v>
      </c>
      <c r="E131" s="74">
        <v>9.1199999999999992</v>
      </c>
      <c r="F131" s="75">
        <f t="shared" si="28"/>
        <v>0.2074954389810541</v>
      </c>
      <c r="G131" s="76">
        <v>3843</v>
      </c>
      <c r="H131" s="77">
        <f t="shared" si="29"/>
        <v>797.40497200419088</v>
      </c>
      <c r="J131" s="78"/>
      <c r="K131" s="79"/>
    </row>
    <row r="132" spans="1:11" x14ac:dyDescent="0.2">
      <c r="A132" s="65">
        <f t="shared" si="17"/>
        <v>124</v>
      </c>
      <c r="B132" s="89"/>
      <c r="C132" s="81"/>
      <c r="D132" s="82"/>
      <c r="E132" s="74"/>
      <c r="F132" s="75"/>
      <c r="G132" s="76"/>
      <c r="H132" s="81"/>
      <c r="J132" s="78"/>
      <c r="K132" s="79"/>
    </row>
    <row r="133" spans="1:11" x14ac:dyDescent="0.2">
      <c r="A133" s="65">
        <f t="shared" si="17"/>
        <v>125</v>
      </c>
      <c r="B133" s="71" t="s">
        <v>28</v>
      </c>
      <c r="C133" s="81" t="s">
        <v>6</v>
      </c>
      <c r="D133" s="82">
        <v>100</v>
      </c>
      <c r="E133" s="74">
        <v>2.2799999999999998</v>
      </c>
      <c r="F133" s="75">
        <f>E133*$H$168</f>
        <v>5.1873859745263526E-2</v>
      </c>
      <c r="G133" s="83">
        <v>0</v>
      </c>
      <c r="H133" s="77">
        <f>F133*G133</f>
        <v>0</v>
      </c>
      <c r="J133" s="78"/>
      <c r="K133" s="79"/>
    </row>
    <row r="134" spans="1:11" x14ac:dyDescent="0.2">
      <c r="A134" s="65">
        <f t="shared" si="17"/>
        <v>126</v>
      </c>
      <c r="B134" s="89" t="str">
        <f>B133</f>
        <v>58E &amp; 59E - Horizontal</v>
      </c>
      <c r="C134" s="81" t="s">
        <v>6</v>
      </c>
      <c r="D134" s="82">
        <v>150</v>
      </c>
      <c r="E134" s="74">
        <v>3.42</v>
      </c>
      <c r="F134" s="75">
        <f>E134*$H$168</f>
        <v>7.7810789617895296E-2</v>
      </c>
      <c r="G134" s="76">
        <v>163</v>
      </c>
      <c r="H134" s="77">
        <f>F134*G134</f>
        <v>12.683158707716933</v>
      </c>
      <c r="J134" s="78"/>
      <c r="K134" s="79"/>
    </row>
    <row r="135" spans="1:11" x14ac:dyDescent="0.2">
      <c r="A135" s="65">
        <f t="shared" si="17"/>
        <v>127</v>
      </c>
      <c r="B135" s="89" t="str">
        <f>B134</f>
        <v>58E &amp; 59E - Horizontal</v>
      </c>
      <c r="C135" s="81" t="s">
        <v>6</v>
      </c>
      <c r="D135" s="82">
        <v>200</v>
      </c>
      <c r="E135" s="74">
        <v>4.5599999999999996</v>
      </c>
      <c r="F135" s="75">
        <f>E135*$H$168</f>
        <v>0.10374771949052705</v>
      </c>
      <c r="G135" s="76">
        <v>82</v>
      </c>
      <c r="H135" s="77">
        <f>F135*G135</f>
        <v>8.5073129982232185</v>
      </c>
      <c r="J135" s="78"/>
      <c r="K135" s="79"/>
    </row>
    <row r="136" spans="1:11" x14ac:dyDescent="0.2">
      <c r="A136" s="65">
        <f t="shared" si="17"/>
        <v>128</v>
      </c>
      <c r="B136" s="89" t="str">
        <f>B135</f>
        <v>58E &amp; 59E - Horizontal</v>
      </c>
      <c r="C136" s="81" t="s">
        <v>6</v>
      </c>
      <c r="D136" s="82">
        <v>250</v>
      </c>
      <c r="E136" s="74">
        <v>5.6999999999999993</v>
      </c>
      <c r="F136" s="75">
        <f>E136*$H$168</f>
        <v>0.12968464936315879</v>
      </c>
      <c r="G136" s="76">
        <v>358</v>
      </c>
      <c r="H136" s="77">
        <f>F136*G136</f>
        <v>46.427104472010846</v>
      </c>
      <c r="J136" s="78"/>
      <c r="K136" s="79"/>
    </row>
    <row r="137" spans="1:11" x14ac:dyDescent="0.2">
      <c r="A137" s="65">
        <f t="shared" si="17"/>
        <v>129</v>
      </c>
      <c r="B137" s="89" t="str">
        <f>B136</f>
        <v>58E &amp; 59E - Horizontal</v>
      </c>
      <c r="C137" s="81" t="s">
        <v>6</v>
      </c>
      <c r="D137" s="82">
        <v>400</v>
      </c>
      <c r="E137" s="74">
        <v>9.1199999999999992</v>
      </c>
      <c r="F137" s="75">
        <f>E137*$H$168</f>
        <v>0.2074954389810541</v>
      </c>
      <c r="G137" s="76">
        <v>523</v>
      </c>
      <c r="H137" s="77">
        <f>F137*G137</f>
        <v>108.5201145870913</v>
      </c>
      <c r="J137" s="78"/>
      <c r="K137" s="79"/>
    </row>
    <row r="138" spans="1:11" x14ac:dyDescent="0.2">
      <c r="A138" s="65">
        <f t="shared" ref="A138:A171" si="30">+A137+1</f>
        <v>130</v>
      </c>
      <c r="B138" s="89"/>
      <c r="C138" s="81"/>
      <c r="D138" s="82"/>
      <c r="E138" s="74"/>
      <c r="F138" s="75"/>
      <c r="G138" s="76"/>
      <c r="H138" s="81"/>
      <c r="J138" s="78"/>
      <c r="K138" s="79"/>
    </row>
    <row r="139" spans="1:11" x14ac:dyDescent="0.2">
      <c r="A139" s="65">
        <f t="shared" si="30"/>
        <v>131</v>
      </c>
      <c r="B139" s="89" t="str">
        <f>B127</f>
        <v>58E &amp; 59E - Directional</v>
      </c>
      <c r="C139" s="81" t="s">
        <v>22</v>
      </c>
      <c r="D139" s="82">
        <v>175</v>
      </c>
      <c r="E139" s="74">
        <v>3.9899999999999998</v>
      </c>
      <c r="F139" s="75">
        <f>E139*$H$168</f>
        <v>9.0779254554211167E-2</v>
      </c>
      <c r="G139" s="76">
        <v>36</v>
      </c>
      <c r="H139" s="77">
        <f>F139*G139</f>
        <v>3.2680531639516022</v>
      </c>
      <c r="J139" s="78"/>
      <c r="K139" s="79"/>
    </row>
    <row r="140" spans="1:11" x14ac:dyDescent="0.2">
      <c r="A140" s="65">
        <f t="shared" si="30"/>
        <v>132</v>
      </c>
      <c r="B140" s="89" t="str">
        <f>B139</f>
        <v>58E &amp; 59E - Directional</v>
      </c>
      <c r="C140" s="81" t="s">
        <v>22</v>
      </c>
      <c r="D140" s="82">
        <v>250</v>
      </c>
      <c r="E140" s="74">
        <v>5.6999999999999993</v>
      </c>
      <c r="F140" s="75">
        <f>E140*$H$168</f>
        <v>0.12968464936315879</v>
      </c>
      <c r="G140" s="76">
        <v>173</v>
      </c>
      <c r="H140" s="77">
        <f>F140*G140</f>
        <v>22.435444339826471</v>
      </c>
      <c r="J140" s="78"/>
      <c r="K140" s="79"/>
    </row>
    <row r="141" spans="1:11" x14ac:dyDescent="0.2">
      <c r="A141" s="65">
        <f t="shared" si="30"/>
        <v>133</v>
      </c>
      <c r="B141" s="89" t="str">
        <f>B140</f>
        <v>58E &amp; 59E - Directional</v>
      </c>
      <c r="C141" s="81" t="s">
        <v>22</v>
      </c>
      <c r="D141" s="82">
        <v>400</v>
      </c>
      <c r="E141" s="74">
        <v>9.1199999999999992</v>
      </c>
      <c r="F141" s="75">
        <f>E141*$H$168</f>
        <v>0.2074954389810541</v>
      </c>
      <c r="G141" s="76">
        <v>907</v>
      </c>
      <c r="H141" s="77">
        <f>F141*G141</f>
        <v>188.19836315581608</v>
      </c>
      <c r="J141" s="78"/>
      <c r="K141" s="79"/>
    </row>
    <row r="142" spans="1:11" x14ac:dyDescent="0.2">
      <c r="A142" s="65">
        <f t="shared" si="30"/>
        <v>134</v>
      </c>
      <c r="B142" s="89" t="str">
        <f>B141</f>
        <v>58E &amp; 59E - Directional</v>
      </c>
      <c r="C142" s="81" t="s">
        <v>22</v>
      </c>
      <c r="D142" s="82">
        <v>1000</v>
      </c>
      <c r="E142" s="74">
        <v>22.79</v>
      </c>
      <c r="F142" s="75">
        <f>E142*$H$168</f>
        <v>0.51851108052392791</v>
      </c>
      <c r="G142" s="76">
        <v>1361</v>
      </c>
      <c r="H142" s="77">
        <f>F142*G142</f>
        <v>705.69358059306592</v>
      </c>
      <c r="J142" s="78"/>
      <c r="K142" s="79"/>
    </row>
    <row r="143" spans="1:11" x14ac:dyDescent="0.2">
      <c r="A143" s="65">
        <f t="shared" si="30"/>
        <v>135</v>
      </c>
      <c r="B143" s="89"/>
      <c r="C143" s="81"/>
      <c r="D143" s="82"/>
      <c r="E143" s="74"/>
      <c r="F143" s="75"/>
      <c r="G143" s="76"/>
      <c r="H143" s="81"/>
      <c r="J143" s="78"/>
      <c r="K143" s="79"/>
    </row>
    <row r="144" spans="1:11" x14ac:dyDescent="0.2">
      <c r="A144" s="65">
        <f t="shared" si="30"/>
        <v>136</v>
      </c>
      <c r="B144" s="89" t="str">
        <f>B133</f>
        <v>58E &amp; 59E - Horizontal</v>
      </c>
      <c r="C144" s="81" t="s">
        <v>22</v>
      </c>
      <c r="D144" s="82">
        <v>250</v>
      </c>
      <c r="E144" s="74">
        <v>5.6999999999999993</v>
      </c>
      <c r="F144" s="75">
        <f>E144*$H$168</f>
        <v>0.12968464936315879</v>
      </c>
      <c r="G144" s="76">
        <v>43</v>
      </c>
      <c r="H144" s="77">
        <f>F144*G144</f>
        <v>5.5764399226158279</v>
      </c>
      <c r="J144" s="78"/>
      <c r="K144" s="79"/>
    </row>
    <row r="145" spans="1:11" x14ac:dyDescent="0.2">
      <c r="A145" s="65">
        <f t="shared" si="30"/>
        <v>137</v>
      </c>
      <c r="B145" s="89" t="str">
        <f>B144</f>
        <v>58E &amp; 59E - Horizontal</v>
      </c>
      <c r="C145" s="81" t="s">
        <v>22</v>
      </c>
      <c r="D145" s="82">
        <v>400</v>
      </c>
      <c r="E145" s="74">
        <v>9.1199999999999992</v>
      </c>
      <c r="F145" s="75">
        <f>E145*$H$168</f>
        <v>0.2074954389810541</v>
      </c>
      <c r="G145" s="76">
        <v>455</v>
      </c>
      <c r="H145" s="77">
        <f>F145*G145</f>
        <v>94.410424736379611</v>
      </c>
      <c r="J145" s="78"/>
      <c r="K145" s="79"/>
    </row>
    <row r="146" spans="1:11" x14ac:dyDescent="0.2">
      <c r="A146" s="65">
        <f t="shared" si="30"/>
        <v>138</v>
      </c>
      <c r="B146" s="89"/>
      <c r="C146" s="81"/>
      <c r="D146" s="82"/>
      <c r="E146" s="74"/>
      <c r="F146" s="75"/>
      <c r="G146" s="76"/>
      <c r="H146" s="81"/>
      <c r="J146" s="78"/>
      <c r="K146" s="79"/>
    </row>
    <row r="147" spans="1:11" x14ac:dyDescent="0.2">
      <c r="A147" s="65">
        <f t="shared" si="30"/>
        <v>139</v>
      </c>
      <c r="B147" s="89" t="s">
        <v>29</v>
      </c>
      <c r="C147" s="81" t="s">
        <v>11</v>
      </c>
      <c r="D147" s="84" t="s">
        <v>48</v>
      </c>
      <c r="E147" s="74">
        <v>0.35</v>
      </c>
      <c r="F147" s="75">
        <f t="shared" ref="F147:F162" si="31">E147*$H$168</f>
        <v>7.9630925047553657E-3</v>
      </c>
      <c r="G147" s="83">
        <v>0</v>
      </c>
      <c r="H147" s="77">
        <f t="shared" ref="H147:H162" si="32">F147*G147</f>
        <v>0</v>
      </c>
      <c r="J147" s="78"/>
      <c r="K147" s="79"/>
    </row>
    <row r="148" spans="1:11" x14ac:dyDescent="0.2">
      <c r="A148" s="65">
        <f t="shared" si="30"/>
        <v>140</v>
      </c>
      <c r="B148" s="89" t="s">
        <v>29</v>
      </c>
      <c r="C148" s="81" t="s">
        <v>11</v>
      </c>
      <c r="D148" s="85" t="s">
        <v>49</v>
      </c>
      <c r="E148" s="74">
        <v>1.03</v>
      </c>
      <c r="F148" s="75">
        <f t="shared" si="31"/>
        <v>2.3434243656851508E-2</v>
      </c>
      <c r="G148" s="76">
        <v>81</v>
      </c>
      <c r="H148" s="77">
        <f t="shared" si="32"/>
        <v>1.8981737362049722</v>
      </c>
      <c r="J148" s="78"/>
      <c r="K148" s="79"/>
    </row>
    <row r="149" spans="1:11" x14ac:dyDescent="0.2">
      <c r="A149" s="65">
        <f t="shared" si="30"/>
        <v>141</v>
      </c>
      <c r="B149" s="89" t="str">
        <f t="shared" ref="B149:B162" si="33">B148</f>
        <v>58E &amp; 59E</v>
      </c>
      <c r="C149" s="81" t="s">
        <v>11</v>
      </c>
      <c r="D149" s="82" t="s">
        <v>13</v>
      </c>
      <c r="E149" s="74">
        <v>1.71</v>
      </c>
      <c r="F149" s="75">
        <f t="shared" si="31"/>
        <v>3.8905394808947648E-2</v>
      </c>
      <c r="G149" s="76">
        <v>843</v>
      </c>
      <c r="H149" s="77">
        <f t="shared" si="32"/>
        <v>32.797247823942868</v>
      </c>
      <c r="J149" s="78"/>
      <c r="K149" s="79"/>
    </row>
    <row r="150" spans="1:11" x14ac:dyDescent="0.2">
      <c r="A150" s="65">
        <f t="shared" si="30"/>
        <v>142</v>
      </c>
      <c r="B150" s="89" t="str">
        <f t="shared" si="33"/>
        <v>58E &amp; 59E</v>
      </c>
      <c r="C150" s="81" t="s">
        <v>11</v>
      </c>
      <c r="D150" s="82" t="s">
        <v>14</v>
      </c>
      <c r="E150" s="74">
        <v>2.39</v>
      </c>
      <c r="F150" s="75">
        <f t="shared" si="31"/>
        <v>5.4376545961043792E-2</v>
      </c>
      <c r="G150" s="76">
        <v>190</v>
      </c>
      <c r="H150" s="77">
        <f t="shared" si="32"/>
        <v>10.33154373259832</v>
      </c>
      <c r="J150" s="78"/>
      <c r="K150" s="79"/>
    </row>
    <row r="151" spans="1:11" x14ac:dyDescent="0.2">
      <c r="A151" s="65">
        <f t="shared" si="30"/>
        <v>143</v>
      </c>
      <c r="B151" s="89" t="str">
        <f t="shared" si="33"/>
        <v>58E &amp; 59E</v>
      </c>
      <c r="C151" s="81" t="s">
        <v>11</v>
      </c>
      <c r="D151" s="82" t="s">
        <v>15</v>
      </c>
      <c r="E151" s="74">
        <v>3.08</v>
      </c>
      <c r="F151" s="75">
        <f t="shared" si="31"/>
        <v>7.0075214041847217E-2</v>
      </c>
      <c r="G151" s="76">
        <v>1792</v>
      </c>
      <c r="H151" s="77">
        <f t="shared" si="32"/>
        <v>125.57478356299021</v>
      </c>
      <c r="J151" s="78"/>
      <c r="K151" s="79"/>
    </row>
    <row r="152" spans="1:11" x14ac:dyDescent="0.2">
      <c r="A152" s="65">
        <f t="shared" si="30"/>
        <v>144</v>
      </c>
      <c r="B152" s="89" t="str">
        <f t="shared" si="33"/>
        <v>58E &amp; 59E</v>
      </c>
      <c r="C152" s="81" t="s">
        <v>11</v>
      </c>
      <c r="D152" s="82" t="s">
        <v>16</v>
      </c>
      <c r="E152" s="74">
        <v>3.76</v>
      </c>
      <c r="F152" s="75">
        <f t="shared" si="31"/>
        <v>8.5546365193943361E-2</v>
      </c>
      <c r="G152" s="76">
        <v>405</v>
      </c>
      <c r="H152" s="77">
        <f t="shared" si="32"/>
        <v>34.646277903547059</v>
      </c>
      <c r="J152" s="78"/>
      <c r="K152" s="79"/>
    </row>
    <row r="153" spans="1:11" x14ac:dyDescent="0.2">
      <c r="A153" s="65">
        <f t="shared" si="30"/>
        <v>145</v>
      </c>
      <c r="B153" s="89" t="str">
        <f t="shared" si="33"/>
        <v>58E &amp; 59E</v>
      </c>
      <c r="C153" s="81" t="s">
        <v>11</v>
      </c>
      <c r="D153" s="82" t="s">
        <v>17</v>
      </c>
      <c r="E153" s="74">
        <v>4.4400000000000004</v>
      </c>
      <c r="F153" s="75">
        <f t="shared" si="31"/>
        <v>0.1010175163460395</v>
      </c>
      <c r="G153" s="83">
        <v>0</v>
      </c>
      <c r="H153" s="77">
        <f t="shared" si="32"/>
        <v>0</v>
      </c>
      <c r="J153" s="78"/>
      <c r="K153" s="79"/>
    </row>
    <row r="154" spans="1:11" x14ac:dyDescent="0.2">
      <c r="A154" s="65">
        <f t="shared" si="30"/>
        <v>146</v>
      </c>
      <c r="B154" s="89" t="str">
        <f t="shared" si="33"/>
        <v>58E &amp; 59E</v>
      </c>
      <c r="C154" s="81" t="s">
        <v>11</v>
      </c>
      <c r="D154" s="82" t="s">
        <v>18</v>
      </c>
      <c r="E154" s="74">
        <v>5.13</v>
      </c>
      <c r="F154" s="75">
        <f t="shared" si="31"/>
        <v>0.11671618442684294</v>
      </c>
      <c r="G154" s="76">
        <v>170</v>
      </c>
      <c r="H154" s="77">
        <f t="shared" si="32"/>
        <v>19.8417513525633</v>
      </c>
      <c r="J154" s="78"/>
      <c r="K154" s="79"/>
    </row>
    <row r="155" spans="1:11" x14ac:dyDescent="0.2">
      <c r="A155" s="65">
        <f t="shared" si="30"/>
        <v>147</v>
      </c>
      <c r="B155" s="89" t="str">
        <f t="shared" si="33"/>
        <v>58E &amp; 59E</v>
      </c>
      <c r="C155" s="81" t="s">
        <v>11</v>
      </c>
      <c r="D155" s="82" t="s">
        <v>19</v>
      </c>
      <c r="E155" s="74">
        <v>5.8100000000000005</v>
      </c>
      <c r="F155" s="75">
        <f t="shared" si="31"/>
        <v>0.13218733557893908</v>
      </c>
      <c r="G155" s="76">
        <v>253</v>
      </c>
      <c r="H155" s="77">
        <f t="shared" si="32"/>
        <v>33.44339590147159</v>
      </c>
      <c r="J155" s="78"/>
      <c r="K155" s="79"/>
    </row>
    <row r="156" spans="1:11" x14ac:dyDescent="0.2">
      <c r="A156" s="65">
        <f t="shared" si="30"/>
        <v>148</v>
      </c>
      <c r="B156" s="89" t="str">
        <f t="shared" si="33"/>
        <v>58E &amp; 59E</v>
      </c>
      <c r="C156" s="81" t="s">
        <v>11</v>
      </c>
      <c r="D156" s="82" t="s">
        <v>20</v>
      </c>
      <c r="E156" s="74">
        <v>6.5</v>
      </c>
      <c r="F156" s="75">
        <f t="shared" si="31"/>
        <v>0.14788600365974253</v>
      </c>
      <c r="G156" s="83">
        <v>0</v>
      </c>
      <c r="H156" s="77">
        <f t="shared" si="32"/>
        <v>0</v>
      </c>
      <c r="J156" s="78"/>
      <c r="K156" s="79"/>
    </row>
    <row r="157" spans="1:11" x14ac:dyDescent="0.2">
      <c r="A157" s="65">
        <f t="shared" si="30"/>
        <v>149</v>
      </c>
      <c r="B157" s="89" t="str">
        <f t="shared" si="33"/>
        <v>58E &amp; 59E</v>
      </c>
      <c r="C157" s="81" t="s">
        <v>11</v>
      </c>
      <c r="D157" s="82" t="s">
        <v>30</v>
      </c>
      <c r="E157" s="74">
        <v>7.9799999999999995</v>
      </c>
      <c r="F157" s="75">
        <f t="shared" si="31"/>
        <v>0.18155850910842233</v>
      </c>
      <c r="G157" s="83">
        <v>0</v>
      </c>
      <c r="H157" s="77">
        <f t="shared" si="32"/>
        <v>0</v>
      </c>
      <c r="J157" s="78"/>
      <c r="K157" s="79"/>
    </row>
    <row r="158" spans="1:11" x14ac:dyDescent="0.2">
      <c r="A158" s="65">
        <f t="shared" si="30"/>
        <v>150</v>
      </c>
      <c r="B158" s="89" t="str">
        <f t="shared" si="33"/>
        <v>58E &amp; 59E</v>
      </c>
      <c r="C158" s="81" t="s">
        <v>11</v>
      </c>
      <c r="D158" s="82" t="s">
        <v>31</v>
      </c>
      <c r="E158" s="74">
        <v>10.26</v>
      </c>
      <c r="F158" s="75">
        <f t="shared" si="31"/>
        <v>0.23343236885368587</v>
      </c>
      <c r="G158" s="83">
        <v>0</v>
      </c>
      <c r="H158" s="77">
        <f t="shared" si="32"/>
        <v>0</v>
      </c>
      <c r="J158" s="78"/>
      <c r="K158" s="79"/>
    </row>
    <row r="159" spans="1:11" x14ac:dyDescent="0.2">
      <c r="A159" s="65">
        <f t="shared" si="30"/>
        <v>151</v>
      </c>
      <c r="B159" s="89" t="str">
        <f t="shared" si="33"/>
        <v>58E &amp; 59E</v>
      </c>
      <c r="C159" s="81" t="s">
        <v>11</v>
      </c>
      <c r="D159" s="82" t="s">
        <v>32</v>
      </c>
      <c r="E159" s="74">
        <v>12.54</v>
      </c>
      <c r="F159" s="75">
        <f t="shared" si="31"/>
        <v>0.28530622859894939</v>
      </c>
      <c r="G159" s="83">
        <v>0</v>
      </c>
      <c r="H159" s="77">
        <f t="shared" si="32"/>
        <v>0</v>
      </c>
      <c r="J159" s="78"/>
      <c r="K159" s="79"/>
    </row>
    <row r="160" spans="1:11" x14ac:dyDescent="0.2">
      <c r="A160" s="65">
        <f t="shared" si="30"/>
        <v>152</v>
      </c>
      <c r="B160" s="89" t="str">
        <f t="shared" si="33"/>
        <v>58E &amp; 59E</v>
      </c>
      <c r="C160" s="81" t="s">
        <v>11</v>
      </c>
      <c r="D160" s="82" t="s">
        <v>33</v>
      </c>
      <c r="E160" s="74">
        <v>14.82</v>
      </c>
      <c r="F160" s="75">
        <f t="shared" si="31"/>
        <v>0.33718008834421292</v>
      </c>
      <c r="G160" s="83">
        <v>0</v>
      </c>
      <c r="H160" s="77">
        <f t="shared" si="32"/>
        <v>0</v>
      </c>
      <c r="J160" s="78"/>
      <c r="K160" s="79"/>
    </row>
    <row r="161" spans="1:11" x14ac:dyDescent="0.2">
      <c r="A161" s="65">
        <f t="shared" si="30"/>
        <v>153</v>
      </c>
      <c r="B161" s="89" t="str">
        <f t="shared" si="33"/>
        <v>58E &amp; 59E</v>
      </c>
      <c r="C161" s="81" t="s">
        <v>11</v>
      </c>
      <c r="D161" s="82" t="s">
        <v>34</v>
      </c>
      <c r="E161" s="74">
        <v>17.100000000000001</v>
      </c>
      <c r="F161" s="75">
        <f t="shared" si="31"/>
        <v>0.38905394808947646</v>
      </c>
      <c r="G161" s="83">
        <v>0</v>
      </c>
      <c r="H161" s="77">
        <f t="shared" si="32"/>
        <v>0</v>
      </c>
      <c r="J161" s="78"/>
      <c r="K161" s="79"/>
    </row>
    <row r="162" spans="1:11" x14ac:dyDescent="0.2">
      <c r="A162" s="65">
        <f t="shared" si="30"/>
        <v>154</v>
      </c>
      <c r="B162" s="89" t="str">
        <f t="shared" si="33"/>
        <v>58E &amp; 59E</v>
      </c>
      <c r="C162" s="81" t="s">
        <v>11</v>
      </c>
      <c r="D162" s="82" t="s">
        <v>35</v>
      </c>
      <c r="E162" s="74">
        <v>19.38</v>
      </c>
      <c r="F162" s="75">
        <f t="shared" si="31"/>
        <v>0.44092780783473995</v>
      </c>
      <c r="G162" s="83">
        <v>0</v>
      </c>
      <c r="H162" s="77">
        <f t="shared" si="32"/>
        <v>0</v>
      </c>
      <c r="J162" s="78"/>
      <c r="K162" s="79"/>
    </row>
    <row r="163" spans="1:11" x14ac:dyDescent="0.2">
      <c r="A163" s="65">
        <f t="shared" si="30"/>
        <v>155</v>
      </c>
      <c r="F163" s="93" t="s">
        <v>113</v>
      </c>
      <c r="G163" s="94">
        <v>0</v>
      </c>
    </row>
    <row r="164" spans="1:11" x14ac:dyDescent="0.2">
      <c r="A164" s="65">
        <f t="shared" si="30"/>
        <v>156</v>
      </c>
      <c r="D164" s="95"/>
    </row>
    <row r="165" spans="1:11" x14ac:dyDescent="0.2">
      <c r="A165" s="65">
        <f t="shared" si="30"/>
        <v>157</v>
      </c>
      <c r="D165" s="95"/>
      <c r="G165" s="96" t="s">
        <v>114</v>
      </c>
      <c r="H165" s="77">
        <f>SUM(H11:H162)</f>
        <v>87710.682468384999</v>
      </c>
    </row>
    <row r="166" spans="1:11" ht="12" x14ac:dyDescent="0.35">
      <c r="A166" s="65">
        <f t="shared" si="30"/>
        <v>158</v>
      </c>
      <c r="D166" s="95"/>
      <c r="G166" s="97" t="s">
        <v>115</v>
      </c>
      <c r="H166" s="98">
        <f>'Rate Spread and Design'!H45</f>
        <v>87710.682468384752</v>
      </c>
    </row>
    <row r="167" spans="1:11" x14ac:dyDescent="0.2">
      <c r="A167" s="65">
        <f t="shared" si="30"/>
        <v>159</v>
      </c>
      <c r="G167" s="99" t="s">
        <v>116</v>
      </c>
      <c r="H167" s="100">
        <f>+H166-H165</f>
        <v>-2.4738255888223648E-10</v>
      </c>
    </row>
    <row r="168" spans="1:11" ht="12" x14ac:dyDescent="0.35">
      <c r="A168" s="65">
        <f t="shared" si="30"/>
        <v>160</v>
      </c>
      <c r="B168" s="84"/>
      <c r="F168" s="77"/>
      <c r="G168" s="101" t="s">
        <v>117</v>
      </c>
      <c r="H168" s="102">
        <v>2.2751692870729617E-2</v>
      </c>
    </row>
    <row r="169" spans="1:11" ht="12" x14ac:dyDescent="0.35">
      <c r="A169" s="65">
        <f t="shared" si="30"/>
        <v>161</v>
      </c>
      <c r="B169" s="84"/>
      <c r="F169" s="77"/>
      <c r="G169" s="101"/>
      <c r="H169" s="102"/>
    </row>
    <row r="170" spans="1:11" x14ac:dyDescent="0.2">
      <c r="A170" s="65">
        <f t="shared" si="30"/>
        <v>162</v>
      </c>
      <c r="B170" s="295" t="s">
        <v>177</v>
      </c>
      <c r="C170" s="295"/>
      <c r="D170" s="295"/>
      <c r="E170" s="295"/>
      <c r="F170" s="295"/>
      <c r="G170" s="295"/>
      <c r="H170" s="295"/>
    </row>
    <row r="171" spans="1:11" x14ac:dyDescent="0.2">
      <c r="A171" s="65">
        <f t="shared" si="30"/>
        <v>163</v>
      </c>
      <c r="B171" s="295" t="s">
        <v>178</v>
      </c>
      <c r="C171" s="295"/>
      <c r="D171" s="295"/>
      <c r="E171" s="295"/>
      <c r="F171" s="295"/>
      <c r="G171" s="295"/>
      <c r="H171" s="295"/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7"/>
  <sheetViews>
    <sheetView zoomScaleNormal="100" workbookViewId="0"/>
  </sheetViews>
  <sheetFormatPr defaultColWidth="8.88671875" defaultRowHeight="13.2" x14ac:dyDescent="0.25"/>
  <cols>
    <col min="1" max="1" width="38.33203125" style="54" customWidth="1"/>
    <col min="2" max="2" width="7.88671875" style="54" bestFit="1" customWidth="1"/>
    <col min="3" max="16384" width="8.88671875" style="54"/>
  </cols>
  <sheetData>
    <row r="1" spans="1:2" ht="14.4" x14ac:dyDescent="0.35">
      <c r="A1" s="103" t="s">
        <v>118</v>
      </c>
      <c r="B1" s="104">
        <v>45658</v>
      </c>
    </row>
    <row r="2" spans="1:2" ht="14.4" x14ac:dyDescent="0.35">
      <c r="A2" s="105" t="s">
        <v>119</v>
      </c>
      <c r="B2" s="106" t="s">
        <v>120</v>
      </c>
    </row>
    <row r="3" spans="1:2" ht="14.4" x14ac:dyDescent="0.35">
      <c r="A3" s="105" t="s">
        <v>121</v>
      </c>
      <c r="B3" s="107">
        <v>45658</v>
      </c>
    </row>
    <row r="4" spans="1:2" ht="14.4" x14ac:dyDescent="0.35">
      <c r="A4" s="105" t="s">
        <v>122</v>
      </c>
      <c r="B4" s="107">
        <v>46022</v>
      </c>
    </row>
    <row r="5" spans="1:2" ht="14.4" x14ac:dyDescent="0.35">
      <c r="A5" s="105"/>
      <c r="B5" s="108"/>
    </row>
    <row r="6" spans="1:2" ht="14.4" x14ac:dyDescent="0.35">
      <c r="A6" s="103"/>
      <c r="B6" s="109"/>
    </row>
    <row r="7" spans="1:2" ht="14.4" x14ac:dyDescent="0.35">
      <c r="A7" s="105"/>
      <c r="B7" s="10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F4095DF8F60643B9992A42666C3D6B" ma:contentTypeVersion="12" ma:contentTypeDescription="" ma:contentTypeScope="" ma:versionID="2842a7dcec2765f0fe704250f86a7d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2024-09-30T07:00:00+00:00</OpenedDate>
    <SignificantOrder xmlns="dc463f71-b30c-4ab2-9473-d307f9d35888">false</SignificantOrder>
    <Date1 xmlns="dc463f71-b30c-4ab2-9473-d307f9d35888">2024-09-30T07:00:00+00:00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BF65C8-B9FC-430D-AB9B-FDFE0BBCDA7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237C510-8EE1-4BE9-BA77-1F0A2515EEC3}"/>
</file>

<file path=customXml/itemProps3.xml><?xml version="1.0" encoding="utf-8"?>
<ds:datastoreItem xmlns:ds="http://schemas.openxmlformats.org/officeDocument/2006/customXml" ds:itemID="{E1748FC6-B2A4-4D68-B81A-8826AEA7FAC4}"/>
</file>

<file path=customXml/itemProps4.xml><?xml version="1.0" encoding="utf-8"?>
<ds:datastoreItem xmlns:ds="http://schemas.openxmlformats.org/officeDocument/2006/customXml" ds:itemID="{5F565E31-525A-4FE9-B416-9A8400275EDD}"/>
</file>

<file path=customXml/itemProps5.xml><?xml version="1.0" encoding="utf-8"?>
<ds:datastoreItem xmlns:ds="http://schemas.openxmlformats.org/officeDocument/2006/customXml" ds:itemID="{DBAD4A70-2B19-4A12-AD7F-19A092489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Sch 141COL Rates</vt:lpstr>
      <vt:lpstr>Lighting Rates</vt:lpstr>
      <vt:lpstr>Rate Impacts</vt:lpstr>
      <vt:lpstr>Workpapers -&gt;</vt:lpstr>
      <vt:lpstr>Rate Spread and Design</vt:lpstr>
      <vt:lpstr>Lighting RD</vt:lpstr>
      <vt:lpstr>Inputs</vt:lpstr>
      <vt:lpstr>'Lighting Rates'!Print_Area</vt:lpstr>
      <vt:lpstr>'Lighting RD'!Print_Area</vt:lpstr>
      <vt:lpstr>'Rate Impacts'!Print_Area</vt:lpstr>
      <vt:lpstr>'Rate Spread and Design'!Print_Area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Regan, Jared</cp:lastModifiedBy>
  <cp:lastPrinted>2021-03-15T17:22:18Z</cp:lastPrinted>
  <dcterms:created xsi:type="dcterms:W3CDTF">2014-04-04T17:25:38Z</dcterms:created>
  <dcterms:modified xsi:type="dcterms:W3CDTF">2024-09-26T23:37:02Z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2024-09-26T19:27:16Z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8c6d12e5-5def-46ae-a421-d9d847106d7e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0x0101006E56B4D1795A2E4DB2F0B01679ED314A009CF4095DF8F60643B9992A42666C3D6B</vt:lpwstr>
  </property>
  <property fmtid="{D5CDD505-2E9C-101B-9397-08002B2CF9AE}" pid="10" name="_docset_NoMedatataSyncRequired">
    <vt:lpwstr>False</vt:lpwstr>
  </property>
</Properties>
</file>