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AC098CC7-DEA6-4204-968D-F9C1E8397015}" xr6:coauthVersionLast="47" xr6:coauthVersionMax="47" xr10:uidLastSave="{00000000-0000-0000-0000-000000000000}"/>
  <bookViews>
    <workbookView xWindow="1800" yWindow="-345" windowWidth="15375" windowHeight="7875" activeTab="3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Effects of DMA Avg. Bill" sheetId="523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Earnings Test and 3% Test" sheetId="516" r:id="rId11"/>
    <sheet name="Workpapers---&gt;" sheetId="497" r:id="rId12"/>
    <sheet name="Balances at 12-31-2023" sheetId="511" r:id="rId13"/>
    <sheet name="Int calc thru 10-31-2024" sheetId="450" r:id="rId14"/>
    <sheet name="Amort Calc thru 10-31-2024" sheetId="519" r:id="rId15"/>
    <sheet name="EstimatedBalances" sheetId="512" r:id="rId16"/>
    <sheet name="Int during Amort" sheetId="513" r:id="rId17"/>
    <sheet name="Test Period Volumes" sheetId="494" r:id="rId18"/>
    <sheet name="Deferral RA 20477" sheetId="520" r:id="rId19"/>
    <sheet name="Amort 1862.20480" sheetId="521" r:id="rId20"/>
    <sheet name="Bills-Therms-Revs" sheetId="472" r:id="rId21"/>
    <sheet name=" Conversion Factor" sheetId="522" r:id="rId22"/>
  </sheets>
  <externalReferences>
    <externalReference r:id="rId23"/>
    <externalReference r:id="rId24"/>
    <externalReference r:id="rId25"/>
  </externalReferences>
  <definedNames>
    <definedName name="BalancesJuly" localSheetId="12">'Balances at 12-31-2023'!$A$9:$I$399</definedName>
    <definedName name="_xlnm.Print_Area" localSheetId="19">'Amort 1862.20480'!$A$1:$H$92</definedName>
    <definedName name="_xlnm.Print_Area" localSheetId="20">'Bills-Therms-Revs'!$A$1:$O$48</definedName>
    <definedName name="_xlnm.Print_Area" localSheetId="18">'Deferral RA 20477'!$A$1:$H$108</definedName>
    <definedName name="_xlnm.Print_Area" localSheetId="3">'DMA Amount of Change'!$A$1:$L$18</definedName>
    <definedName name="_xlnm.Print_Area" localSheetId="2">'DMA Proposed Rate 594'!$B$1:$H$21</definedName>
    <definedName name="_xlnm.Print_Area" localSheetId="10">'Earnings Test and 3% Test'!$A$1:$K$59</definedName>
    <definedName name="_xlnm.Print_Area" localSheetId="4">'Effects of DMA Avg. Bill'!$A$1:$K$35</definedName>
    <definedName name="_xlnm.Print_Titles" localSheetId="10">'Earnings Test and 3% Test'!$1:$4</definedName>
    <definedName name="Z_5C6B1FA1_B621_4699_B8F7_5011E8FF1BCD_.wvu.PrintArea" localSheetId="10" hidden="1">'Earnings Test and 3% Test'!$B$1:$I$23</definedName>
    <definedName name="Z_5C6B1FA1_B621_4699_B8F7_5011E8FF1BCD_.wvu.PrintTitles" localSheetId="10" hidden="1">'Earnings Test and 3% Test'!$1:$4</definedName>
    <definedName name="Z_6A207E9B_31ED_4215_AD4F_ABB2957B65E4_.wvu.PrintArea" localSheetId="10" hidden="1">'Earnings Test and 3% Test'!#REF!</definedName>
    <definedName name="Z_6A207E9B_31ED_4215_AD4F_ABB2957B65E4_.wvu.PrintTitles" localSheetId="10" hidden="1">'Earnings Test and 3% Test'!$1:$4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490" l="1"/>
  <c r="G27" i="523"/>
  <c r="F39" i="472"/>
  <c r="G39" i="472"/>
  <c r="I39" i="472"/>
  <c r="F19" i="472"/>
  <c r="F26" i="472" s="1"/>
  <c r="I26" i="472"/>
  <c r="G26" i="472"/>
  <c r="G16" i="472"/>
  <c r="F16" i="472"/>
  <c r="I12" i="472"/>
  <c r="I16" i="472" s="1"/>
  <c r="F33" i="472"/>
  <c r="G33" i="472"/>
  <c r="I33" i="472"/>
  <c r="H6" i="494"/>
  <c r="H7" i="494"/>
  <c r="H8" i="494"/>
  <c r="H9" i="494"/>
  <c r="C22" i="494" s="1"/>
  <c r="H10" i="494"/>
  <c r="G23" i="494" s="1"/>
  <c r="H11" i="494"/>
  <c r="C24" i="494" s="1"/>
  <c r="H12" i="494"/>
  <c r="C25" i="494" s="1"/>
  <c r="H13" i="494"/>
  <c r="D26" i="494" s="1"/>
  <c r="H14" i="494"/>
  <c r="H15" i="494"/>
  <c r="H16" i="494"/>
  <c r="H17" i="494"/>
  <c r="D30" i="494" s="1"/>
  <c r="C19" i="494"/>
  <c r="C31" i="494" s="1"/>
  <c r="D19" i="494"/>
  <c r="D31" i="494" s="1"/>
  <c r="E19" i="494"/>
  <c r="E31" i="494" s="1"/>
  <c r="F19" i="494"/>
  <c r="F31" i="494" s="1"/>
  <c r="G19" i="494"/>
  <c r="C20" i="494"/>
  <c r="D20" i="494"/>
  <c r="E20" i="494"/>
  <c r="F20" i="494"/>
  <c r="F32" i="494" s="1"/>
  <c r="G20" i="494"/>
  <c r="G32" i="494" s="1"/>
  <c r="C21" i="494"/>
  <c r="C33" i="494" s="1"/>
  <c r="D21" i="494"/>
  <c r="D33" i="494" s="1"/>
  <c r="E21" i="494"/>
  <c r="F21" i="494"/>
  <c r="G21" i="494"/>
  <c r="G22" i="494"/>
  <c r="C23" i="494"/>
  <c r="D23" i="494"/>
  <c r="E23" i="494"/>
  <c r="F23" i="494"/>
  <c r="G24" i="494"/>
  <c r="D25" i="494"/>
  <c r="G25" i="494"/>
  <c r="C27" i="494"/>
  <c r="D27" i="494"/>
  <c r="E27" i="494"/>
  <c r="F27" i="494"/>
  <c r="G27" i="494"/>
  <c r="C28" i="494"/>
  <c r="D28" i="494"/>
  <c r="E28" i="494"/>
  <c r="F28" i="494"/>
  <c r="G28" i="494"/>
  <c r="C29" i="494"/>
  <c r="D29" i="494"/>
  <c r="E29" i="494"/>
  <c r="F29" i="494"/>
  <c r="G29" i="494"/>
  <c r="C30" i="494"/>
  <c r="F30" i="494"/>
  <c r="G30" i="494"/>
  <c r="G31" i="494"/>
  <c r="C32" i="494"/>
  <c r="D32" i="494"/>
  <c r="E32" i="494"/>
  <c r="E33" i="494"/>
  <c r="F33" i="494"/>
  <c r="G33" i="494"/>
  <c r="H34" i="494"/>
  <c r="G40" i="472" l="1"/>
  <c r="I40" i="472"/>
  <c r="F40" i="472"/>
  <c r="E24" i="494"/>
  <c r="D24" i="494"/>
  <c r="F24" i="494"/>
  <c r="C26" i="494"/>
  <c r="C34" i="494"/>
  <c r="F22" i="494"/>
  <c r="E30" i="494"/>
  <c r="F25" i="494"/>
  <c r="E22" i="494"/>
  <c r="E25" i="494"/>
  <c r="D22" i="494"/>
  <c r="D34" i="494" s="1"/>
  <c r="F26" i="494"/>
  <c r="E26" i="494"/>
  <c r="G26" i="494"/>
  <c r="G34" i="494" s="1"/>
  <c r="E34" i="494" l="1"/>
  <c r="F34" i="494"/>
  <c r="H82" i="521" l="1"/>
  <c r="H80" i="521"/>
  <c r="F81" i="521" s="1"/>
  <c r="F80" i="521"/>
  <c r="F79" i="521"/>
  <c r="A92" i="521"/>
  <c r="A91" i="521"/>
  <c r="A89" i="521"/>
  <c r="A88" i="521"/>
  <c r="A87" i="521"/>
  <c r="A86" i="521"/>
  <c r="A85" i="521"/>
  <c r="A84" i="521"/>
  <c r="A83" i="521"/>
  <c r="A82" i="521"/>
  <c r="A81" i="521"/>
  <c r="A80" i="521"/>
  <c r="H102" i="520"/>
  <c r="H101" i="520"/>
  <c r="H99" i="520"/>
  <c r="H90" i="520"/>
  <c r="H86" i="520"/>
  <c r="A106" i="520"/>
  <c r="A105" i="520"/>
  <c r="A103" i="520"/>
  <c r="A102" i="520"/>
  <c r="A101" i="520"/>
  <c r="A100" i="520"/>
  <c r="A99" i="520"/>
  <c r="A98" i="520"/>
  <c r="A97" i="520"/>
  <c r="A96" i="520"/>
  <c r="A95" i="520"/>
  <c r="A94" i="520"/>
  <c r="D9" i="450" l="1"/>
  <c r="D18" i="511"/>
  <c r="D22" i="511"/>
  <c r="D21" i="511"/>
  <c r="D20" i="511"/>
  <c r="D19" i="511"/>
  <c r="D17" i="511"/>
  <c r="D16" i="511"/>
  <c r="D15" i="511"/>
  <c r="D14" i="511"/>
  <c r="D13" i="511"/>
  <c r="I57" i="472"/>
  <c r="G14" i="490" l="1"/>
  <c r="G13" i="516"/>
  <c r="D10" i="522" l="1"/>
  <c r="C10" i="512" l="1"/>
  <c r="C15" i="512"/>
  <c r="E19" i="513" l="1"/>
  <c r="H78" i="521" l="1"/>
  <c r="H70" i="521"/>
  <c r="H67" i="521"/>
  <c r="H65" i="521"/>
  <c r="H63" i="521"/>
  <c r="F87" i="520" l="1"/>
  <c r="F85" i="520"/>
  <c r="D84" i="520"/>
  <c r="F88" i="520"/>
  <c r="D90" i="520"/>
  <c r="D82" i="520"/>
  <c r="D88" i="520"/>
  <c r="F82" i="520"/>
  <c r="H81" i="520"/>
  <c r="F81" i="520"/>
  <c r="H82" i="520" l="1"/>
  <c r="F83" i="520" l="1"/>
  <c r="H83" i="520" s="1"/>
  <c r="F84" i="520" s="1"/>
  <c r="H84" i="520" l="1"/>
  <c r="H85" i="520" l="1"/>
  <c r="F86" i="520" s="1"/>
  <c r="H87" i="520" l="1"/>
  <c r="H88" i="520" s="1"/>
  <c r="F89" i="520" s="1"/>
  <c r="H89" i="520" l="1"/>
  <c r="F90" i="520" s="1"/>
  <c r="H91" i="520" l="1"/>
  <c r="F92" i="520" s="1"/>
  <c r="H92" i="520" l="1"/>
  <c r="F93" i="520" s="1"/>
  <c r="H93" i="520" l="1"/>
  <c r="F94" i="520" s="1"/>
  <c r="H94" i="520" s="1"/>
  <c r="F95" i="520" s="1"/>
  <c r="H95" i="520" s="1"/>
  <c r="F96" i="520" s="1"/>
  <c r="H96" i="520" s="1"/>
  <c r="F97" i="520" s="1"/>
  <c r="H97" i="520" s="1"/>
  <c r="F98" i="520" l="1"/>
  <c r="H98" i="520" s="1"/>
  <c r="F99" i="520" s="1"/>
  <c r="F100" i="520" s="1"/>
  <c r="H100" i="520" s="1"/>
  <c r="F101" i="520" s="1"/>
  <c r="F102" i="520" s="1"/>
  <c r="F103" i="520" s="1"/>
  <c r="H103" i="520" s="1"/>
  <c r="H104" i="520" s="1"/>
  <c r="F105" i="520" s="1"/>
  <c r="H105" i="520" s="1"/>
  <c r="F106" i="520" s="1"/>
  <c r="H106" i="520" s="1"/>
  <c r="G11" i="523"/>
  <c r="K10" i="523" l="1"/>
  <c r="I10" i="523"/>
  <c r="K1" i="516" l="1"/>
  <c r="J1" i="523"/>
  <c r="G33" i="523" l="1"/>
  <c r="G35" i="523" s="1"/>
  <c r="G22" i="523"/>
  <c r="G21" i="523"/>
  <c r="G24" i="523" l="1"/>
  <c r="G30" i="523"/>
  <c r="R19" i="513"/>
  <c r="Q19" i="513"/>
  <c r="P19" i="513"/>
  <c r="O19" i="513"/>
  <c r="G18" i="523" l="1"/>
  <c r="G16" i="523"/>
  <c r="C33" i="522" l="1"/>
  <c r="C12" i="522"/>
  <c r="C16" i="522" s="1"/>
  <c r="C18" i="522" s="1"/>
  <c r="C20" i="522" s="1"/>
  <c r="C22" i="522" s="1"/>
  <c r="C25" i="522" s="1"/>
  <c r="G18" i="516" s="1"/>
  <c r="G15" i="490" l="1"/>
  <c r="G13" i="490"/>
  <c r="I56" i="472" l="1"/>
  <c r="I53" i="472"/>
  <c r="G56" i="472"/>
  <c r="G53" i="472"/>
  <c r="J38" i="516" l="1"/>
  <c r="I38" i="516"/>
  <c r="H38" i="516"/>
  <c r="G38" i="516"/>
  <c r="F38" i="516"/>
  <c r="I32" i="516" l="1"/>
  <c r="I58" i="472" l="1"/>
  <c r="I62" i="472" l="1"/>
  <c r="G62" i="472"/>
  <c r="F62" i="472"/>
  <c r="I61" i="472"/>
  <c r="G61" i="472"/>
  <c r="F61" i="472"/>
  <c r="F58" i="472"/>
  <c r="D16" i="490" s="1"/>
  <c r="G57" i="472"/>
  <c r="F57" i="472"/>
  <c r="F56" i="472"/>
  <c r="F53" i="472"/>
  <c r="F52" i="472"/>
  <c r="D12" i="490" s="1"/>
  <c r="I46" i="472"/>
  <c r="G46" i="472"/>
  <c r="F46" i="472"/>
  <c r="G16" i="490"/>
  <c r="G58" i="472"/>
  <c r="I52" i="472"/>
  <c r="G52" i="472"/>
  <c r="H12" i="521"/>
  <c r="H13" i="521" s="1"/>
  <c r="D41" i="520"/>
  <c r="A13" i="520"/>
  <c r="H12" i="520"/>
  <c r="F13" i="520" s="1"/>
  <c r="H13" i="520" s="1"/>
  <c r="A12" i="520"/>
  <c r="A27" i="513"/>
  <c r="B25" i="513"/>
  <c r="B24" i="513"/>
  <c r="B23" i="513"/>
  <c r="B22" i="513"/>
  <c r="B21" i="513"/>
  <c r="E16" i="513"/>
  <c r="A14" i="513"/>
  <c r="A25" i="513" s="1"/>
  <c r="A13" i="513"/>
  <c r="A24" i="513" s="1"/>
  <c r="A12" i="513"/>
  <c r="A23" i="513" s="1"/>
  <c r="A11" i="513"/>
  <c r="A22" i="513" s="1"/>
  <c r="A10" i="513"/>
  <c r="A21" i="513" s="1"/>
  <c r="C19" i="512"/>
  <c r="C18" i="512"/>
  <c r="C17" i="512"/>
  <c r="C16" i="512"/>
  <c r="B14" i="512"/>
  <c r="B19" i="512" s="1"/>
  <c r="B13" i="512"/>
  <c r="B18" i="512" s="1"/>
  <c r="B12" i="512"/>
  <c r="B17" i="512" s="1"/>
  <c r="B11" i="512"/>
  <c r="B16" i="512" s="1"/>
  <c r="B10" i="512"/>
  <c r="J18" i="519"/>
  <c r="I18" i="519"/>
  <c r="H18" i="519"/>
  <c r="G18" i="519"/>
  <c r="F18" i="519"/>
  <c r="E18" i="519"/>
  <c r="D18" i="519"/>
  <c r="J17" i="519"/>
  <c r="I17" i="519"/>
  <c r="H17" i="519"/>
  <c r="G17" i="519"/>
  <c r="F17" i="519"/>
  <c r="E17" i="519"/>
  <c r="D17" i="519"/>
  <c r="J16" i="519"/>
  <c r="I16" i="519"/>
  <c r="H16" i="519"/>
  <c r="G16" i="519"/>
  <c r="F16" i="519"/>
  <c r="E16" i="519"/>
  <c r="D16" i="519"/>
  <c r="J15" i="519"/>
  <c r="I15" i="519"/>
  <c r="H15" i="519"/>
  <c r="G15" i="519"/>
  <c r="F15" i="519"/>
  <c r="E15" i="519"/>
  <c r="D15" i="519"/>
  <c r="J14" i="519"/>
  <c r="I14" i="519"/>
  <c r="H14" i="519"/>
  <c r="G14" i="519"/>
  <c r="F14" i="519"/>
  <c r="E14" i="519"/>
  <c r="D14" i="519"/>
  <c r="M22" i="450"/>
  <c r="A20" i="450"/>
  <c r="A19" i="450"/>
  <c r="A18" i="450"/>
  <c r="A17" i="450"/>
  <c r="A16" i="450"/>
  <c r="A15" i="512" s="1"/>
  <c r="A15" i="450"/>
  <c r="A14" i="512" s="1"/>
  <c r="A14" i="450"/>
  <c r="A13" i="512" s="1"/>
  <c r="A13" i="450"/>
  <c r="A12" i="512" s="1"/>
  <c r="A12" i="450"/>
  <c r="A11" i="512" s="1"/>
  <c r="A11" i="450"/>
  <c r="A10" i="512" s="1"/>
  <c r="M9" i="450"/>
  <c r="L9" i="450"/>
  <c r="K9" i="450"/>
  <c r="J9" i="450"/>
  <c r="I9" i="450"/>
  <c r="H9" i="450"/>
  <c r="G9" i="450"/>
  <c r="F9" i="450"/>
  <c r="E9" i="450"/>
  <c r="C9" i="450"/>
  <c r="C20" i="450" s="1"/>
  <c r="L7" i="450"/>
  <c r="K7" i="450"/>
  <c r="J7" i="450"/>
  <c r="I7" i="450"/>
  <c r="H7" i="450"/>
  <c r="G7" i="450"/>
  <c r="F7" i="450"/>
  <c r="E7" i="450"/>
  <c r="D7" i="450"/>
  <c r="C7" i="450"/>
  <c r="B17" i="511"/>
  <c r="B22" i="511" s="1"/>
  <c r="B20" i="450" s="1"/>
  <c r="C15" i="449"/>
  <c r="B16" i="511"/>
  <c r="B21" i="511" s="1"/>
  <c r="B19" i="450" s="1"/>
  <c r="B15" i="511"/>
  <c r="B20" i="511" s="1"/>
  <c r="B18" i="450" s="1"/>
  <c r="B14" i="511"/>
  <c r="B19" i="511" s="1"/>
  <c r="B17" i="450" s="1"/>
  <c r="B13" i="511"/>
  <c r="B18" i="511" s="1"/>
  <c r="B16" i="450" s="1"/>
  <c r="B15" i="512" s="1"/>
  <c r="G15" i="516"/>
  <c r="G17" i="516" s="1"/>
  <c r="G19" i="516" s="1"/>
  <c r="D13" i="516"/>
  <c r="D15" i="516" s="1"/>
  <c r="D17" i="516" s="1"/>
  <c r="D19" i="516" s="1"/>
  <c r="D21" i="516" s="1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D15" i="490"/>
  <c r="D14" i="490"/>
  <c r="G32" i="516"/>
  <c r="G12" i="490"/>
  <c r="G1" i="483"/>
  <c r="K1" i="490" s="1"/>
  <c r="C16" i="449"/>
  <c r="C12" i="449"/>
  <c r="C11" i="450" l="1"/>
  <c r="D10" i="512" s="1"/>
  <c r="D11" i="450" s="1"/>
  <c r="E10" i="512" s="1"/>
  <c r="M18" i="519"/>
  <c r="C36" i="521"/>
  <c r="K18" i="519"/>
  <c r="N11" i="513"/>
  <c r="J32" i="516"/>
  <c r="H32" i="516"/>
  <c r="F32" i="516"/>
  <c r="J11" i="513"/>
  <c r="L14" i="513"/>
  <c r="M12" i="513"/>
  <c r="G12" i="513"/>
  <c r="H14" i="513"/>
  <c r="I12" i="513"/>
  <c r="K12" i="513"/>
  <c r="G19" i="519"/>
  <c r="L11" i="513"/>
  <c r="L12" i="513"/>
  <c r="K14" i="513"/>
  <c r="G14" i="513"/>
  <c r="K10" i="513"/>
  <c r="K13" i="513"/>
  <c r="P11" i="513"/>
  <c r="C35" i="521"/>
  <c r="H12" i="513"/>
  <c r="H11" i="513"/>
  <c r="C13" i="450"/>
  <c r="C15" i="450"/>
  <c r="C19" i="450"/>
  <c r="H14" i="521"/>
  <c r="F14" i="520"/>
  <c r="H14" i="520" s="1"/>
  <c r="G13" i="513"/>
  <c r="R11" i="513"/>
  <c r="M13" i="513"/>
  <c r="I10" i="513"/>
  <c r="M10" i="513"/>
  <c r="N12" i="513"/>
  <c r="C37" i="521"/>
  <c r="O12" i="513"/>
  <c r="G11" i="513"/>
  <c r="H13" i="513"/>
  <c r="I11" i="513"/>
  <c r="J13" i="513"/>
  <c r="K11" i="513"/>
  <c r="L13" i="513"/>
  <c r="M11" i="513"/>
  <c r="N13" i="513"/>
  <c r="I13" i="513"/>
  <c r="I14" i="513"/>
  <c r="J12" i="513"/>
  <c r="M14" i="513"/>
  <c r="E19" i="519"/>
  <c r="I19" i="519"/>
  <c r="H10" i="513"/>
  <c r="J10" i="513"/>
  <c r="J14" i="513"/>
  <c r="L10" i="513"/>
  <c r="N10" i="513"/>
  <c r="N14" i="513"/>
  <c r="C14" i="449"/>
  <c r="H19" i="519"/>
  <c r="D19" i="519"/>
  <c r="F19" i="519"/>
  <c r="G19" i="513"/>
  <c r="K19" i="513"/>
  <c r="C17" i="450"/>
  <c r="H19" i="513"/>
  <c r="L19" i="513"/>
  <c r="I19" i="513"/>
  <c r="M19" i="513"/>
  <c r="J19" i="513"/>
  <c r="N19" i="513"/>
  <c r="C18" i="450"/>
  <c r="D19" i="512"/>
  <c r="D20" i="450" s="1"/>
  <c r="E19" i="512" s="1"/>
  <c r="C16" i="450"/>
  <c r="D15" i="512" s="1"/>
  <c r="C12" i="512"/>
  <c r="C14" i="512"/>
  <c r="D13" i="490"/>
  <c r="F47" i="472"/>
  <c r="G47" i="472"/>
  <c r="F63" i="472"/>
  <c r="G63" i="472"/>
  <c r="I63" i="472"/>
  <c r="I47" i="472"/>
  <c r="G17" i="490"/>
  <c r="J19" i="519"/>
  <c r="C11" i="512"/>
  <c r="C12" i="450"/>
  <c r="D26" i="511"/>
  <c r="D29" i="511" s="1"/>
  <c r="C13" i="512"/>
  <c r="C14" i="450"/>
  <c r="C13" i="449"/>
  <c r="P14" i="513" l="1"/>
  <c r="R14" i="513"/>
  <c r="D14" i="512"/>
  <c r="D15" i="450" s="1"/>
  <c r="E14" i="512" s="1"/>
  <c r="E15" i="450" s="1"/>
  <c r="F14" i="512" s="1"/>
  <c r="K32" i="516"/>
  <c r="D17" i="490"/>
  <c r="G10" i="513"/>
  <c r="G16" i="513" s="1"/>
  <c r="K16" i="513"/>
  <c r="M15" i="519"/>
  <c r="K15" i="519"/>
  <c r="H16" i="513"/>
  <c r="D18" i="512"/>
  <c r="D19" i="450" s="1"/>
  <c r="E18" i="512" s="1"/>
  <c r="E19" i="450" s="1"/>
  <c r="F18" i="512" s="1"/>
  <c r="D17" i="512"/>
  <c r="D18" i="450" s="1"/>
  <c r="E17" i="512" s="1"/>
  <c r="E18" i="450" s="1"/>
  <c r="F17" i="512" s="1"/>
  <c r="D16" i="512"/>
  <c r="D17" i="450" s="1"/>
  <c r="E16" i="512" s="1"/>
  <c r="E17" i="450" s="1"/>
  <c r="F16" i="512" s="1"/>
  <c r="D16" i="450"/>
  <c r="E15" i="512" s="1"/>
  <c r="D12" i="512"/>
  <c r="D13" i="450" s="1"/>
  <c r="E12" i="512" s="1"/>
  <c r="E13" i="450" s="1"/>
  <c r="F12" i="512" s="1"/>
  <c r="C19" i="449"/>
  <c r="H15" i="521"/>
  <c r="F15" i="520"/>
  <c r="H15" i="520" s="1"/>
  <c r="P12" i="513"/>
  <c r="K16" i="519"/>
  <c r="L16" i="513"/>
  <c r="M16" i="513"/>
  <c r="M14" i="519"/>
  <c r="R10" i="513"/>
  <c r="I16" i="513"/>
  <c r="J16" i="513"/>
  <c r="K14" i="519"/>
  <c r="P10" i="513"/>
  <c r="Q11" i="513"/>
  <c r="L15" i="519"/>
  <c r="M16" i="519"/>
  <c r="R12" i="513"/>
  <c r="L16" i="519"/>
  <c r="L18" i="519"/>
  <c r="N18" i="519" s="1"/>
  <c r="Q14" i="513"/>
  <c r="R13" i="513"/>
  <c r="M17" i="519"/>
  <c r="N16" i="513"/>
  <c r="K17" i="519"/>
  <c r="P13" i="513"/>
  <c r="L14" i="519"/>
  <c r="Q10" i="513"/>
  <c r="Q13" i="513"/>
  <c r="L17" i="519"/>
  <c r="C21" i="512"/>
  <c r="C22" i="450"/>
  <c r="E20" i="450"/>
  <c r="F19" i="512" s="1"/>
  <c r="O11" i="513"/>
  <c r="O13" i="513"/>
  <c r="O14" i="513"/>
  <c r="O10" i="513"/>
  <c r="D13" i="512"/>
  <c r="E11" i="450"/>
  <c r="D11" i="512"/>
  <c r="E16" i="450" l="1"/>
  <c r="F15" i="512" s="1"/>
  <c r="F16" i="450" s="1"/>
  <c r="G15" i="512" s="1"/>
  <c r="S10" i="513"/>
  <c r="G9" i="449"/>
  <c r="E12" i="490" s="1"/>
  <c r="N15" i="519"/>
  <c r="N16" i="519"/>
  <c r="H16" i="521"/>
  <c r="F16" i="520"/>
  <c r="H16" i="520" s="1"/>
  <c r="J9" i="449"/>
  <c r="E15" i="490" s="1"/>
  <c r="Q12" i="513"/>
  <c r="S12" i="513" s="1"/>
  <c r="I9" i="449"/>
  <c r="E14" i="490" s="1"/>
  <c r="H34" i="516" s="1"/>
  <c r="S13" i="513"/>
  <c r="N17" i="519"/>
  <c r="S14" i="513"/>
  <c r="S11" i="513"/>
  <c r="P16" i="513"/>
  <c r="R16" i="513"/>
  <c r="K9" i="449"/>
  <c r="E16" i="490" s="1"/>
  <c r="H9" i="449"/>
  <c r="E13" i="490" s="1"/>
  <c r="L19" i="519"/>
  <c r="N14" i="519"/>
  <c r="K19" i="519"/>
  <c r="M19" i="519"/>
  <c r="F20" i="450"/>
  <c r="G19" i="512" s="1"/>
  <c r="F19" i="450"/>
  <c r="G18" i="512" s="1"/>
  <c r="F18" i="450"/>
  <c r="G17" i="512" s="1"/>
  <c r="F17" i="450"/>
  <c r="G16" i="512" s="1"/>
  <c r="O16" i="513"/>
  <c r="F13" i="450"/>
  <c r="G12" i="512" s="1"/>
  <c r="F15" i="450"/>
  <c r="D14" i="450"/>
  <c r="F10" i="512"/>
  <c r="D12" i="450"/>
  <c r="D21" i="512"/>
  <c r="J34" i="516" l="1"/>
  <c r="I34" i="516"/>
  <c r="F34" i="516"/>
  <c r="G34" i="516"/>
  <c r="N19" i="519"/>
  <c r="E13" i="512"/>
  <c r="E14" i="450" s="1"/>
  <c r="F13" i="512" s="1"/>
  <c r="E11" i="512"/>
  <c r="E12" i="450" s="1"/>
  <c r="H17" i="521"/>
  <c r="F17" i="520"/>
  <c r="H17" i="520" s="1"/>
  <c r="E17" i="490"/>
  <c r="Q16" i="513"/>
  <c r="S16" i="513"/>
  <c r="G20" i="450"/>
  <c r="H19" i="512" s="1"/>
  <c r="G19" i="450"/>
  <c r="G18" i="450"/>
  <c r="H17" i="512" s="1"/>
  <c r="G17" i="450"/>
  <c r="H16" i="512" s="1"/>
  <c r="G16" i="450"/>
  <c r="H15" i="512" s="1"/>
  <c r="G13" i="450"/>
  <c r="H12" i="512" s="1"/>
  <c r="G14" i="512"/>
  <c r="F11" i="450"/>
  <c r="G10" i="512" s="1"/>
  <c r="D22" i="450"/>
  <c r="E21" i="512" l="1"/>
  <c r="K34" i="516"/>
  <c r="H18" i="512"/>
  <c r="H19" i="450" s="1"/>
  <c r="I18" i="512" s="1"/>
  <c r="H18" i="521"/>
  <c r="F18" i="520"/>
  <c r="H18" i="520" s="1"/>
  <c r="H20" i="450"/>
  <c r="I19" i="512" s="1"/>
  <c r="H18" i="450"/>
  <c r="I17" i="512" s="1"/>
  <c r="H17" i="450"/>
  <c r="I16" i="512" s="1"/>
  <c r="H16" i="450"/>
  <c r="I15" i="512" s="1"/>
  <c r="G11" i="450"/>
  <c r="H10" i="512" s="1"/>
  <c r="F14" i="450"/>
  <c r="G13" i="512" s="1"/>
  <c r="E22" i="450"/>
  <c r="F11" i="512"/>
  <c r="G15" i="450"/>
  <c r="H13" i="450"/>
  <c r="I12" i="512" s="1"/>
  <c r="H14" i="512" l="1"/>
  <c r="H15" i="450" s="1"/>
  <c r="I14" i="512" s="1"/>
  <c r="H19" i="521"/>
  <c r="F19" i="520"/>
  <c r="H19" i="520" s="1"/>
  <c r="I20" i="450"/>
  <c r="J19" i="512" s="1"/>
  <c r="I19" i="450"/>
  <c r="J18" i="512" s="1"/>
  <c r="I18" i="450"/>
  <c r="J17" i="512" s="1"/>
  <c r="I17" i="450"/>
  <c r="J16" i="512" s="1"/>
  <c r="I16" i="450"/>
  <c r="J15" i="512" s="1"/>
  <c r="H11" i="450"/>
  <c r="I10" i="512" s="1"/>
  <c r="G14" i="450"/>
  <c r="H13" i="512" s="1"/>
  <c r="F12" i="450"/>
  <c r="F21" i="512"/>
  <c r="I13" i="450"/>
  <c r="J12" i="512" s="1"/>
  <c r="H20" i="521" l="1"/>
  <c r="F20" i="520"/>
  <c r="H20" i="520" s="1"/>
  <c r="J20" i="450"/>
  <c r="K19" i="512" s="1"/>
  <c r="K20" i="450" s="1"/>
  <c r="L19" i="512" s="1"/>
  <c r="L20" i="450" s="1"/>
  <c r="J19" i="450"/>
  <c r="K18" i="512" s="1"/>
  <c r="J18" i="450"/>
  <c r="K17" i="512" s="1"/>
  <c r="J17" i="450"/>
  <c r="K16" i="512" s="1"/>
  <c r="J16" i="450"/>
  <c r="K15" i="512" s="1"/>
  <c r="I15" i="450"/>
  <c r="J14" i="512" s="1"/>
  <c r="I11" i="450"/>
  <c r="J10" i="512" s="1"/>
  <c r="J13" i="450"/>
  <c r="K12" i="512" s="1"/>
  <c r="H14" i="450"/>
  <c r="I13" i="512" s="1"/>
  <c r="F22" i="450"/>
  <c r="G11" i="512"/>
  <c r="M19" i="512" l="1"/>
  <c r="O19" i="512" s="1"/>
  <c r="N20" i="450"/>
  <c r="H21" i="521"/>
  <c r="F21" i="520"/>
  <c r="H21" i="520" s="1"/>
  <c r="K19" i="450"/>
  <c r="L18" i="512" s="1"/>
  <c r="K18" i="450"/>
  <c r="L17" i="512" s="1"/>
  <c r="K17" i="450"/>
  <c r="L16" i="512" s="1"/>
  <c r="K16" i="450"/>
  <c r="L15" i="512" s="1"/>
  <c r="I14" i="450"/>
  <c r="J13" i="512" s="1"/>
  <c r="J15" i="450"/>
  <c r="K14" i="512" s="1"/>
  <c r="J11" i="450"/>
  <c r="K10" i="512" s="1"/>
  <c r="G12" i="450"/>
  <c r="H11" i="512" s="1"/>
  <c r="G21" i="512"/>
  <c r="K13" i="450"/>
  <c r="L12" i="512" s="1"/>
  <c r="H22" i="521" l="1"/>
  <c r="F22" i="520"/>
  <c r="H22" i="520" s="1"/>
  <c r="L19" i="450"/>
  <c r="N19" i="450" s="1"/>
  <c r="L18" i="450"/>
  <c r="N18" i="450" s="1"/>
  <c r="L17" i="450"/>
  <c r="N17" i="450" s="1"/>
  <c r="L16" i="450"/>
  <c r="N16" i="450" s="1"/>
  <c r="J14" i="450"/>
  <c r="K13" i="512" s="1"/>
  <c r="L13" i="450"/>
  <c r="N13" i="450" s="1"/>
  <c r="K15" i="450"/>
  <c r="L14" i="512" s="1"/>
  <c r="K11" i="450"/>
  <c r="H12" i="450"/>
  <c r="H22" i="450" s="1"/>
  <c r="H21" i="512"/>
  <c r="G22" i="450"/>
  <c r="H23" i="521" l="1"/>
  <c r="F23" i="520"/>
  <c r="H23" i="520" s="1"/>
  <c r="M18" i="512"/>
  <c r="O18" i="512" s="1"/>
  <c r="M17" i="512"/>
  <c r="O17" i="512" s="1"/>
  <c r="M16" i="512"/>
  <c r="O16" i="512" s="1"/>
  <c r="M15" i="512"/>
  <c r="O15" i="512" s="1"/>
  <c r="I11" i="512"/>
  <c r="I12" i="450" s="1"/>
  <c r="I22" i="450" s="1"/>
  <c r="M12" i="512"/>
  <c r="K14" i="450"/>
  <c r="L13" i="512" s="1"/>
  <c r="L15" i="450"/>
  <c r="N15" i="450" s="1"/>
  <c r="L10" i="512"/>
  <c r="H24" i="521" l="1"/>
  <c r="F24" i="520"/>
  <c r="H24" i="520" s="1"/>
  <c r="F12" i="513"/>
  <c r="G23" i="513" s="1"/>
  <c r="O12" i="512"/>
  <c r="D14" i="449" s="1"/>
  <c r="I21" i="512"/>
  <c r="M14" i="512"/>
  <c r="L14" i="450"/>
  <c r="N14" i="450" s="1"/>
  <c r="L11" i="450"/>
  <c r="J11" i="512"/>
  <c r="O14" i="512" l="1"/>
  <c r="D16" i="449" s="1"/>
  <c r="M10" i="512"/>
  <c r="F10" i="513" s="1"/>
  <c r="N11" i="450"/>
  <c r="H25" i="521"/>
  <c r="F25" i="520"/>
  <c r="H25" i="520" s="1"/>
  <c r="H26" i="520" s="1"/>
  <c r="H27" i="520" s="1"/>
  <c r="H28" i="520" s="1"/>
  <c r="H29" i="520" s="1"/>
  <c r="H30" i="520" s="1"/>
  <c r="H31" i="520" s="1"/>
  <c r="H32" i="520" s="1"/>
  <c r="H33" i="520" s="1"/>
  <c r="H34" i="520" s="1"/>
  <c r="H35" i="520" s="1"/>
  <c r="T12" i="513"/>
  <c r="F14" i="513"/>
  <c r="T14" i="513" s="1"/>
  <c r="M13" i="512"/>
  <c r="F13" i="513" s="1"/>
  <c r="O10" i="512"/>
  <c r="H23" i="513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J12" i="450"/>
  <c r="J22" i="450" s="1"/>
  <c r="J21" i="512"/>
  <c r="H26" i="521" l="1"/>
  <c r="F36" i="520"/>
  <c r="H36" i="520"/>
  <c r="G25" i="513"/>
  <c r="H25" i="513" s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O13" i="512"/>
  <c r="D15" i="449" s="1"/>
  <c r="K11" i="512"/>
  <c r="G21" i="513"/>
  <c r="T10" i="513"/>
  <c r="S23" i="513"/>
  <c r="E14" i="449" s="1"/>
  <c r="F14" i="449" s="1"/>
  <c r="I14" i="449" s="1"/>
  <c r="G24" i="513"/>
  <c r="T13" i="513"/>
  <c r="D12" i="449"/>
  <c r="I19" i="449" l="1"/>
  <c r="H36" i="516"/>
  <c r="H27" i="521"/>
  <c r="F37" i="520"/>
  <c r="H37" i="520" s="1"/>
  <c r="H24" i="513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H21" i="513"/>
  <c r="K12" i="450"/>
  <c r="K22" i="450" s="1"/>
  <c r="K21" i="512"/>
  <c r="S25" i="513"/>
  <c r="E16" i="449" s="1"/>
  <c r="F16" i="449" s="1"/>
  <c r="K16" i="449" s="1"/>
  <c r="K19" i="449" l="1"/>
  <c r="J36" i="516"/>
  <c r="H28" i="521"/>
  <c r="H29" i="521" s="1"/>
  <c r="H30" i="521" s="1"/>
  <c r="H31" i="521" s="1"/>
  <c r="H32" i="521" s="1"/>
  <c r="H33" i="521" s="1"/>
  <c r="H34" i="521" s="1"/>
  <c r="H35" i="521" s="1"/>
  <c r="H36" i="521" s="1"/>
  <c r="H37" i="521" s="1"/>
  <c r="H38" i="521" s="1"/>
  <c r="H39" i="521" s="1"/>
  <c r="F38" i="520"/>
  <c r="H38" i="520" s="1"/>
  <c r="H39" i="520" s="1"/>
  <c r="I21" i="513"/>
  <c r="L11" i="512"/>
  <c r="S24" i="513"/>
  <c r="E15" i="449" s="1"/>
  <c r="F15" i="449" s="1"/>
  <c r="J15" i="449" s="1"/>
  <c r="J19" i="449" l="1"/>
  <c r="I36" i="516"/>
  <c r="I40" i="516" s="1"/>
  <c r="F40" i="521"/>
  <c r="H40" i="521"/>
  <c r="F40" i="520"/>
  <c r="H40" i="520"/>
  <c r="J21" i="513"/>
  <c r="L12" i="450"/>
  <c r="L21" i="512"/>
  <c r="M11" i="512" l="1"/>
  <c r="M21" i="512" s="1"/>
  <c r="N12" i="450"/>
  <c r="N22" i="450" s="1"/>
  <c r="F41" i="521"/>
  <c r="H41" i="521" s="1"/>
  <c r="F41" i="520"/>
  <c r="H41" i="520" s="1"/>
  <c r="L22" i="450"/>
  <c r="K21" i="513"/>
  <c r="F11" i="513" l="1"/>
  <c r="G22" i="513" s="1"/>
  <c r="O11" i="512"/>
  <c r="D13" i="449" s="1"/>
  <c r="F42" i="521"/>
  <c r="H42" i="521" s="1"/>
  <c r="F42" i="520"/>
  <c r="H42" i="520" s="1"/>
  <c r="L21" i="513"/>
  <c r="O21" i="512"/>
  <c r="T11" i="513" l="1"/>
  <c r="T16" i="513" s="1"/>
  <c r="F16" i="513"/>
  <c r="F43" i="521"/>
  <c r="H43" i="521" s="1"/>
  <c r="F43" i="520"/>
  <c r="H43" i="520" s="1"/>
  <c r="H22" i="513"/>
  <c r="G27" i="513"/>
  <c r="D19" i="449"/>
  <c r="M21" i="513"/>
  <c r="F44" i="521" l="1"/>
  <c r="H44" i="521" s="1"/>
  <c r="F44" i="520"/>
  <c r="H44" i="520" s="1"/>
  <c r="I22" i="513"/>
  <c r="H27" i="513"/>
  <c r="N21" i="513"/>
  <c r="F45" i="521" l="1"/>
  <c r="H45" i="521" s="1"/>
  <c r="F45" i="520"/>
  <c r="H45" i="520" s="1"/>
  <c r="O21" i="513"/>
  <c r="J22" i="513"/>
  <c r="I27" i="513"/>
  <c r="F46" i="521" l="1"/>
  <c r="H46" i="521" s="1"/>
  <c r="F46" i="520"/>
  <c r="H46" i="520" s="1"/>
  <c r="P21" i="513"/>
  <c r="K22" i="513"/>
  <c r="J27" i="513"/>
  <c r="F47" i="521" l="1"/>
  <c r="H47" i="521" s="1"/>
  <c r="F47" i="520"/>
  <c r="H47" i="520" s="1"/>
  <c r="Q21" i="513"/>
  <c r="L22" i="513"/>
  <c r="K27" i="513"/>
  <c r="F48" i="521" l="1"/>
  <c r="H48" i="521" s="1"/>
  <c r="F48" i="520"/>
  <c r="H48" i="520" s="1"/>
  <c r="M22" i="513"/>
  <c r="L27" i="513"/>
  <c r="R21" i="513"/>
  <c r="F49" i="521" l="1"/>
  <c r="H49" i="521" s="1"/>
  <c r="F49" i="520"/>
  <c r="H49" i="520" s="1"/>
  <c r="S21" i="513"/>
  <c r="N22" i="513"/>
  <c r="M27" i="513"/>
  <c r="F50" i="521" l="1"/>
  <c r="H50" i="521"/>
  <c r="H51" i="521" s="1"/>
  <c r="F50" i="520"/>
  <c r="H50" i="520" s="1"/>
  <c r="O22" i="513"/>
  <c r="N27" i="513"/>
  <c r="E12" i="449"/>
  <c r="F52" i="521" l="1"/>
  <c r="H52" i="521"/>
  <c r="F51" i="520"/>
  <c r="H51" i="520" s="1"/>
  <c r="H52" i="520" s="1"/>
  <c r="F12" i="449"/>
  <c r="P22" i="513"/>
  <c r="O27" i="513"/>
  <c r="F53" i="521" l="1"/>
  <c r="H53" i="521"/>
  <c r="F53" i="520"/>
  <c r="H53" i="520"/>
  <c r="Q22" i="513"/>
  <c r="P27" i="513"/>
  <c r="G12" i="449"/>
  <c r="F54" i="521" l="1"/>
  <c r="H54" i="521"/>
  <c r="G19" i="449"/>
  <c r="F36" i="516"/>
  <c r="F54" i="520"/>
  <c r="H54" i="520" s="1"/>
  <c r="R22" i="513"/>
  <c r="Q27" i="513"/>
  <c r="F55" i="521" l="1"/>
  <c r="H55" i="521" s="1"/>
  <c r="F56" i="521" s="1"/>
  <c r="H56" i="521" s="1"/>
  <c r="F55" i="520"/>
  <c r="H55" i="520" s="1"/>
  <c r="S22" i="513"/>
  <c r="R27" i="513"/>
  <c r="F57" i="521" l="1"/>
  <c r="H57" i="521" s="1"/>
  <c r="F56" i="520"/>
  <c r="H56" i="520"/>
  <c r="E13" i="449"/>
  <c r="S27" i="513"/>
  <c r="F58" i="521" l="1"/>
  <c r="H58" i="521"/>
  <c r="F57" i="520"/>
  <c r="H57" i="520" s="1"/>
  <c r="F13" i="449"/>
  <c r="E19" i="449"/>
  <c r="F59" i="521" l="1"/>
  <c r="H59" i="521" s="1"/>
  <c r="F58" i="520"/>
  <c r="H58" i="520" s="1"/>
  <c r="H13" i="449"/>
  <c r="F19" i="449"/>
  <c r="F60" i="521" l="1"/>
  <c r="H60" i="521" s="1"/>
  <c r="H19" i="449"/>
  <c r="G36" i="516"/>
  <c r="F59" i="520"/>
  <c r="H59" i="520" s="1"/>
  <c r="G24" i="516"/>
  <c r="G25" i="516" s="1"/>
  <c r="F61" i="521" l="1"/>
  <c r="H61" i="521" s="1"/>
  <c r="F60" i="520"/>
  <c r="H60" i="520"/>
  <c r="F62" i="521" l="1"/>
  <c r="H62" i="521"/>
  <c r="F61" i="520"/>
  <c r="H61" i="520"/>
  <c r="F63" i="521" l="1"/>
  <c r="H64" i="521"/>
  <c r="F62" i="520"/>
  <c r="H62" i="520" s="1"/>
  <c r="F40" i="516"/>
  <c r="G40" i="516"/>
  <c r="G42" i="516" s="1"/>
  <c r="G44" i="516" s="1"/>
  <c r="G46" i="516" s="1"/>
  <c r="G48" i="516" s="1"/>
  <c r="I42" i="516"/>
  <c r="I44" i="516" s="1"/>
  <c r="H40" i="516"/>
  <c r="H42" i="516" s="1"/>
  <c r="H44" i="516" s="1"/>
  <c r="H46" i="516" s="1"/>
  <c r="H48" i="516" s="1"/>
  <c r="J40" i="516"/>
  <c r="J42" i="516" s="1"/>
  <c r="J44" i="516" s="1"/>
  <c r="J46" i="516" s="1"/>
  <c r="J48" i="516" s="1"/>
  <c r="F42" i="516" l="1"/>
  <c r="F44" i="516" s="1"/>
  <c r="F46" i="516" s="1"/>
  <c r="F48" i="516" s="1"/>
  <c r="I46" i="516"/>
  <c r="I48" i="516" s="1"/>
  <c r="F65" i="521"/>
  <c r="F66" i="521" s="1"/>
  <c r="H66" i="521" s="1"/>
  <c r="F63" i="520"/>
  <c r="H63" i="520" s="1"/>
  <c r="J50" i="516"/>
  <c r="J52" i="516" s="1"/>
  <c r="J54" i="516" s="1"/>
  <c r="K21" i="449"/>
  <c r="K22" i="449" s="1"/>
  <c r="E16" i="483" s="1"/>
  <c r="G50" i="516"/>
  <c r="G52" i="516" s="1"/>
  <c r="G54" i="516" s="1"/>
  <c r="H21" i="449"/>
  <c r="H22" i="449" s="1"/>
  <c r="E13" i="483" s="1"/>
  <c r="I21" i="449"/>
  <c r="I22" i="449" s="1"/>
  <c r="E14" i="483" s="1"/>
  <c r="H50" i="516"/>
  <c r="H52" i="516" s="1"/>
  <c r="H54" i="516" s="1"/>
  <c r="G21" i="449" l="1"/>
  <c r="G22" i="449" s="1"/>
  <c r="E12" i="483" s="1"/>
  <c r="F12" i="483" s="1"/>
  <c r="F50" i="516"/>
  <c r="F52" i="516" s="1"/>
  <c r="F54" i="516" s="1"/>
  <c r="K42" i="516"/>
  <c r="J21" i="449"/>
  <c r="J22" i="449" s="1"/>
  <c r="E15" i="483" s="1"/>
  <c r="G15" i="483" s="1"/>
  <c r="I50" i="516"/>
  <c r="I52" i="516" s="1"/>
  <c r="I54" i="516" s="1"/>
  <c r="F67" i="521"/>
  <c r="F64" i="520"/>
  <c r="H64" i="520"/>
  <c r="H65" i="520" s="1"/>
  <c r="G16" i="483"/>
  <c r="F16" i="483"/>
  <c r="F13" i="483"/>
  <c r="G13" i="483"/>
  <c r="G14" i="483"/>
  <c r="F14" i="483"/>
  <c r="G12" i="483" l="1"/>
  <c r="K52" i="516"/>
  <c r="F15" i="483"/>
  <c r="M19" i="472" s="1"/>
  <c r="F68" i="521"/>
  <c r="H68" i="521" s="1"/>
  <c r="F69" i="521" s="1"/>
  <c r="H69" i="521" s="1"/>
  <c r="F70" i="521" s="1"/>
  <c r="F66" i="520"/>
  <c r="H66" i="520" s="1"/>
  <c r="F67" i="520" s="1"/>
  <c r="H67" i="520" s="1"/>
  <c r="F68" i="520" s="1"/>
  <c r="H68" i="520" s="1"/>
  <c r="M28" i="472"/>
  <c r="N28" i="472" s="1"/>
  <c r="J14" i="490"/>
  <c r="M18" i="472"/>
  <c r="J13" i="490"/>
  <c r="H18" i="523" s="1"/>
  <c r="I18" i="523" s="1"/>
  <c r="J18" i="523" s="1"/>
  <c r="K18" i="523" s="1"/>
  <c r="M35" i="472"/>
  <c r="N35" i="472" s="1"/>
  <c r="J16" i="490"/>
  <c r="M12" i="472"/>
  <c r="J12" i="490"/>
  <c r="H16" i="523" s="1"/>
  <c r="I16" i="523" s="1"/>
  <c r="J16" i="523" s="1"/>
  <c r="K16" i="523" s="1"/>
  <c r="J15" i="490" l="1"/>
  <c r="H29" i="523" s="1"/>
  <c r="F69" i="520"/>
  <c r="H69" i="520" s="1"/>
  <c r="F70" i="520" s="1"/>
  <c r="H70" i="520" s="1"/>
  <c r="H34" i="523"/>
  <c r="H33" i="523"/>
  <c r="H23" i="523"/>
  <c r="H22" i="523"/>
  <c r="I22" i="523" s="1"/>
  <c r="H21" i="523"/>
  <c r="I21" i="523" s="1"/>
  <c r="O35" i="472"/>
  <c r="N39" i="472"/>
  <c r="O39" i="472" s="1"/>
  <c r="M22" i="472"/>
  <c r="N22" i="472" s="1"/>
  <c r="N18" i="472"/>
  <c r="M21" i="472"/>
  <c r="N21" i="472" s="1"/>
  <c r="K14" i="490"/>
  <c r="L14" i="490" s="1"/>
  <c r="K16" i="490"/>
  <c r="L16" i="490" s="1"/>
  <c r="K13" i="490"/>
  <c r="L13" i="490" s="1"/>
  <c r="N19" i="472"/>
  <c r="O19" i="472" s="1"/>
  <c r="M29" i="472"/>
  <c r="N29" i="472" s="1"/>
  <c r="O29" i="472" s="1"/>
  <c r="N12" i="472"/>
  <c r="M14" i="472"/>
  <c r="N14" i="472" s="1"/>
  <c r="M15" i="472"/>
  <c r="N15" i="472" s="1"/>
  <c r="O28" i="472"/>
  <c r="H28" i="523" l="1"/>
  <c r="H27" i="523"/>
  <c r="I27" i="523" s="1"/>
  <c r="K15" i="490"/>
  <c r="L15" i="490" s="1"/>
  <c r="F71" i="521"/>
  <c r="H71" i="521" s="1"/>
  <c r="F72" i="521" s="1"/>
  <c r="I24" i="523"/>
  <c r="J24" i="523" s="1"/>
  <c r="K24" i="523" s="1"/>
  <c r="I33" i="523"/>
  <c r="I35" i="523" s="1"/>
  <c r="J35" i="523" s="1"/>
  <c r="K35" i="523" s="1"/>
  <c r="F71" i="520"/>
  <c r="H71" i="520" s="1"/>
  <c r="F72" i="520" s="1"/>
  <c r="H72" i="520" s="1"/>
  <c r="N26" i="472"/>
  <c r="O26" i="472" s="1"/>
  <c r="O18" i="472"/>
  <c r="N16" i="472"/>
  <c r="O12" i="472"/>
  <c r="L12" i="490"/>
  <c r="N33" i="472"/>
  <c r="O33" i="472" s="1"/>
  <c r="K17" i="490" l="1"/>
  <c r="L17" i="490" s="1"/>
  <c r="I30" i="523"/>
  <c r="J30" i="523" s="1"/>
  <c r="K30" i="523" s="1"/>
  <c r="H72" i="521"/>
  <c r="F73" i="521" s="1"/>
  <c r="F73" i="520"/>
  <c r="H73" i="520"/>
  <c r="F74" i="520" s="1"/>
  <c r="O16" i="472"/>
  <c r="N40" i="472"/>
  <c r="H73" i="521" l="1"/>
  <c r="F74" i="521" s="1"/>
  <c r="H74" i="520"/>
  <c r="F75" i="520" s="1"/>
  <c r="H75" i="520" s="1"/>
  <c r="F76" i="520" s="1"/>
  <c r="H76" i="520" s="1"/>
  <c r="O40" i="472"/>
  <c r="N47" i="472"/>
  <c r="O47" i="472" s="1"/>
  <c r="H74" i="521" l="1"/>
  <c r="F75" i="521" s="1"/>
  <c r="F77" i="520"/>
  <c r="H77" i="520"/>
  <c r="H75" i="521" l="1"/>
  <c r="F76" i="521" s="1"/>
  <c r="H78" i="520"/>
  <c r="F79" i="520" s="1"/>
  <c r="H79" i="520" s="1"/>
  <c r="F80" i="520"/>
  <c r="H80" i="520" s="1"/>
  <c r="H76" i="521" l="1"/>
  <c r="H77" i="521" l="1"/>
  <c r="F78" i="521" s="1"/>
  <c r="H79" i="521" l="1"/>
  <c r="H81" i="521" s="1"/>
  <c r="F82" i="521" l="1"/>
  <c r="F83" i="521" s="1"/>
  <c r="H83" i="521" l="1"/>
  <c r="F84" i="521" l="1"/>
  <c r="H84" i="521" s="1"/>
  <c r="F85" i="521" s="1"/>
  <c r="H85" i="521" l="1"/>
  <c r="F86" i="521" l="1"/>
  <c r="H86" i="521" s="1"/>
  <c r="F87" i="521" l="1"/>
  <c r="H87" i="521" s="1"/>
  <c r="F88" i="521" s="1"/>
  <c r="H88" i="521" l="1"/>
  <c r="F89" i="521" l="1"/>
  <c r="H89" i="521" s="1"/>
  <c r="H90" i="521" s="1"/>
  <c r="F91" i="521" l="1"/>
  <c r="H91" i="521" s="1"/>
  <c r="F92" i="521" l="1"/>
  <c r="H92" i="521" s="1"/>
</calcChain>
</file>

<file path=xl/sharedStrings.xml><?xml version="1.0" encoding="utf-8"?>
<sst xmlns="http://schemas.openxmlformats.org/spreadsheetml/2006/main" count="860" uniqueCount="365">
  <si>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</si>
  <si>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</si>
  <si>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</si>
  <si>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</si>
  <si>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</si>
  <si>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</si>
  <si>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</si>
  <si>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</si>
  <si>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</si>
  <si>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</si>
  <si>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</si>
  <si>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</si>
  <si>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</si>
  <si>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</si>
  <si>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</si>
  <si>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</si>
  <si>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</si>
  <si>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</si>
  <si>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</si>
  <si>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</si>
  <si>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</si>
  <si>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</si>
  <si>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</si>
  <si>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</si>
  <si>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</si>
  <si>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</si>
  <si>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</si>
  <si>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</si>
  <si>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</si>
  <si>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</si>
  <si>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</si>
  <si>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</si>
  <si>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</si>
  <si>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</si>
  <si>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</si>
  <si>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</si>
  <si>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</si>
  <si>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</si>
  <si>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</si>
  <si>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</si>
  <si>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</si>
  <si>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</si>
  <si>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</si>
  <si>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</si>
  <si>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</si>
  <si>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</si>
  <si>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</si>
  <si>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</si>
  <si>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</si>
  <si>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</si>
  <si>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</si>
  <si>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</si>
  <si>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</si>
  <si>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</si>
  <si>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</si>
  <si>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</si>
  <si>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</si>
  <si>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</si>
  <si>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</si>
  <si>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</si>
  <si>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</si>
  <si>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</si>
  <si>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</si>
  <si>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</si>
  <si>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</si>
  <si>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</si>
  <si>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</si>
  <si>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</si>
  <si>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</si>
  <si>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</si>
  <si>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</si>
  <si>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</si>
  <si>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</si>
  <si>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</si>
  <si>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</si>
  <si>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</si>
  <si>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</si>
  <si>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</si>
  <si>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</si>
  <si>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</si>
  <si>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</si>
  <si>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</si>
  <si>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</si>
  <si>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</si>
  <si>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</si>
  <si>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</si>
  <si>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</si>
  <si>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</si>
  <si>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</si>
  <si>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</si>
  <si>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</si>
  <si>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</si>
  <si>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</si>
  <si>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</si>
  <si>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</si>
  <si>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</si>
  <si>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</si>
  <si>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</si>
  <si>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</si>
  <si>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</si>
  <si>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</si>
  <si>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</si>
  <si>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</si>
  <si>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</si>
  <si>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</si>
  <si>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</si>
  <si>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</si>
  <si>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</si>
  <si>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</si>
  <si>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</si>
  <si>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</si>
  <si>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</si>
  <si>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</si>
  <si>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</si>
  <si>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</si>
  <si>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</si>
  <si>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</si>
  <si>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</si>
  <si>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</si>
  <si>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</si>
  <si>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</si>
  <si>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</si>
  <si>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</si>
  <si>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</si>
  <si>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</si>
  <si>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</si>
  <si>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</si>
  <si>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</si>
  <si>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</si>
  <si>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</si>
  <si>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</si>
  <si>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</si>
  <si>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</si>
  <si>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</si>
  <si>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</si>
  <si>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</si>
  <si>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</si>
  <si>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</si>
  <si>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</si>
  <si>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</si>
  <si>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</si>
  <si>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</si>
  <si>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</si>
  <si>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</si>
  <si>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</si>
  <si>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</si>
  <si>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</si>
  <si>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</si>
  <si>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</si>
  <si>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</si>
  <si>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</si>
  <si>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</si>
  <si>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</si>
  <si>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</si>
  <si>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</si>
  <si>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</si>
  <si>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</si>
  <si>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</si>
  <si>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</si>
  <si>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</si>
  <si>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</si>
  <si>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</si>
  <si>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</si>
  <si>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</si>
  <si>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</si>
  <si>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</si>
  <si>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</si>
  <si>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</si>
  <si>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</si>
  <si>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</si>
  <si>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</si>
  <si>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</si>
  <si>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</si>
  <si>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</si>
  <si>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</si>
  <si>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</si>
  <si>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</si>
  <si>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</si>
  <si>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</si>
  <si>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</si>
  <si>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</si>
  <si>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</si>
  <si>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</si>
  <si>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</si>
  <si>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</si>
  <si>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</si>
  <si>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</si>
  <si>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</si>
  <si>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</si>
  <si>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</si>
  <si>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</si>
  <si>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</si>
  <si>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</si>
  <si>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</si>
  <si>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</si>
  <si>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</si>
  <si>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</si>
  <si>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</si>
  <si>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</si>
  <si>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</si>
  <si>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</si>
  <si>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</si>
  <si>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</si>
  <si>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</si>
  <si>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</si>
  <si>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</si>
  <si>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</si>
  <si>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>Excess ROR</t>
  </si>
  <si>
    <t>Excess Earnings</t>
  </si>
  <si>
    <t>Conversion Factor</t>
  </si>
  <si>
    <t>Excess Revenue (Excess Earnings/CF)</t>
  </si>
  <si>
    <t>Sharing %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</si>
  <si>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</si>
  <si>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</si>
  <si>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</si>
  <si>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</si>
  <si>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</si>
  <si>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</si>
  <si>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</si>
  <si>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</si>
  <si>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</si>
  <si>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</si>
  <si>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</si>
  <si>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</si>
  <si>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</si>
  <si>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</si>
  <si>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</si>
  <si>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</si>
  <si>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</si>
  <si>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</si>
  <si>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</si>
  <si>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</si>
  <si>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</si>
  <si>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</si>
  <si>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</si>
  <si>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</si>
  <si>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</si>
  <si>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</si>
  <si>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</si>
  <si>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</si>
  <si>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</si>
  <si>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</si>
  <si>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</si>
  <si>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</si>
  <si>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</si>
  <si>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</si>
  <si>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</si>
  <si>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</si>
  <si>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</si>
  <si>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Amortization of previously deferred WA Decoupling Mechanism adjustments</t>
  </si>
  <si>
    <t>Balance transferred from RA20477</t>
  </si>
  <si>
    <t>Various</t>
  </si>
  <si>
    <t>Earnings Test</t>
  </si>
  <si>
    <t>Cascade Natural Gas</t>
  </si>
  <si>
    <t>Adjusted Revenues from CBR</t>
  </si>
  <si>
    <t>Actual</t>
  </si>
  <si>
    <t>DMA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</si>
  <si>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</si>
  <si>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</si>
  <si>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</si>
  <si>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</si>
  <si>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</si>
  <si>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</si>
  <si>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Commerical</t>
  </si>
  <si>
    <t>Industrial</t>
  </si>
  <si>
    <t>Indust. Interr.</t>
  </si>
  <si>
    <t>Total WA</t>
  </si>
  <si>
    <t>Proposed Decoupling Recovery Rates</t>
  </si>
  <si>
    <t xml:space="preserve">Present Decoupling Surcharge Recovery Rates </t>
  </si>
  <si>
    <t>Incremental Decoupling Recovery Rates</t>
  </si>
  <si>
    <t>Incremental Decoupling Recovery</t>
  </si>
  <si>
    <t>3% Test Adjustment (2)</t>
  </si>
  <si>
    <t>(2)  The carryover balances will differ from the 3% adjustment amounts due to the revenue related expense gross up partially offset by additional interest on the outstanding balance during the amortization period.</t>
  </si>
  <si>
    <t>Notes:</t>
  </si>
  <si>
    <t>3% Test Rate Adjustment (1)</t>
  </si>
  <si>
    <t>Notes</t>
  </si>
  <si>
    <t>See page 6 Exhibit A for earnings test and 3% test adjustment calculations.</t>
  </si>
  <si>
    <t>Final Proposed Decoupling Rate</t>
  </si>
  <si>
    <t>(1)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</si>
  <si>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</si>
  <si>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</si>
  <si>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</si>
  <si>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</si>
  <si>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</si>
  <si>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</si>
  <si>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</si>
  <si>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</si>
  <si>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</si>
  <si>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</si>
  <si>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</si>
  <si>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</si>
  <si>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</si>
  <si>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</si>
  <si>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</si>
  <si>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</si>
  <si>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</si>
  <si>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</si>
  <si>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</si>
  <si>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</si>
  <si>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</si>
  <si>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</si>
  <si>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</si>
  <si>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</si>
  <si>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</si>
  <si>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</si>
  <si>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</si>
  <si>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</si>
  <si>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</si>
  <si>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</si>
  <si>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</si>
  <si>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</si>
  <si>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</si>
  <si>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</si>
  <si>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</si>
  <si>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</si>
  <si>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</si>
  <si>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</si>
  <si>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</si>
  <si>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</si>
  <si>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Total 511</t>
  </si>
  <si>
    <t>Industrial Interruptible, Schedule 570</t>
  </si>
  <si>
    <t>First 30,000 therms</t>
  </si>
  <si>
    <t>Over 30,000 therms</t>
  </si>
  <si>
    <t>Total 570</t>
  </si>
  <si>
    <t>DMA Effect</t>
  </si>
  <si>
    <t>DMA Effects</t>
  </si>
  <si>
    <t>Twelve Months Ended December 31, 2019</t>
  </si>
  <si>
    <t xml:space="preserve"> (f)</t>
  </si>
  <si>
    <t>(k)</t>
  </si>
  <si>
    <t>UG-210755</t>
  </si>
  <si>
    <t>Decoupling AMOUNT OF CHANGE BY RATE SCHEDULE</t>
  </si>
  <si>
    <t>Page 1 of 5</t>
  </si>
  <si>
    <t>Page 3 of 5</t>
  </si>
  <si>
    <t>Page 4 of 5</t>
  </si>
  <si>
    <t>Page 5 of 5</t>
  </si>
  <si>
    <t>2023 Decoupling Deferral Balance</t>
  </si>
  <si>
    <t>'ACTUAL BILL, THERMS, AND REVENUE</t>
  </si>
  <si>
    <t>CNGC Advice W24-09-03</t>
  </si>
  <si>
    <t>Account Balance 12/31/2023</t>
  </si>
  <si>
    <t>Interest Assignments &amp; Amortization through 10/31/2024</t>
  </si>
  <si>
    <t>Bills and Revenues Based Upon the Twelve Months Ended 7/31/24</t>
  </si>
  <si>
    <t>2023 Deferrals</t>
  </si>
  <si>
    <t>2023 Commission Basis Earnings Test for Decoupling</t>
  </si>
  <si>
    <t>Deferral Balances at 12/31/2023</t>
  </si>
  <si>
    <t>(Source:  WAC 480-90-233 Monthly Deferral Reporting for period ending 12/31/2023)</t>
  </si>
  <si>
    <t>Balance 12/31/23</t>
  </si>
  <si>
    <t>FOR TWELVE MONTHS ENDED 12/31/2023</t>
  </si>
  <si>
    <t>ESTIMATED BALANCES FOR DEFERRED ACCOUNTS PERIOD ENDING: 10/31/2024</t>
  </si>
  <si>
    <t>Estimated Amortization Thru 10/31/2024 on Balances Currently Amortizing</t>
  </si>
  <si>
    <t>10/31/2024
Balance</t>
  </si>
  <si>
    <t>10/1/23 to 10/31/24</t>
  </si>
  <si>
    <t>11/01/2022 through 10/31/2023</t>
  </si>
  <si>
    <t>2023 Total Earnings Test Sharing</t>
  </si>
  <si>
    <t>Revenue From 2023 Normalized Loads and Customers at Present Billing Rates (1)</t>
  </si>
  <si>
    <t>August 2024 - July 2025 Usage</t>
  </si>
  <si>
    <t>(1)  Revenue from 2023 normalized loads and customers at present billing rates effective since November 1, 2023.</t>
  </si>
  <si>
    <t>BASED UPON THE  TWELVE MONTHS ENDED 7/31/2024</t>
  </si>
  <si>
    <t>INTEREST CALCULATIONS FOR AMORTIZATION PERIOD 11/1/2024 TO 10/31/2025</t>
  </si>
  <si>
    <t>First 20,000 therms</t>
  </si>
  <si>
    <t>Next 80,000 therms</t>
  </si>
  <si>
    <t>Over 100,000 therms</t>
  </si>
  <si>
    <t>Large Volume, Schedule 511</t>
  </si>
  <si>
    <t>Base ROR UG-210755</t>
  </si>
  <si>
    <t>Interest Accruals Through Amortization.</t>
  </si>
  <si>
    <t>Forecasted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</si>
</sst>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_(&quot;$&quot;* #,##0.000000_);_(&quot;$&quot;* \(#,##0.000000\);_(&quot;$&quot;* &quot;-&quot;??_);_(@_)"/>
    <numFmt numFmtId="204" formatCode="0.000000"/>
    <numFmt numFmtId="205" formatCode="mm/dd/yy"/>
    <numFmt numFmtId="206" formatCode="#,##0.0000_);\(#,##0.0000\)"/>
    <numFmt numFmtId="207" formatCode="m/d/yy;@"/>
    <numFmt numFmtId="208" formatCode="0.00000"/>
    <numFmt numFmtId="209" formatCode="&quot;$&quot;#,##0"/>
    <numFmt numFmtId="210" formatCode="&quot;$&quot;#,##0.00000"/>
    <numFmt numFmtId="211" formatCode="&quot;$&quot;#,##0.00"/>
    <numFmt numFmtId="212" formatCode="0_);\(0\)"/>
  </numFmts>
  <fonts count="1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536">
    <xf numFmtId="164" fontId="0" fillId="0" borderId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164" fontId="22" fillId="0" borderId="0"/>
    <xf numFmtId="164" fontId="22" fillId="0" borderId="0"/>
    <xf numFmtId="0" fontId="20" fillId="0" borderId="0"/>
    <xf numFmtId="168" fontId="25" fillId="2" borderId="0">
      <alignment horizontal="right"/>
    </xf>
    <xf numFmtId="0" fontId="26" fillId="3" borderId="0">
      <alignment horizontal="center"/>
    </xf>
    <xf numFmtId="0" fontId="27" fillId="4" borderId="0"/>
    <xf numFmtId="0" fontId="28" fillId="2" borderId="0" applyBorder="0">
      <alignment horizontal="centerContinuous"/>
    </xf>
    <xf numFmtId="0" fontId="29" fillId="4" borderId="0" applyBorder="0">
      <alignment horizontal="centerContinuous"/>
    </xf>
    <xf numFmtId="9" fontId="20" fillId="0" borderId="0" applyFont="0" applyFill="0" applyBorder="0" applyAlignment="0" applyProtection="0"/>
    <xf numFmtId="0" fontId="35" fillId="5" borderId="17" applyNumberFormat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4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175" fontId="41" fillId="24" borderId="7" applyNumberFormat="0" applyBorder="0" applyAlignment="0">
      <alignment horizontal="centerContinuous" vertical="center"/>
      <protection hidden="1"/>
    </xf>
    <xf numFmtId="1" fontId="42" fillId="25" borderId="12" applyNumberFormat="0" applyBorder="0" applyAlignment="0">
      <alignment horizontal="center" vertical="top" wrapText="1"/>
      <protection hidden="1"/>
    </xf>
    <xf numFmtId="0" fontId="30" fillId="0" borderId="0">
      <alignment vertical="center"/>
    </xf>
    <xf numFmtId="0" fontId="43" fillId="0" borderId="24">
      <alignment horizontal="left" vertical="center"/>
    </xf>
    <xf numFmtId="176" fontId="44" fillId="0" borderId="0">
      <alignment horizontal="right" vertical="center"/>
    </xf>
    <xf numFmtId="177" fontId="30" fillId="0" borderId="0">
      <alignment horizontal="right" vertical="center"/>
    </xf>
    <xf numFmtId="177" fontId="43" fillId="0" borderId="0">
      <alignment horizontal="right" vertical="center"/>
    </xf>
    <xf numFmtId="178" fontId="30" fillId="0" borderId="0" applyFont="0" applyFill="0" applyBorder="0" applyAlignment="0" applyProtection="0">
      <alignment horizontal="right"/>
    </xf>
    <xf numFmtId="0" fontId="45" fillId="0" borderId="0">
      <alignment vertical="center"/>
    </xf>
    <xf numFmtId="0" fontId="46" fillId="26" borderId="25" applyNumberFormat="0" applyAlignment="0" applyProtection="0"/>
    <xf numFmtId="0" fontId="46" fillId="26" borderId="25" applyNumberFormat="0" applyAlignment="0" applyProtection="0"/>
    <xf numFmtId="0" fontId="46" fillId="26" borderId="25" applyNumberFormat="0" applyAlignment="0" applyProtection="0"/>
    <xf numFmtId="0" fontId="47" fillId="27" borderId="26" applyNumberFormat="0" applyAlignment="0" applyProtection="0"/>
    <xf numFmtId="0" fontId="47" fillId="27" borderId="26" applyNumberFormat="0" applyAlignment="0" applyProtection="0"/>
    <xf numFmtId="0" fontId="47" fillId="27" borderId="26" applyNumberFormat="0" applyAlignment="0" applyProtection="0"/>
    <xf numFmtId="1" fontId="48" fillId="0" borderId="27">
      <alignment vertical="top"/>
    </xf>
    <xf numFmtId="179" fontId="45" fillId="0" borderId="0" applyBorder="0">
      <alignment horizontal="right"/>
    </xf>
    <xf numFmtId="179" fontId="45" fillId="0" borderId="23" applyAlignment="0">
      <alignment horizontal="right"/>
    </xf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43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2" fontId="30" fillId="0" borderId="0"/>
    <xf numFmtId="183" fontId="51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3" fontId="30" fillId="0" borderId="0"/>
    <xf numFmtId="186" fontId="54" fillId="29" borderId="0" applyBorder="0">
      <protection locked="0"/>
    </xf>
    <xf numFmtId="178" fontId="55" fillId="0" borderId="0">
      <alignment horizontal="right"/>
    </xf>
    <xf numFmtId="187" fontId="30" fillId="0" borderId="0" applyFill="0" applyBorder="0">
      <alignment horizontal="right"/>
    </xf>
    <xf numFmtId="49" fontId="30" fillId="0" borderId="0" applyFill="0" applyBorder="0"/>
    <xf numFmtId="0" fontId="56" fillId="0" borderId="0">
      <alignment vertical="center"/>
    </xf>
    <xf numFmtId="49" fontId="57" fillId="0" borderId="0" applyFill="0" applyBorder="0">
      <alignment horizontal="right" vertical="center"/>
    </xf>
    <xf numFmtId="0" fontId="58" fillId="0" borderId="0">
      <alignment horizontal="right"/>
    </xf>
    <xf numFmtId="177" fontId="59" fillId="0" borderId="0">
      <alignment horizontal="right" vertical="center"/>
    </xf>
    <xf numFmtId="177" fontId="55" fillId="0" borderId="0" applyFill="0" applyBorder="0">
      <alignment horizontal="right" vertical="center"/>
    </xf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1" fillId="25" borderId="0" applyNumberFormat="0" applyBorder="0" applyAlignment="0">
      <protection hidden="1"/>
    </xf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5" fontId="66" fillId="30" borderId="5" applyNumberFormat="0" applyFont="0" applyBorder="0" applyAlignment="0" applyProtection="0">
      <alignment horizontal="right"/>
    </xf>
    <xf numFmtId="0" fontId="67" fillId="11" borderId="25" applyNumberFormat="0" applyAlignment="0" applyProtection="0"/>
    <xf numFmtId="0" fontId="67" fillId="11" borderId="25" applyNumberFormat="0" applyAlignment="0" applyProtection="0"/>
    <xf numFmtId="0" fontId="67" fillId="11" borderId="25" applyNumberFormat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30" fillId="31" borderId="0">
      <alignment horizontal="center"/>
    </xf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190" fontId="71" fillId="0" borderId="0"/>
    <xf numFmtId="191" fontId="30" fillId="0" borderId="0"/>
    <xf numFmtId="192" fontId="30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74" fillId="26" borderId="33" applyNumberFormat="0" applyAlignment="0" applyProtection="0"/>
    <xf numFmtId="0" fontId="74" fillId="26" borderId="33" applyNumberFormat="0" applyAlignment="0" applyProtection="0"/>
    <xf numFmtId="0" fontId="74" fillId="26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6" fontId="75" fillId="30" borderId="0" applyBorder="0" applyAlignment="0">
      <protection hidden="1"/>
    </xf>
    <xf numFmtId="1" fontId="75" fillId="30" borderId="0">
      <alignment horizontal="center"/>
    </xf>
    <xf numFmtId="193" fontId="54" fillId="0" borderId="0"/>
    <xf numFmtId="190" fontId="76" fillId="30" borderId="0"/>
    <xf numFmtId="1" fontId="66" fillId="0" borderId="0" applyNumberFormat="0" applyFont="0" applyBorder="0" applyAlignment="0" applyProtection="0">
      <alignment horizontal="right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77" fillId="0" borderId="0" applyNumberFormat="0" applyFill="0" applyBorder="0" applyAlignment="0" applyProtection="0">
      <protection locked="0"/>
    </xf>
    <xf numFmtId="196" fontId="78" fillId="0" borderId="0" applyNumberFormat="0" applyFill="0" applyBorder="0" applyAlignment="0" applyProtection="0">
      <alignment horizontal="right" vertical="center" wrapText="1"/>
    </xf>
    <xf numFmtId="0" fontId="21" fillId="0" borderId="0" applyNumberFormat="0" applyFill="0" applyBorder="0" applyAlignment="0" applyProtection="0">
      <protection locked="0"/>
    </xf>
    <xf numFmtId="0" fontId="79" fillId="0" borderId="0" applyNumberFormat="0" applyFill="0" applyBorder="0" applyAlignment="0" applyProtection="0"/>
    <xf numFmtId="197" fontId="80" fillId="0" borderId="0" applyNumberFormat="0" applyFill="0" applyBorder="0" applyAlignment="0" applyProtection="0">
      <alignment horizontal="right" vertical="center"/>
    </xf>
    <xf numFmtId="0" fontId="21" fillId="0" borderId="0" applyNumberFormat="0" applyFill="0" applyBorder="0" applyAlignment="0" applyProtection="0"/>
    <xf numFmtId="0" fontId="81" fillId="37" borderId="37"/>
    <xf numFmtId="0" fontId="81" fillId="0" borderId="0"/>
    <xf numFmtId="0" fontId="81" fillId="0" borderId="0"/>
    <xf numFmtId="0" fontId="81" fillId="0" borderId="0"/>
    <xf numFmtId="175" fontId="27" fillId="38" borderId="0"/>
    <xf numFmtId="193" fontId="82" fillId="0" borderId="0"/>
    <xf numFmtId="190" fontId="45" fillId="39" borderId="0"/>
    <xf numFmtId="183" fontId="83" fillId="0" borderId="0"/>
    <xf numFmtId="198" fontId="84" fillId="30" borderId="3" applyAlignment="0"/>
    <xf numFmtId="193" fontId="85" fillId="40" borderId="0" applyFont="0" applyBorder="0" applyAlignment="0">
      <alignment vertical="top" wrapText="1"/>
    </xf>
    <xf numFmtId="193" fontId="86" fillId="40" borderId="0" applyFont="0" applyAlignment="0">
      <alignment horizontal="justify" vertical="top" wrapText="1"/>
    </xf>
    <xf numFmtId="193" fontId="87" fillId="40" borderId="0">
      <alignment vertical="top" wrapText="1"/>
    </xf>
    <xf numFmtId="193" fontId="88" fillId="40" borderId="38" applyBorder="0">
      <alignment horizontal="right" vertical="top" wrapText="1"/>
    </xf>
    <xf numFmtId="0" fontId="89" fillId="0" borderId="0" applyNumberFormat="0" applyFill="0" applyBorder="0" applyAlignment="0" applyProtection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33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179" fontId="45" fillId="0" borderId="40"/>
    <xf numFmtId="191" fontId="48" fillId="0" borderId="40" applyAlignment="0"/>
    <xf numFmtId="192" fontId="48" fillId="0" borderId="40" applyAlignment="0"/>
    <xf numFmtId="193" fontId="48" fillId="0" borderId="40" applyAlignment="0">
      <alignment horizontal="right"/>
    </xf>
    <xf numFmtId="175" fontId="75" fillId="30" borderId="12" applyBorder="0">
      <alignment horizontal="right" vertical="center"/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2" fontId="45" fillId="42" borderId="27" applyNumberFormat="0">
      <alignment horizontal="center" wrapText="1"/>
    </xf>
    <xf numFmtId="0" fontId="21" fillId="42" borderId="0" applyBorder="0" applyProtection="0"/>
    <xf numFmtId="0" fontId="21" fillId="42" borderId="0" applyBorder="0" applyProtection="0"/>
    <xf numFmtId="0" fontId="21" fillId="42" borderId="0" applyBorder="0" applyProtection="0"/>
    <xf numFmtId="0" fontId="21" fillId="42" borderId="0" applyBorder="0" applyProtection="0"/>
    <xf numFmtId="0" fontId="21" fillId="42" borderId="0">
      <alignment horizontal="right"/>
    </xf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93" fillId="0" borderId="0" applyNumberFormat="0" applyAlignment="0"/>
    <xf numFmtId="0" fontId="94" fillId="42" borderId="0" applyNumberFormat="0" applyAlignment="0"/>
    <xf numFmtId="49" fontId="32" fillId="42" borderId="0">
      <alignment horizontal="right"/>
    </xf>
    <xf numFmtId="172" fontId="45" fillId="42" borderId="27">
      <alignment horizontal="right" wrapText="1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82" fontId="84" fillId="30" borderId="7" applyNumberFormat="0" applyBorder="0" applyAlignment="0"/>
    <xf numFmtId="172" fontId="32" fillId="31" borderId="3" applyAlignment="0">
      <alignment horizontal="right"/>
    </xf>
    <xf numFmtId="172" fontId="32" fillId="39" borderId="3" applyAlignment="0">
      <alignment horizontal="left"/>
    </xf>
    <xf numFmtId="39" fontId="23" fillId="0" borderId="0"/>
    <xf numFmtId="43" fontId="34" fillId="0" borderId="0" applyFont="0" applyFill="0" applyBorder="0" applyAlignment="0" applyProtection="0"/>
    <xf numFmtId="0" fontId="95" fillId="0" borderId="0"/>
    <xf numFmtId="44" fontId="9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39" fontId="2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02" fillId="5" borderId="17" applyNumberFormat="0" applyAlignment="0" applyProtection="0"/>
    <xf numFmtId="0" fontId="19" fillId="43" borderId="41" applyNumberFormat="0" applyFont="0" applyAlignment="0" applyProtection="0"/>
    <xf numFmtId="39" fontId="23" fillId="0" borderId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43" borderId="41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43" borderId="41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35" fillId="5" borderId="17" applyNumberFormat="0" applyAlignment="0" applyProtection="0"/>
    <xf numFmtId="0" fontId="12" fillId="0" borderId="0"/>
    <xf numFmtId="164" fontId="24" fillId="0" borderId="0"/>
    <xf numFmtId="0" fontId="2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5" fillId="0" borderId="0"/>
    <xf numFmtId="39" fontId="23" fillId="0" borderId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39" fontId="23" fillId="0" borderId="0"/>
    <xf numFmtId="43" fontId="34" fillId="0" borderId="0" applyFont="0" applyFill="0" applyBorder="0" applyAlignment="0" applyProtection="0"/>
    <xf numFmtId="39" fontId="23" fillId="0" borderId="0"/>
    <xf numFmtId="0" fontId="7" fillId="0" borderId="0"/>
    <xf numFmtId="43" fontId="34" fillId="0" borderId="0" applyFont="0" applyFill="0" applyBorder="0" applyAlignment="0" applyProtection="0"/>
    <xf numFmtId="39" fontId="2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34" fillId="0" borderId="0" applyFont="0" applyFill="0" applyBorder="0" applyAlignment="0" applyProtection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9" fontId="23" fillId="0" borderId="0"/>
    <xf numFmtId="0" fontId="7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164" fontId="22" fillId="0" borderId="0"/>
  </cellStyleXfs>
  <cellXfs count="610">
    <xf numFmtId="164" fontId="0" fillId="0" borderId="0" xfId="0"/>
    <xf numFmtId="167" fontId="36" fillId="0" borderId="0" xfId="1" applyNumberFormat="1" applyFont="1" applyFill="1" applyBorder="1"/>
    <xf numFmtId="164" fontId="96" fillId="0" borderId="0" xfId="0" applyFont="1" applyAlignment="1" applyProtection="1">
      <alignment horizontal="left"/>
    </xf>
    <xf numFmtId="164" fontId="36" fillId="0" borderId="0" xfId="5" applyFont="1" applyAlignment="1">
      <alignment horizontal="center"/>
    </xf>
    <xf numFmtId="167" fontId="36" fillId="0" borderId="0" xfId="1" applyNumberFormat="1" applyFont="1" applyFill="1"/>
    <xf numFmtId="167" fontId="36" fillId="0" borderId="1" xfId="1" applyNumberFormat="1" applyFont="1" applyFill="1" applyBorder="1"/>
    <xf numFmtId="170" fontId="36" fillId="0" borderId="5" xfId="2" applyNumberFormat="1" applyFont="1" applyFill="1" applyBorder="1"/>
    <xf numFmtId="164" fontId="36" fillId="0" borderId="0" xfId="18" applyFont="1" applyAlignment="1">
      <alignment horizontal="left"/>
    </xf>
    <xf numFmtId="171" fontId="36" fillId="0" borderId="0" xfId="18" applyNumberFormat="1" applyFont="1"/>
    <xf numFmtId="164" fontId="36" fillId="0" borderId="0" xfId="18" applyFont="1" applyAlignment="1">
      <alignment horizontal="centerContinuous"/>
    </xf>
    <xf numFmtId="164" fontId="36" fillId="0" borderId="0" xfId="18" quotePrefix="1" applyFont="1" applyAlignment="1">
      <alignment horizontal="centerContinuous"/>
    </xf>
    <xf numFmtId="164" fontId="36" fillId="0" borderId="2" xfId="18" applyFont="1" applyBorder="1"/>
    <xf numFmtId="164" fontId="36" fillId="0" borderId="16" xfId="18" applyFont="1" applyBorder="1"/>
    <xf numFmtId="164" fontId="36" fillId="0" borderId="2" xfId="18" applyFont="1" applyBorder="1" applyAlignment="1">
      <alignment horizontal="center"/>
    </xf>
    <xf numFmtId="171" fontId="36" fillId="0" borderId="16" xfId="18" applyNumberFormat="1" applyFont="1" applyBorder="1" applyAlignment="1">
      <alignment horizontal="centerContinuous"/>
    </xf>
    <xf numFmtId="164" fontId="36" fillId="0" borderId="0" xfId="18" applyFont="1"/>
    <xf numFmtId="164" fontId="36" fillId="0" borderId="9" xfId="18" quotePrefix="1" applyFont="1" applyBorder="1"/>
    <xf numFmtId="164" fontId="36" fillId="0" borderId="9" xfId="18" applyFont="1" applyBorder="1" applyAlignment="1">
      <alignment horizontal="center"/>
    </xf>
    <xf numFmtId="164" fontId="36" fillId="0" borderId="0" xfId="18" applyFont="1" applyAlignment="1">
      <alignment horizontal="center"/>
    </xf>
    <xf numFmtId="164" fontId="36" fillId="0" borderId="9" xfId="18" applyFont="1" applyBorder="1"/>
    <xf numFmtId="171" fontId="36" fillId="0" borderId="9" xfId="18" applyNumberFormat="1" applyFont="1" applyBorder="1" applyAlignment="1">
      <alignment horizontal="centerContinuous"/>
    </xf>
    <xf numFmtId="164" fontId="36" fillId="0" borderId="9" xfId="18" applyFont="1" applyBorder="1" applyAlignment="1">
      <alignment horizontal="centerContinuous"/>
    </xf>
    <xf numFmtId="171" fontId="36" fillId="0" borderId="9" xfId="18" applyNumberFormat="1" applyFont="1" applyBorder="1" applyAlignment="1">
      <alignment horizontal="center"/>
    </xf>
    <xf numFmtId="164" fontId="96" fillId="0" borderId="3" xfId="18" applyFont="1" applyBorder="1" applyAlignment="1">
      <alignment horizontal="left"/>
    </xf>
    <xf numFmtId="164" fontId="36" fillId="0" borderId="3" xfId="18" applyFont="1" applyBorder="1"/>
    <xf numFmtId="37" fontId="36" fillId="0" borderId="3" xfId="18" applyNumberFormat="1" applyFont="1" applyBorder="1"/>
    <xf numFmtId="171" fontId="36" fillId="0" borderId="3" xfId="18" applyNumberFormat="1" applyFont="1" applyBorder="1"/>
    <xf numFmtId="164" fontId="36" fillId="0" borderId="8" xfId="18" applyFont="1" applyBorder="1"/>
    <xf numFmtId="164" fontId="36" fillId="0" borderId="9" xfId="18" quotePrefix="1" applyFont="1" applyBorder="1" applyAlignment="1">
      <alignment horizontal="left"/>
    </xf>
    <xf numFmtId="169" fontId="36" fillId="0" borderId="9" xfId="2" applyNumberFormat="1" applyFont="1" applyFill="1" applyBorder="1" applyProtection="1"/>
    <xf numFmtId="164" fontId="97" fillId="0" borderId="0" xfId="0" applyFont="1" applyAlignment="1" applyProtection="1">
      <alignment horizontal="center"/>
    </xf>
    <xf numFmtId="164" fontId="97" fillId="0" borderId="0" xfId="0" applyFont="1" applyAlignment="1">
      <alignment horizontal="center"/>
    </xf>
    <xf numFmtId="164" fontId="36" fillId="0" borderId="0" xfId="0" applyFont="1" applyAlignment="1" applyProtection="1">
      <alignment horizontal="fill"/>
    </xf>
    <xf numFmtId="170" fontId="36" fillId="0" borderId="0" xfId="2" applyNumberFormat="1" applyFont="1" applyFill="1"/>
    <xf numFmtId="164" fontId="36" fillId="0" borderId="0" xfId="4" applyFont="1" applyAlignment="1">
      <alignment horizontal="centerContinuous"/>
    </xf>
    <xf numFmtId="164" fontId="36" fillId="0" borderId="0" xfId="4" applyFont="1"/>
    <xf numFmtId="164" fontId="36" fillId="0" borderId="5" xfId="4" applyFont="1" applyBorder="1" applyAlignment="1">
      <alignment horizontal="center"/>
    </xf>
    <xf numFmtId="164" fontId="36" fillId="0" borderId="0" xfId="4" applyFont="1" applyAlignment="1">
      <alignment horizontal="center"/>
    </xf>
    <xf numFmtId="164" fontId="36" fillId="0" borderId="9" xfId="4" applyFont="1" applyBorder="1"/>
    <xf numFmtId="37" fontId="36" fillId="0" borderId="9" xfId="4" applyNumberFormat="1" applyFont="1" applyBorder="1"/>
    <xf numFmtId="10" fontId="36" fillId="0" borderId="9" xfId="12" applyNumberFormat="1" applyFont="1" applyFill="1" applyBorder="1" applyProtection="1"/>
    <xf numFmtId="37" fontId="36" fillId="0" borderId="0" xfId="4" applyNumberFormat="1" applyFont="1"/>
    <xf numFmtId="164" fontId="36" fillId="0" borderId="0" xfId="4" applyFont="1" applyAlignment="1">
      <alignment horizontal="left"/>
    </xf>
    <xf numFmtId="164" fontId="36" fillId="0" borderId="0" xfId="4" quotePrefix="1" applyFont="1" applyAlignment="1">
      <alignment horizontal="left"/>
    </xf>
    <xf numFmtId="164" fontId="36" fillId="0" borderId="0" xfId="4" quotePrefix="1" applyFont="1" applyAlignment="1">
      <alignment horizontal="center"/>
    </xf>
    <xf numFmtId="0" fontId="36" fillId="0" borderId="0" xfId="6" applyFont="1" applyAlignment="1">
      <alignment horizontal="center"/>
    </xf>
    <xf numFmtId="164" fontId="96" fillId="0" borderId="0" xfId="4" applyFont="1"/>
    <xf numFmtId="164" fontId="36" fillId="0" borderId="0" xfId="4" applyFont="1" applyAlignment="1">
      <alignment horizontal="left" indent="1"/>
    </xf>
    <xf numFmtId="164" fontId="96" fillId="0" borderId="8" xfId="18" applyFont="1" applyBorder="1"/>
    <xf numFmtId="169" fontId="96" fillId="0" borderId="10" xfId="2" applyNumberFormat="1" applyFont="1" applyFill="1" applyBorder="1" applyProtection="1"/>
    <xf numFmtId="164" fontId="96" fillId="0" borderId="0" xfId="18" applyFont="1"/>
    <xf numFmtId="167" fontId="96" fillId="0" borderId="0" xfId="1" applyNumberFormat="1" applyFont="1" applyFill="1" applyBorder="1"/>
    <xf numFmtId="164" fontId="96" fillId="0" borderId="3" xfId="18" applyFont="1" applyBorder="1"/>
    <xf numFmtId="167" fontId="36" fillId="0" borderId="0" xfId="1" applyNumberFormat="1" applyFont="1" applyFill="1" applyBorder="1" applyProtection="1"/>
    <xf numFmtId="37" fontId="96" fillId="0" borderId="9" xfId="18" applyNumberFormat="1" applyFont="1" applyBorder="1"/>
    <xf numFmtId="164" fontId="36" fillId="0" borderId="4" xfId="18" applyFont="1" applyBorder="1" applyAlignment="1">
      <alignment horizontal="center"/>
    </xf>
    <xf numFmtId="164" fontId="36" fillId="0" borderId="5" xfId="18" applyFont="1" applyBorder="1" applyAlignment="1">
      <alignment horizontal="center"/>
    </xf>
    <xf numFmtId="164" fontId="36" fillId="0" borderId="6" xfId="18" applyFont="1" applyBorder="1" applyAlignment="1">
      <alignment horizontal="center"/>
    </xf>
    <xf numFmtId="164" fontId="36" fillId="0" borderId="7" xfId="18" applyFont="1" applyBorder="1" applyAlignment="1">
      <alignment horizontal="center"/>
    </xf>
    <xf numFmtId="164" fontId="36" fillId="0" borderId="0" xfId="18" applyFont="1" applyAlignment="1">
      <alignment horizontal="right"/>
    </xf>
    <xf numFmtId="164" fontId="36" fillId="0" borderId="0" xfId="18" quotePrefix="1" applyFont="1" applyAlignment="1">
      <alignment horizontal="right"/>
    </xf>
    <xf numFmtId="10" fontId="96" fillId="0" borderId="8" xfId="12" applyNumberFormat="1" applyFont="1" applyFill="1" applyBorder="1" applyProtection="1"/>
    <xf numFmtId="10" fontId="96" fillId="0" borderId="0" xfId="12" applyNumberFormat="1" applyFont="1" applyFill="1"/>
    <xf numFmtId="167" fontId="36" fillId="0" borderId="0" xfId="1" applyNumberFormat="1" applyFont="1" applyFill="1" applyProtection="1"/>
    <xf numFmtId="167" fontId="96" fillId="0" borderId="0" xfId="1" applyNumberFormat="1" applyFont="1" applyFill="1"/>
    <xf numFmtId="164" fontId="99" fillId="0" borderId="0" xfId="0" applyFont="1" applyAlignment="1" applyProtection="1">
      <alignment horizontal="left"/>
    </xf>
    <xf numFmtId="164" fontId="99" fillId="0" borderId="0" xfId="0" applyFont="1" applyAlignment="1">
      <alignment horizontal="center"/>
    </xf>
    <xf numFmtId="164" fontId="96" fillId="0" borderId="0" xfId="0" applyFont="1" applyAlignment="1">
      <alignment horizontal="centerContinuous"/>
    </xf>
    <xf numFmtId="164" fontId="96" fillId="0" borderId="1" xfId="0" applyFont="1" applyBorder="1" applyAlignment="1">
      <alignment horizontal="center"/>
    </xf>
    <xf numFmtId="10" fontId="36" fillId="0" borderId="5" xfId="1" applyNumberFormat="1" applyFont="1" applyFill="1" applyBorder="1" applyProtection="1"/>
    <xf numFmtId="164" fontId="96" fillId="0" borderId="0" xfId="4" applyFont="1" applyAlignment="1">
      <alignment horizontal="center"/>
    </xf>
    <xf numFmtId="164" fontId="96" fillId="0" borderId="1" xfId="4" applyFont="1" applyBorder="1" applyAlignment="1">
      <alignment horizontal="center"/>
    </xf>
    <xf numFmtId="170" fontId="36" fillId="0" borderId="0" xfId="3" applyNumberFormat="1" applyFont="1"/>
    <xf numFmtId="170" fontId="36" fillId="0" borderId="5" xfId="3" applyNumberFormat="1" applyFont="1" applyBorder="1"/>
    <xf numFmtId="170" fontId="36" fillId="0" borderId="0" xfId="2" applyNumberFormat="1" applyFont="1" applyFill="1" applyBorder="1"/>
    <xf numFmtId="44" fontId="36" fillId="0" borderId="0" xfId="2" applyFont="1" applyFill="1" applyProtection="1"/>
    <xf numFmtId="44" fontId="36" fillId="0" borderId="0" xfId="2" applyFont="1" applyFill="1"/>
    <xf numFmtId="44" fontId="96" fillId="0" borderId="14" xfId="2" applyFont="1" applyFill="1" applyBorder="1" applyProtection="1"/>
    <xf numFmtId="164" fontId="100" fillId="0" borderId="0" xfId="18" quotePrefix="1" applyFont="1" applyAlignment="1">
      <alignment horizontal="left"/>
    </xf>
    <xf numFmtId="170" fontId="36" fillId="0" borderId="9" xfId="2" applyNumberFormat="1" applyFont="1" applyFill="1" applyBorder="1" applyProtection="1"/>
    <xf numFmtId="37" fontId="36" fillId="0" borderId="9" xfId="18" applyNumberFormat="1" applyFont="1" applyBorder="1"/>
    <xf numFmtId="170" fontId="96" fillId="0" borderId="10" xfId="2" applyNumberFormat="1" applyFont="1" applyFill="1" applyBorder="1" applyProtection="1"/>
    <xf numFmtId="37" fontId="96" fillId="0" borderId="9" xfId="4" applyNumberFormat="1" applyFont="1" applyBorder="1"/>
    <xf numFmtId="171" fontId="36" fillId="0" borderId="6" xfId="4" applyNumberFormat="1" applyFont="1" applyBorder="1"/>
    <xf numFmtId="39" fontId="36" fillId="0" borderId="0" xfId="4" applyNumberFormat="1" applyFont="1"/>
    <xf numFmtId="164" fontId="36" fillId="0" borderId="0" xfId="4" quotePrefix="1" applyFont="1" applyAlignment="1">
      <alignment horizontal="right"/>
    </xf>
    <xf numFmtId="164" fontId="36" fillId="0" borderId="11" xfId="4" applyFont="1" applyBorder="1" applyAlignment="1">
      <alignment horizontal="left"/>
    </xf>
    <xf numFmtId="164" fontId="36" fillId="0" borderId="1" xfId="0" applyFont="1" applyBorder="1" applyAlignment="1">
      <alignment horizontal="center" vertical="center" wrapText="1"/>
    </xf>
    <xf numFmtId="164" fontId="36" fillId="0" borderId="1" xfId="0" quotePrefix="1" applyFont="1" applyBorder="1" applyAlignment="1">
      <alignment horizontal="center" wrapText="1"/>
    </xf>
    <xf numFmtId="164" fontId="36" fillId="0" borderId="1" xfId="0" applyFont="1" applyBorder="1" applyAlignment="1">
      <alignment horizontal="center" wrapText="1"/>
    </xf>
    <xf numFmtId="164" fontId="96" fillId="0" borderId="0" xfId="0" applyFont="1" applyAlignment="1">
      <alignment horizontal="right"/>
    </xf>
    <xf numFmtId="0" fontId="36" fillId="0" borderId="6" xfId="3" applyFont="1" applyBorder="1"/>
    <xf numFmtId="0" fontId="36" fillId="0" borderId="3" xfId="3" applyFont="1" applyBorder="1"/>
    <xf numFmtId="164" fontId="96" fillId="0" borderId="0" xfId="4" applyFont="1" applyAlignment="1">
      <alignment horizontal="centerContinuous"/>
    </xf>
    <xf numFmtId="164" fontId="36" fillId="0" borderId="0" xfId="4" applyFont="1" applyAlignment="1">
      <alignment horizontal="right"/>
    </xf>
    <xf numFmtId="164" fontId="36" fillId="0" borderId="1" xfId="4" applyFont="1" applyBorder="1" applyAlignment="1">
      <alignment horizontal="center"/>
    </xf>
    <xf numFmtId="170" fontId="36" fillId="0" borderId="0" xfId="2" applyNumberFormat="1" applyFont="1" applyFill="1" applyProtection="1"/>
    <xf numFmtId="10" fontId="36" fillId="0" borderId="0" xfId="12" applyNumberFormat="1" applyFont="1" applyFill="1" applyProtection="1"/>
    <xf numFmtId="172" fontId="36" fillId="0" borderId="0" xfId="4" applyNumberFormat="1" applyFont="1"/>
    <xf numFmtId="10" fontId="36" fillId="0" borderId="0" xfId="4" applyNumberFormat="1" applyFont="1"/>
    <xf numFmtId="5" fontId="36" fillId="0" borderId="0" xfId="4" applyNumberFormat="1" applyFont="1"/>
    <xf numFmtId="165" fontId="36" fillId="0" borderId="0" xfId="4" applyNumberFormat="1" applyFont="1"/>
    <xf numFmtId="37" fontId="36" fillId="0" borderId="0" xfId="4" applyNumberFormat="1" applyFont="1" applyAlignment="1">
      <alignment horizontal="right"/>
    </xf>
    <xf numFmtId="167" fontId="36" fillId="0" borderId="5" xfId="1" applyNumberFormat="1" applyFont="1" applyFill="1" applyBorder="1" applyProtection="1"/>
    <xf numFmtId="167" fontId="36" fillId="0" borderId="4" xfId="1" applyNumberFormat="1" applyFont="1" applyFill="1" applyBorder="1" applyProtection="1"/>
    <xf numFmtId="167" fontId="36" fillId="0" borderId="5" xfId="1" applyNumberFormat="1" applyFont="1" applyFill="1" applyBorder="1"/>
    <xf numFmtId="164" fontId="36" fillId="0" borderId="4" xfId="4" applyFont="1" applyBorder="1" applyAlignment="1">
      <alignment horizontal="center"/>
    </xf>
    <xf numFmtId="164" fontId="36" fillId="0" borderId="2" xfId="4" applyFont="1" applyBorder="1"/>
    <xf numFmtId="164" fontId="36" fillId="0" borderId="4" xfId="4" applyFont="1" applyBorder="1"/>
    <xf numFmtId="171" fontId="36" fillId="0" borderId="4" xfId="4" applyNumberFormat="1" applyFont="1" applyBorder="1" applyAlignment="1">
      <alignment horizontal="centerContinuous"/>
    </xf>
    <xf numFmtId="171" fontId="36" fillId="0" borderId="5" xfId="4" applyNumberFormat="1" applyFont="1" applyBorder="1" applyAlignment="1">
      <alignment horizontal="center"/>
    </xf>
    <xf numFmtId="164" fontId="36" fillId="0" borderId="6" xfId="4" applyFont="1" applyBorder="1" applyAlignment="1">
      <alignment horizontal="center"/>
    </xf>
    <xf numFmtId="171" fontId="36" fillId="0" borderId="6" xfId="4" applyNumberFormat="1" applyFont="1" applyBorder="1" applyAlignment="1">
      <alignment horizontal="center"/>
    </xf>
    <xf numFmtId="164" fontId="36" fillId="0" borderId="3" xfId="4" applyFont="1" applyBorder="1" applyAlignment="1">
      <alignment horizontal="center"/>
    </xf>
    <xf numFmtId="164" fontId="96" fillId="0" borderId="3" xfId="4" applyFont="1" applyBorder="1" applyAlignment="1">
      <alignment horizontal="left"/>
    </xf>
    <xf numFmtId="164" fontId="36" fillId="0" borderId="3" xfId="4" applyFont="1" applyBorder="1"/>
    <xf numFmtId="171" fontId="36" fillId="0" borderId="3" xfId="4" applyNumberFormat="1" applyFont="1" applyBorder="1"/>
    <xf numFmtId="164" fontId="36" fillId="0" borderId="16" xfId="4" applyFont="1" applyBorder="1"/>
    <xf numFmtId="164" fontId="36" fillId="0" borderId="12" xfId="4" applyFont="1" applyBorder="1" applyAlignment="1">
      <alignment horizontal="left" indent="1"/>
    </xf>
    <xf numFmtId="37" fontId="36" fillId="0" borderId="5" xfId="4" applyNumberFormat="1" applyFont="1" applyBorder="1"/>
    <xf numFmtId="164" fontId="36" fillId="0" borderId="13" xfId="4" applyFont="1" applyBorder="1"/>
    <xf numFmtId="164" fontId="96" fillId="0" borderId="3" xfId="4" applyFont="1" applyBorder="1" applyAlignment="1">
      <alignment horizontal="left" indent="1"/>
    </xf>
    <xf numFmtId="164" fontId="96" fillId="0" borderId="8" xfId="4" applyFont="1" applyBorder="1"/>
    <xf numFmtId="37" fontId="96" fillId="0" borderId="10" xfId="4" applyNumberFormat="1" applyFont="1" applyBorder="1"/>
    <xf numFmtId="37" fontId="96" fillId="0" borderId="0" xfId="4" applyNumberFormat="1" applyFont="1"/>
    <xf numFmtId="171" fontId="96" fillId="0" borderId="10" xfId="4" applyNumberFormat="1" applyFont="1" applyBorder="1"/>
    <xf numFmtId="37" fontId="96" fillId="0" borderId="8" xfId="4" applyNumberFormat="1" applyFont="1" applyBorder="1"/>
    <xf numFmtId="10" fontId="96" fillId="0" borderId="10" xfId="1" applyNumberFormat="1" applyFont="1" applyFill="1" applyBorder="1" applyProtection="1"/>
    <xf numFmtId="10" fontId="36" fillId="0" borderId="5" xfId="4" applyNumberFormat="1" applyFont="1" applyBorder="1"/>
    <xf numFmtId="171" fontId="96" fillId="0" borderId="10" xfId="1" applyNumberFormat="1" applyFont="1" applyFill="1" applyBorder="1" applyProtection="1"/>
    <xf numFmtId="164" fontId="36" fillId="0" borderId="12" xfId="4" applyFont="1" applyBorder="1" applyAlignment="1">
      <alignment horizontal="left"/>
    </xf>
    <xf numFmtId="164" fontId="96" fillId="0" borderId="5" xfId="4" applyFont="1" applyBorder="1" applyAlignment="1">
      <alignment horizontal="center"/>
    </xf>
    <xf numFmtId="164" fontId="96" fillId="0" borderId="0" xfId="4" applyFont="1" applyAlignment="1">
      <alignment horizontal="left" indent="1"/>
    </xf>
    <xf numFmtId="37" fontId="36" fillId="0" borderId="3" xfId="4" applyNumberFormat="1" applyFont="1" applyBorder="1"/>
    <xf numFmtId="10" fontId="36" fillId="0" borderId="1" xfId="1" applyNumberFormat="1" applyFont="1" applyFill="1" applyBorder="1" applyProtection="1"/>
    <xf numFmtId="10" fontId="36" fillId="0" borderId="9" xfId="1" applyNumberFormat="1" applyFont="1" applyFill="1" applyBorder="1" applyProtection="1"/>
    <xf numFmtId="171" fontId="36" fillId="0" borderId="5" xfId="4" applyNumberFormat="1" applyFont="1" applyBorder="1"/>
    <xf numFmtId="171" fontId="36" fillId="0" borderId="5" xfId="1" applyNumberFormat="1" applyFont="1" applyFill="1" applyBorder="1" applyProtection="1"/>
    <xf numFmtId="164" fontId="96" fillId="0" borderId="7" xfId="4" applyFont="1" applyBorder="1" applyAlignment="1">
      <alignment horizontal="left" indent="1"/>
    </xf>
    <xf numFmtId="164" fontId="96" fillId="0" borderId="13" xfId="4" applyFont="1" applyBorder="1"/>
    <xf numFmtId="164" fontId="96" fillId="0" borderId="10" xfId="4" applyFont="1" applyBorder="1"/>
    <xf numFmtId="10" fontId="96" fillId="0" borderId="8" xfId="1" applyNumberFormat="1" applyFont="1" applyFill="1" applyBorder="1" applyProtection="1"/>
    <xf numFmtId="164" fontId="96" fillId="0" borderId="3" xfId="4" applyFont="1" applyBorder="1"/>
    <xf numFmtId="37" fontId="96" fillId="0" borderId="13" xfId="4" applyNumberFormat="1" applyFont="1" applyBorder="1"/>
    <xf numFmtId="0" fontId="36" fillId="0" borderId="11" xfId="3" applyFont="1" applyBorder="1" applyAlignment="1">
      <alignment horizontal="center" wrapText="1"/>
    </xf>
    <xf numFmtId="0" fontId="36" fillId="0" borderId="4" xfId="3" applyFont="1" applyBorder="1" applyAlignment="1">
      <alignment horizontal="center" wrapText="1"/>
    </xf>
    <xf numFmtId="0" fontId="36" fillId="0" borderId="1" xfId="3" quotePrefix="1" applyFont="1" applyBorder="1" applyAlignment="1">
      <alignment horizontal="center"/>
    </xf>
    <xf numFmtId="0" fontId="36" fillId="0" borderId="13" xfId="3" quotePrefix="1" applyFont="1" applyBorder="1" applyAlignment="1">
      <alignment horizontal="center"/>
    </xf>
    <xf numFmtId="0" fontId="36" fillId="0" borderId="8" xfId="3" applyFont="1" applyBorder="1"/>
    <xf numFmtId="170" fontId="36" fillId="0" borderId="4" xfId="3" applyNumberFormat="1" applyFont="1" applyBorder="1"/>
    <xf numFmtId="0" fontId="36" fillId="0" borderId="1" xfId="3" applyFont="1" applyBorder="1"/>
    <xf numFmtId="164" fontId="36" fillId="0" borderId="0" xfId="0" applyFont="1"/>
    <xf numFmtId="164" fontId="96" fillId="0" borderId="0" xfId="0" applyFont="1"/>
    <xf numFmtId="164" fontId="36" fillId="0" borderId="0" xfId="0" quotePrefix="1" applyFont="1"/>
    <xf numFmtId="164" fontId="100" fillId="0" borderId="0" xfId="0" applyFont="1"/>
    <xf numFmtId="164" fontId="36" fillId="0" borderId="1" xfId="0" applyFont="1" applyBorder="1" applyAlignment="1">
      <alignment horizontal="center"/>
    </xf>
    <xf numFmtId="164" fontId="100" fillId="0" borderId="0" xfId="0" quotePrefix="1" applyFont="1" applyAlignment="1">
      <alignment wrapText="1"/>
    </xf>
    <xf numFmtId="164" fontId="96" fillId="0" borderId="1" xfId="0" applyFont="1" applyBorder="1" applyAlignment="1">
      <alignment horizontal="center" wrapText="1"/>
    </xf>
    <xf numFmtId="164" fontId="96" fillId="0" borderId="0" xfId="0" quotePrefix="1" applyFont="1" applyAlignment="1" applyProtection="1">
      <alignment horizontal="left"/>
    </xf>
    <xf numFmtId="0" fontId="36" fillId="0" borderId="0" xfId="3" applyFont="1"/>
    <xf numFmtId="0" fontId="36" fillId="0" borderId="0" xfId="3" applyFont="1" applyAlignment="1">
      <alignment horizontal="center"/>
    </xf>
    <xf numFmtId="0" fontId="36" fillId="0" borderId="16" xfId="3" applyFont="1" applyBorder="1" applyAlignment="1">
      <alignment horizontal="center" wrapText="1"/>
    </xf>
    <xf numFmtId="0" fontId="36" fillId="0" borderId="0" xfId="3" applyFont="1" applyAlignment="1">
      <alignment horizontal="center" wrapText="1"/>
    </xf>
    <xf numFmtId="0" fontId="36" fillId="0" borderId="0" xfId="3" applyFont="1" applyAlignment="1">
      <alignment wrapText="1"/>
    </xf>
    <xf numFmtId="0" fontId="36" fillId="0" borderId="6" xfId="3" applyFont="1" applyBorder="1" applyAlignment="1">
      <alignment horizontal="center"/>
    </xf>
    <xf numFmtId="0" fontId="36" fillId="0" borderId="13" xfId="3" applyFont="1" applyBorder="1" applyAlignment="1">
      <alignment horizontal="center"/>
    </xf>
    <xf numFmtId="0" fontId="36" fillId="0" borderId="6" xfId="3" quotePrefix="1" applyFont="1" applyBorder="1" applyAlignment="1">
      <alignment horizontal="center"/>
    </xf>
    <xf numFmtId="0" fontId="96" fillId="0" borderId="3" xfId="3" applyFont="1" applyBorder="1" applyAlignment="1">
      <alignment horizontal="left"/>
    </xf>
    <xf numFmtId="0" fontId="36" fillId="0" borderId="4" xfId="3" applyFont="1" applyBorder="1" applyAlignment="1">
      <alignment horizontal="left"/>
    </xf>
    <xf numFmtId="0" fontId="36" fillId="0" borderId="12" xfId="3" applyFont="1" applyBorder="1" applyAlignment="1">
      <alignment horizontal="left"/>
    </xf>
    <xf numFmtId="0" fontId="36" fillId="0" borderId="5" xfId="3" quotePrefix="1" applyFont="1" applyBorder="1" applyAlignment="1">
      <alignment horizontal="center"/>
    </xf>
    <xf numFmtId="0" fontId="36" fillId="0" borderId="5" xfId="3" applyFont="1" applyBorder="1" applyAlignment="1">
      <alignment horizontal="center"/>
    </xf>
    <xf numFmtId="0" fontId="36" fillId="0" borderId="15" xfId="3" applyFont="1" applyBorder="1" applyAlignment="1">
      <alignment horizontal="left"/>
    </xf>
    <xf numFmtId="0" fontId="36" fillId="0" borderId="0" xfId="3" applyFont="1" applyAlignment="1">
      <alignment horizontal="left"/>
    </xf>
    <xf numFmtId="0" fontId="100" fillId="0" borderId="0" xfId="3" quotePrefix="1" applyFont="1" applyAlignment="1">
      <alignment horizontal="left"/>
    </xf>
    <xf numFmtId="174" fontId="36" fillId="0" borderId="0" xfId="12" applyNumberFormat="1" applyFont="1" applyFill="1" applyBorder="1" applyAlignment="1">
      <alignment horizontal="right"/>
    </xf>
    <xf numFmtId="0" fontId="36" fillId="0" borderId="0" xfId="3" applyFont="1" applyAlignment="1">
      <alignment horizontal="right"/>
    </xf>
    <xf numFmtId="10" fontId="96" fillId="0" borderId="0" xfId="18" applyNumberFormat="1" applyFont="1"/>
    <xf numFmtId="10" fontId="36" fillId="0" borderId="0" xfId="18" applyNumberFormat="1" applyFont="1"/>
    <xf numFmtId="167" fontId="96" fillId="0" borderId="3" xfId="1" applyNumberFormat="1" applyFont="1" applyFill="1" applyBorder="1" applyProtection="1"/>
    <xf numFmtId="167" fontId="96" fillId="0" borderId="10" xfId="1" applyNumberFormat="1" applyFont="1" applyFill="1" applyBorder="1" applyProtection="1"/>
    <xf numFmtId="3" fontId="36" fillId="0" borderId="0" xfId="0" applyNumberFormat="1" applyFont="1"/>
    <xf numFmtId="0" fontId="36" fillId="0" borderId="7" xfId="3" applyFont="1" applyBorder="1"/>
    <xf numFmtId="0" fontId="36" fillId="0" borderId="5" xfId="3" applyFont="1" applyBorder="1" applyAlignment="1">
      <alignment horizontal="left"/>
    </xf>
    <xf numFmtId="170" fontId="36" fillId="0" borderId="4" xfId="2" applyNumberFormat="1" applyFont="1" applyFill="1" applyBorder="1" applyAlignment="1" applyProtection="1">
      <alignment horizontal="center"/>
    </xf>
    <xf numFmtId="170" fontId="36" fillId="0" borderId="11" xfId="3" applyNumberFormat="1" applyFont="1" applyBorder="1"/>
    <xf numFmtId="0" fontId="36" fillId="0" borderId="6" xfId="3" applyFont="1" applyBorder="1" applyAlignment="1">
      <alignment horizontal="left"/>
    </xf>
    <xf numFmtId="0" fontId="36" fillId="0" borderId="1" xfId="3" applyFont="1" applyBorder="1" applyAlignment="1">
      <alignment horizontal="center"/>
    </xf>
    <xf numFmtId="44" fontId="36" fillId="0" borderId="6" xfId="2" applyFont="1" applyFill="1" applyBorder="1" applyAlignment="1" applyProtection="1">
      <alignment horizontal="center"/>
    </xf>
    <xf numFmtId="170" fontId="36" fillId="0" borderId="15" xfId="2" applyNumberFormat="1" applyFont="1" applyFill="1" applyBorder="1"/>
    <xf numFmtId="170" fontId="36" fillId="0" borderId="15" xfId="3" applyNumberFormat="1" applyFont="1" applyBorder="1"/>
    <xf numFmtId="170" fontId="36" fillId="0" borderId="6" xfId="3" applyNumberFormat="1" applyFont="1" applyBorder="1"/>
    <xf numFmtId="171" fontId="36" fillId="0" borderId="0" xfId="18" applyNumberFormat="1" applyFont="1" applyAlignment="1">
      <alignment horizontal="centerContinuous"/>
    </xf>
    <xf numFmtId="171" fontId="96" fillId="0" borderId="0" xfId="18" applyNumberFormat="1" applyFont="1" applyAlignment="1">
      <alignment horizontal="centerContinuous"/>
    </xf>
    <xf numFmtId="164" fontId="36" fillId="0" borderId="1" xfId="18" applyFont="1" applyBorder="1" applyAlignment="1">
      <alignment horizontal="center"/>
    </xf>
    <xf numFmtId="164" fontId="96" fillId="0" borderId="1" xfId="18" applyFont="1" applyBorder="1" applyAlignment="1">
      <alignment horizontal="left"/>
    </xf>
    <xf numFmtId="164" fontId="36" fillId="0" borderId="1" xfId="18" applyFont="1" applyBorder="1"/>
    <xf numFmtId="167" fontId="36" fillId="0" borderId="1" xfId="1" applyNumberFormat="1" applyFont="1" applyFill="1" applyBorder="1" applyProtection="1"/>
    <xf numFmtId="37" fontId="36" fillId="0" borderId="0" xfId="18" applyNumberFormat="1" applyFont="1"/>
    <xf numFmtId="170" fontId="36" fillId="0" borderId="1" xfId="2" applyNumberFormat="1" applyFont="1" applyFill="1" applyBorder="1" applyProtection="1"/>
    <xf numFmtId="169" fontId="36" fillId="0" borderId="1" xfId="2" applyNumberFormat="1" applyFont="1" applyFill="1" applyBorder="1" applyProtection="1"/>
    <xf numFmtId="10" fontId="36" fillId="0" borderId="1" xfId="12" applyNumberFormat="1" applyFont="1" applyFill="1" applyBorder="1" applyProtection="1"/>
    <xf numFmtId="164" fontId="36" fillId="0" borderId="12" xfId="18" applyFont="1" applyBorder="1" applyAlignment="1">
      <alignment horizontal="center"/>
    </xf>
    <xf numFmtId="164" fontId="36" fillId="0" borderId="11" xfId="18" applyFont="1" applyBorder="1" applyAlignment="1">
      <alignment horizontal="left"/>
    </xf>
    <xf numFmtId="167" fontId="36" fillId="0" borderId="4" xfId="1" applyNumberFormat="1" applyFont="1" applyFill="1" applyBorder="1"/>
    <xf numFmtId="170" fontId="36" fillId="0" borderId="4" xfId="2" applyNumberFormat="1" applyFont="1" applyFill="1" applyBorder="1"/>
    <xf numFmtId="169" fontId="36" fillId="0" borderId="4" xfId="2" applyNumberFormat="1" applyFont="1" applyFill="1" applyBorder="1"/>
    <xf numFmtId="164" fontId="36" fillId="0" borderId="12" xfId="18" applyFont="1" applyBorder="1" applyAlignment="1">
      <alignment horizontal="left"/>
    </xf>
    <xf numFmtId="170" fontId="36" fillId="0" borderId="5" xfId="2" applyNumberFormat="1" applyFont="1" applyFill="1" applyBorder="1" applyProtection="1"/>
    <xf numFmtId="169" fontId="36" fillId="0" borderId="5" xfId="2" applyNumberFormat="1" applyFont="1" applyFill="1" applyBorder="1" applyProtection="1"/>
    <xf numFmtId="167" fontId="36" fillId="0" borderId="6" xfId="1" applyNumberFormat="1" applyFont="1" applyFill="1" applyBorder="1" applyProtection="1"/>
    <xf numFmtId="10" fontId="36" fillId="0" borderId="13" xfId="12" applyNumberFormat="1" applyFont="1" applyFill="1" applyBorder="1" applyProtection="1"/>
    <xf numFmtId="164" fontId="36" fillId="0" borderId="10" xfId="18" applyFont="1" applyBorder="1" applyAlignment="1">
      <alignment horizontal="center"/>
    </xf>
    <xf numFmtId="164" fontId="96" fillId="0" borderId="7" xfId="18" applyFont="1" applyBorder="1" applyAlignment="1">
      <alignment horizontal="left"/>
    </xf>
    <xf numFmtId="167" fontId="96" fillId="0" borderId="10" xfId="1" applyNumberFormat="1" applyFont="1" applyFill="1" applyBorder="1"/>
    <xf numFmtId="170" fontId="96" fillId="0" borderId="10" xfId="2" applyNumberFormat="1" applyFont="1" applyFill="1" applyBorder="1"/>
    <xf numFmtId="169" fontId="96" fillId="0" borderId="10" xfId="2" applyNumberFormat="1" applyFont="1" applyFill="1" applyBorder="1"/>
    <xf numFmtId="164" fontId="96" fillId="0" borderId="0" xfId="18" applyFont="1" applyAlignment="1">
      <alignment horizontal="left"/>
    </xf>
    <xf numFmtId="167" fontId="96" fillId="0" borderId="3" xfId="1" applyNumberFormat="1" applyFont="1" applyFill="1" applyBorder="1"/>
    <xf numFmtId="170" fontId="96" fillId="0" borderId="0" xfId="2" applyNumberFormat="1" applyFont="1" applyFill="1" applyBorder="1"/>
    <xf numFmtId="169" fontId="96" fillId="0" borderId="0" xfId="2" applyNumberFormat="1" applyFont="1" applyFill="1" applyBorder="1"/>
    <xf numFmtId="10" fontId="96" fillId="0" borderId="0" xfId="12" applyNumberFormat="1" applyFont="1" applyFill="1" applyBorder="1"/>
    <xf numFmtId="167" fontId="36" fillId="0" borderId="0" xfId="1" applyNumberFormat="1" applyFont="1" applyFill="1" applyAlignment="1">
      <alignment horizontal="left"/>
    </xf>
    <xf numFmtId="199" fontId="36" fillId="0" borderId="0" xfId="1" applyNumberFormat="1" applyFont="1" applyFill="1" applyProtection="1"/>
    <xf numFmtId="43" fontId="36" fillId="0" borderId="0" xfId="1" applyFont="1" applyFill="1" applyProtection="1"/>
    <xf numFmtId="10" fontId="36" fillId="0" borderId="0" xfId="12" applyNumberFormat="1" applyFont="1" applyFill="1" applyBorder="1"/>
    <xf numFmtId="44" fontId="36" fillId="0" borderId="0" xfId="2" applyFont="1" applyFill="1" applyAlignment="1" applyProtection="1">
      <alignment horizontal="center"/>
    </xf>
    <xf numFmtId="0" fontId="36" fillId="0" borderId="0" xfId="51494" applyFont="1" applyAlignment="1">
      <alignment horizontal="right" readingOrder="1"/>
    </xf>
    <xf numFmtId="0" fontId="36" fillId="0" borderId="0" xfId="51494" quotePrefix="1" applyFont="1" applyAlignment="1">
      <alignment horizontal="right" readingOrder="1"/>
    </xf>
    <xf numFmtId="4" fontId="36" fillId="0" borderId="0" xfId="0" applyNumberFormat="1" applyFont="1"/>
    <xf numFmtId="17" fontId="96" fillId="0" borderId="0" xfId="0" quotePrefix="1" applyNumberFormat="1" applyFont="1" applyAlignment="1" applyProtection="1">
      <alignment horizontal="center"/>
    </xf>
    <xf numFmtId="173" fontId="96" fillId="0" borderId="0" xfId="0" applyNumberFormat="1" applyFont="1"/>
    <xf numFmtId="164" fontId="96" fillId="0" borderId="1" xfId="0" applyFont="1" applyBorder="1" applyAlignment="1" applyProtection="1">
      <alignment horizontal="center"/>
    </xf>
    <xf numFmtId="164" fontId="36" fillId="0" borderId="0" xfId="0" applyFont="1" applyAlignment="1">
      <alignment horizontal="center"/>
    </xf>
    <xf numFmtId="14" fontId="96" fillId="0" borderId="1" xfId="0" applyNumberFormat="1" applyFont="1" applyBorder="1" applyAlignment="1">
      <alignment horizontal="center" wrapText="1"/>
    </xf>
    <xf numFmtId="44" fontId="96" fillId="0" borderId="14" xfId="2" applyFont="1" applyFill="1" applyBorder="1"/>
    <xf numFmtId="39" fontId="36" fillId="0" borderId="0" xfId="0" applyNumberFormat="1" applyFont="1"/>
    <xf numFmtId="17" fontId="96" fillId="0" borderId="0" xfId="0" applyNumberFormat="1" applyFont="1" applyAlignment="1" applyProtection="1">
      <alignment horizontal="right"/>
    </xf>
    <xf numFmtId="10" fontId="99" fillId="0" borderId="0" xfId="0" applyNumberFormat="1" applyFont="1" applyProtection="1"/>
    <xf numFmtId="166" fontId="99" fillId="0" borderId="0" xfId="0" applyNumberFormat="1" applyFont="1" applyProtection="1"/>
    <xf numFmtId="200" fontId="36" fillId="0" borderId="0" xfId="0" applyNumberFormat="1" applyFont="1"/>
    <xf numFmtId="37" fontId="36" fillId="0" borderId="0" xfId="0" applyNumberFormat="1" applyFont="1"/>
    <xf numFmtId="201" fontId="36" fillId="0" borderId="0" xfId="0" applyNumberFormat="1" applyFont="1"/>
    <xf numFmtId="164" fontId="99" fillId="46" borderId="0" xfId="0" applyFont="1" applyFill="1" applyAlignment="1">
      <alignment horizontal="center"/>
    </xf>
    <xf numFmtId="43" fontId="36" fillId="0" borderId="5" xfId="1" applyFont="1" applyFill="1" applyBorder="1" applyProtection="1"/>
    <xf numFmtId="44" fontId="36" fillId="0" borderId="14" xfId="2" applyFont="1" applyFill="1" applyBorder="1"/>
    <xf numFmtId="164" fontId="36" fillId="0" borderId="4" xfId="18" applyFont="1" applyBorder="1"/>
    <xf numFmtId="164" fontId="36" fillId="0" borderId="12" xfId="5" applyFont="1" applyBorder="1"/>
    <xf numFmtId="164" fontId="36" fillId="0" borderId="15" xfId="5" applyFont="1" applyBorder="1"/>
    <xf numFmtId="171" fontId="36" fillId="0" borderId="4" xfId="4" applyNumberFormat="1" applyFont="1" applyBorder="1"/>
    <xf numFmtId="164" fontId="96" fillId="0" borderId="6" xfId="4" applyFont="1" applyBorder="1"/>
    <xf numFmtId="171" fontId="96" fillId="0" borderId="6" xfId="4" applyNumberFormat="1" applyFont="1" applyBorder="1"/>
    <xf numFmtId="37" fontId="96" fillId="0" borderId="5" xfId="4" applyNumberFormat="1" applyFont="1" applyBorder="1"/>
    <xf numFmtId="164" fontId="96" fillId="0" borderId="0" xfId="0" applyFont="1" applyAlignment="1">
      <alignment horizontal="center"/>
    </xf>
    <xf numFmtId="164" fontId="96" fillId="0" borderId="0" xfId="0" applyFont="1" applyAlignment="1" applyProtection="1">
      <alignment horizontal="center"/>
    </xf>
    <xf numFmtId="44" fontId="36" fillId="0" borderId="14" xfId="2" applyFont="1" applyFill="1" applyBorder="1" applyAlignment="1">
      <alignment horizontal="center"/>
    </xf>
    <xf numFmtId="44" fontId="36" fillId="0" borderId="0" xfId="2" applyFont="1" applyFill="1" applyAlignment="1">
      <alignment horizontal="center"/>
    </xf>
    <xf numFmtId="17" fontId="36" fillId="44" borderId="10" xfId="13" applyNumberFormat="1" applyFont="1" applyFill="1" applyBorder="1"/>
    <xf numFmtId="3" fontId="103" fillId="44" borderId="10" xfId="0" applyNumberFormat="1" applyFont="1" applyFill="1" applyBorder="1"/>
    <xf numFmtId="17" fontId="36" fillId="44" borderId="0" xfId="0" applyNumberFormat="1" applyFont="1" applyFill="1"/>
    <xf numFmtId="167" fontId="98" fillId="44" borderId="0" xfId="13" applyNumberFormat="1" applyFont="1" applyFill="1" applyBorder="1" applyAlignment="1"/>
    <xf numFmtId="167" fontId="98" fillId="44" borderId="0" xfId="13" applyNumberFormat="1" applyFont="1" applyFill="1" applyBorder="1"/>
    <xf numFmtId="3" fontId="103" fillId="44" borderId="0" xfId="0" applyNumberFormat="1" applyFont="1" applyFill="1"/>
    <xf numFmtId="39" fontId="36" fillId="0" borderId="0" xfId="0" applyNumberFormat="1" applyFont="1" applyAlignment="1">
      <alignment horizontal="center"/>
    </xf>
    <xf numFmtId="164" fontId="104" fillId="0" borderId="0" xfId="51497" applyFont="1"/>
    <xf numFmtId="164" fontId="104" fillId="0" borderId="0" xfId="0" applyFont="1"/>
    <xf numFmtId="164" fontId="105" fillId="0" borderId="0" xfId="0" applyFont="1" applyAlignment="1">
      <alignment horizontal="center"/>
    </xf>
    <xf numFmtId="164" fontId="34" fillId="0" borderId="0" xfId="0" applyFont="1"/>
    <xf numFmtId="49" fontId="34" fillId="0" borderId="0" xfId="0" applyNumberFormat="1" applyFont="1" applyAlignment="1">
      <alignment horizontal="center"/>
    </xf>
    <xf numFmtId="164" fontId="34" fillId="0" borderId="0" xfId="0" applyFont="1" applyAlignment="1">
      <alignment horizontal="center"/>
    </xf>
    <xf numFmtId="164" fontId="20" fillId="0" borderId="0" xfId="51497" applyFont="1" applyAlignment="1">
      <alignment horizontal="left"/>
    </xf>
    <xf numFmtId="164" fontId="107" fillId="0" borderId="0" xfId="0" applyFont="1" applyAlignment="1" applyProtection="1">
      <alignment horizontal="center"/>
    </xf>
    <xf numFmtId="164" fontId="107" fillId="0" borderId="0" xfId="0" applyFont="1" applyAlignment="1">
      <alignment horizontal="center"/>
    </xf>
    <xf numFmtId="164" fontId="107" fillId="0" borderId="0" xfId="0" applyFont="1" applyAlignment="1">
      <alignment horizontal="center" wrapText="1"/>
    </xf>
    <xf numFmtId="164" fontId="107" fillId="0" borderId="0" xfId="0" quotePrefix="1" applyFont="1" applyAlignment="1">
      <alignment horizontal="center" wrapText="1"/>
    </xf>
    <xf numFmtId="164" fontId="107" fillId="0" borderId="0" xfId="0" applyFont="1" applyAlignment="1" applyProtection="1">
      <alignment horizontal="center" wrapText="1"/>
    </xf>
    <xf numFmtId="164" fontId="107" fillId="0" borderId="0" xfId="0" quotePrefix="1" applyFont="1" applyAlignment="1" applyProtection="1">
      <alignment horizontal="center" wrapText="1"/>
    </xf>
    <xf numFmtId="164" fontId="107" fillId="0" borderId="1" xfId="0" applyFont="1" applyBorder="1" applyAlignment="1" applyProtection="1">
      <alignment horizontal="center"/>
    </xf>
    <xf numFmtId="169" fontId="107" fillId="0" borderId="0" xfId="2" applyNumberFormat="1" applyFont="1" applyFill="1" applyBorder="1" applyAlignment="1" applyProtection="1">
      <alignment horizontal="center"/>
    </xf>
    <xf numFmtId="173" fontId="107" fillId="0" borderId="0" xfId="0" applyNumberFormat="1" applyFont="1" applyAlignment="1" applyProtection="1">
      <alignment horizontal="center"/>
    </xf>
    <xf numFmtId="169" fontId="107" fillId="0" borderId="0" xfId="2" applyNumberFormat="1" applyFont="1" applyFill="1" applyProtection="1"/>
    <xf numFmtId="170" fontId="107" fillId="0" borderId="0" xfId="2" applyNumberFormat="1" applyFont="1" applyFill="1" applyBorder="1"/>
    <xf numFmtId="164" fontId="107" fillId="0" borderId="0" xfId="0" applyFont="1"/>
    <xf numFmtId="167" fontId="107" fillId="0" borderId="0" xfId="1" applyNumberFormat="1" applyFont="1" applyFill="1" applyProtection="1"/>
    <xf numFmtId="3" fontId="107" fillId="0" borderId="0" xfId="0" applyNumberFormat="1" applyFont="1" applyAlignment="1" applyProtection="1">
      <alignment horizontal="center"/>
    </xf>
    <xf numFmtId="170" fontId="107" fillId="0" borderId="0" xfId="2" applyNumberFormat="1" applyFont="1" applyFill="1" applyBorder="1" applyProtection="1"/>
    <xf numFmtId="169" fontId="106" fillId="0" borderId="0" xfId="2" applyNumberFormat="1" applyFont="1" applyFill="1" applyProtection="1"/>
    <xf numFmtId="164" fontId="107" fillId="0" borderId="23" xfId="0" applyFont="1" applyBorder="1"/>
    <xf numFmtId="164" fontId="107" fillId="0" borderId="0" xfId="0" applyFont="1" applyAlignment="1" applyProtection="1">
      <alignment horizontal="centerContinuous"/>
    </xf>
    <xf numFmtId="169" fontId="107" fillId="0" borderId="0" xfId="0" applyNumberFormat="1" applyFont="1" applyProtection="1"/>
    <xf numFmtId="164" fontId="107" fillId="0" borderId="0" xfId="0" quotePrefix="1" applyFont="1" applyAlignment="1" applyProtection="1">
      <alignment horizontal="center"/>
    </xf>
    <xf numFmtId="164" fontId="107" fillId="0" borderId="1" xfId="0" applyFont="1" applyBorder="1" applyAlignment="1">
      <alignment horizontal="center"/>
    </xf>
    <xf numFmtId="164" fontId="107" fillId="0" borderId="0" xfId="0" applyFont="1" applyAlignment="1">
      <alignment horizontal="centerContinuous"/>
    </xf>
    <xf numFmtId="44" fontId="107" fillId="0" borderId="0" xfId="2" applyFont="1" applyFill="1" applyBorder="1" applyAlignment="1" applyProtection="1">
      <alignment horizontal="center"/>
    </xf>
    <xf numFmtId="37" fontId="96" fillId="0" borderId="0" xfId="18" applyNumberFormat="1" applyFont="1"/>
    <xf numFmtId="171" fontId="36" fillId="0" borderId="4" xfId="18" applyNumberFormat="1" applyFont="1" applyBorder="1" applyAlignment="1">
      <alignment horizontal="centerContinuous"/>
    </xf>
    <xf numFmtId="171" fontId="36" fillId="0" borderId="5" xfId="18" applyNumberFormat="1" applyFont="1" applyBorder="1" applyAlignment="1">
      <alignment horizontal="centerContinuous"/>
    </xf>
    <xf numFmtId="171" fontId="36" fillId="0" borderId="5" xfId="18" applyNumberFormat="1" applyFont="1" applyBorder="1" applyAlignment="1">
      <alignment horizontal="center"/>
    </xf>
    <xf numFmtId="171" fontId="36" fillId="0" borderId="7" xfId="18" applyNumberFormat="1" applyFont="1" applyBorder="1"/>
    <xf numFmtId="37" fontId="36" fillId="0" borderId="8" xfId="18" applyNumberFormat="1" applyFont="1" applyBorder="1"/>
    <xf numFmtId="164" fontId="96" fillId="0" borderId="10" xfId="18" applyFont="1" applyBorder="1"/>
    <xf numFmtId="0" fontId="34" fillId="0" borderId="3" xfId="3" applyFont="1" applyBorder="1"/>
    <xf numFmtId="0" fontId="34" fillId="0" borderId="0" xfId="3" applyFont="1"/>
    <xf numFmtId="170" fontId="34" fillId="0" borderId="9" xfId="3" applyNumberFormat="1" applyFont="1" applyBorder="1"/>
    <xf numFmtId="170" fontId="34" fillId="0" borderId="5" xfId="3" applyNumberFormat="1" applyFont="1" applyBorder="1"/>
    <xf numFmtId="170" fontId="34" fillId="0" borderId="12" xfId="2" applyNumberFormat="1" applyFont="1" applyFill="1" applyBorder="1"/>
    <xf numFmtId="0" fontId="34" fillId="0" borderId="0" xfId="3" applyFont="1" applyAlignment="1">
      <alignment horizontal="center"/>
    </xf>
    <xf numFmtId="0" fontId="34" fillId="0" borderId="4" xfId="3" applyFont="1" applyBorder="1" applyAlignment="1">
      <alignment horizontal="center" wrapText="1"/>
    </xf>
    <xf numFmtId="0" fontId="34" fillId="0" borderId="16" xfId="3" applyFont="1" applyBorder="1" applyAlignment="1">
      <alignment horizontal="center" wrapText="1"/>
    </xf>
    <xf numFmtId="0" fontId="34" fillId="0" borderId="6" xfId="3" applyFont="1" applyBorder="1" applyAlignment="1">
      <alignment horizontal="center"/>
    </xf>
    <xf numFmtId="0" fontId="34" fillId="0" borderId="13" xfId="3" applyFont="1" applyBorder="1" applyAlignment="1">
      <alignment horizontal="center"/>
    </xf>
    <xf numFmtId="0" fontId="34" fillId="0" borderId="6" xfId="3" quotePrefix="1" applyFont="1" applyBorder="1" applyAlignment="1">
      <alignment horizontal="center"/>
    </xf>
    <xf numFmtId="0" fontId="34" fillId="0" borderId="1" xfId="3" quotePrefix="1" applyFont="1" applyBorder="1" applyAlignment="1">
      <alignment horizontal="center"/>
    </xf>
    <xf numFmtId="0" fontId="34" fillId="0" borderId="13" xfId="3" quotePrefix="1" applyFont="1" applyBorder="1" applyAlignment="1">
      <alignment horizontal="center"/>
    </xf>
    <xf numFmtId="0" fontId="104" fillId="0" borderId="3" xfId="3" applyFont="1" applyBorder="1" applyAlignment="1">
      <alignment horizontal="left"/>
    </xf>
    <xf numFmtId="0" fontId="34" fillId="0" borderId="5" xfId="3" quotePrefix="1" applyFont="1" applyBorder="1" applyAlignment="1">
      <alignment horizontal="center"/>
    </xf>
    <xf numFmtId="0" fontId="34" fillId="0" borderId="5" xfId="3" applyFont="1" applyBorder="1" applyAlignment="1">
      <alignment horizontal="center"/>
    </xf>
    <xf numFmtId="0" fontId="34" fillId="0" borderId="12" xfId="3" applyFont="1" applyBorder="1" applyAlignment="1">
      <alignment horizontal="left"/>
    </xf>
    <xf numFmtId="0" fontId="34" fillId="0" borderId="15" xfId="3" applyFont="1" applyBorder="1" applyAlignment="1">
      <alignment horizontal="left"/>
    </xf>
    <xf numFmtId="0" fontId="34" fillId="0" borderId="6" xfId="3" applyFont="1" applyBorder="1"/>
    <xf numFmtId="0" fontId="34" fillId="0" borderId="1" xfId="3" applyFont="1" applyBorder="1"/>
    <xf numFmtId="173" fontId="36" fillId="0" borderId="5" xfId="1" applyNumberFormat="1" applyFont="1" applyFill="1" applyBorder="1" applyProtection="1"/>
    <xf numFmtId="164" fontId="34" fillId="0" borderId="0" xfId="18" applyFont="1" applyAlignment="1">
      <alignment horizontal="left"/>
    </xf>
    <xf numFmtId="0" fontId="34" fillId="0" borderId="11" xfId="3" applyFont="1" applyBorder="1" applyAlignment="1">
      <alignment horizontal="center" wrapText="1"/>
    </xf>
    <xf numFmtId="164" fontId="96" fillId="0" borderId="1" xfId="0" applyFont="1" applyBorder="1" applyAlignment="1">
      <alignment horizontal="center" vertical="top" wrapText="1"/>
    </xf>
    <xf numFmtId="170" fontId="107" fillId="0" borderId="0" xfId="2" applyNumberFormat="1" applyFont="1" applyFill="1" applyBorder="1" applyAlignment="1" applyProtection="1">
      <alignment horizontal="center"/>
    </xf>
    <xf numFmtId="170" fontId="106" fillId="0" borderId="23" xfId="2" applyNumberFormat="1" applyFont="1" applyFill="1" applyBorder="1" applyProtection="1"/>
    <xf numFmtId="37" fontId="36" fillId="0" borderId="0" xfId="0" applyNumberFormat="1" applyFont="1" applyProtection="1"/>
    <xf numFmtId="17" fontId="36" fillId="0" borderId="0" xfId="0" quotePrefix="1" applyNumberFormat="1" applyFont="1" applyAlignment="1" applyProtection="1">
      <alignment horizontal="left"/>
    </xf>
    <xf numFmtId="164" fontId="36" fillId="0" borderId="0" xfId="0" applyFont="1" applyAlignment="1">
      <alignment horizontal="right"/>
    </xf>
    <xf numFmtId="164" fontId="36" fillId="0" borderId="0" xfId="0" applyFont="1" applyAlignment="1" applyProtection="1">
      <alignment horizontal="left"/>
    </xf>
    <xf numFmtId="164" fontId="36" fillId="0" borderId="0" xfId="0" applyFont="1" applyAlignment="1" applyProtection="1">
      <alignment horizontal="right"/>
    </xf>
    <xf numFmtId="39" fontId="110" fillId="0" borderId="0" xfId="5865" applyFont="1"/>
    <xf numFmtId="3" fontId="96" fillId="0" borderId="0" xfId="1" applyNumberFormat="1" applyFont="1" applyFill="1" applyAlignment="1">
      <alignment horizontal="center"/>
    </xf>
    <xf numFmtId="17" fontId="110" fillId="0" borderId="0" xfId="5865" applyNumberFormat="1" applyFont="1"/>
    <xf numFmtId="164" fontId="106" fillId="0" borderId="0" xfId="0" applyFont="1" applyProtection="1"/>
    <xf numFmtId="164" fontId="20" fillId="0" borderId="0" xfId="51497" applyFont="1"/>
    <xf numFmtId="164" fontId="107" fillId="0" borderId="0" xfId="0" applyFont="1" applyAlignment="1">
      <alignment horizontal="right" readingOrder="1"/>
    </xf>
    <xf numFmtId="39" fontId="110" fillId="0" borderId="0" xfId="51504" applyNumberFormat="1" applyFont="1" applyAlignment="1">
      <alignment horizontal="center"/>
    </xf>
    <xf numFmtId="43" fontId="110" fillId="0" borderId="0" xfId="5860" applyFont="1" applyFill="1"/>
    <xf numFmtId="0" fontId="11" fillId="0" borderId="0" xfId="51500"/>
    <xf numFmtId="0" fontId="116" fillId="0" borderId="0" xfId="51500" applyFont="1"/>
    <xf numFmtId="164" fontId="107" fillId="0" borderId="18" xfId="0" applyFont="1" applyBorder="1" applyAlignment="1" applyProtection="1">
      <alignment horizontal="center" wrapText="1"/>
    </xf>
    <xf numFmtId="164" fontId="107" fillId="0" borderId="19" xfId="0" applyFont="1" applyBorder="1" applyAlignment="1" applyProtection="1">
      <alignment horizontal="center" wrapText="1"/>
    </xf>
    <xf numFmtId="164" fontId="107" fillId="0" borderId="20" xfId="0" applyFont="1" applyBorder="1" applyAlignment="1" applyProtection="1">
      <alignment horizontal="center" wrapText="1"/>
    </xf>
    <xf numFmtId="164" fontId="107" fillId="0" borderId="48" xfId="0" applyFont="1" applyBorder="1" applyAlignment="1" applyProtection="1">
      <alignment horizontal="center"/>
    </xf>
    <xf numFmtId="164" fontId="107" fillId="0" borderId="47" xfId="0" applyFont="1" applyBorder="1" applyAlignment="1" applyProtection="1">
      <alignment horizontal="center"/>
    </xf>
    <xf numFmtId="3" fontId="107" fillId="0" borderId="21" xfId="0" applyNumberFormat="1" applyFont="1" applyBorder="1" applyAlignment="1" applyProtection="1">
      <alignment horizontal="center"/>
    </xf>
    <xf numFmtId="3" fontId="107" fillId="0" borderId="22" xfId="0" applyNumberFormat="1" applyFont="1" applyBorder="1" applyAlignment="1" applyProtection="1">
      <alignment horizontal="center"/>
    </xf>
    <xf numFmtId="173" fontId="107" fillId="0" borderId="21" xfId="0" applyNumberFormat="1" applyFont="1" applyBorder="1" applyAlignment="1" applyProtection="1">
      <alignment horizontal="center"/>
    </xf>
    <xf numFmtId="173" fontId="107" fillId="0" borderId="22" xfId="0" applyNumberFormat="1" applyFont="1" applyBorder="1" applyAlignment="1" applyProtection="1">
      <alignment horizontal="center"/>
    </xf>
    <xf numFmtId="170" fontId="107" fillId="0" borderId="21" xfId="2" applyNumberFormat="1" applyFont="1" applyFill="1" applyBorder="1"/>
    <xf numFmtId="170" fontId="107" fillId="0" borderId="22" xfId="2" applyNumberFormat="1" applyFont="1" applyFill="1" applyBorder="1"/>
    <xf numFmtId="44" fontId="107" fillId="0" borderId="21" xfId="2" applyFont="1" applyFill="1" applyBorder="1" applyAlignment="1" applyProtection="1">
      <alignment horizontal="center"/>
    </xf>
    <xf numFmtId="44" fontId="107" fillId="0" borderId="22" xfId="2" applyFont="1" applyFill="1" applyBorder="1" applyAlignment="1" applyProtection="1">
      <alignment horizontal="center"/>
    </xf>
    <xf numFmtId="203" fontId="107" fillId="0" borderId="22" xfId="2" applyNumberFormat="1" applyFont="1" applyFill="1" applyBorder="1" applyAlignment="1" applyProtection="1">
      <alignment horizontal="center"/>
    </xf>
    <xf numFmtId="170" fontId="107" fillId="0" borderId="21" xfId="2" applyNumberFormat="1" applyFont="1" applyFill="1" applyBorder="1" applyProtection="1"/>
    <xf numFmtId="170" fontId="107" fillId="0" borderId="22" xfId="2" applyNumberFormat="1" applyFont="1" applyFill="1" applyBorder="1" applyProtection="1"/>
    <xf numFmtId="170" fontId="106" fillId="0" borderId="45" xfId="2" applyNumberFormat="1" applyFont="1" applyFill="1" applyBorder="1" applyProtection="1"/>
    <xf numFmtId="170" fontId="106" fillId="0" borderId="46" xfId="2" applyNumberFormat="1" applyFont="1" applyFill="1" applyBorder="1" applyProtection="1"/>
    <xf numFmtId="164" fontId="107" fillId="0" borderId="45" xfId="0" applyFont="1" applyBorder="1"/>
    <xf numFmtId="164" fontId="107" fillId="0" borderId="46" xfId="0" applyFont="1" applyBorder="1"/>
    <xf numFmtId="39" fontId="110" fillId="0" borderId="0" xfId="5865" applyFont="1" applyProtection="1">
      <protection locked="0"/>
    </xf>
    <xf numFmtId="169" fontId="11" fillId="0" borderId="0" xfId="51500" applyNumberFormat="1"/>
    <xf numFmtId="169" fontId="108" fillId="0" borderId="0" xfId="51500" applyNumberFormat="1" applyFont="1"/>
    <xf numFmtId="39" fontId="96" fillId="0" borderId="0" xfId="0" applyNumberFormat="1" applyFont="1"/>
    <xf numFmtId="164" fontId="117" fillId="0" borderId="0" xfId="0" applyFont="1"/>
    <xf numFmtId="164" fontId="36" fillId="0" borderId="16" xfId="4" applyFont="1" applyBorder="1" applyAlignment="1">
      <alignment horizontal="center"/>
    </xf>
    <xf numFmtId="164" fontId="36" fillId="0" borderId="9" xfId="4" applyFont="1" applyBorder="1" applyAlignment="1">
      <alignment horizontal="center"/>
    </xf>
    <xf numFmtId="164" fontId="96" fillId="0" borderId="8" xfId="4" applyFont="1" applyBorder="1" applyAlignment="1">
      <alignment horizontal="center"/>
    </xf>
    <xf numFmtId="37" fontId="96" fillId="0" borderId="3" xfId="4" applyNumberFormat="1" applyFont="1" applyBorder="1"/>
    <xf numFmtId="164" fontId="96" fillId="0" borderId="10" xfId="4" applyFont="1" applyBorder="1" applyAlignment="1">
      <alignment horizontal="center"/>
    </xf>
    <xf numFmtId="37" fontId="36" fillId="0" borderId="0" xfId="4" applyNumberFormat="1" applyFont="1" applyAlignment="1">
      <alignment horizontal="left"/>
    </xf>
    <xf numFmtId="37" fontId="96" fillId="0" borderId="1" xfId="4" applyNumberFormat="1" applyFont="1" applyBorder="1"/>
    <xf numFmtId="37" fontId="96" fillId="0" borderId="6" xfId="4" applyNumberFormat="1" applyFont="1" applyBorder="1"/>
    <xf numFmtId="39" fontId="112" fillId="0" borderId="1" xfId="5865" applyFont="1" applyBorder="1" applyAlignment="1">
      <alignment horizontal="center" wrapText="1"/>
    </xf>
    <xf numFmtId="0" fontId="110" fillId="0" borderId="0" xfId="51504" applyFont="1"/>
    <xf numFmtId="39" fontId="110" fillId="0" borderId="0" xfId="5865" applyFont="1" applyAlignment="1">
      <alignment horizontal="center"/>
    </xf>
    <xf numFmtId="0" fontId="114" fillId="0" borderId="0" xfId="51504" applyFont="1"/>
    <xf numFmtId="39" fontId="110" fillId="0" borderId="0" xfId="5865" applyFont="1" applyAlignment="1">
      <alignment horizontal="left" vertical="top"/>
    </xf>
    <xf numFmtId="39" fontId="110" fillId="0" borderId="0" xfId="5865" applyFont="1" applyAlignment="1">
      <alignment horizontal="left" wrapText="1"/>
    </xf>
    <xf numFmtId="39" fontId="110" fillId="0" borderId="0" xfId="5865" applyFont="1" applyAlignment="1">
      <alignment horizontal="left"/>
    </xf>
    <xf numFmtId="39" fontId="112" fillId="0" borderId="1" xfId="5865" applyFont="1" applyBorder="1" applyAlignment="1">
      <alignment horizontal="center"/>
    </xf>
    <xf numFmtId="39" fontId="110" fillId="0" borderId="0" xfId="51504" applyNumberFormat="1" applyFont="1" applyAlignment="1">
      <alignment horizontal="fill"/>
    </xf>
    <xf numFmtId="39" fontId="110" fillId="0" borderId="0" xfId="51504" applyNumberFormat="1" applyFont="1"/>
    <xf numFmtId="43" fontId="114" fillId="0" borderId="0" xfId="5860" applyFont="1" applyFill="1"/>
    <xf numFmtId="17" fontId="110" fillId="0" borderId="0" xfId="51504" applyNumberFormat="1" applyFont="1"/>
    <xf numFmtId="37" fontId="110" fillId="0" borderId="0" xfId="51524" applyNumberFormat="1" applyFont="1"/>
    <xf numFmtId="39" fontId="110" fillId="0" borderId="0" xfId="51523" applyNumberFormat="1" applyFont="1"/>
    <xf numFmtId="39" fontId="110" fillId="0" borderId="0" xfId="51530" applyNumberFormat="1" applyFont="1"/>
    <xf numFmtId="43" fontId="114" fillId="0" borderId="0" xfId="5860" applyFont="1" applyFill="1" applyBorder="1"/>
    <xf numFmtId="207" fontId="110" fillId="0" borderId="0" xfId="5865" applyNumberFormat="1" applyFont="1"/>
    <xf numFmtId="43" fontId="110" fillId="0" borderId="0" xfId="51528" applyFont="1" applyFill="1"/>
    <xf numFmtId="43" fontId="110" fillId="0" borderId="0" xfId="5860" applyFont="1" applyFill="1" applyBorder="1"/>
    <xf numFmtId="39" fontId="114" fillId="0" borderId="0" xfId="51504" applyNumberFormat="1" applyFont="1"/>
    <xf numFmtId="10" fontId="0" fillId="0" borderId="0" xfId="51501" applyNumberFormat="1" applyFont="1" applyFill="1" applyBorder="1"/>
    <xf numFmtId="10" fontId="11" fillId="0" borderId="0" xfId="51500" applyNumberFormat="1"/>
    <xf numFmtId="204" fontId="109" fillId="0" borderId="0" xfId="51501" applyNumberFormat="1" applyFont="1" applyFill="1" applyBorder="1"/>
    <xf numFmtId="9" fontId="11" fillId="0" borderId="0" xfId="51500" applyNumberFormat="1"/>
    <xf numFmtId="169" fontId="11" fillId="0" borderId="0" xfId="2" applyNumberFormat="1" applyFont="1" applyFill="1" applyBorder="1"/>
    <xf numFmtId="0" fontId="11" fillId="0" borderId="0" xfId="51500" applyAlignment="1">
      <alignment horizontal="center"/>
    </xf>
    <xf numFmtId="164" fontId="36" fillId="0" borderId="13" xfId="4" applyFont="1" applyBorder="1" applyAlignment="1">
      <alignment horizontal="center"/>
    </xf>
    <xf numFmtId="37" fontId="36" fillId="0" borderId="4" xfId="4" applyNumberFormat="1" applyFont="1" applyBorder="1"/>
    <xf numFmtId="206" fontId="110" fillId="0" borderId="0" xfId="5865" applyNumberFormat="1" applyFont="1"/>
    <xf numFmtId="39" fontId="110" fillId="0" borderId="0" xfId="51510" applyFont="1"/>
    <xf numFmtId="37" fontId="110" fillId="0" borderId="0" xfId="51504" applyNumberFormat="1" applyFont="1"/>
    <xf numFmtId="39" fontId="110" fillId="0" borderId="0" xfId="15" applyNumberFormat="1" applyFont="1"/>
    <xf numFmtId="37" fontId="110" fillId="0" borderId="0" xfId="5865" applyNumberFormat="1" applyFont="1"/>
    <xf numFmtId="0" fontId="34" fillId="0" borderId="8" xfId="3" applyFont="1" applyBorder="1"/>
    <xf numFmtId="44" fontId="11" fillId="0" borderId="0" xfId="2" applyFont="1" applyFill="1"/>
    <xf numFmtId="44" fontId="11" fillId="0" borderId="0" xfId="51500" applyNumberFormat="1"/>
    <xf numFmtId="10" fontId="11" fillId="0" borderId="0" xfId="12" applyNumberFormat="1" applyFont="1" applyFill="1"/>
    <xf numFmtId="169" fontId="11" fillId="0" borderId="0" xfId="2" applyNumberFormat="1" applyFont="1" applyFill="1"/>
    <xf numFmtId="167" fontId="11" fillId="0" borderId="0" xfId="1" applyNumberFormat="1" applyFont="1" applyFill="1"/>
    <xf numFmtId="5" fontId="11" fillId="0" borderId="0" xfId="51500" applyNumberFormat="1"/>
    <xf numFmtId="165" fontId="11" fillId="0" borderId="0" xfId="51500" applyNumberFormat="1"/>
    <xf numFmtId="0" fontId="6" fillId="0" borderId="0" xfId="51500" applyFont="1"/>
    <xf numFmtId="165" fontId="11" fillId="0" borderId="0" xfId="2" applyNumberFormat="1" applyFont="1" applyFill="1"/>
    <xf numFmtId="164" fontId="36" fillId="0" borderId="15" xfId="18" applyFont="1" applyBorder="1" applyAlignment="1">
      <alignment horizontal="center"/>
    </xf>
    <xf numFmtId="0" fontId="107" fillId="0" borderId="0" xfId="0" applyNumberFormat="1" applyFont="1" applyAlignment="1">
      <alignment horizontal="center"/>
    </xf>
    <xf numFmtId="164" fontId="107" fillId="0" borderId="0" xfId="51497" applyFont="1" applyAlignment="1">
      <alignment horizontal="left"/>
    </xf>
    <xf numFmtId="0" fontId="107" fillId="0" borderId="0" xfId="3" applyFont="1" applyAlignment="1">
      <alignment horizontal="center"/>
    </xf>
    <xf numFmtId="44" fontId="107" fillId="0" borderId="0" xfId="2" applyFont="1" applyFill="1" applyProtection="1"/>
    <xf numFmtId="0" fontId="107" fillId="0" borderId="0" xfId="3" quotePrefix="1" applyFont="1" applyAlignment="1">
      <alignment horizontal="center"/>
    </xf>
    <xf numFmtId="164" fontId="107" fillId="0" borderId="0" xfId="0" applyFont="1" applyAlignment="1" applyProtection="1">
      <alignment horizontal="left"/>
    </xf>
    <xf numFmtId="7" fontId="106" fillId="0" borderId="0" xfId="0" applyNumberFormat="1" applyFont="1" applyAlignment="1" applyProtection="1">
      <alignment horizontal="right"/>
    </xf>
    <xf numFmtId="202" fontId="107" fillId="0" borderId="21" xfId="0" applyNumberFormat="1" applyFont="1" applyBorder="1"/>
    <xf numFmtId="164" fontId="107" fillId="0" borderId="22" xfId="0" applyFont="1" applyBorder="1"/>
    <xf numFmtId="165" fontId="107" fillId="0" borderId="0" xfId="0" applyNumberFormat="1" applyFont="1"/>
    <xf numFmtId="169" fontId="107" fillId="0" borderId="0" xfId="0" applyNumberFormat="1" applyFont="1"/>
    <xf numFmtId="0" fontId="116" fillId="0" borderId="0" xfId="51532" applyFont="1"/>
    <xf numFmtId="0" fontId="34" fillId="0" borderId="12" xfId="51533" applyFont="1" applyBorder="1"/>
    <xf numFmtId="0" fontId="34" fillId="0" borderId="0" xfId="51533" applyFont="1"/>
    <xf numFmtId="208" fontId="34" fillId="0" borderId="9" xfId="51533" applyNumberFormat="1" applyFont="1" applyBorder="1"/>
    <xf numFmtId="0" fontId="34" fillId="0" borderId="12" xfId="51533" quotePrefix="1" applyFont="1" applyBorder="1" applyAlignment="1">
      <alignment horizontal="left" indent="1"/>
    </xf>
    <xf numFmtId="0" fontId="34" fillId="0" borderId="12" xfId="51533" quotePrefix="1" applyFont="1" applyBorder="1" applyAlignment="1">
      <alignment horizontal="left" indent="2"/>
    </xf>
    <xf numFmtId="208" fontId="34" fillId="0" borderId="9" xfId="51534" applyNumberFormat="1" applyFont="1" applyBorder="1"/>
    <xf numFmtId="208" fontId="116" fillId="0" borderId="0" xfId="51532" applyNumberFormat="1" applyFont="1"/>
    <xf numFmtId="208" fontId="34" fillId="0" borderId="13" xfId="51533" applyNumberFormat="1" applyFont="1" applyBorder="1"/>
    <xf numFmtId="208" fontId="34" fillId="0" borderId="50" xfId="51533" applyNumberFormat="1" applyFont="1" applyBorder="1"/>
    <xf numFmtId="0" fontId="34" fillId="0" borderId="12" xfId="51533" applyFont="1" applyBorder="1" applyAlignment="1">
      <alignment horizontal="left" indent="1"/>
    </xf>
    <xf numFmtId="208" fontId="34" fillId="0" borderId="51" xfId="51533" applyNumberFormat="1" applyFont="1" applyBorder="1"/>
    <xf numFmtId="208" fontId="104" fillId="0" borderId="52" xfId="51533" applyNumberFormat="1" applyFont="1" applyBorder="1"/>
    <xf numFmtId="0" fontId="34" fillId="0" borderId="15" xfId="51533" applyFont="1" applyBorder="1"/>
    <xf numFmtId="0" fontId="34" fillId="0" borderId="1" xfId="51533" applyFont="1" applyBorder="1"/>
    <xf numFmtId="0" fontId="34" fillId="0" borderId="12" xfId="51532" applyFont="1" applyBorder="1" applyAlignment="1">
      <alignment horizontal="left"/>
    </xf>
    <xf numFmtId="0" fontId="34" fillId="0" borderId="0" xfId="51532" applyFont="1"/>
    <xf numFmtId="202" fontId="34" fillId="0" borderId="9" xfId="51532" applyNumberFormat="1" applyFont="1" applyBorder="1"/>
    <xf numFmtId="0" fontId="34" fillId="0" borderId="12" xfId="51532" applyFont="1" applyBorder="1"/>
    <xf numFmtId="0" fontId="34" fillId="0" borderId="9" xfId="51532" applyFont="1" applyBorder="1"/>
    <xf numFmtId="0" fontId="34" fillId="0" borderId="15" xfId="51532" applyFont="1" applyBorder="1" applyAlignment="1">
      <alignment horizontal="left"/>
    </xf>
    <xf numFmtId="0" fontId="34" fillId="0" borderId="1" xfId="51532" applyFont="1" applyBorder="1"/>
    <xf numFmtId="0" fontId="34" fillId="0" borderId="13" xfId="51532" applyFont="1" applyBorder="1"/>
    <xf numFmtId="164" fontId="36" fillId="0" borderId="7" xfId="18" applyFont="1" applyBorder="1"/>
    <xf numFmtId="164" fontId="34" fillId="0" borderId="0" xfId="51535" applyFont="1"/>
    <xf numFmtId="164" fontId="34" fillId="0" borderId="0" xfId="51535" applyFont="1" applyAlignment="1">
      <alignment horizontal="left"/>
    </xf>
    <xf numFmtId="164" fontId="34" fillId="0" borderId="0" xfId="51535" applyFont="1" applyAlignment="1">
      <alignment horizontal="centerContinuous"/>
    </xf>
    <xf numFmtId="164" fontId="104" fillId="0" borderId="0" xfId="4" applyFont="1"/>
    <xf numFmtId="164" fontId="34" fillId="0" borderId="0" xfId="51535" applyFont="1" applyAlignment="1">
      <alignment horizontal="right"/>
    </xf>
    <xf numFmtId="210" fontId="34" fillId="0" borderId="0" xfId="51535" applyNumberFormat="1" applyFont="1" applyAlignment="1">
      <alignment horizontal="center"/>
    </xf>
    <xf numFmtId="7" fontId="34" fillId="0" borderId="0" xfId="51535" applyNumberFormat="1" applyFont="1"/>
    <xf numFmtId="10" fontId="34" fillId="0" borderId="0" xfId="51535" applyNumberFormat="1" applyFont="1"/>
    <xf numFmtId="10" fontId="34" fillId="0" borderId="5" xfId="12" applyNumberFormat="1" applyFont="1" applyFill="1" applyBorder="1" applyAlignment="1" applyProtection="1">
      <alignment horizontal="center"/>
    </xf>
    <xf numFmtId="10" fontId="34" fillId="0" borderId="6" xfId="12" applyNumberFormat="1" applyFont="1" applyFill="1" applyBorder="1" applyAlignment="1" applyProtection="1">
      <alignment horizontal="center"/>
    </xf>
    <xf numFmtId="43" fontId="110" fillId="0" borderId="0" xfId="5860" applyFont="1"/>
    <xf numFmtId="43" fontId="110" fillId="0" borderId="0" xfId="1" applyFont="1"/>
    <xf numFmtId="17" fontId="36" fillId="0" borderId="0" xfId="0" applyNumberFormat="1" applyFont="1"/>
    <xf numFmtId="3" fontId="36" fillId="0" borderId="0" xfId="1" applyNumberFormat="1" applyFont="1" applyFill="1"/>
    <xf numFmtId="164" fontId="113" fillId="0" borderId="0" xfId="0" applyFont="1" applyAlignment="1">
      <alignment horizontal="center"/>
    </xf>
    <xf numFmtId="10" fontId="99" fillId="0" borderId="0" xfId="12" applyNumberFormat="1" applyFont="1" applyFill="1"/>
    <xf numFmtId="202" fontId="36" fillId="0" borderId="17" xfId="13" applyNumberFormat="1" applyFont="1" applyFill="1"/>
    <xf numFmtId="164" fontId="34" fillId="0" borderId="0" xfId="51535" applyFont="1" applyAlignment="1">
      <alignment horizontal="center"/>
    </xf>
    <xf numFmtId="164" fontId="34" fillId="0" borderId="4" xfId="51535" applyFont="1" applyBorder="1" applyAlignment="1">
      <alignment horizontal="center"/>
    </xf>
    <xf numFmtId="164" fontId="104" fillId="0" borderId="5" xfId="51535" applyFont="1" applyBorder="1" applyAlignment="1">
      <alignment horizontal="centerContinuous"/>
    </xf>
    <xf numFmtId="164" fontId="34" fillId="0" borderId="49" xfId="51535" applyFont="1" applyBorder="1" applyAlignment="1">
      <alignment horizontal="center"/>
    </xf>
    <xf numFmtId="164" fontId="34" fillId="0" borderId="6" xfId="51535" applyFont="1" applyBorder="1" applyAlignment="1">
      <alignment horizontal="centerContinuous"/>
    </xf>
    <xf numFmtId="208" fontId="36" fillId="0" borderId="0" xfId="51501" applyNumberFormat="1" applyFont="1" applyFill="1" applyBorder="1"/>
    <xf numFmtId="211" fontId="34" fillId="0" borderId="0" xfId="51535" applyNumberFormat="1" applyFont="1"/>
    <xf numFmtId="164" fontId="36" fillId="0" borderId="12" xfId="18" applyFont="1" applyBorder="1"/>
    <xf numFmtId="170" fontId="36" fillId="0" borderId="0" xfId="2" applyNumberFormat="1" applyFont="1" applyFill="1" applyBorder="1" applyProtection="1"/>
    <xf numFmtId="169" fontId="36" fillId="0" borderId="0" xfId="2" applyNumberFormat="1" applyFont="1" applyFill="1" applyBorder="1" applyProtection="1"/>
    <xf numFmtId="164" fontId="36" fillId="0" borderId="2" xfId="4" applyFont="1" applyBorder="1" applyAlignment="1">
      <alignment horizontal="center"/>
    </xf>
    <xf numFmtId="164" fontId="96" fillId="0" borderId="2" xfId="4" applyFont="1" applyBorder="1" applyAlignment="1">
      <alignment horizontal="left"/>
    </xf>
    <xf numFmtId="171" fontId="104" fillId="0" borderId="0" xfId="51497" applyNumberFormat="1" applyFont="1"/>
    <xf numFmtId="164" fontId="118" fillId="0" borderId="0" xfId="51497" applyFont="1"/>
    <xf numFmtId="10" fontId="36" fillId="0" borderId="4" xfId="18" applyNumberFormat="1" applyFont="1" applyBorder="1" applyAlignment="1">
      <alignment horizontal="center"/>
    </xf>
    <xf numFmtId="10" fontId="36" fillId="0" borderId="5" xfId="18" applyNumberFormat="1" applyFont="1" applyBorder="1" applyAlignment="1">
      <alignment horizontal="center"/>
    </xf>
    <xf numFmtId="10" fontId="36" fillId="0" borderId="10" xfId="18" applyNumberFormat="1" applyFont="1" applyBorder="1" applyAlignment="1">
      <alignment horizontal="center"/>
    </xf>
    <xf numFmtId="43" fontId="110" fillId="0" borderId="0" xfId="1" applyFont="1" applyFill="1"/>
    <xf numFmtId="39" fontId="110" fillId="0" borderId="0" xfId="0" applyNumberFormat="1" applyFont="1"/>
    <xf numFmtId="17" fontId="96" fillId="0" borderId="0" xfId="0" applyNumberFormat="1" applyFont="1" applyAlignment="1" applyProtection="1">
      <alignment horizontal="center"/>
    </xf>
    <xf numFmtId="14" fontId="99" fillId="0" borderId="0" xfId="0" applyNumberFormat="1" applyFont="1" applyAlignment="1">
      <alignment horizontal="center"/>
    </xf>
    <xf numFmtId="14" fontId="96" fillId="0" borderId="0" xfId="0" applyNumberFormat="1" applyFont="1" applyAlignment="1" applyProtection="1">
      <alignment horizontal="center"/>
    </xf>
    <xf numFmtId="164" fontId="96" fillId="0" borderId="0" xfId="4" quotePrefix="1" applyFont="1"/>
    <xf numFmtId="205" fontId="96" fillId="0" borderId="0" xfId="0" applyNumberFormat="1" applyFont="1" applyAlignment="1" applyProtection="1">
      <alignment horizontal="center"/>
    </xf>
    <xf numFmtId="37" fontId="96" fillId="0" borderId="0" xfId="0" applyNumberFormat="1" applyFont="1" applyAlignment="1" applyProtection="1">
      <alignment horizontal="center"/>
    </xf>
    <xf numFmtId="14" fontId="96" fillId="0" borderId="1" xfId="0" applyNumberFormat="1" applyFont="1" applyBorder="1" applyAlignment="1">
      <alignment horizontal="center"/>
    </xf>
    <xf numFmtId="17" fontId="36" fillId="0" borderId="1" xfId="0" applyNumberFormat="1" applyFont="1" applyBorder="1" applyAlignment="1">
      <alignment horizontal="center"/>
    </xf>
    <xf numFmtId="10" fontId="96" fillId="0" borderId="0" xfId="0" applyNumberFormat="1" applyFont="1" applyAlignment="1">
      <alignment horizontal="center"/>
    </xf>
    <xf numFmtId="164" fontId="107" fillId="0" borderId="0" xfId="51497" applyFont="1"/>
    <xf numFmtId="170" fontId="34" fillId="0" borderId="5" xfId="2" applyNumberFormat="1" applyFont="1" applyFill="1" applyBorder="1"/>
    <xf numFmtId="164" fontId="104" fillId="0" borderId="0" xfId="51535" applyFont="1" applyAlignment="1">
      <alignment horizontal="centerContinuous"/>
    </xf>
    <xf numFmtId="14" fontId="34" fillId="0" borderId="0" xfId="51535" applyNumberFormat="1" applyFont="1" applyAlignment="1">
      <alignment horizontal="center"/>
    </xf>
    <xf numFmtId="14" fontId="34" fillId="0" borderId="5" xfId="51535" applyNumberFormat="1" applyFont="1" applyBorder="1" applyAlignment="1">
      <alignment horizontal="center"/>
    </xf>
    <xf numFmtId="164" fontId="34" fillId="0" borderId="5" xfId="51535" applyFont="1" applyBorder="1" applyAlignment="1">
      <alignment horizontal="centerContinuous"/>
    </xf>
    <xf numFmtId="164" fontId="34" fillId="0" borderId="5" xfId="51535" applyFont="1" applyBorder="1"/>
    <xf numFmtId="1" fontId="34" fillId="0" borderId="0" xfId="51535" applyNumberFormat="1" applyFont="1" applyAlignment="1">
      <alignment horizontal="center"/>
    </xf>
    <xf numFmtId="209" fontId="34" fillId="0" borderId="0" xfId="51535" applyNumberFormat="1" applyFont="1" applyAlignment="1">
      <alignment horizontal="center"/>
    </xf>
    <xf numFmtId="7" fontId="34" fillId="0" borderId="0" xfId="51535" applyNumberFormat="1" applyFont="1" applyAlignment="1">
      <alignment horizontal="center"/>
    </xf>
    <xf numFmtId="211" fontId="34" fillId="0" borderId="0" xfId="51535" applyNumberFormat="1" applyFont="1" applyAlignment="1">
      <alignment horizontal="center"/>
    </xf>
    <xf numFmtId="165" fontId="34" fillId="0" borderId="0" xfId="51535" applyNumberFormat="1" applyFont="1"/>
    <xf numFmtId="3" fontId="34" fillId="0" borderId="0" xfId="51535" applyNumberFormat="1" applyFont="1" applyAlignment="1">
      <alignment horizontal="center"/>
    </xf>
    <xf numFmtId="7" fontId="34" fillId="0" borderId="0" xfId="2" applyNumberFormat="1" applyFont="1" applyFill="1"/>
    <xf numFmtId="10" fontId="36" fillId="0" borderId="0" xfId="51501" applyNumberFormat="1" applyFont="1" applyFill="1" applyBorder="1"/>
    <xf numFmtId="0" fontId="4" fillId="0" borderId="0" xfId="51500" applyFont="1"/>
    <xf numFmtId="0" fontId="8" fillId="0" borderId="0" xfId="51500" applyFont="1"/>
    <xf numFmtId="201" fontId="11" fillId="0" borderId="0" xfId="51500" applyNumberFormat="1"/>
    <xf numFmtId="201" fontId="11" fillId="0" borderId="0" xfId="2" applyNumberFormat="1" applyFont="1" applyFill="1"/>
    <xf numFmtId="17" fontId="110" fillId="0" borderId="0" xfId="0" applyNumberFormat="1" applyFont="1"/>
    <xf numFmtId="17" fontId="110" fillId="0" borderId="0" xfId="15" applyNumberFormat="1" applyFont="1"/>
    <xf numFmtId="39" fontId="110" fillId="0" borderId="0" xfId="15" applyNumberFormat="1" applyFont="1" applyAlignment="1">
      <alignment horizontal="center"/>
    </xf>
    <xf numFmtId="0" fontId="2" fillId="0" borderId="0" xfId="51500" applyFont="1"/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167" fontId="1" fillId="44" borderId="10" xfId="1" applyNumberFormat="1" applyFont="1" applyFill="1" applyBorder="1"/>
    <xf numFmtId="37" fontId="1" fillId="44" borderId="6" xfId="0" applyNumberFormat="1" applyFont="1" applyFill="1" applyBorder="1"/>
    <xf numFmtId="167" fontId="1" fillId="44" borderId="6" xfId="1" applyNumberFormat="1" applyFont="1" applyFill="1" applyBorder="1"/>
    <xf numFmtId="37" fontId="36" fillId="0" borderId="9" xfId="0" applyNumberFormat="1" applyFont="1" applyBorder="1" applyProtection="1"/>
    <xf numFmtId="169" fontId="36" fillId="0" borderId="5" xfId="2" applyNumberFormat="1" applyFont="1" applyFill="1" applyBorder="1"/>
    <xf numFmtId="37" fontId="36" fillId="0" borderId="13" xfId="0" applyNumberFormat="1" applyFont="1" applyBorder="1" applyProtection="1"/>
    <xf numFmtId="37" fontId="36" fillId="0" borderId="6" xfId="4" applyNumberFormat="1" applyFont="1" applyBorder="1"/>
    <xf numFmtId="169" fontId="36" fillId="0" borderId="6" xfId="2" applyNumberFormat="1" applyFont="1" applyFill="1" applyBorder="1" applyProtection="1"/>
    <xf numFmtId="212" fontId="36" fillId="0" borderId="5" xfId="4" applyNumberFormat="1" applyFont="1" applyBorder="1"/>
    <xf numFmtId="37" fontId="36" fillId="0" borderId="15" xfId="4" applyNumberFormat="1" applyFont="1" applyBorder="1"/>
    <xf numFmtId="0" fontId="1" fillId="0" borderId="0" xfId="51500" applyFont="1"/>
    <xf numFmtId="0" fontId="1" fillId="0" borderId="0" xfId="51500" applyFont="1" applyAlignment="1">
      <alignment horizontal="center"/>
    </xf>
    <xf numFmtId="165" fontId="106" fillId="0" borderId="53" xfId="0" applyNumberFormat="1" applyFont="1" applyBorder="1"/>
    <xf numFmtId="165" fontId="106" fillId="0" borderId="54" xfId="0" applyNumberFormat="1" applyFont="1" applyBorder="1"/>
    <xf numFmtId="165" fontId="106" fillId="0" borderId="55" xfId="0" applyNumberFormat="1" applyFont="1" applyBorder="1"/>
    <xf numFmtId="164" fontId="106" fillId="0" borderId="0" xfId="0" applyFont="1"/>
    <xf numFmtId="44" fontId="36" fillId="0" borderId="5" xfId="2" applyFont="1" applyFill="1" applyBorder="1"/>
    <xf numFmtId="44" fontId="36" fillId="0" borderId="5" xfId="2" applyFont="1" applyFill="1" applyBorder="1" applyProtection="1"/>
    <xf numFmtId="164" fontId="104" fillId="0" borderId="0" xfId="51497" applyFont="1" applyAlignment="1">
      <alignment horizontal="center"/>
    </xf>
    <xf numFmtId="164" fontId="104" fillId="0" borderId="0" xfId="0" applyFont="1" applyAlignment="1">
      <alignment horizontal="center"/>
    </xf>
    <xf numFmtId="164" fontId="106" fillId="0" borderId="0" xfId="0" applyFont="1" applyAlignment="1" applyProtection="1">
      <alignment horizontal="center"/>
    </xf>
    <xf numFmtId="164" fontId="106" fillId="0" borderId="0" xfId="0" applyFont="1" applyAlignment="1">
      <alignment horizontal="center"/>
    </xf>
    <xf numFmtId="164" fontId="106" fillId="0" borderId="0" xfId="0" applyFont="1" applyAlignment="1" applyProtection="1">
      <alignment horizontal="center" wrapText="1"/>
    </xf>
    <xf numFmtId="164" fontId="104" fillId="0" borderId="0" xfId="4" applyFont="1" applyAlignment="1">
      <alignment horizontal="center"/>
    </xf>
    <xf numFmtId="171" fontId="104" fillId="0" borderId="0" xfId="51497" applyNumberFormat="1" applyFont="1" applyAlignment="1">
      <alignment horizontal="center"/>
    </xf>
    <xf numFmtId="164" fontId="118" fillId="0" borderId="0" xfId="51497" applyFont="1" applyAlignment="1">
      <alignment horizontal="center"/>
    </xf>
    <xf numFmtId="164" fontId="104" fillId="0" borderId="0" xfId="18" applyFont="1" applyAlignment="1">
      <alignment horizontal="center"/>
    </xf>
    <xf numFmtId="164" fontId="104" fillId="0" borderId="0" xfId="51535" applyFont="1" applyAlignment="1">
      <alignment horizontal="center"/>
    </xf>
    <xf numFmtId="164" fontId="96" fillId="0" borderId="0" xfId="4" applyFont="1" applyAlignment="1">
      <alignment horizontal="center"/>
    </xf>
    <xf numFmtId="164" fontId="96" fillId="0" borderId="0" xfId="18" applyFont="1" applyAlignment="1">
      <alignment horizontal="center"/>
    </xf>
    <xf numFmtId="164" fontId="96" fillId="45" borderId="0" xfId="18" quotePrefix="1" applyFont="1" applyFill="1" applyAlignment="1">
      <alignment horizontal="center"/>
    </xf>
    <xf numFmtId="164" fontId="96" fillId="45" borderId="0" xfId="18" applyFont="1" applyFill="1" applyAlignment="1">
      <alignment horizontal="center"/>
    </xf>
    <xf numFmtId="164" fontId="36" fillId="0" borderId="15" xfId="18" applyFont="1" applyBorder="1" applyAlignment="1">
      <alignment horizontal="center"/>
    </xf>
    <xf numFmtId="164" fontId="36" fillId="0" borderId="13" xfId="18" applyFont="1" applyBorder="1" applyAlignment="1">
      <alignment horizontal="center"/>
    </xf>
    <xf numFmtId="164" fontId="96" fillId="45" borderId="0" xfId="4" applyFont="1" applyFill="1" applyAlignment="1">
      <alignment horizontal="center"/>
    </xf>
    <xf numFmtId="164" fontId="100" fillId="0" borderId="0" xfId="4" quotePrefix="1" applyFont="1" applyAlignment="1">
      <alignment horizontal="justify" wrapText="1"/>
    </xf>
    <xf numFmtId="164" fontId="96" fillId="45" borderId="0" xfId="4" quotePrefix="1" applyFont="1" applyFill="1" applyAlignment="1">
      <alignment horizontal="center"/>
    </xf>
    <xf numFmtId="164" fontId="100" fillId="0" borderId="0" xfId="4" applyFont="1" applyAlignment="1">
      <alignment horizontal="justify" wrapText="1"/>
    </xf>
    <xf numFmtId="0" fontId="11" fillId="0" borderId="0" xfId="51500" applyAlignment="1">
      <alignment horizontal="left" vertical="top" wrapText="1"/>
    </xf>
    <xf numFmtId="0" fontId="2" fillId="0" borderId="0" xfId="51500" applyFont="1" applyAlignment="1">
      <alignment horizontal="left" wrapText="1"/>
    </xf>
    <xf numFmtId="0" fontId="11" fillId="0" borderId="0" xfId="51500" applyAlignment="1">
      <alignment horizontal="left" wrapText="1"/>
    </xf>
    <xf numFmtId="164" fontId="36" fillId="0" borderId="0" xfId="0" applyFont="1" applyAlignment="1">
      <alignment horizontal="left" vertical="top" wrapText="1"/>
    </xf>
    <xf numFmtId="0" fontId="8" fillId="0" borderId="0" xfId="51500" applyFont="1" applyAlignment="1">
      <alignment horizontal="center"/>
    </xf>
    <xf numFmtId="0" fontId="11" fillId="0" borderId="0" xfId="51500" applyAlignment="1">
      <alignment horizontal="center"/>
    </xf>
    <xf numFmtId="0" fontId="3" fillId="0" borderId="0" xfId="51500" applyFont="1" applyAlignment="1">
      <alignment horizontal="center"/>
    </xf>
    <xf numFmtId="0" fontId="9" fillId="0" borderId="0" xfId="51500" applyFont="1" applyAlignment="1">
      <alignment horizontal="center"/>
    </xf>
    <xf numFmtId="0" fontId="108" fillId="0" borderId="0" xfId="51500" applyFont="1" applyAlignment="1">
      <alignment horizontal="center"/>
    </xf>
    <xf numFmtId="0" fontId="108" fillId="0" borderId="0" xfId="51500" applyFont="1" applyAlignment="1">
      <alignment horizontal="center" wrapText="1"/>
    </xf>
    <xf numFmtId="164" fontId="36" fillId="0" borderId="0" xfId="0" quotePrefix="1" applyFont="1" applyAlignment="1">
      <alignment horizontal="left"/>
    </xf>
    <xf numFmtId="164" fontId="96" fillId="0" borderId="0" xfId="4" quotePrefix="1" applyFont="1" applyAlignment="1">
      <alignment horizontal="center"/>
    </xf>
    <xf numFmtId="164" fontId="96" fillId="0" borderId="0" xfId="0" quotePrefix="1" applyFont="1" applyAlignment="1">
      <alignment horizontal="left"/>
    </xf>
    <xf numFmtId="164" fontId="96" fillId="0" borderId="0" xfId="0" applyFont="1" applyAlignment="1">
      <alignment horizontal="left"/>
    </xf>
    <xf numFmtId="164" fontId="96" fillId="0" borderId="0" xfId="0" quotePrefix="1" applyFont="1" applyAlignment="1">
      <alignment horizontal="center"/>
    </xf>
    <xf numFmtId="164" fontId="36" fillId="0" borderId="0" xfId="0" applyFont="1" applyAlignment="1">
      <alignment horizontal="center"/>
    </xf>
    <xf numFmtId="164" fontId="96" fillId="0" borderId="0" xfId="0" applyFont="1" applyAlignment="1" applyProtection="1">
      <alignment horizontal="center"/>
    </xf>
    <xf numFmtId="39" fontId="110" fillId="0" borderId="21" xfId="5865" applyFont="1" applyBorder="1" applyAlignment="1">
      <alignment horizontal="left"/>
    </xf>
    <xf numFmtId="39" fontId="110" fillId="0" borderId="0" xfId="5865" applyFont="1" applyAlignment="1">
      <alignment horizontal="left"/>
    </xf>
    <xf numFmtId="39" fontId="110" fillId="0" borderId="0" xfId="5865" applyFont="1" applyAlignment="1" applyProtection="1">
      <alignment horizontal="left"/>
      <protection locked="0"/>
    </xf>
    <xf numFmtId="39" fontId="110" fillId="0" borderId="22" xfId="5865" applyFont="1" applyBorder="1" applyAlignment="1" applyProtection="1">
      <alignment horizontal="left"/>
      <protection locked="0"/>
    </xf>
    <xf numFmtId="39" fontId="110" fillId="0" borderId="18" xfId="5865" applyFont="1" applyBorder="1" applyAlignment="1">
      <alignment horizontal="left"/>
    </xf>
    <xf numFmtId="39" fontId="110" fillId="0" borderId="19" xfId="5865" applyFont="1" applyBorder="1" applyAlignment="1">
      <alignment horizontal="left"/>
    </xf>
    <xf numFmtId="39" fontId="110" fillId="0" borderId="19" xfId="5865" applyFont="1" applyBorder="1" applyProtection="1">
      <protection locked="0"/>
    </xf>
    <xf numFmtId="39" fontId="110" fillId="0" borderId="20" xfId="5865" applyFont="1" applyBorder="1" applyProtection="1">
      <protection locked="0"/>
    </xf>
    <xf numFmtId="164" fontId="110" fillId="0" borderId="0" xfId="0" applyFont="1" applyAlignment="1">
      <alignment horizontal="right"/>
    </xf>
    <xf numFmtId="17" fontId="110" fillId="0" borderId="0" xfId="5865" applyNumberFormat="1" applyFont="1" applyAlignment="1">
      <alignment horizontal="right"/>
    </xf>
    <xf numFmtId="39" fontId="110" fillId="0" borderId="43" xfId="5865" applyFont="1" applyBorder="1" applyAlignment="1">
      <alignment horizontal="left" vertical="top" wrapText="1"/>
    </xf>
    <xf numFmtId="39" fontId="110" fillId="0" borderId="44" xfId="5865" applyFont="1" applyBorder="1" applyAlignment="1">
      <alignment horizontal="left" vertical="top" wrapText="1"/>
    </xf>
    <xf numFmtId="39" fontId="111" fillId="0" borderId="0" xfId="5865" applyFont="1" applyAlignment="1">
      <alignment horizontal="center"/>
    </xf>
    <xf numFmtId="39" fontId="110" fillId="0" borderId="0" xfId="5865" applyFont="1" applyAlignment="1">
      <alignment horizontal="right"/>
    </xf>
    <xf numFmtId="39" fontId="110" fillId="0" borderId="42" xfId="5865" applyFont="1" applyBorder="1" applyAlignment="1">
      <alignment horizontal="left" vertical="top"/>
    </xf>
    <xf numFmtId="39" fontId="110" fillId="0" borderId="43" xfId="5865" applyFont="1" applyBorder="1" applyAlignment="1">
      <alignment horizontal="left" vertical="top"/>
    </xf>
    <xf numFmtId="39" fontId="110" fillId="0" borderId="0" xfId="51504" applyNumberFormat="1" applyFont="1" applyAlignment="1" applyProtection="1">
      <alignment horizontal="left"/>
      <protection locked="0"/>
    </xf>
    <xf numFmtId="39" fontId="110" fillId="0" borderId="22" xfId="51504" applyNumberFormat="1" applyFont="1" applyBorder="1" applyAlignment="1" applyProtection="1">
      <alignment horizontal="left"/>
      <protection locked="0"/>
    </xf>
    <xf numFmtId="39" fontId="110" fillId="0" borderId="19" xfId="51504" applyNumberFormat="1" applyFont="1" applyBorder="1" applyAlignment="1" applyProtection="1">
      <alignment horizontal="left"/>
      <protection locked="0"/>
    </xf>
    <xf numFmtId="39" fontId="110" fillId="0" borderId="20" xfId="51504" applyNumberFormat="1" applyFont="1" applyBorder="1" applyAlignment="1" applyProtection="1">
      <alignment horizontal="left"/>
      <protection locked="0"/>
    </xf>
    <xf numFmtId="39" fontId="110" fillId="0" borderId="0" xfId="15" applyNumberFormat="1" applyFont="1" applyAlignment="1">
      <alignment horizontal="right"/>
    </xf>
    <xf numFmtId="17" fontId="110" fillId="0" borderId="0" xfId="51504" applyNumberFormat="1" applyFont="1" applyAlignment="1">
      <alignment horizontal="right"/>
    </xf>
    <xf numFmtId="39" fontId="110" fillId="0" borderId="43" xfId="51504" applyNumberFormat="1" applyFont="1" applyBorder="1" applyAlignment="1">
      <alignment horizontal="left" vertical="top" wrapText="1"/>
    </xf>
    <xf numFmtId="39" fontId="110" fillId="0" borderId="44" xfId="51504" applyNumberFormat="1" applyFont="1" applyBorder="1" applyAlignment="1">
      <alignment horizontal="left" vertical="top" wrapText="1"/>
    </xf>
    <xf numFmtId="39" fontId="110" fillId="0" borderId="0" xfId="51504" applyNumberFormat="1" applyFont="1" applyAlignment="1">
      <alignment horizontal="right"/>
    </xf>
    <xf numFmtId="43" fontId="110" fillId="0" borderId="0" xfId="51528" applyFont="1" applyFill="1" applyAlignment="1">
      <alignment horizontal="right"/>
    </xf>
    <xf numFmtId="0" fontId="104" fillId="30" borderId="0" xfId="51531" applyFont="1" applyFill="1" applyAlignment="1">
      <alignment horizontal="center"/>
    </xf>
    <xf numFmtId="0" fontId="104" fillId="30" borderId="49" xfId="51531" quotePrefix="1" applyFont="1" applyFill="1" applyBorder="1" applyAlignment="1">
      <alignment horizontal="center"/>
    </xf>
    <xf numFmtId="0" fontId="104" fillId="30" borderId="11" xfId="51533" applyFont="1" applyFill="1" applyBorder="1" applyAlignment="1">
      <alignment horizontal="center"/>
    </xf>
    <xf numFmtId="0" fontId="104" fillId="30" borderId="2" xfId="51533" applyFont="1" applyFill="1" applyBorder="1" applyAlignment="1">
      <alignment horizontal="center"/>
    </xf>
    <xf numFmtId="0" fontId="104" fillId="30" borderId="16" xfId="51533" applyFont="1" applyFill="1" applyBorder="1" applyAlignment="1">
      <alignment horizontal="center"/>
    </xf>
  </cellXfs>
  <cellStyles count="51536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6" xfId="51523" xr:uid="{00000000-0005-0000-0000-00000A000000}"/>
    <cellStyle name="Normal 2 47" xfId="51530" xr:uid="{00000000-0005-0000-0000-00000A00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72" xfId="51532" xr:uid="{39AD70D7-2E00-46B5-AF9B-45188407634F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1" xfId="51534" xr:uid="{A7092389-2786-4AAA-B7A2-F136B8409012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2" xfId="51531" xr:uid="{761B903D-42D4-49D2-8384-51F41D7C5BA0}"/>
    <cellStyle name="Normal 93" xfId="51533" xr:uid="{4D009695-CAF1-4EF5-8AC1-9EEF71AE3CA9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5" xr:uid="{6F5D9E57-A292-45E9-8CAF-04B58E6CA628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DMA\NEW-CNGC-Advice-W23-09-03-Rule-21-Decoupling-WP-09-16-2024.xlsx" TargetMode="External"/><Relationship Id="rId1" Type="http://schemas.openxmlformats.org/officeDocument/2006/relationships/externalLinkPath" Target="/personal/avery_booth_utc_wa_gov/Documents/Local%20Computer%20Files/Downloads/NEW-CNGC-Advice-W23-09-03-Rule-21-Decoupling-WP-09-16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4-18%20DEFSUMW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DMA\12-23%20DEFSUMWA.xlsx" TargetMode="External"/><Relationship Id="rId1" Type="http://schemas.openxmlformats.org/officeDocument/2006/relationships/externalLinkPath" Target="/personal/avery_booth_utc_wa_gov/Documents/Local%20Computer%20Files/Downloads/12-23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 CAP 2023"/>
      <sheetName val="WACAP2023Amort"/>
      <sheetName val="Authorized Margins 2023"/>
      <sheetName val="WACAP 2022"/>
      <sheetName val="WACAP2022Amort"/>
      <sheetName val="Authorized Margins 2022"/>
      <sheetName val="Authorized Margins 22"/>
      <sheetName val="WACAP 2021"/>
      <sheetName val="WACAP2021Amort"/>
      <sheetName val="Authorized Margins 2021"/>
      <sheetName val="WACAP 2020"/>
      <sheetName val="WACAP2020Amort"/>
      <sheetName val="WACAP 2019"/>
      <sheetName val="Ammort Split 2022"/>
      <sheetName val="Ammort Split 2021"/>
      <sheetName val="Authorized Margins 2020"/>
      <sheetName val="Ammort Split 2020"/>
      <sheetName val="WACAP 2018"/>
      <sheetName val="Ammort Split 2019"/>
      <sheetName val="Ammort Split 2018"/>
      <sheetName val="Authorized Margins 2019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9">
          <cell r="R19">
            <v>-2182081.5800000015</v>
          </cell>
        </row>
        <row r="29">
          <cell r="R29">
            <v>73309.33000000006</v>
          </cell>
        </row>
        <row r="39">
          <cell r="R39">
            <v>-30973.829999999976</v>
          </cell>
        </row>
        <row r="49">
          <cell r="R49">
            <v>15781.050000000003</v>
          </cell>
        </row>
        <row r="64">
          <cell r="R64">
            <v>45225.09</v>
          </cell>
        </row>
        <row r="78">
          <cell r="R78">
            <v>920278.46999999951</v>
          </cell>
        </row>
        <row r="92">
          <cell r="R92">
            <v>-499657.70000000013</v>
          </cell>
        </row>
        <row r="118">
          <cell r="R118">
            <v>4636.029999999987</v>
          </cell>
        </row>
      </sheetData>
      <sheetData sheetId="1">
        <row r="15">
          <cell r="R15">
            <v>-1061182.6843000031</v>
          </cell>
        </row>
        <row r="24">
          <cell r="R24">
            <v>8120.9684300000517</v>
          </cell>
        </row>
        <row r="33">
          <cell r="R33">
            <v>-79934.252709999986</v>
          </cell>
        </row>
        <row r="42">
          <cell r="R42">
            <v>-1387933.7212099971</v>
          </cell>
        </row>
        <row r="51">
          <cell r="R51">
            <v>471321.11565999995</v>
          </cell>
        </row>
        <row r="61">
          <cell r="R61">
            <v>-7094.2471599999881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10">
          <cell r="A10">
            <v>41305</v>
          </cell>
        </row>
        <row r="54">
          <cell r="A54">
            <v>42643</v>
          </cell>
        </row>
        <row r="55">
          <cell r="A55">
            <v>42674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VSD JE UPLOAD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EDP-AMP 1823.2073"/>
      <sheetName val="EDP-AMP 1823.2074"/>
      <sheetName val="EDP-AMP 1823.2075"/>
      <sheetName val="EDP-AMP 1823.2076"/>
      <sheetName val="CCA 1823.2058"/>
      <sheetName val="CCA 1823.2063"/>
      <sheetName val="CCA 1823.2064"/>
      <sheetName val="CCA 1823.2065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1823.2078"/>
      <sheetName val="WEAF Big Heart-Therm Sales"/>
      <sheetName val="RA 1860.20484"/>
      <sheetName val="RA 1860.20485"/>
      <sheetName val="RA 1860.20486"/>
      <sheetName val="ZBA 13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>
        <row r="130">
          <cell r="A130">
            <v>44957</v>
          </cell>
        </row>
        <row r="131">
          <cell r="A131">
            <v>44985</v>
          </cell>
        </row>
        <row r="132">
          <cell r="A132">
            <v>45016</v>
          </cell>
        </row>
        <row r="133">
          <cell r="A133">
            <v>45046</v>
          </cell>
        </row>
        <row r="134">
          <cell r="A134">
            <v>45077</v>
          </cell>
        </row>
        <row r="135">
          <cell r="A135">
            <v>45107</v>
          </cell>
        </row>
        <row r="136">
          <cell r="A136">
            <v>45138</v>
          </cell>
        </row>
        <row r="137">
          <cell r="A137">
            <v>45169</v>
          </cell>
        </row>
        <row r="138">
          <cell r="A138">
            <v>45199</v>
          </cell>
        </row>
        <row r="139">
          <cell r="A139">
            <v>45230</v>
          </cell>
        </row>
        <row r="140">
          <cell r="A140">
            <v>45260</v>
          </cell>
        </row>
        <row r="141">
          <cell r="A141">
            <v>45291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view="pageBreakPreview" zoomScale="106" zoomScaleNormal="100" zoomScaleSheetLayoutView="106" workbookViewId="0"/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42" t="s">
        <v>185</v>
      </c>
      <c r="C2" s="542"/>
      <c r="D2" s="542"/>
      <c r="E2" s="542"/>
      <c r="F2" s="542"/>
      <c r="G2" s="264"/>
      <c r="H2" s="264"/>
      <c r="I2" s="264"/>
      <c r="J2" s="264"/>
    </row>
    <row r="4" spans="2:10" ht="15.75">
      <c r="B4" s="543" t="s">
        <v>186</v>
      </c>
      <c r="C4" s="543"/>
      <c r="D4" s="543"/>
      <c r="E4" s="543"/>
      <c r="F4" s="543"/>
      <c r="G4" s="265"/>
      <c r="H4" s="265"/>
      <c r="I4" s="265"/>
      <c r="J4" s="265"/>
    </row>
    <row r="7" spans="2:10" ht="15.75">
      <c r="B7" s="543" t="s">
        <v>198</v>
      </c>
      <c r="C7" s="543"/>
      <c r="D7" s="543"/>
      <c r="E7" s="543"/>
      <c r="F7" s="543"/>
    </row>
    <row r="10" spans="2:10" ht="15.75">
      <c r="B10" s="266" t="s">
        <v>0</v>
      </c>
      <c r="C10" s="267"/>
      <c r="D10" s="267"/>
      <c r="E10" s="267"/>
      <c r="F10" s="266" t="s">
        <v>187</v>
      </c>
      <c r="G10" s="267"/>
    </row>
    <row r="11" spans="2:10" ht="15.75">
      <c r="B11" s="267"/>
      <c r="C11" s="267"/>
      <c r="D11" s="267"/>
      <c r="E11" s="267"/>
      <c r="F11" s="267"/>
      <c r="G11" s="267"/>
    </row>
    <row r="12" spans="2:10" ht="15.75">
      <c r="B12" s="267" t="s">
        <v>192</v>
      </c>
      <c r="C12" s="267"/>
      <c r="D12" s="267"/>
      <c r="E12" s="267"/>
      <c r="F12" s="268" t="s">
        <v>191</v>
      </c>
      <c r="G12" s="267"/>
    </row>
    <row r="13" spans="2:10" ht="15.75">
      <c r="B13" s="267" t="s">
        <v>193</v>
      </c>
      <c r="C13" s="267"/>
      <c r="D13" s="267"/>
      <c r="E13" s="267"/>
      <c r="F13" s="269">
        <v>2</v>
      </c>
      <c r="G13" s="267"/>
    </row>
    <row r="14" spans="2:10" ht="15.75">
      <c r="B14" s="267" t="s">
        <v>194</v>
      </c>
      <c r="C14" s="267"/>
      <c r="D14" s="267"/>
      <c r="E14" s="267"/>
      <c r="F14" s="269">
        <v>3</v>
      </c>
      <c r="G14" s="267"/>
    </row>
    <row r="15" spans="2:10" ht="15.75">
      <c r="B15" s="267" t="s">
        <v>197</v>
      </c>
      <c r="C15" s="267"/>
      <c r="D15" s="267"/>
      <c r="E15" s="267"/>
      <c r="F15" s="269">
        <v>4</v>
      </c>
      <c r="G15" s="267"/>
    </row>
    <row r="16" spans="2:10" ht="15.75">
      <c r="B16" s="341" t="s">
        <v>201</v>
      </c>
      <c r="C16" s="267"/>
      <c r="D16" s="267"/>
      <c r="E16" s="267"/>
      <c r="F16" s="269">
        <v>5</v>
      </c>
      <c r="G16" s="267"/>
    </row>
    <row r="17" spans="2:9" ht="15.75">
      <c r="C17" s="340"/>
      <c r="D17" s="340"/>
      <c r="E17" s="340"/>
      <c r="F17" s="269"/>
      <c r="G17" s="340"/>
      <c r="H17" s="340"/>
      <c r="I17" s="340"/>
    </row>
    <row r="18" spans="2:9" ht="12.75">
      <c r="B18" s="362"/>
      <c r="C18" s="362"/>
      <c r="D18" s="362"/>
      <c r="E18" s="362"/>
      <c r="F18" s="362"/>
      <c r="G18" s="362"/>
    </row>
    <row r="19" spans="2:9" ht="15.75">
      <c r="B19" s="267"/>
      <c r="C19" s="267"/>
      <c r="D19" s="267"/>
      <c r="E19" s="267"/>
      <c r="F19" s="269"/>
      <c r="G19" s="267"/>
    </row>
    <row r="20" spans="2:9" ht="15.75">
      <c r="B20" s="267"/>
      <c r="C20" s="267"/>
      <c r="D20" s="267"/>
      <c r="E20" s="267"/>
      <c r="F20" s="269"/>
      <c r="G20" s="267"/>
    </row>
    <row r="21" spans="2:9" ht="15.75">
      <c r="B21" s="267"/>
      <c r="C21" s="267"/>
      <c r="D21" s="267"/>
      <c r="E21" s="267"/>
      <c r="F21" s="269"/>
      <c r="G21" s="267"/>
    </row>
    <row r="22" spans="2:9" ht="15.75">
      <c r="B22" s="267"/>
      <c r="C22" s="267"/>
      <c r="D22" s="267"/>
      <c r="E22" s="267"/>
      <c r="F22" s="267"/>
      <c r="G22" s="267"/>
    </row>
    <row r="23" spans="2:9" ht="15.75">
      <c r="B23" s="267"/>
      <c r="C23" s="267"/>
      <c r="D23" s="267"/>
      <c r="E23" s="267"/>
      <c r="F23" s="267"/>
      <c r="G23" s="267"/>
    </row>
    <row r="24" spans="2:9" ht="15.75">
      <c r="B24" s="267"/>
      <c r="C24" s="267"/>
      <c r="D24" s="267"/>
      <c r="E24" s="267"/>
      <c r="F24" s="267"/>
      <c r="G24" s="267"/>
    </row>
    <row r="25" spans="2:9" ht="15.75">
      <c r="B25" s="267"/>
      <c r="C25" s="267"/>
      <c r="D25" s="267"/>
      <c r="E25" s="267"/>
      <c r="F25" s="267"/>
      <c r="G25" s="267"/>
    </row>
    <row r="26" spans="2:9" ht="15.75">
      <c r="B26" s="267"/>
      <c r="C26" s="267"/>
      <c r="D26" s="267"/>
      <c r="E26" s="267"/>
      <c r="F26" s="267"/>
      <c r="G26" s="267"/>
    </row>
    <row r="27" spans="2:9" ht="15.75">
      <c r="B27" s="267"/>
      <c r="C27" s="267"/>
      <c r="D27" s="267"/>
      <c r="E27" s="267"/>
      <c r="F27" s="267"/>
      <c r="G27" s="267"/>
    </row>
    <row r="28" spans="2:9" ht="15.75">
      <c r="B28" s="267"/>
      <c r="C28" s="267"/>
      <c r="D28" s="267"/>
      <c r="E28" s="267"/>
      <c r="F28" s="267"/>
      <c r="G28" s="267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6"/>
  <sheetViews>
    <sheetView view="pageBreakPreview" zoomScale="82" zoomScaleNormal="100" zoomScaleSheetLayoutView="82" workbookViewId="0">
      <selection activeCell="F15" sqref="F15"/>
    </sheetView>
  </sheetViews>
  <sheetFormatPr defaultColWidth="9.83203125" defaultRowHeight="15" customHeight="1"/>
  <cols>
    <col min="1" max="1" width="5.5" style="272" bestFit="1" customWidth="1"/>
    <col min="2" max="2" width="18" style="282" bestFit="1" customWidth="1"/>
    <col min="3" max="3" width="22" style="282" customWidth="1"/>
    <col min="4" max="4" width="20.6640625" style="282" bestFit="1" customWidth="1"/>
    <col min="5" max="5" width="22.33203125" style="282" customWidth="1"/>
    <col min="6" max="6" width="19.6640625" style="282" bestFit="1" customWidth="1"/>
    <col min="7" max="7" width="17.33203125" style="282" bestFit="1" customWidth="1"/>
    <col min="8" max="9" width="18" style="282" bestFit="1" customWidth="1"/>
    <col min="10" max="10" width="19" style="282" bestFit="1" customWidth="1"/>
    <col min="11" max="11" width="18" style="282" bestFit="1" customWidth="1"/>
    <col min="12" max="12" width="10.33203125" style="282" bestFit="1" customWidth="1"/>
    <col min="13" max="13" width="2.33203125" style="282" customWidth="1"/>
    <col min="14" max="14" width="37.1640625" style="282" bestFit="1" customWidth="1"/>
    <col min="15" max="15" width="11.1640625" style="282" customWidth="1"/>
    <col min="16" max="16" width="13" style="282" customWidth="1"/>
    <col min="17" max="16384" width="9.83203125" style="282"/>
  </cols>
  <sheetData>
    <row r="1" spans="1:22" ht="15" customHeight="1">
      <c r="D1" s="545" t="s">
        <v>33</v>
      </c>
      <c r="E1" s="545"/>
      <c r="F1" s="545"/>
      <c r="G1" s="545"/>
      <c r="H1" s="545"/>
      <c r="I1" s="545"/>
      <c r="J1" s="545"/>
      <c r="K1" s="545"/>
      <c r="L1" s="545"/>
      <c r="M1" s="545"/>
      <c r="N1" s="499" t="s">
        <v>337</v>
      </c>
    </row>
    <row r="2" spans="1:22" ht="15" customHeight="1">
      <c r="A2" s="290"/>
      <c r="D2" s="544" t="s">
        <v>188</v>
      </c>
      <c r="E2" s="544"/>
      <c r="F2" s="544"/>
      <c r="G2" s="544"/>
      <c r="H2" s="544"/>
      <c r="I2" s="544"/>
      <c r="J2" s="544"/>
      <c r="K2" s="544"/>
      <c r="L2" s="544"/>
      <c r="M2" s="544"/>
      <c r="N2" s="420" t="s">
        <v>189</v>
      </c>
    </row>
    <row r="3" spans="1:22" ht="15" customHeight="1">
      <c r="D3" s="545" t="s">
        <v>35</v>
      </c>
      <c r="E3" s="545"/>
      <c r="F3" s="545"/>
      <c r="G3" s="545"/>
      <c r="H3" s="545"/>
      <c r="I3" s="545"/>
      <c r="J3" s="545"/>
      <c r="K3" s="545"/>
      <c r="L3" s="545"/>
      <c r="M3" s="545"/>
      <c r="N3" s="420" t="s">
        <v>331</v>
      </c>
    </row>
    <row r="4" spans="1:22" ht="15" customHeight="1">
      <c r="D4" s="546" t="s">
        <v>195</v>
      </c>
      <c r="E4" s="546"/>
      <c r="F4" s="546"/>
      <c r="G4" s="546"/>
      <c r="H4" s="546"/>
      <c r="I4" s="546"/>
      <c r="J4" s="546"/>
      <c r="K4" s="546"/>
      <c r="L4" s="546"/>
      <c r="M4" s="292"/>
      <c r="N4" s="337"/>
    </row>
    <row r="5" spans="1:22" s="272" customFormat="1" ht="15" customHeight="1">
      <c r="D5" s="271"/>
      <c r="G5" s="544"/>
      <c r="H5" s="544"/>
      <c r="I5" s="544"/>
      <c r="J5" s="544"/>
      <c r="K5" s="544"/>
      <c r="N5" s="271"/>
    </row>
    <row r="6" spans="1:22" s="272" customFormat="1" ht="15.75" thickBot="1">
      <c r="F6" s="273"/>
      <c r="L6" s="271"/>
      <c r="M6" s="271"/>
    </row>
    <row r="7" spans="1:22" s="272" customFormat="1" ht="60">
      <c r="A7" s="275" t="s">
        <v>129</v>
      </c>
      <c r="B7" s="275" t="s">
        <v>247</v>
      </c>
      <c r="C7" s="273" t="s">
        <v>338</v>
      </c>
      <c r="D7" s="273" t="s">
        <v>339</v>
      </c>
      <c r="E7" s="274" t="s">
        <v>363</v>
      </c>
      <c r="F7" s="271" t="s">
        <v>7</v>
      </c>
      <c r="G7" s="342">
        <v>503</v>
      </c>
      <c r="H7" s="343">
        <v>504</v>
      </c>
      <c r="I7" s="343">
        <v>505</v>
      </c>
      <c r="J7" s="343">
        <v>511</v>
      </c>
      <c r="K7" s="344">
        <v>570</v>
      </c>
      <c r="L7" s="276" t="s">
        <v>130</v>
      </c>
      <c r="M7" s="271"/>
      <c r="N7" s="271"/>
    </row>
    <row r="8" spans="1:22" ht="15" customHeight="1">
      <c r="A8" s="291"/>
      <c r="B8" s="277" t="s">
        <v>9</v>
      </c>
      <c r="C8" s="277" t="s">
        <v>10</v>
      </c>
      <c r="D8" s="277" t="s">
        <v>11</v>
      </c>
      <c r="E8" s="277" t="s">
        <v>12</v>
      </c>
      <c r="F8" s="277" t="s">
        <v>200</v>
      </c>
      <c r="G8" s="345" t="s">
        <v>327</v>
      </c>
      <c r="H8" s="277" t="s">
        <v>49</v>
      </c>
      <c r="I8" s="277" t="s">
        <v>50</v>
      </c>
      <c r="J8" s="277" t="s">
        <v>51</v>
      </c>
      <c r="K8" s="346" t="s">
        <v>14</v>
      </c>
      <c r="L8" s="277" t="s">
        <v>328</v>
      </c>
      <c r="M8" s="277"/>
      <c r="N8" s="277"/>
    </row>
    <row r="9" spans="1:22" ht="15" customHeight="1">
      <c r="B9" s="288"/>
      <c r="C9" s="271"/>
      <c r="D9" s="278"/>
      <c r="E9" s="271"/>
      <c r="F9" s="271"/>
      <c r="G9" s="347">
        <f>+'Test Period Volumes'!C34</f>
        <v>140216275.3119559</v>
      </c>
      <c r="H9" s="284">
        <f>+'Test Period Volumes'!D34</f>
        <v>103631783.38918559</v>
      </c>
      <c r="I9" s="284">
        <f>+'Test Period Volumes'!E34</f>
        <v>13457822.341199517</v>
      </c>
      <c r="J9" s="284">
        <f>+'Test Period Volumes'!F34</f>
        <v>16601133.000301499</v>
      </c>
      <c r="K9" s="348">
        <f>+'Test Period Volumes'!G34</f>
        <v>2353804.9573574951</v>
      </c>
      <c r="L9" s="271"/>
      <c r="M9" s="271"/>
      <c r="N9" s="271" t="s">
        <v>364</v>
      </c>
    </row>
    <row r="10" spans="1:22" ht="15" customHeight="1">
      <c r="B10" s="288"/>
      <c r="C10" s="271"/>
      <c r="D10" s="278"/>
      <c r="E10" s="271"/>
      <c r="F10" s="271"/>
      <c r="G10" s="349"/>
      <c r="H10" s="279"/>
      <c r="I10" s="279"/>
      <c r="J10" s="279"/>
      <c r="K10" s="350"/>
      <c r="L10" s="271"/>
      <c r="M10" s="271"/>
      <c r="N10" s="271"/>
    </row>
    <row r="11" spans="1:22" ht="15" customHeight="1">
      <c r="A11" s="271"/>
      <c r="B11" s="421"/>
      <c r="C11" s="289"/>
      <c r="D11" s="280"/>
      <c r="E11" s="422"/>
      <c r="F11" s="280"/>
      <c r="G11" s="351"/>
      <c r="H11" s="281"/>
      <c r="I11" s="281"/>
      <c r="J11" s="281"/>
      <c r="K11" s="352"/>
      <c r="L11" s="271"/>
    </row>
    <row r="12" spans="1:22" ht="15" customHeight="1">
      <c r="A12" s="271">
        <v>1</v>
      </c>
      <c r="B12" s="423">
        <v>503</v>
      </c>
      <c r="C12" s="289">
        <f>+'Balances at 12-31-2023'!D13+'Balances at 12-31-2023'!D18</f>
        <v>1120898.9556999984</v>
      </c>
      <c r="D12" s="280">
        <f>+EstimatedBalances!O10+EstimatedBalances!O15</f>
        <v>1145795.1344405781</v>
      </c>
      <c r="E12" s="280">
        <f>+'Int during Amort'!S21</f>
        <v>77226.220011127501</v>
      </c>
      <c r="F12" s="280">
        <f>SUM(C12:E12)</f>
        <v>2343920.3101517041</v>
      </c>
      <c r="G12" s="426">
        <f>ROUND(F12/G9,6)</f>
        <v>1.6716000000000002E-2</v>
      </c>
      <c r="K12" s="427"/>
      <c r="L12" s="271" t="s">
        <v>15</v>
      </c>
      <c r="M12" s="271"/>
      <c r="N12" s="335" t="s">
        <v>195</v>
      </c>
      <c r="O12" s="335"/>
      <c r="P12" s="335"/>
      <c r="Q12" s="335"/>
      <c r="R12" s="335"/>
      <c r="S12" s="335"/>
      <c r="T12" s="335"/>
      <c r="U12" s="335"/>
      <c r="V12" s="335"/>
    </row>
    <row r="13" spans="1:22" ht="15" customHeight="1">
      <c r="A13" s="271">
        <v>2</v>
      </c>
      <c r="B13" s="423">
        <v>504</v>
      </c>
      <c r="C13" s="289">
        <f>+'Balances at 12-31-2023'!D14+'Balances at 12-31-2023'!D19</f>
        <v>-2403927.4939199965</v>
      </c>
      <c r="D13" s="280">
        <f>+EstimatedBalances!O11+EstimatedBalances!O16</f>
        <v>1391181.6293763705</v>
      </c>
      <c r="E13" s="280">
        <f>+'Int during Amort'!S22</f>
        <v>-36375.282491230384</v>
      </c>
      <c r="F13" s="280">
        <f>SUM(C13:E13)</f>
        <v>-1049121.1470348565</v>
      </c>
      <c r="G13" s="353"/>
      <c r="H13" s="325">
        <f>ROUND(F13/H9,6)</f>
        <v>-1.0123999999999999E-2</v>
      </c>
      <c r="I13" s="293"/>
      <c r="J13" s="293"/>
      <c r="K13" s="354"/>
      <c r="L13" s="271" t="s">
        <v>15</v>
      </c>
      <c r="M13" s="271"/>
      <c r="N13" s="335" t="s">
        <v>195</v>
      </c>
    </row>
    <row r="14" spans="1:22" ht="15" customHeight="1">
      <c r="A14" s="271">
        <v>3</v>
      </c>
      <c r="B14" s="423">
        <v>505</v>
      </c>
      <c r="C14" s="289">
        <f>+'Balances at 12-31-2023'!D15+'Balances at 12-31-2023'!D20</f>
        <v>-65188.361570000008</v>
      </c>
      <c r="D14" s="280">
        <f>+EstimatedBalances!O12+EstimatedBalances!O17</f>
        <v>1701.1372582626245</v>
      </c>
      <c r="E14" s="280">
        <f>+'Int during Amort'!S23</f>
        <v>-2548.5866004973159</v>
      </c>
      <c r="F14" s="280">
        <f>SUM(C14:E14)</f>
        <v>-66035.810912234709</v>
      </c>
      <c r="G14" s="353"/>
      <c r="H14" s="293"/>
      <c r="I14" s="325">
        <f>ROUND(F14/I9,6)</f>
        <v>-4.9069999999999999E-3</v>
      </c>
      <c r="J14" s="293"/>
      <c r="K14" s="354"/>
      <c r="L14" s="271" t="s">
        <v>15</v>
      </c>
      <c r="M14" s="271"/>
      <c r="N14" s="335" t="s">
        <v>195</v>
      </c>
    </row>
    <row r="15" spans="1:22" ht="15" customHeight="1">
      <c r="A15" s="271">
        <v>4</v>
      </c>
      <c r="B15" s="421">
        <v>511</v>
      </c>
      <c r="C15" s="289">
        <f>+'Balances at 12-31-2023'!D16+'Balances at 12-31-2023'!D21</f>
        <v>956727.55566000007</v>
      </c>
      <c r="D15" s="280">
        <f>+EstimatedBalances!O13+EstimatedBalances!O18</f>
        <v>28897.724804530153</v>
      </c>
      <c r="E15" s="280">
        <f>+'Int during Amort'!S24</f>
        <v>39871.945860400592</v>
      </c>
      <c r="F15" s="280">
        <f>SUM(C15:E15)</f>
        <v>1025497.2263249308</v>
      </c>
      <c r="G15" s="353"/>
      <c r="H15" s="293"/>
      <c r="I15" s="293"/>
      <c r="J15" s="325">
        <f>ROUND(F15/J9,6)</f>
        <v>6.1773000000000002E-2</v>
      </c>
      <c r="K15" s="354"/>
      <c r="L15" s="271" t="s">
        <v>15</v>
      </c>
      <c r="M15" s="271"/>
      <c r="N15" s="335" t="s">
        <v>195</v>
      </c>
    </row>
    <row r="16" spans="1:22" ht="15" customHeight="1">
      <c r="A16" s="271">
        <v>5</v>
      </c>
      <c r="B16" s="421">
        <v>570</v>
      </c>
      <c r="C16" s="289">
        <f>+'Balances at 12-31-2023'!D17+'Balances at 12-31-2023'!D22</f>
        <v>-11730.277159999976</v>
      </c>
      <c r="D16" s="280">
        <f>+EstimatedBalances!O14+EstimatedBalances!O19</f>
        <v>5885.5100056952797</v>
      </c>
      <c r="E16" s="280">
        <f>+'Int during Amort'!S25</f>
        <v>-229.31551523803975</v>
      </c>
      <c r="F16" s="280">
        <f>SUM(C16:E16)</f>
        <v>-6074.0826695427359</v>
      </c>
      <c r="G16" s="353"/>
      <c r="H16" s="293"/>
      <c r="I16" s="293"/>
      <c r="J16" s="293"/>
      <c r="K16" s="355">
        <f>ROUND(F16/K9,6)</f>
        <v>-2.581E-3</v>
      </c>
      <c r="L16" s="271" t="s">
        <v>15</v>
      </c>
      <c r="M16" s="271"/>
      <c r="N16" s="335" t="s">
        <v>195</v>
      </c>
    </row>
    <row r="17" spans="1:14" ht="15" customHeight="1">
      <c r="A17" s="271"/>
      <c r="B17" s="421"/>
      <c r="C17" s="289"/>
      <c r="D17" s="280"/>
      <c r="E17" s="422"/>
      <c r="F17" s="280"/>
      <c r="G17" s="353"/>
      <c r="H17" s="293"/>
      <c r="I17" s="293"/>
      <c r="J17" s="293"/>
      <c r="K17" s="354"/>
      <c r="L17" s="271"/>
      <c r="M17" s="271"/>
      <c r="N17" s="424"/>
    </row>
    <row r="18" spans="1:14" ht="15" customHeight="1">
      <c r="A18" s="271"/>
      <c r="B18" s="271"/>
      <c r="C18" s="429"/>
      <c r="D18" s="280"/>
      <c r="E18" s="280"/>
      <c r="F18" s="283"/>
      <c r="G18" s="356"/>
      <c r="H18" s="285"/>
      <c r="I18" s="285"/>
      <c r="J18" s="285"/>
      <c r="K18" s="357"/>
      <c r="L18" s="271"/>
      <c r="M18" s="271"/>
      <c r="N18" s="424"/>
    </row>
    <row r="19" spans="1:14" ht="22.5" customHeight="1" thickBot="1">
      <c r="A19" s="271">
        <v>6</v>
      </c>
      <c r="B19" s="425" t="s">
        <v>196</v>
      </c>
      <c r="C19" s="286">
        <f>SUM(C11:C18)</f>
        <v>-403219.621289998</v>
      </c>
      <c r="D19" s="286">
        <f>SUM(D11:D18)</f>
        <v>2573461.1358854366</v>
      </c>
      <c r="E19" s="286">
        <f>SUM(E11:E18)</f>
        <v>77944.981264562361</v>
      </c>
      <c r="F19" s="286">
        <f>SUM(F11:F18)</f>
        <v>2248186.4958600011</v>
      </c>
      <c r="G19" s="358">
        <f>+G12</f>
        <v>1.6716000000000002E-2</v>
      </c>
      <c r="H19" s="326">
        <f>+H13</f>
        <v>-1.0123999999999999E-2</v>
      </c>
      <c r="I19" s="326">
        <f>+I14</f>
        <v>-4.9069999999999999E-3</v>
      </c>
      <c r="J19" s="326">
        <f>+J15</f>
        <v>6.1773000000000002E-2</v>
      </c>
      <c r="K19" s="359">
        <f>+K16</f>
        <v>-2.581E-3</v>
      </c>
    </row>
    <row r="20" spans="1:14" ht="5.25" customHeight="1" thickBot="1">
      <c r="A20" s="271"/>
      <c r="G20" s="360"/>
      <c r="H20" s="287"/>
      <c r="I20" s="287"/>
      <c r="J20" s="287"/>
      <c r="K20" s="361"/>
    </row>
    <row r="21" spans="1:14" ht="15" customHeight="1" thickBot="1">
      <c r="A21" s="271">
        <v>7</v>
      </c>
      <c r="E21" s="282" t="s">
        <v>274</v>
      </c>
      <c r="G21" s="428">
        <f>+'Earnings Test and 3% Test'!F48</f>
        <v>0</v>
      </c>
      <c r="H21" s="428">
        <f>+'Earnings Test and 3% Test'!G48</f>
        <v>0</v>
      </c>
      <c r="I21" s="428">
        <f>+'Earnings Test and 3% Test'!H48</f>
        <v>0</v>
      </c>
      <c r="J21" s="428">
        <f>+'Earnings Test and 3% Test'!I48</f>
        <v>-2.674E-2</v>
      </c>
      <c r="K21" s="428">
        <f>+'Earnings Test and 3% Test'!J48</f>
        <v>0</v>
      </c>
    </row>
    <row r="22" spans="1:14" ht="15" customHeight="1" thickBot="1">
      <c r="A22" s="272">
        <v>8</v>
      </c>
      <c r="E22" s="539" t="s">
        <v>277</v>
      </c>
      <c r="G22" s="536">
        <f>+G19+G21</f>
        <v>1.6716000000000002E-2</v>
      </c>
      <c r="H22" s="537">
        <f t="shared" ref="H22:K22" si="0">+H19+H21</f>
        <v>-1.0123999999999999E-2</v>
      </c>
      <c r="I22" s="537">
        <f t="shared" si="0"/>
        <v>-4.9069999999999999E-3</v>
      </c>
      <c r="J22" s="537">
        <f t="shared" si="0"/>
        <v>3.5033000000000002E-2</v>
      </c>
      <c r="K22" s="538">
        <f t="shared" si="0"/>
        <v>-2.581E-3</v>
      </c>
    </row>
    <row r="23" spans="1:14" ht="15" customHeight="1">
      <c r="B23" s="272" t="s">
        <v>275</v>
      </c>
    </row>
    <row r="24" spans="1:14" ht="15" customHeight="1">
      <c r="A24" s="271">
        <v>9</v>
      </c>
      <c r="B24" s="419" t="s">
        <v>278</v>
      </c>
      <c r="C24" s="282" t="s">
        <v>276</v>
      </c>
    </row>
    <row r="27" spans="1:14" ht="15" customHeight="1">
      <c r="A27" s="271"/>
    </row>
    <row r="30" spans="1:14" ht="15" customHeight="1">
      <c r="A30" s="271"/>
    </row>
    <row r="32" spans="1:14" ht="15" customHeight="1">
      <c r="A32" s="271"/>
    </row>
    <row r="34" spans="1:1" ht="15" customHeight="1">
      <c r="A34" s="271"/>
    </row>
    <row r="35" spans="1:1" ht="15" customHeight="1">
      <c r="A35" s="271"/>
    </row>
    <row r="36" spans="1:1" ht="15" customHeight="1">
      <c r="A36" s="271"/>
    </row>
  </sheetData>
  <mergeCells count="5">
    <mergeCell ref="G5:K5"/>
    <mergeCell ref="D1:M1"/>
    <mergeCell ref="D3:M3"/>
    <mergeCell ref="D2:M2"/>
    <mergeCell ref="D4:L4"/>
  </mergeCells>
  <phoneticPr fontId="31" type="noConversion"/>
  <printOptions horizontalCentered="1"/>
  <pageMargins left="0.2" right="0.2" top="1" bottom="0.17" header="0.35" footer="0.5"/>
  <pageSetup scale="69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view="pageBreakPreview" zoomScale="98" zoomScaleNormal="100" zoomScaleSheetLayoutView="98" workbookViewId="0">
      <selection activeCell="G20" sqref="G20"/>
    </sheetView>
  </sheetViews>
  <sheetFormatPr defaultColWidth="10.6640625" defaultRowHeight="15"/>
  <cols>
    <col min="1" max="1" width="7.83203125" style="159" customWidth="1"/>
    <col min="2" max="2" width="26" style="159" customWidth="1"/>
    <col min="3" max="3" width="14.1640625" style="159" customWidth="1"/>
    <col min="4" max="4" width="16.1640625" style="159" customWidth="1"/>
    <col min="5" max="5" width="19.83203125" style="159" customWidth="1"/>
    <col min="6" max="6" width="19.33203125" style="159" customWidth="1"/>
    <col min="7" max="7" width="19.5" style="159" customWidth="1"/>
    <col min="8" max="8" width="5.1640625" style="159" customWidth="1"/>
    <col min="9" max="9" width="18" style="159" customWidth="1"/>
    <col min="10" max="10" width="16.1640625" style="159" customWidth="1"/>
    <col min="11" max="12" width="13.83203125" style="159" customWidth="1"/>
    <col min="13" max="13" width="14.83203125" style="159" customWidth="1"/>
    <col min="14" max="14" width="13.33203125" style="159" customWidth="1"/>
    <col min="15" max="15" width="19.6640625" style="159" customWidth="1"/>
    <col min="16" max="17" width="13.33203125" style="159" customWidth="1"/>
    <col min="18" max="18" width="16" style="159" customWidth="1"/>
    <col min="19" max="19" width="14.1640625" style="159" customWidth="1"/>
    <col min="20" max="20" width="17" style="159" customWidth="1"/>
    <col min="21" max="21" width="14.1640625" style="159" customWidth="1"/>
    <col min="22" max="16384" width="10.6640625" style="159"/>
  </cols>
  <sheetData>
    <row r="1" spans="2:15" ht="15.75" customHeight="1">
      <c r="G1" s="336" t="str">
        <f>+'DMA Summary of Def. Accts.'!N1</f>
        <v>CNGC Advice W24-09-03</v>
      </c>
    </row>
    <row r="2" spans="2:15" ht="15.75" customHeight="1">
      <c r="G2" s="270" t="s">
        <v>189</v>
      </c>
    </row>
    <row r="3" spans="2:15" ht="15.75" customHeight="1">
      <c r="G3" s="270" t="s">
        <v>140</v>
      </c>
    </row>
    <row r="4" spans="2:15" ht="15.75" customHeight="1">
      <c r="B4" s="302"/>
      <c r="C4" s="547" t="s">
        <v>33</v>
      </c>
      <c r="D4" s="547"/>
      <c r="E4" s="547"/>
      <c r="F4" s="547"/>
      <c r="G4" s="306"/>
      <c r="H4" s="160"/>
      <c r="I4" s="160"/>
      <c r="J4" s="160"/>
      <c r="K4" s="160"/>
      <c r="L4" s="160"/>
      <c r="M4" s="160"/>
      <c r="N4" s="160"/>
      <c r="O4" s="160"/>
    </row>
    <row r="5" spans="2:15" ht="15.75" customHeight="1">
      <c r="B5" s="302"/>
      <c r="C5" s="547" t="s">
        <v>86</v>
      </c>
      <c r="D5" s="547"/>
      <c r="E5" s="547"/>
      <c r="F5" s="547"/>
      <c r="G5" s="306"/>
      <c r="H5" s="160"/>
      <c r="I5" s="160"/>
      <c r="J5" s="160"/>
      <c r="K5" s="160"/>
      <c r="L5" s="160"/>
      <c r="M5" s="160"/>
      <c r="N5" s="160"/>
      <c r="O5" s="160"/>
    </row>
    <row r="6" spans="2:15" ht="15.75" customHeight="1">
      <c r="B6" s="302"/>
      <c r="C6" s="547" t="s">
        <v>178</v>
      </c>
      <c r="D6" s="547"/>
      <c r="E6" s="547"/>
      <c r="F6" s="547"/>
      <c r="G6" s="306"/>
      <c r="H6" s="160"/>
      <c r="I6" s="160"/>
      <c r="J6" s="160"/>
      <c r="K6" s="160"/>
      <c r="L6" s="160"/>
      <c r="M6" s="160"/>
      <c r="N6" s="160"/>
      <c r="O6" s="160"/>
    </row>
    <row r="7" spans="2:15" ht="15.75" customHeight="1">
      <c r="B7" s="302"/>
      <c r="C7" s="547" t="s">
        <v>35</v>
      </c>
      <c r="D7" s="547"/>
      <c r="E7" s="547"/>
      <c r="F7" s="547"/>
      <c r="G7" s="306"/>
      <c r="H7" s="160"/>
      <c r="I7" s="160"/>
      <c r="J7" s="160"/>
      <c r="K7" s="160"/>
      <c r="L7" s="160"/>
      <c r="M7" s="160"/>
      <c r="N7" s="160"/>
      <c r="O7" s="160"/>
    </row>
    <row r="8" spans="2:15" ht="15.75">
      <c r="B8" s="302"/>
      <c r="C8" s="302"/>
      <c r="D8" s="302"/>
      <c r="E8" s="302"/>
      <c r="F8" s="306"/>
      <c r="G8" s="302"/>
    </row>
    <row r="9" spans="2:15" s="163" customFormat="1" ht="63">
      <c r="B9" s="307" t="s">
        <v>0</v>
      </c>
      <c r="C9" s="308" t="s">
        <v>134</v>
      </c>
      <c r="D9" s="307" t="s">
        <v>177</v>
      </c>
      <c r="E9" s="323" t="s">
        <v>199</v>
      </c>
      <c r="F9" s="307" t="s">
        <v>179</v>
      </c>
      <c r="G9" s="307" t="s">
        <v>180</v>
      </c>
      <c r="H9" s="162"/>
      <c r="I9" s="162"/>
      <c r="J9" s="162"/>
      <c r="K9" s="162"/>
    </row>
    <row r="10" spans="2:15" ht="15.75">
      <c r="B10" s="309" t="s">
        <v>9</v>
      </c>
      <c r="C10" s="310" t="s">
        <v>10</v>
      </c>
      <c r="D10" s="311" t="s">
        <v>11</v>
      </c>
      <c r="E10" s="312" t="s">
        <v>12</v>
      </c>
      <c r="F10" s="311" t="s">
        <v>13</v>
      </c>
      <c r="G10" s="313" t="s">
        <v>87</v>
      </c>
      <c r="H10" s="160"/>
      <c r="I10" s="160"/>
      <c r="J10" s="160"/>
      <c r="K10" s="160"/>
    </row>
    <row r="11" spans="2:15" ht="16.5" customHeight="1">
      <c r="B11" s="314" t="s">
        <v>88</v>
      </c>
      <c r="C11" s="301"/>
      <c r="D11" s="301"/>
      <c r="E11" s="301"/>
      <c r="F11" s="408"/>
      <c r="G11" s="301"/>
    </row>
    <row r="12" spans="2:15" ht="15.75">
      <c r="B12" s="317" t="s">
        <v>53</v>
      </c>
      <c r="C12" s="315">
        <v>503</v>
      </c>
      <c r="D12" s="500">
        <v>1.1390000000000001E-2</v>
      </c>
      <c r="E12" s="305">
        <f>+'DMA Summary of Def. Accts.'!G22</f>
        <v>1.6716000000000002E-2</v>
      </c>
      <c r="F12" s="304">
        <f>+D12+E12</f>
        <v>2.8106000000000003E-2</v>
      </c>
      <c r="G12" s="303">
        <f>+E12</f>
        <v>1.6716000000000002E-2</v>
      </c>
      <c r="H12" s="3"/>
      <c r="I12" s="74"/>
      <c r="J12" s="33"/>
      <c r="K12" s="33"/>
    </row>
    <row r="13" spans="2:15" ht="15.75">
      <c r="B13" s="317" t="s">
        <v>61</v>
      </c>
      <c r="C13" s="315">
        <v>504</v>
      </c>
      <c r="D13" s="500">
        <v>2.197E-2</v>
      </c>
      <c r="E13" s="305">
        <f>+'DMA Summary of Def. Accts.'!H22</f>
        <v>-1.0123999999999999E-2</v>
      </c>
      <c r="F13" s="304">
        <f>+D13+E13</f>
        <v>1.1846000000000001E-2</v>
      </c>
      <c r="G13" s="303">
        <f>+E13</f>
        <v>-1.0123999999999999E-2</v>
      </c>
      <c r="H13" s="3"/>
      <c r="I13" s="74"/>
      <c r="J13" s="33"/>
      <c r="K13" s="33"/>
    </row>
    <row r="14" spans="2:15" ht="15.75">
      <c r="B14" s="317" t="s">
        <v>65</v>
      </c>
      <c r="C14" s="316">
        <v>505</v>
      </c>
      <c r="D14" s="500">
        <v>5.9999999999999995E-4</v>
      </c>
      <c r="E14" s="305">
        <f>+'DMA Summary of Def. Accts.'!I22</f>
        <v>-4.9069999999999999E-3</v>
      </c>
      <c r="F14" s="304">
        <f>+D14+E14</f>
        <v>-4.3070000000000001E-3</v>
      </c>
      <c r="G14" s="303">
        <f>+E14</f>
        <v>-4.9069999999999999E-3</v>
      </c>
      <c r="H14" s="3"/>
      <c r="I14" s="74"/>
      <c r="J14" s="33"/>
      <c r="K14" s="33"/>
    </row>
    <row r="15" spans="2:15" ht="15.75">
      <c r="B15" s="317" t="s">
        <v>136</v>
      </c>
      <c r="C15" s="316">
        <v>511</v>
      </c>
      <c r="D15" s="500">
        <v>-3.3899999999999998E-3</v>
      </c>
      <c r="E15" s="305">
        <f>+'DMA Summary of Def. Accts.'!J22</f>
        <v>3.5033000000000002E-2</v>
      </c>
      <c r="F15" s="304">
        <f>+D15+E15</f>
        <v>3.1643000000000004E-2</v>
      </c>
      <c r="G15" s="303">
        <f>+E15</f>
        <v>3.5033000000000002E-2</v>
      </c>
      <c r="H15" s="3"/>
      <c r="I15" s="74"/>
      <c r="J15" s="33"/>
      <c r="K15" s="33"/>
    </row>
    <row r="16" spans="2:15" ht="15.75">
      <c r="B16" s="317" t="s">
        <v>89</v>
      </c>
      <c r="C16" s="316">
        <v>570</v>
      </c>
      <c r="D16" s="500">
        <v>4.0000000000000001E-3</v>
      </c>
      <c r="E16" s="305">
        <f>+'DMA Summary of Def. Accts.'!K22</f>
        <v>-2.581E-3</v>
      </c>
      <c r="F16" s="304">
        <f>+D16+E16</f>
        <v>1.4190000000000001E-3</v>
      </c>
      <c r="G16" s="303">
        <f>+E16</f>
        <v>-2.581E-3</v>
      </c>
      <c r="H16" s="3"/>
      <c r="I16" s="74"/>
      <c r="J16" s="33"/>
      <c r="K16" s="33"/>
    </row>
    <row r="17" spans="2:22" ht="15.75">
      <c r="B17" s="318"/>
      <c r="C17" s="319"/>
      <c r="D17" s="319"/>
      <c r="E17" s="319"/>
      <c r="F17" s="320"/>
      <c r="G17" s="319"/>
      <c r="H17" s="74"/>
      <c r="I17" s="74"/>
      <c r="J17" s="33"/>
      <c r="K17" s="33"/>
    </row>
    <row r="18" spans="2:22">
      <c r="B18" s="173"/>
      <c r="G18" s="74"/>
      <c r="H18" s="74"/>
      <c r="I18" s="74"/>
      <c r="J18" s="74"/>
      <c r="K18" s="74"/>
    </row>
    <row r="19" spans="2:22">
      <c r="B19" s="174"/>
      <c r="G19" s="4"/>
      <c r="Q19" s="33"/>
      <c r="R19" s="33"/>
      <c r="S19" s="33"/>
      <c r="T19" s="33"/>
      <c r="U19" s="33"/>
      <c r="V19" s="33"/>
    </row>
    <row r="20" spans="2:22">
      <c r="B20" s="174"/>
      <c r="F20" s="160"/>
      <c r="G20" s="4"/>
      <c r="Q20" s="33"/>
      <c r="R20" s="33"/>
      <c r="S20" s="33"/>
      <c r="T20" s="33"/>
      <c r="U20" s="33"/>
    </row>
    <row r="21" spans="2:22">
      <c r="B21" s="174"/>
      <c r="F21" s="160"/>
      <c r="G21" s="4"/>
      <c r="Q21" s="33"/>
      <c r="R21" s="33"/>
      <c r="S21" s="33"/>
      <c r="T21" s="33"/>
      <c r="U21" s="33"/>
    </row>
    <row r="22" spans="2:22">
      <c r="B22" s="173"/>
      <c r="F22" s="160"/>
      <c r="G22" s="4"/>
    </row>
    <row r="23" spans="2:22">
      <c r="B23" s="173"/>
      <c r="F23" s="160"/>
      <c r="G23" s="76"/>
      <c r="H23" s="76"/>
      <c r="I23" s="76"/>
    </row>
    <row r="24" spans="2:22">
      <c r="F24" s="175"/>
      <c r="K24" s="76"/>
    </row>
    <row r="25" spans="2:22">
      <c r="F25" s="176"/>
      <c r="K25" s="76"/>
    </row>
    <row r="26" spans="2:22">
      <c r="K26" s="76"/>
    </row>
    <row r="27" spans="2:22">
      <c r="K27" s="76"/>
    </row>
  </sheetData>
  <mergeCells count="4">
    <mergeCell ref="C7:F7"/>
    <mergeCell ref="C6:F6"/>
    <mergeCell ref="C5:F5"/>
    <mergeCell ref="C4:F4"/>
  </mergeCells>
  <phoneticPr fontId="24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18"/>
  <sheetViews>
    <sheetView tabSelected="1" view="pageBreakPreview" zoomScale="93" zoomScaleNormal="100" zoomScaleSheetLayoutView="93" workbookViewId="0">
      <selection activeCell="J13" sqref="J13"/>
    </sheetView>
  </sheetViews>
  <sheetFormatPr defaultRowHeight="15"/>
  <cols>
    <col min="1" max="1" width="6.5" style="18" bestFit="1" customWidth="1"/>
    <col min="2" max="2" width="47.6640625" style="15" customWidth="1"/>
    <col min="3" max="3" width="12.6640625" style="15" bestFit="1" customWidth="1"/>
    <col min="4" max="4" width="16" style="15" bestFit="1" customWidth="1"/>
    <col min="5" max="5" width="23.1640625" style="15" bestFit="1" customWidth="1"/>
    <col min="6" max="6" width="1.33203125" style="15" customWidth="1"/>
    <col min="7" max="7" width="27.83203125" style="15" customWidth="1"/>
    <col min="8" max="9" width="1.33203125" style="15" customWidth="1"/>
    <col min="10" max="10" width="17.1640625" style="8" bestFit="1" customWidth="1"/>
    <col min="11" max="11" width="19.33203125" style="15" customWidth="1"/>
    <col min="12" max="12" width="15.6640625" style="15" bestFit="1" customWidth="1"/>
    <col min="13" max="13" width="9.33203125" style="15"/>
    <col min="14" max="14" width="14.5" style="15" bestFit="1" customWidth="1"/>
    <col min="15" max="15" width="17.6640625" style="15" bestFit="1" customWidth="1"/>
    <col min="16" max="249" width="9.33203125" style="15"/>
    <col min="250" max="250" width="5" style="15" customWidth="1"/>
    <col min="251" max="251" width="9.33203125" style="15"/>
    <col min="252" max="252" width="21.6640625" style="15" customWidth="1"/>
    <col min="253" max="253" width="13.5" style="15" customWidth="1"/>
    <col min="254" max="254" width="10.5" style="15" customWidth="1"/>
    <col min="255" max="255" width="15.1640625" style="15" customWidth="1"/>
    <col min="256" max="256" width="3.6640625" style="15" customWidth="1"/>
    <col min="257" max="257" width="13.1640625" style="15" customWidth="1"/>
    <col min="258" max="258" width="3.83203125" style="15" customWidth="1"/>
    <col min="259" max="259" width="15" style="15" customWidth="1"/>
    <col min="260" max="260" width="3.6640625" style="15" customWidth="1"/>
    <col min="261" max="262" width="13" style="15" customWidth="1"/>
    <col min="263" max="263" width="0" style="15" hidden="1" customWidth="1"/>
    <col min="264" max="265" width="9.33203125" style="15"/>
    <col min="266" max="266" width="15.83203125" style="15" customWidth="1"/>
    <col min="267" max="505" width="9.33203125" style="15"/>
    <col min="506" max="506" width="5" style="15" customWidth="1"/>
    <col min="507" max="507" width="9.33203125" style="15"/>
    <col min="508" max="508" width="21.6640625" style="15" customWidth="1"/>
    <col min="509" max="509" width="13.5" style="15" customWidth="1"/>
    <col min="510" max="510" width="10.5" style="15" customWidth="1"/>
    <col min="511" max="511" width="15.1640625" style="15" customWidth="1"/>
    <col min="512" max="512" width="3.6640625" style="15" customWidth="1"/>
    <col min="513" max="513" width="13.1640625" style="15" customWidth="1"/>
    <col min="514" max="514" width="3.83203125" style="15" customWidth="1"/>
    <col min="515" max="515" width="15" style="15" customWidth="1"/>
    <col min="516" max="516" width="3.6640625" style="15" customWidth="1"/>
    <col min="517" max="518" width="13" style="15" customWidth="1"/>
    <col min="519" max="519" width="0" style="15" hidden="1" customWidth="1"/>
    <col min="520" max="521" width="9.33203125" style="15"/>
    <col min="522" max="522" width="15.83203125" style="15" customWidth="1"/>
    <col min="523" max="761" width="9.33203125" style="15"/>
    <col min="762" max="762" width="5" style="15" customWidth="1"/>
    <col min="763" max="763" width="9.33203125" style="15"/>
    <col min="764" max="764" width="21.6640625" style="15" customWidth="1"/>
    <col min="765" max="765" width="13.5" style="15" customWidth="1"/>
    <col min="766" max="766" width="10.5" style="15" customWidth="1"/>
    <col min="767" max="767" width="15.1640625" style="15" customWidth="1"/>
    <col min="768" max="768" width="3.6640625" style="15" customWidth="1"/>
    <col min="769" max="769" width="13.1640625" style="15" customWidth="1"/>
    <col min="770" max="770" width="3.83203125" style="15" customWidth="1"/>
    <col min="771" max="771" width="15" style="15" customWidth="1"/>
    <col min="772" max="772" width="3.6640625" style="15" customWidth="1"/>
    <col min="773" max="774" width="13" style="15" customWidth="1"/>
    <col min="775" max="775" width="0" style="15" hidden="1" customWidth="1"/>
    <col min="776" max="777" width="9.33203125" style="15"/>
    <col min="778" max="778" width="15.83203125" style="15" customWidth="1"/>
    <col min="779" max="1017" width="9.33203125" style="15"/>
    <col min="1018" max="1018" width="5" style="15" customWidth="1"/>
    <col min="1019" max="1019" width="9.33203125" style="15"/>
    <col min="1020" max="1020" width="21.6640625" style="15" customWidth="1"/>
    <col min="1021" max="1021" width="13.5" style="15" customWidth="1"/>
    <col min="1022" max="1022" width="10.5" style="15" customWidth="1"/>
    <col min="1023" max="1023" width="15.1640625" style="15" customWidth="1"/>
    <col min="1024" max="1024" width="3.6640625" style="15" customWidth="1"/>
    <col min="1025" max="1025" width="13.1640625" style="15" customWidth="1"/>
    <col min="1026" max="1026" width="3.83203125" style="15" customWidth="1"/>
    <col min="1027" max="1027" width="15" style="15" customWidth="1"/>
    <col min="1028" max="1028" width="3.6640625" style="15" customWidth="1"/>
    <col min="1029" max="1030" width="13" style="15" customWidth="1"/>
    <col min="1031" max="1031" width="0" style="15" hidden="1" customWidth="1"/>
    <col min="1032" max="1033" width="9.33203125" style="15"/>
    <col min="1034" max="1034" width="15.83203125" style="15" customWidth="1"/>
    <col min="1035" max="1273" width="9.33203125" style="15"/>
    <col min="1274" max="1274" width="5" style="15" customWidth="1"/>
    <col min="1275" max="1275" width="9.33203125" style="15"/>
    <col min="1276" max="1276" width="21.6640625" style="15" customWidth="1"/>
    <col min="1277" max="1277" width="13.5" style="15" customWidth="1"/>
    <col min="1278" max="1278" width="10.5" style="15" customWidth="1"/>
    <col min="1279" max="1279" width="15.1640625" style="15" customWidth="1"/>
    <col min="1280" max="1280" width="3.6640625" style="15" customWidth="1"/>
    <col min="1281" max="1281" width="13.1640625" style="15" customWidth="1"/>
    <col min="1282" max="1282" width="3.83203125" style="15" customWidth="1"/>
    <col min="1283" max="1283" width="15" style="15" customWidth="1"/>
    <col min="1284" max="1284" width="3.6640625" style="15" customWidth="1"/>
    <col min="1285" max="1286" width="13" style="15" customWidth="1"/>
    <col min="1287" max="1287" width="0" style="15" hidden="1" customWidth="1"/>
    <col min="1288" max="1289" width="9.33203125" style="15"/>
    <col min="1290" max="1290" width="15.83203125" style="15" customWidth="1"/>
    <col min="1291" max="1529" width="9.33203125" style="15"/>
    <col min="1530" max="1530" width="5" style="15" customWidth="1"/>
    <col min="1531" max="1531" width="9.33203125" style="15"/>
    <col min="1532" max="1532" width="21.6640625" style="15" customWidth="1"/>
    <col min="1533" max="1533" width="13.5" style="15" customWidth="1"/>
    <col min="1534" max="1534" width="10.5" style="15" customWidth="1"/>
    <col min="1535" max="1535" width="15.1640625" style="15" customWidth="1"/>
    <col min="1536" max="1536" width="3.6640625" style="15" customWidth="1"/>
    <col min="1537" max="1537" width="13.1640625" style="15" customWidth="1"/>
    <col min="1538" max="1538" width="3.83203125" style="15" customWidth="1"/>
    <col min="1539" max="1539" width="15" style="15" customWidth="1"/>
    <col min="1540" max="1540" width="3.6640625" style="15" customWidth="1"/>
    <col min="1541" max="1542" width="13" style="15" customWidth="1"/>
    <col min="1543" max="1543" width="0" style="15" hidden="1" customWidth="1"/>
    <col min="1544" max="1545" width="9.33203125" style="15"/>
    <col min="1546" max="1546" width="15.83203125" style="15" customWidth="1"/>
    <col min="1547" max="1785" width="9.33203125" style="15"/>
    <col min="1786" max="1786" width="5" style="15" customWidth="1"/>
    <col min="1787" max="1787" width="9.33203125" style="15"/>
    <col min="1788" max="1788" width="21.6640625" style="15" customWidth="1"/>
    <col min="1789" max="1789" width="13.5" style="15" customWidth="1"/>
    <col min="1790" max="1790" width="10.5" style="15" customWidth="1"/>
    <col min="1791" max="1791" width="15.1640625" style="15" customWidth="1"/>
    <col min="1792" max="1792" width="3.6640625" style="15" customWidth="1"/>
    <col min="1793" max="1793" width="13.1640625" style="15" customWidth="1"/>
    <col min="1794" max="1794" width="3.83203125" style="15" customWidth="1"/>
    <col min="1795" max="1795" width="15" style="15" customWidth="1"/>
    <col min="1796" max="1796" width="3.6640625" style="15" customWidth="1"/>
    <col min="1797" max="1798" width="13" style="15" customWidth="1"/>
    <col min="1799" max="1799" width="0" style="15" hidden="1" customWidth="1"/>
    <col min="1800" max="1801" width="9.33203125" style="15"/>
    <col min="1802" max="1802" width="15.83203125" style="15" customWidth="1"/>
    <col min="1803" max="2041" width="9.33203125" style="15"/>
    <col min="2042" max="2042" width="5" style="15" customWidth="1"/>
    <col min="2043" max="2043" width="9.33203125" style="15"/>
    <col min="2044" max="2044" width="21.6640625" style="15" customWidth="1"/>
    <col min="2045" max="2045" width="13.5" style="15" customWidth="1"/>
    <col min="2046" max="2046" width="10.5" style="15" customWidth="1"/>
    <col min="2047" max="2047" width="15.1640625" style="15" customWidth="1"/>
    <col min="2048" max="2048" width="3.6640625" style="15" customWidth="1"/>
    <col min="2049" max="2049" width="13.1640625" style="15" customWidth="1"/>
    <col min="2050" max="2050" width="3.83203125" style="15" customWidth="1"/>
    <col min="2051" max="2051" width="15" style="15" customWidth="1"/>
    <col min="2052" max="2052" width="3.6640625" style="15" customWidth="1"/>
    <col min="2053" max="2054" width="13" style="15" customWidth="1"/>
    <col min="2055" max="2055" width="0" style="15" hidden="1" customWidth="1"/>
    <col min="2056" max="2057" width="9.33203125" style="15"/>
    <col min="2058" max="2058" width="15.83203125" style="15" customWidth="1"/>
    <col min="2059" max="2297" width="9.33203125" style="15"/>
    <col min="2298" max="2298" width="5" style="15" customWidth="1"/>
    <col min="2299" max="2299" width="9.33203125" style="15"/>
    <col min="2300" max="2300" width="21.6640625" style="15" customWidth="1"/>
    <col min="2301" max="2301" width="13.5" style="15" customWidth="1"/>
    <col min="2302" max="2302" width="10.5" style="15" customWidth="1"/>
    <col min="2303" max="2303" width="15.1640625" style="15" customWidth="1"/>
    <col min="2304" max="2304" width="3.6640625" style="15" customWidth="1"/>
    <col min="2305" max="2305" width="13.1640625" style="15" customWidth="1"/>
    <col min="2306" max="2306" width="3.83203125" style="15" customWidth="1"/>
    <col min="2307" max="2307" width="15" style="15" customWidth="1"/>
    <col min="2308" max="2308" width="3.6640625" style="15" customWidth="1"/>
    <col min="2309" max="2310" width="13" style="15" customWidth="1"/>
    <col min="2311" max="2311" width="0" style="15" hidden="1" customWidth="1"/>
    <col min="2312" max="2313" width="9.33203125" style="15"/>
    <col min="2314" max="2314" width="15.83203125" style="15" customWidth="1"/>
    <col min="2315" max="2553" width="9.33203125" style="15"/>
    <col min="2554" max="2554" width="5" style="15" customWidth="1"/>
    <col min="2555" max="2555" width="9.33203125" style="15"/>
    <col min="2556" max="2556" width="21.6640625" style="15" customWidth="1"/>
    <col min="2557" max="2557" width="13.5" style="15" customWidth="1"/>
    <col min="2558" max="2558" width="10.5" style="15" customWidth="1"/>
    <col min="2559" max="2559" width="15.1640625" style="15" customWidth="1"/>
    <col min="2560" max="2560" width="3.6640625" style="15" customWidth="1"/>
    <col min="2561" max="2561" width="13.1640625" style="15" customWidth="1"/>
    <col min="2562" max="2562" width="3.83203125" style="15" customWidth="1"/>
    <col min="2563" max="2563" width="15" style="15" customWidth="1"/>
    <col min="2564" max="2564" width="3.6640625" style="15" customWidth="1"/>
    <col min="2565" max="2566" width="13" style="15" customWidth="1"/>
    <col min="2567" max="2567" width="0" style="15" hidden="1" customWidth="1"/>
    <col min="2568" max="2569" width="9.33203125" style="15"/>
    <col min="2570" max="2570" width="15.83203125" style="15" customWidth="1"/>
    <col min="2571" max="2809" width="9.33203125" style="15"/>
    <col min="2810" max="2810" width="5" style="15" customWidth="1"/>
    <col min="2811" max="2811" width="9.33203125" style="15"/>
    <col min="2812" max="2812" width="21.6640625" style="15" customWidth="1"/>
    <col min="2813" max="2813" width="13.5" style="15" customWidth="1"/>
    <col min="2814" max="2814" width="10.5" style="15" customWidth="1"/>
    <col min="2815" max="2815" width="15.1640625" style="15" customWidth="1"/>
    <col min="2816" max="2816" width="3.6640625" style="15" customWidth="1"/>
    <col min="2817" max="2817" width="13.1640625" style="15" customWidth="1"/>
    <col min="2818" max="2818" width="3.83203125" style="15" customWidth="1"/>
    <col min="2819" max="2819" width="15" style="15" customWidth="1"/>
    <col min="2820" max="2820" width="3.6640625" style="15" customWidth="1"/>
    <col min="2821" max="2822" width="13" style="15" customWidth="1"/>
    <col min="2823" max="2823" width="0" style="15" hidden="1" customWidth="1"/>
    <col min="2824" max="2825" width="9.33203125" style="15"/>
    <col min="2826" max="2826" width="15.83203125" style="15" customWidth="1"/>
    <col min="2827" max="3065" width="9.33203125" style="15"/>
    <col min="3066" max="3066" width="5" style="15" customWidth="1"/>
    <col min="3067" max="3067" width="9.33203125" style="15"/>
    <col min="3068" max="3068" width="21.6640625" style="15" customWidth="1"/>
    <col min="3069" max="3069" width="13.5" style="15" customWidth="1"/>
    <col min="3070" max="3070" width="10.5" style="15" customWidth="1"/>
    <col min="3071" max="3071" width="15.1640625" style="15" customWidth="1"/>
    <col min="3072" max="3072" width="3.6640625" style="15" customWidth="1"/>
    <col min="3073" max="3073" width="13.1640625" style="15" customWidth="1"/>
    <col min="3074" max="3074" width="3.83203125" style="15" customWidth="1"/>
    <col min="3075" max="3075" width="15" style="15" customWidth="1"/>
    <col min="3076" max="3076" width="3.6640625" style="15" customWidth="1"/>
    <col min="3077" max="3078" width="13" style="15" customWidth="1"/>
    <col min="3079" max="3079" width="0" style="15" hidden="1" customWidth="1"/>
    <col min="3080" max="3081" width="9.33203125" style="15"/>
    <col min="3082" max="3082" width="15.83203125" style="15" customWidth="1"/>
    <col min="3083" max="3321" width="9.33203125" style="15"/>
    <col min="3322" max="3322" width="5" style="15" customWidth="1"/>
    <col min="3323" max="3323" width="9.33203125" style="15"/>
    <col min="3324" max="3324" width="21.6640625" style="15" customWidth="1"/>
    <col min="3325" max="3325" width="13.5" style="15" customWidth="1"/>
    <col min="3326" max="3326" width="10.5" style="15" customWidth="1"/>
    <col min="3327" max="3327" width="15.1640625" style="15" customWidth="1"/>
    <col min="3328" max="3328" width="3.6640625" style="15" customWidth="1"/>
    <col min="3329" max="3329" width="13.1640625" style="15" customWidth="1"/>
    <col min="3330" max="3330" width="3.83203125" style="15" customWidth="1"/>
    <col min="3331" max="3331" width="15" style="15" customWidth="1"/>
    <col min="3332" max="3332" width="3.6640625" style="15" customWidth="1"/>
    <col min="3333" max="3334" width="13" style="15" customWidth="1"/>
    <col min="3335" max="3335" width="0" style="15" hidden="1" customWidth="1"/>
    <col min="3336" max="3337" width="9.33203125" style="15"/>
    <col min="3338" max="3338" width="15.83203125" style="15" customWidth="1"/>
    <col min="3339" max="3577" width="9.33203125" style="15"/>
    <col min="3578" max="3578" width="5" style="15" customWidth="1"/>
    <col min="3579" max="3579" width="9.33203125" style="15"/>
    <col min="3580" max="3580" width="21.6640625" style="15" customWidth="1"/>
    <col min="3581" max="3581" width="13.5" style="15" customWidth="1"/>
    <col min="3582" max="3582" width="10.5" style="15" customWidth="1"/>
    <col min="3583" max="3583" width="15.1640625" style="15" customWidth="1"/>
    <col min="3584" max="3584" width="3.6640625" style="15" customWidth="1"/>
    <col min="3585" max="3585" width="13.1640625" style="15" customWidth="1"/>
    <col min="3586" max="3586" width="3.83203125" style="15" customWidth="1"/>
    <col min="3587" max="3587" width="15" style="15" customWidth="1"/>
    <col min="3588" max="3588" width="3.6640625" style="15" customWidth="1"/>
    <col min="3589" max="3590" width="13" style="15" customWidth="1"/>
    <col min="3591" max="3591" width="0" style="15" hidden="1" customWidth="1"/>
    <col min="3592" max="3593" width="9.33203125" style="15"/>
    <col min="3594" max="3594" width="15.83203125" style="15" customWidth="1"/>
    <col min="3595" max="3833" width="9.33203125" style="15"/>
    <col min="3834" max="3834" width="5" style="15" customWidth="1"/>
    <col min="3835" max="3835" width="9.33203125" style="15"/>
    <col min="3836" max="3836" width="21.6640625" style="15" customWidth="1"/>
    <col min="3837" max="3837" width="13.5" style="15" customWidth="1"/>
    <col min="3838" max="3838" width="10.5" style="15" customWidth="1"/>
    <col min="3839" max="3839" width="15.1640625" style="15" customWidth="1"/>
    <col min="3840" max="3840" width="3.6640625" style="15" customWidth="1"/>
    <col min="3841" max="3841" width="13.1640625" style="15" customWidth="1"/>
    <col min="3842" max="3842" width="3.83203125" style="15" customWidth="1"/>
    <col min="3843" max="3843" width="15" style="15" customWidth="1"/>
    <col min="3844" max="3844" width="3.6640625" style="15" customWidth="1"/>
    <col min="3845" max="3846" width="13" style="15" customWidth="1"/>
    <col min="3847" max="3847" width="0" style="15" hidden="1" customWidth="1"/>
    <col min="3848" max="3849" width="9.33203125" style="15"/>
    <col min="3850" max="3850" width="15.83203125" style="15" customWidth="1"/>
    <col min="3851" max="4089" width="9.33203125" style="15"/>
    <col min="4090" max="4090" width="5" style="15" customWidth="1"/>
    <col min="4091" max="4091" width="9.33203125" style="15"/>
    <col min="4092" max="4092" width="21.6640625" style="15" customWidth="1"/>
    <col min="4093" max="4093" width="13.5" style="15" customWidth="1"/>
    <col min="4094" max="4094" width="10.5" style="15" customWidth="1"/>
    <col min="4095" max="4095" width="15.1640625" style="15" customWidth="1"/>
    <col min="4096" max="4096" width="3.6640625" style="15" customWidth="1"/>
    <col min="4097" max="4097" width="13.1640625" style="15" customWidth="1"/>
    <col min="4098" max="4098" width="3.83203125" style="15" customWidth="1"/>
    <col min="4099" max="4099" width="15" style="15" customWidth="1"/>
    <col min="4100" max="4100" width="3.6640625" style="15" customWidth="1"/>
    <col min="4101" max="4102" width="13" style="15" customWidth="1"/>
    <col min="4103" max="4103" width="0" style="15" hidden="1" customWidth="1"/>
    <col min="4104" max="4105" width="9.33203125" style="15"/>
    <col min="4106" max="4106" width="15.83203125" style="15" customWidth="1"/>
    <col min="4107" max="4345" width="9.33203125" style="15"/>
    <col min="4346" max="4346" width="5" style="15" customWidth="1"/>
    <col min="4347" max="4347" width="9.33203125" style="15"/>
    <col min="4348" max="4348" width="21.6640625" style="15" customWidth="1"/>
    <col min="4349" max="4349" width="13.5" style="15" customWidth="1"/>
    <col min="4350" max="4350" width="10.5" style="15" customWidth="1"/>
    <col min="4351" max="4351" width="15.1640625" style="15" customWidth="1"/>
    <col min="4352" max="4352" width="3.6640625" style="15" customWidth="1"/>
    <col min="4353" max="4353" width="13.1640625" style="15" customWidth="1"/>
    <col min="4354" max="4354" width="3.83203125" style="15" customWidth="1"/>
    <col min="4355" max="4355" width="15" style="15" customWidth="1"/>
    <col min="4356" max="4356" width="3.6640625" style="15" customWidth="1"/>
    <col min="4357" max="4358" width="13" style="15" customWidth="1"/>
    <col min="4359" max="4359" width="0" style="15" hidden="1" customWidth="1"/>
    <col min="4360" max="4361" width="9.33203125" style="15"/>
    <col min="4362" max="4362" width="15.83203125" style="15" customWidth="1"/>
    <col min="4363" max="4601" width="9.33203125" style="15"/>
    <col min="4602" max="4602" width="5" style="15" customWidth="1"/>
    <col min="4603" max="4603" width="9.33203125" style="15"/>
    <col min="4604" max="4604" width="21.6640625" style="15" customWidth="1"/>
    <col min="4605" max="4605" width="13.5" style="15" customWidth="1"/>
    <col min="4606" max="4606" width="10.5" style="15" customWidth="1"/>
    <col min="4607" max="4607" width="15.1640625" style="15" customWidth="1"/>
    <col min="4608" max="4608" width="3.6640625" style="15" customWidth="1"/>
    <col min="4609" max="4609" width="13.1640625" style="15" customWidth="1"/>
    <col min="4610" max="4610" width="3.83203125" style="15" customWidth="1"/>
    <col min="4611" max="4611" width="15" style="15" customWidth="1"/>
    <col min="4612" max="4612" width="3.6640625" style="15" customWidth="1"/>
    <col min="4613" max="4614" width="13" style="15" customWidth="1"/>
    <col min="4615" max="4615" width="0" style="15" hidden="1" customWidth="1"/>
    <col min="4616" max="4617" width="9.33203125" style="15"/>
    <col min="4618" max="4618" width="15.83203125" style="15" customWidth="1"/>
    <col min="4619" max="4857" width="9.33203125" style="15"/>
    <col min="4858" max="4858" width="5" style="15" customWidth="1"/>
    <col min="4859" max="4859" width="9.33203125" style="15"/>
    <col min="4860" max="4860" width="21.6640625" style="15" customWidth="1"/>
    <col min="4861" max="4861" width="13.5" style="15" customWidth="1"/>
    <col min="4862" max="4862" width="10.5" style="15" customWidth="1"/>
    <col min="4863" max="4863" width="15.1640625" style="15" customWidth="1"/>
    <col min="4864" max="4864" width="3.6640625" style="15" customWidth="1"/>
    <col min="4865" max="4865" width="13.1640625" style="15" customWidth="1"/>
    <col min="4866" max="4866" width="3.83203125" style="15" customWidth="1"/>
    <col min="4867" max="4867" width="15" style="15" customWidth="1"/>
    <col min="4868" max="4868" width="3.6640625" style="15" customWidth="1"/>
    <col min="4869" max="4870" width="13" style="15" customWidth="1"/>
    <col min="4871" max="4871" width="0" style="15" hidden="1" customWidth="1"/>
    <col min="4872" max="4873" width="9.33203125" style="15"/>
    <col min="4874" max="4874" width="15.83203125" style="15" customWidth="1"/>
    <col min="4875" max="5113" width="9.33203125" style="15"/>
    <col min="5114" max="5114" width="5" style="15" customWidth="1"/>
    <col min="5115" max="5115" width="9.33203125" style="15"/>
    <col min="5116" max="5116" width="21.6640625" style="15" customWidth="1"/>
    <col min="5117" max="5117" width="13.5" style="15" customWidth="1"/>
    <col min="5118" max="5118" width="10.5" style="15" customWidth="1"/>
    <col min="5119" max="5119" width="15.1640625" style="15" customWidth="1"/>
    <col min="5120" max="5120" width="3.6640625" style="15" customWidth="1"/>
    <col min="5121" max="5121" width="13.1640625" style="15" customWidth="1"/>
    <col min="5122" max="5122" width="3.83203125" style="15" customWidth="1"/>
    <col min="5123" max="5123" width="15" style="15" customWidth="1"/>
    <col min="5124" max="5124" width="3.6640625" style="15" customWidth="1"/>
    <col min="5125" max="5126" width="13" style="15" customWidth="1"/>
    <col min="5127" max="5127" width="0" style="15" hidden="1" customWidth="1"/>
    <col min="5128" max="5129" width="9.33203125" style="15"/>
    <col min="5130" max="5130" width="15.83203125" style="15" customWidth="1"/>
    <col min="5131" max="5369" width="9.33203125" style="15"/>
    <col min="5370" max="5370" width="5" style="15" customWidth="1"/>
    <col min="5371" max="5371" width="9.33203125" style="15"/>
    <col min="5372" max="5372" width="21.6640625" style="15" customWidth="1"/>
    <col min="5373" max="5373" width="13.5" style="15" customWidth="1"/>
    <col min="5374" max="5374" width="10.5" style="15" customWidth="1"/>
    <col min="5375" max="5375" width="15.1640625" style="15" customWidth="1"/>
    <col min="5376" max="5376" width="3.6640625" style="15" customWidth="1"/>
    <col min="5377" max="5377" width="13.1640625" style="15" customWidth="1"/>
    <col min="5378" max="5378" width="3.83203125" style="15" customWidth="1"/>
    <col min="5379" max="5379" width="15" style="15" customWidth="1"/>
    <col min="5380" max="5380" width="3.6640625" style="15" customWidth="1"/>
    <col min="5381" max="5382" width="13" style="15" customWidth="1"/>
    <col min="5383" max="5383" width="0" style="15" hidden="1" customWidth="1"/>
    <col min="5384" max="5385" width="9.33203125" style="15"/>
    <col min="5386" max="5386" width="15.83203125" style="15" customWidth="1"/>
    <col min="5387" max="5625" width="9.33203125" style="15"/>
    <col min="5626" max="5626" width="5" style="15" customWidth="1"/>
    <col min="5627" max="5627" width="9.33203125" style="15"/>
    <col min="5628" max="5628" width="21.6640625" style="15" customWidth="1"/>
    <col min="5629" max="5629" width="13.5" style="15" customWidth="1"/>
    <col min="5630" max="5630" width="10.5" style="15" customWidth="1"/>
    <col min="5631" max="5631" width="15.1640625" style="15" customWidth="1"/>
    <col min="5632" max="5632" width="3.6640625" style="15" customWidth="1"/>
    <col min="5633" max="5633" width="13.1640625" style="15" customWidth="1"/>
    <col min="5634" max="5634" width="3.83203125" style="15" customWidth="1"/>
    <col min="5635" max="5635" width="15" style="15" customWidth="1"/>
    <col min="5636" max="5636" width="3.6640625" style="15" customWidth="1"/>
    <col min="5637" max="5638" width="13" style="15" customWidth="1"/>
    <col min="5639" max="5639" width="0" style="15" hidden="1" customWidth="1"/>
    <col min="5640" max="5641" width="9.33203125" style="15"/>
    <col min="5642" max="5642" width="15.83203125" style="15" customWidth="1"/>
    <col min="5643" max="5881" width="9.33203125" style="15"/>
    <col min="5882" max="5882" width="5" style="15" customWidth="1"/>
    <col min="5883" max="5883" width="9.33203125" style="15"/>
    <col min="5884" max="5884" width="21.6640625" style="15" customWidth="1"/>
    <col min="5885" max="5885" width="13.5" style="15" customWidth="1"/>
    <col min="5886" max="5886" width="10.5" style="15" customWidth="1"/>
    <col min="5887" max="5887" width="15.1640625" style="15" customWidth="1"/>
    <col min="5888" max="5888" width="3.6640625" style="15" customWidth="1"/>
    <col min="5889" max="5889" width="13.1640625" style="15" customWidth="1"/>
    <col min="5890" max="5890" width="3.83203125" style="15" customWidth="1"/>
    <col min="5891" max="5891" width="15" style="15" customWidth="1"/>
    <col min="5892" max="5892" width="3.6640625" style="15" customWidth="1"/>
    <col min="5893" max="5894" width="13" style="15" customWidth="1"/>
    <col min="5895" max="5895" width="0" style="15" hidden="1" customWidth="1"/>
    <col min="5896" max="5897" width="9.33203125" style="15"/>
    <col min="5898" max="5898" width="15.83203125" style="15" customWidth="1"/>
    <col min="5899" max="6137" width="9.33203125" style="15"/>
    <col min="6138" max="6138" width="5" style="15" customWidth="1"/>
    <col min="6139" max="6139" width="9.33203125" style="15"/>
    <col min="6140" max="6140" width="21.6640625" style="15" customWidth="1"/>
    <col min="6141" max="6141" width="13.5" style="15" customWidth="1"/>
    <col min="6142" max="6142" width="10.5" style="15" customWidth="1"/>
    <col min="6143" max="6143" width="15.1640625" style="15" customWidth="1"/>
    <col min="6144" max="6144" width="3.6640625" style="15" customWidth="1"/>
    <col min="6145" max="6145" width="13.1640625" style="15" customWidth="1"/>
    <col min="6146" max="6146" width="3.83203125" style="15" customWidth="1"/>
    <col min="6147" max="6147" width="15" style="15" customWidth="1"/>
    <col min="6148" max="6148" width="3.6640625" style="15" customWidth="1"/>
    <col min="6149" max="6150" width="13" style="15" customWidth="1"/>
    <col min="6151" max="6151" width="0" style="15" hidden="1" customWidth="1"/>
    <col min="6152" max="6153" width="9.33203125" style="15"/>
    <col min="6154" max="6154" width="15.83203125" style="15" customWidth="1"/>
    <col min="6155" max="6393" width="9.33203125" style="15"/>
    <col min="6394" max="6394" width="5" style="15" customWidth="1"/>
    <col min="6395" max="6395" width="9.33203125" style="15"/>
    <col min="6396" max="6396" width="21.6640625" style="15" customWidth="1"/>
    <col min="6397" max="6397" width="13.5" style="15" customWidth="1"/>
    <col min="6398" max="6398" width="10.5" style="15" customWidth="1"/>
    <col min="6399" max="6399" width="15.1640625" style="15" customWidth="1"/>
    <col min="6400" max="6400" width="3.6640625" style="15" customWidth="1"/>
    <col min="6401" max="6401" width="13.1640625" style="15" customWidth="1"/>
    <col min="6402" max="6402" width="3.83203125" style="15" customWidth="1"/>
    <col min="6403" max="6403" width="15" style="15" customWidth="1"/>
    <col min="6404" max="6404" width="3.6640625" style="15" customWidth="1"/>
    <col min="6405" max="6406" width="13" style="15" customWidth="1"/>
    <col min="6407" max="6407" width="0" style="15" hidden="1" customWidth="1"/>
    <col min="6408" max="6409" width="9.33203125" style="15"/>
    <col min="6410" max="6410" width="15.83203125" style="15" customWidth="1"/>
    <col min="6411" max="6649" width="9.33203125" style="15"/>
    <col min="6650" max="6650" width="5" style="15" customWidth="1"/>
    <col min="6651" max="6651" width="9.33203125" style="15"/>
    <col min="6652" max="6652" width="21.6640625" style="15" customWidth="1"/>
    <col min="6653" max="6653" width="13.5" style="15" customWidth="1"/>
    <col min="6654" max="6654" width="10.5" style="15" customWidth="1"/>
    <col min="6655" max="6655" width="15.1640625" style="15" customWidth="1"/>
    <col min="6656" max="6656" width="3.6640625" style="15" customWidth="1"/>
    <col min="6657" max="6657" width="13.1640625" style="15" customWidth="1"/>
    <col min="6658" max="6658" width="3.83203125" style="15" customWidth="1"/>
    <col min="6659" max="6659" width="15" style="15" customWidth="1"/>
    <col min="6660" max="6660" width="3.6640625" style="15" customWidth="1"/>
    <col min="6661" max="6662" width="13" style="15" customWidth="1"/>
    <col min="6663" max="6663" width="0" style="15" hidden="1" customWidth="1"/>
    <col min="6664" max="6665" width="9.33203125" style="15"/>
    <col min="6666" max="6666" width="15.83203125" style="15" customWidth="1"/>
    <col min="6667" max="6905" width="9.33203125" style="15"/>
    <col min="6906" max="6906" width="5" style="15" customWidth="1"/>
    <col min="6907" max="6907" width="9.33203125" style="15"/>
    <col min="6908" max="6908" width="21.6640625" style="15" customWidth="1"/>
    <col min="6909" max="6909" width="13.5" style="15" customWidth="1"/>
    <col min="6910" max="6910" width="10.5" style="15" customWidth="1"/>
    <col min="6911" max="6911" width="15.1640625" style="15" customWidth="1"/>
    <col min="6912" max="6912" width="3.6640625" style="15" customWidth="1"/>
    <col min="6913" max="6913" width="13.1640625" style="15" customWidth="1"/>
    <col min="6914" max="6914" width="3.83203125" style="15" customWidth="1"/>
    <col min="6915" max="6915" width="15" style="15" customWidth="1"/>
    <col min="6916" max="6916" width="3.6640625" style="15" customWidth="1"/>
    <col min="6917" max="6918" width="13" style="15" customWidth="1"/>
    <col min="6919" max="6919" width="0" style="15" hidden="1" customWidth="1"/>
    <col min="6920" max="6921" width="9.33203125" style="15"/>
    <col min="6922" max="6922" width="15.83203125" style="15" customWidth="1"/>
    <col min="6923" max="7161" width="9.33203125" style="15"/>
    <col min="7162" max="7162" width="5" style="15" customWidth="1"/>
    <col min="7163" max="7163" width="9.33203125" style="15"/>
    <col min="7164" max="7164" width="21.6640625" style="15" customWidth="1"/>
    <col min="7165" max="7165" width="13.5" style="15" customWidth="1"/>
    <col min="7166" max="7166" width="10.5" style="15" customWidth="1"/>
    <col min="7167" max="7167" width="15.1640625" style="15" customWidth="1"/>
    <col min="7168" max="7168" width="3.6640625" style="15" customWidth="1"/>
    <col min="7169" max="7169" width="13.1640625" style="15" customWidth="1"/>
    <col min="7170" max="7170" width="3.83203125" style="15" customWidth="1"/>
    <col min="7171" max="7171" width="15" style="15" customWidth="1"/>
    <col min="7172" max="7172" width="3.6640625" style="15" customWidth="1"/>
    <col min="7173" max="7174" width="13" style="15" customWidth="1"/>
    <col min="7175" max="7175" width="0" style="15" hidden="1" customWidth="1"/>
    <col min="7176" max="7177" width="9.33203125" style="15"/>
    <col min="7178" max="7178" width="15.83203125" style="15" customWidth="1"/>
    <col min="7179" max="7417" width="9.33203125" style="15"/>
    <col min="7418" max="7418" width="5" style="15" customWidth="1"/>
    <col min="7419" max="7419" width="9.33203125" style="15"/>
    <col min="7420" max="7420" width="21.6640625" style="15" customWidth="1"/>
    <col min="7421" max="7421" width="13.5" style="15" customWidth="1"/>
    <col min="7422" max="7422" width="10.5" style="15" customWidth="1"/>
    <col min="7423" max="7423" width="15.1640625" style="15" customWidth="1"/>
    <col min="7424" max="7424" width="3.6640625" style="15" customWidth="1"/>
    <col min="7425" max="7425" width="13.1640625" style="15" customWidth="1"/>
    <col min="7426" max="7426" width="3.83203125" style="15" customWidth="1"/>
    <col min="7427" max="7427" width="15" style="15" customWidth="1"/>
    <col min="7428" max="7428" width="3.6640625" style="15" customWidth="1"/>
    <col min="7429" max="7430" width="13" style="15" customWidth="1"/>
    <col min="7431" max="7431" width="0" style="15" hidden="1" customWidth="1"/>
    <col min="7432" max="7433" width="9.33203125" style="15"/>
    <col min="7434" max="7434" width="15.83203125" style="15" customWidth="1"/>
    <col min="7435" max="7673" width="9.33203125" style="15"/>
    <col min="7674" max="7674" width="5" style="15" customWidth="1"/>
    <col min="7675" max="7675" width="9.33203125" style="15"/>
    <col min="7676" max="7676" width="21.6640625" style="15" customWidth="1"/>
    <col min="7677" max="7677" width="13.5" style="15" customWidth="1"/>
    <col min="7678" max="7678" width="10.5" style="15" customWidth="1"/>
    <col min="7679" max="7679" width="15.1640625" style="15" customWidth="1"/>
    <col min="7680" max="7680" width="3.6640625" style="15" customWidth="1"/>
    <col min="7681" max="7681" width="13.1640625" style="15" customWidth="1"/>
    <col min="7682" max="7682" width="3.83203125" style="15" customWidth="1"/>
    <col min="7683" max="7683" width="15" style="15" customWidth="1"/>
    <col min="7684" max="7684" width="3.6640625" style="15" customWidth="1"/>
    <col min="7685" max="7686" width="13" style="15" customWidth="1"/>
    <col min="7687" max="7687" width="0" style="15" hidden="1" customWidth="1"/>
    <col min="7688" max="7689" width="9.33203125" style="15"/>
    <col min="7690" max="7690" width="15.83203125" style="15" customWidth="1"/>
    <col min="7691" max="7929" width="9.33203125" style="15"/>
    <col min="7930" max="7930" width="5" style="15" customWidth="1"/>
    <col min="7931" max="7931" width="9.33203125" style="15"/>
    <col min="7932" max="7932" width="21.6640625" style="15" customWidth="1"/>
    <col min="7933" max="7933" width="13.5" style="15" customWidth="1"/>
    <col min="7934" max="7934" width="10.5" style="15" customWidth="1"/>
    <col min="7935" max="7935" width="15.1640625" style="15" customWidth="1"/>
    <col min="7936" max="7936" width="3.6640625" style="15" customWidth="1"/>
    <col min="7937" max="7937" width="13.1640625" style="15" customWidth="1"/>
    <col min="7938" max="7938" width="3.83203125" style="15" customWidth="1"/>
    <col min="7939" max="7939" width="15" style="15" customWidth="1"/>
    <col min="7940" max="7940" width="3.6640625" style="15" customWidth="1"/>
    <col min="7941" max="7942" width="13" style="15" customWidth="1"/>
    <col min="7943" max="7943" width="0" style="15" hidden="1" customWidth="1"/>
    <col min="7944" max="7945" width="9.33203125" style="15"/>
    <col min="7946" max="7946" width="15.83203125" style="15" customWidth="1"/>
    <col min="7947" max="8185" width="9.33203125" style="15"/>
    <col min="8186" max="8186" width="5" style="15" customWidth="1"/>
    <col min="8187" max="8187" width="9.33203125" style="15"/>
    <col min="8188" max="8188" width="21.6640625" style="15" customWidth="1"/>
    <col min="8189" max="8189" width="13.5" style="15" customWidth="1"/>
    <col min="8190" max="8190" width="10.5" style="15" customWidth="1"/>
    <col min="8191" max="8191" width="15.1640625" style="15" customWidth="1"/>
    <col min="8192" max="8192" width="3.6640625" style="15" customWidth="1"/>
    <col min="8193" max="8193" width="13.1640625" style="15" customWidth="1"/>
    <col min="8194" max="8194" width="3.83203125" style="15" customWidth="1"/>
    <col min="8195" max="8195" width="15" style="15" customWidth="1"/>
    <col min="8196" max="8196" width="3.6640625" style="15" customWidth="1"/>
    <col min="8197" max="8198" width="13" style="15" customWidth="1"/>
    <col min="8199" max="8199" width="0" style="15" hidden="1" customWidth="1"/>
    <col min="8200" max="8201" width="9.33203125" style="15"/>
    <col min="8202" max="8202" width="15.83203125" style="15" customWidth="1"/>
    <col min="8203" max="8441" width="9.33203125" style="15"/>
    <col min="8442" max="8442" width="5" style="15" customWidth="1"/>
    <col min="8443" max="8443" width="9.33203125" style="15"/>
    <col min="8444" max="8444" width="21.6640625" style="15" customWidth="1"/>
    <col min="8445" max="8445" width="13.5" style="15" customWidth="1"/>
    <col min="8446" max="8446" width="10.5" style="15" customWidth="1"/>
    <col min="8447" max="8447" width="15.1640625" style="15" customWidth="1"/>
    <col min="8448" max="8448" width="3.6640625" style="15" customWidth="1"/>
    <col min="8449" max="8449" width="13.1640625" style="15" customWidth="1"/>
    <col min="8450" max="8450" width="3.83203125" style="15" customWidth="1"/>
    <col min="8451" max="8451" width="15" style="15" customWidth="1"/>
    <col min="8452" max="8452" width="3.6640625" style="15" customWidth="1"/>
    <col min="8453" max="8454" width="13" style="15" customWidth="1"/>
    <col min="8455" max="8455" width="0" style="15" hidden="1" customWidth="1"/>
    <col min="8456" max="8457" width="9.33203125" style="15"/>
    <col min="8458" max="8458" width="15.83203125" style="15" customWidth="1"/>
    <col min="8459" max="8697" width="9.33203125" style="15"/>
    <col min="8698" max="8698" width="5" style="15" customWidth="1"/>
    <col min="8699" max="8699" width="9.33203125" style="15"/>
    <col min="8700" max="8700" width="21.6640625" style="15" customWidth="1"/>
    <col min="8701" max="8701" width="13.5" style="15" customWidth="1"/>
    <col min="8702" max="8702" width="10.5" style="15" customWidth="1"/>
    <col min="8703" max="8703" width="15.1640625" style="15" customWidth="1"/>
    <col min="8704" max="8704" width="3.6640625" style="15" customWidth="1"/>
    <col min="8705" max="8705" width="13.1640625" style="15" customWidth="1"/>
    <col min="8706" max="8706" width="3.83203125" style="15" customWidth="1"/>
    <col min="8707" max="8707" width="15" style="15" customWidth="1"/>
    <col min="8708" max="8708" width="3.6640625" style="15" customWidth="1"/>
    <col min="8709" max="8710" width="13" style="15" customWidth="1"/>
    <col min="8711" max="8711" width="0" style="15" hidden="1" customWidth="1"/>
    <col min="8712" max="8713" width="9.33203125" style="15"/>
    <col min="8714" max="8714" width="15.83203125" style="15" customWidth="1"/>
    <col min="8715" max="8953" width="9.33203125" style="15"/>
    <col min="8954" max="8954" width="5" style="15" customWidth="1"/>
    <col min="8955" max="8955" width="9.33203125" style="15"/>
    <col min="8956" max="8956" width="21.6640625" style="15" customWidth="1"/>
    <col min="8957" max="8957" width="13.5" style="15" customWidth="1"/>
    <col min="8958" max="8958" width="10.5" style="15" customWidth="1"/>
    <col min="8959" max="8959" width="15.1640625" style="15" customWidth="1"/>
    <col min="8960" max="8960" width="3.6640625" style="15" customWidth="1"/>
    <col min="8961" max="8961" width="13.1640625" style="15" customWidth="1"/>
    <col min="8962" max="8962" width="3.83203125" style="15" customWidth="1"/>
    <col min="8963" max="8963" width="15" style="15" customWidth="1"/>
    <col min="8964" max="8964" width="3.6640625" style="15" customWidth="1"/>
    <col min="8965" max="8966" width="13" style="15" customWidth="1"/>
    <col min="8967" max="8967" width="0" style="15" hidden="1" customWidth="1"/>
    <col min="8968" max="8969" width="9.33203125" style="15"/>
    <col min="8970" max="8970" width="15.83203125" style="15" customWidth="1"/>
    <col min="8971" max="9209" width="9.33203125" style="15"/>
    <col min="9210" max="9210" width="5" style="15" customWidth="1"/>
    <col min="9211" max="9211" width="9.33203125" style="15"/>
    <col min="9212" max="9212" width="21.6640625" style="15" customWidth="1"/>
    <col min="9213" max="9213" width="13.5" style="15" customWidth="1"/>
    <col min="9214" max="9214" width="10.5" style="15" customWidth="1"/>
    <col min="9215" max="9215" width="15.1640625" style="15" customWidth="1"/>
    <col min="9216" max="9216" width="3.6640625" style="15" customWidth="1"/>
    <col min="9217" max="9217" width="13.1640625" style="15" customWidth="1"/>
    <col min="9218" max="9218" width="3.83203125" style="15" customWidth="1"/>
    <col min="9219" max="9219" width="15" style="15" customWidth="1"/>
    <col min="9220" max="9220" width="3.6640625" style="15" customWidth="1"/>
    <col min="9221" max="9222" width="13" style="15" customWidth="1"/>
    <col min="9223" max="9223" width="0" style="15" hidden="1" customWidth="1"/>
    <col min="9224" max="9225" width="9.33203125" style="15"/>
    <col min="9226" max="9226" width="15.83203125" style="15" customWidth="1"/>
    <col min="9227" max="9465" width="9.33203125" style="15"/>
    <col min="9466" max="9466" width="5" style="15" customWidth="1"/>
    <col min="9467" max="9467" width="9.33203125" style="15"/>
    <col min="9468" max="9468" width="21.6640625" style="15" customWidth="1"/>
    <col min="9469" max="9469" width="13.5" style="15" customWidth="1"/>
    <col min="9470" max="9470" width="10.5" style="15" customWidth="1"/>
    <col min="9471" max="9471" width="15.1640625" style="15" customWidth="1"/>
    <col min="9472" max="9472" width="3.6640625" style="15" customWidth="1"/>
    <col min="9473" max="9473" width="13.1640625" style="15" customWidth="1"/>
    <col min="9474" max="9474" width="3.83203125" style="15" customWidth="1"/>
    <col min="9475" max="9475" width="15" style="15" customWidth="1"/>
    <col min="9476" max="9476" width="3.6640625" style="15" customWidth="1"/>
    <col min="9477" max="9478" width="13" style="15" customWidth="1"/>
    <col min="9479" max="9479" width="0" style="15" hidden="1" customWidth="1"/>
    <col min="9480" max="9481" width="9.33203125" style="15"/>
    <col min="9482" max="9482" width="15.83203125" style="15" customWidth="1"/>
    <col min="9483" max="9721" width="9.33203125" style="15"/>
    <col min="9722" max="9722" width="5" style="15" customWidth="1"/>
    <col min="9723" max="9723" width="9.33203125" style="15"/>
    <col min="9724" max="9724" width="21.6640625" style="15" customWidth="1"/>
    <col min="9725" max="9725" width="13.5" style="15" customWidth="1"/>
    <col min="9726" max="9726" width="10.5" style="15" customWidth="1"/>
    <col min="9727" max="9727" width="15.1640625" style="15" customWidth="1"/>
    <col min="9728" max="9728" width="3.6640625" style="15" customWidth="1"/>
    <col min="9729" max="9729" width="13.1640625" style="15" customWidth="1"/>
    <col min="9730" max="9730" width="3.83203125" style="15" customWidth="1"/>
    <col min="9731" max="9731" width="15" style="15" customWidth="1"/>
    <col min="9732" max="9732" width="3.6640625" style="15" customWidth="1"/>
    <col min="9733" max="9734" width="13" style="15" customWidth="1"/>
    <col min="9735" max="9735" width="0" style="15" hidden="1" customWidth="1"/>
    <col min="9736" max="9737" width="9.33203125" style="15"/>
    <col min="9738" max="9738" width="15.83203125" style="15" customWidth="1"/>
    <col min="9739" max="9977" width="9.33203125" style="15"/>
    <col min="9978" max="9978" width="5" style="15" customWidth="1"/>
    <col min="9979" max="9979" width="9.33203125" style="15"/>
    <col min="9980" max="9980" width="21.6640625" style="15" customWidth="1"/>
    <col min="9981" max="9981" width="13.5" style="15" customWidth="1"/>
    <col min="9982" max="9982" width="10.5" style="15" customWidth="1"/>
    <col min="9983" max="9983" width="15.1640625" style="15" customWidth="1"/>
    <col min="9984" max="9984" width="3.6640625" style="15" customWidth="1"/>
    <col min="9985" max="9985" width="13.1640625" style="15" customWidth="1"/>
    <col min="9986" max="9986" width="3.83203125" style="15" customWidth="1"/>
    <col min="9987" max="9987" width="15" style="15" customWidth="1"/>
    <col min="9988" max="9988" width="3.6640625" style="15" customWidth="1"/>
    <col min="9989" max="9990" width="13" style="15" customWidth="1"/>
    <col min="9991" max="9991" width="0" style="15" hidden="1" customWidth="1"/>
    <col min="9992" max="9993" width="9.33203125" style="15"/>
    <col min="9994" max="9994" width="15.83203125" style="15" customWidth="1"/>
    <col min="9995" max="10233" width="9.33203125" style="15"/>
    <col min="10234" max="10234" width="5" style="15" customWidth="1"/>
    <col min="10235" max="10235" width="9.33203125" style="15"/>
    <col min="10236" max="10236" width="21.6640625" style="15" customWidth="1"/>
    <col min="10237" max="10237" width="13.5" style="15" customWidth="1"/>
    <col min="10238" max="10238" width="10.5" style="15" customWidth="1"/>
    <col min="10239" max="10239" width="15.1640625" style="15" customWidth="1"/>
    <col min="10240" max="10240" width="3.6640625" style="15" customWidth="1"/>
    <col min="10241" max="10241" width="13.1640625" style="15" customWidth="1"/>
    <col min="10242" max="10242" width="3.83203125" style="15" customWidth="1"/>
    <col min="10243" max="10243" width="15" style="15" customWidth="1"/>
    <col min="10244" max="10244" width="3.6640625" style="15" customWidth="1"/>
    <col min="10245" max="10246" width="13" style="15" customWidth="1"/>
    <col min="10247" max="10247" width="0" style="15" hidden="1" customWidth="1"/>
    <col min="10248" max="10249" width="9.33203125" style="15"/>
    <col min="10250" max="10250" width="15.83203125" style="15" customWidth="1"/>
    <col min="10251" max="10489" width="9.33203125" style="15"/>
    <col min="10490" max="10490" width="5" style="15" customWidth="1"/>
    <col min="10491" max="10491" width="9.33203125" style="15"/>
    <col min="10492" max="10492" width="21.6640625" style="15" customWidth="1"/>
    <col min="10493" max="10493" width="13.5" style="15" customWidth="1"/>
    <col min="10494" max="10494" width="10.5" style="15" customWidth="1"/>
    <col min="10495" max="10495" width="15.1640625" style="15" customWidth="1"/>
    <col min="10496" max="10496" width="3.6640625" style="15" customWidth="1"/>
    <col min="10497" max="10497" width="13.1640625" style="15" customWidth="1"/>
    <col min="10498" max="10498" width="3.83203125" style="15" customWidth="1"/>
    <col min="10499" max="10499" width="15" style="15" customWidth="1"/>
    <col min="10500" max="10500" width="3.6640625" style="15" customWidth="1"/>
    <col min="10501" max="10502" width="13" style="15" customWidth="1"/>
    <col min="10503" max="10503" width="0" style="15" hidden="1" customWidth="1"/>
    <col min="10504" max="10505" width="9.33203125" style="15"/>
    <col min="10506" max="10506" width="15.83203125" style="15" customWidth="1"/>
    <col min="10507" max="10745" width="9.33203125" style="15"/>
    <col min="10746" max="10746" width="5" style="15" customWidth="1"/>
    <col min="10747" max="10747" width="9.33203125" style="15"/>
    <col min="10748" max="10748" width="21.6640625" style="15" customWidth="1"/>
    <col min="10749" max="10749" width="13.5" style="15" customWidth="1"/>
    <col min="10750" max="10750" width="10.5" style="15" customWidth="1"/>
    <col min="10751" max="10751" width="15.1640625" style="15" customWidth="1"/>
    <col min="10752" max="10752" width="3.6640625" style="15" customWidth="1"/>
    <col min="10753" max="10753" width="13.1640625" style="15" customWidth="1"/>
    <col min="10754" max="10754" width="3.83203125" style="15" customWidth="1"/>
    <col min="10755" max="10755" width="15" style="15" customWidth="1"/>
    <col min="10756" max="10756" width="3.6640625" style="15" customWidth="1"/>
    <col min="10757" max="10758" width="13" style="15" customWidth="1"/>
    <col min="10759" max="10759" width="0" style="15" hidden="1" customWidth="1"/>
    <col min="10760" max="10761" width="9.33203125" style="15"/>
    <col min="10762" max="10762" width="15.83203125" style="15" customWidth="1"/>
    <col min="10763" max="11001" width="9.33203125" style="15"/>
    <col min="11002" max="11002" width="5" style="15" customWidth="1"/>
    <col min="11003" max="11003" width="9.33203125" style="15"/>
    <col min="11004" max="11004" width="21.6640625" style="15" customWidth="1"/>
    <col min="11005" max="11005" width="13.5" style="15" customWidth="1"/>
    <col min="11006" max="11006" width="10.5" style="15" customWidth="1"/>
    <col min="11007" max="11007" width="15.1640625" style="15" customWidth="1"/>
    <col min="11008" max="11008" width="3.6640625" style="15" customWidth="1"/>
    <col min="11009" max="11009" width="13.1640625" style="15" customWidth="1"/>
    <col min="11010" max="11010" width="3.83203125" style="15" customWidth="1"/>
    <col min="11011" max="11011" width="15" style="15" customWidth="1"/>
    <col min="11012" max="11012" width="3.6640625" style="15" customWidth="1"/>
    <col min="11013" max="11014" width="13" style="15" customWidth="1"/>
    <col min="11015" max="11015" width="0" style="15" hidden="1" customWidth="1"/>
    <col min="11016" max="11017" width="9.33203125" style="15"/>
    <col min="11018" max="11018" width="15.83203125" style="15" customWidth="1"/>
    <col min="11019" max="11257" width="9.33203125" style="15"/>
    <col min="11258" max="11258" width="5" style="15" customWidth="1"/>
    <col min="11259" max="11259" width="9.33203125" style="15"/>
    <col min="11260" max="11260" width="21.6640625" style="15" customWidth="1"/>
    <col min="11261" max="11261" width="13.5" style="15" customWidth="1"/>
    <col min="11262" max="11262" width="10.5" style="15" customWidth="1"/>
    <col min="11263" max="11263" width="15.1640625" style="15" customWidth="1"/>
    <col min="11264" max="11264" width="3.6640625" style="15" customWidth="1"/>
    <col min="11265" max="11265" width="13.1640625" style="15" customWidth="1"/>
    <col min="11266" max="11266" width="3.83203125" style="15" customWidth="1"/>
    <col min="11267" max="11267" width="15" style="15" customWidth="1"/>
    <col min="11268" max="11268" width="3.6640625" style="15" customWidth="1"/>
    <col min="11269" max="11270" width="13" style="15" customWidth="1"/>
    <col min="11271" max="11271" width="0" style="15" hidden="1" customWidth="1"/>
    <col min="11272" max="11273" width="9.33203125" style="15"/>
    <col min="11274" max="11274" width="15.83203125" style="15" customWidth="1"/>
    <col min="11275" max="11513" width="9.33203125" style="15"/>
    <col min="11514" max="11514" width="5" style="15" customWidth="1"/>
    <col min="11515" max="11515" width="9.33203125" style="15"/>
    <col min="11516" max="11516" width="21.6640625" style="15" customWidth="1"/>
    <col min="11517" max="11517" width="13.5" style="15" customWidth="1"/>
    <col min="11518" max="11518" width="10.5" style="15" customWidth="1"/>
    <col min="11519" max="11519" width="15.1640625" style="15" customWidth="1"/>
    <col min="11520" max="11520" width="3.6640625" style="15" customWidth="1"/>
    <col min="11521" max="11521" width="13.1640625" style="15" customWidth="1"/>
    <col min="11522" max="11522" width="3.83203125" style="15" customWidth="1"/>
    <col min="11523" max="11523" width="15" style="15" customWidth="1"/>
    <col min="11524" max="11524" width="3.6640625" style="15" customWidth="1"/>
    <col min="11525" max="11526" width="13" style="15" customWidth="1"/>
    <col min="11527" max="11527" width="0" style="15" hidden="1" customWidth="1"/>
    <col min="11528" max="11529" width="9.33203125" style="15"/>
    <col min="11530" max="11530" width="15.83203125" style="15" customWidth="1"/>
    <col min="11531" max="11769" width="9.33203125" style="15"/>
    <col min="11770" max="11770" width="5" style="15" customWidth="1"/>
    <col min="11771" max="11771" width="9.33203125" style="15"/>
    <col min="11772" max="11772" width="21.6640625" style="15" customWidth="1"/>
    <col min="11773" max="11773" width="13.5" style="15" customWidth="1"/>
    <col min="11774" max="11774" width="10.5" style="15" customWidth="1"/>
    <col min="11775" max="11775" width="15.1640625" style="15" customWidth="1"/>
    <col min="11776" max="11776" width="3.6640625" style="15" customWidth="1"/>
    <col min="11777" max="11777" width="13.1640625" style="15" customWidth="1"/>
    <col min="11778" max="11778" width="3.83203125" style="15" customWidth="1"/>
    <col min="11779" max="11779" width="15" style="15" customWidth="1"/>
    <col min="11780" max="11780" width="3.6640625" style="15" customWidth="1"/>
    <col min="11781" max="11782" width="13" style="15" customWidth="1"/>
    <col min="11783" max="11783" width="0" style="15" hidden="1" customWidth="1"/>
    <col min="11784" max="11785" width="9.33203125" style="15"/>
    <col min="11786" max="11786" width="15.83203125" style="15" customWidth="1"/>
    <col min="11787" max="12025" width="9.33203125" style="15"/>
    <col min="12026" max="12026" width="5" style="15" customWidth="1"/>
    <col min="12027" max="12027" width="9.33203125" style="15"/>
    <col min="12028" max="12028" width="21.6640625" style="15" customWidth="1"/>
    <col min="12029" max="12029" width="13.5" style="15" customWidth="1"/>
    <col min="12030" max="12030" width="10.5" style="15" customWidth="1"/>
    <col min="12031" max="12031" width="15.1640625" style="15" customWidth="1"/>
    <col min="12032" max="12032" width="3.6640625" style="15" customWidth="1"/>
    <col min="12033" max="12033" width="13.1640625" style="15" customWidth="1"/>
    <col min="12034" max="12034" width="3.83203125" style="15" customWidth="1"/>
    <col min="12035" max="12035" width="15" style="15" customWidth="1"/>
    <col min="12036" max="12036" width="3.6640625" style="15" customWidth="1"/>
    <col min="12037" max="12038" width="13" style="15" customWidth="1"/>
    <col min="12039" max="12039" width="0" style="15" hidden="1" customWidth="1"/>
    <col min="12040" max="12041" width="9.33203125" style="15"/>
    <col min="12042" max="12042" width="15.83203125" style="15" customWidth="1"/>
    <col min="12043" max="12281" width="9.33203125" style="15"/>
    <col min="12282" max="12282" width="5" style="15" customWidth="1"/>
    <col min="12283" max="12283" width="9.33203125" style="15"/>
    <col min="12284" max="12284" width="21.6640625" style="15" customWidth="1"/>
    <col min="12285" max="12285" width="13.5" style="15" customWidth="1"/>
    <col min="12286" max="12286" width="10.5" style="15" customWidth="1"/>
    <col min="12287" max="12287" width="15.1640625" style="15" customWidth="1"/>
    <col min="12288" max="12288" width="3.6640625" style="15" customWidth="1"/>
    <col min="12289" max="12289" width="13.1640625" style="15" customWidth="1"/>
    <col min="12290" max="12290" width="3.83203125" style="15" customWidth="1"/>
    <col min="12291" max="12291" width="15" style="15" customWidth="1"/>
    <col min="12292" max="12292" width="3.6640625" style="15" customWidth="1"/>
    <col min="12293" max="12294" width="13" style="15" customWidth="1"/>
    <col min="12295" max="12295" width="0" style="15" hidden="1" customWidth="1"/>
    <col min="12296" max="12297" width="9.33203125" style="15"/>
    <col min="12298" max="12298" width="15.83203125" style="15" customWidth="1"/>
    <col min="12299" max="12537" width="9.33203125" style="15"/>
    <col min="12538" max="12538" width="5" style="15" customWidth="1"/>
    <col min="12539" max="12539" width="9.33203125" style="15"/>
    <col min="12540" max="12540" width="21.6640625" style="15" customWidth="1"/>
    <col min="12541" max="12541" width="13.5" style="15" customWidth="1"/>
    <col min="12542" max="12542" width="10.5" style="15" customWidth="1"/>
    <col min="12543" max="12543" width="15.1640625" style="15" customWidth="1"/>
    <col min="12544" max="12544" width="3.6640625" style="15" customWidth="1"/>
    <col min="12545" max="12545" width="13.1640625" style="15" customWidth="1"/>
    <col min="12546" max="12546" width="3.83203125" style="15" customWidth="1"/>
    <col min="12547" max="12547" width="15" style="15" customWidth="1"/>
    <col min="12548" max="12548" width="3.6640625" style="15" customWidth="1"/>
    <col min="12549" max="12550" width="13" style="15" customWidth="1"/>
    <col min="12551" max="12551" width="0" style="15" hidden="1" customWidth="1"/>
    <col min="12552" max="12553" width="9.33203125" style="15"/>
    <col min="12554" max="12554" width="15.83203125" style="15" customWidth="1"/>
    <col min="12555" max="12793" width="9.33203125" style="15"/>
    <col min="12794" max="12794" width="5" style="15" customWidth="1"/>
    <col min="12795" max="12795" width="9.33203125" style="15"/>
    <col min="12796" max="12796" width="21.6640625" style="15" customWidth="1"/>
    <col min="12797" max="12797" width="13.5" style="15" customWidth="1"/>
    <col min="12798" max="12798" width="10.5" style="15" customWidth="1"/>
    <col min="12799" max="12799" width="15.1640625" style="15" customWidth="1"/>
    <col min="12800" max="12800" width="3.6640625" style="15" customWidth="1"/>
    <col min="12801" max="12801" width="13.1640625" style="15" customWidth="1"/>
    <col min="12802" max="12802" width="3.83203125" style="15" customWidth="1"/>
    <col min="12803" max="12803" width="15" style="15" customWidth="1"/>
    <col min="12804" max="12804" width="3.6640625" style="15" customWidth="1"/>
    <col min="12805" max="12806" width="13" style="15" customWidth="1"/>
    <col min="12807" max="12807" width="0" style="15" hidden="1" customWidth="1"/>
    <col min="12808" max="12809" width="9.33203125" style="15"/>
    <col min="12810" max="12810" width="15.83203125" style="15" customWidth="1"/>
    <col min="12811" max="13049" width="9.33203125" style="15"/>
    <col min="13050" max="13050" width="5" style="15" customWidth="1"/>
    <col min="13051" max="13051" width="9.33203125" style="15"/>
    <col min="13052" max="13052" width="21.6640625" style="15" customWidth="1"/>
    <col min="13053" max="13053" width="13.5" style="15" customWidth="1"/>
    <col min="13054" max="13054" width="10.5" style="15" customWidth="1"/>
    <col min="13055" max="13055" width="15.1640625" style="15" customWidth="1"/>
    <col min="13056" max="13056" width="3.6640625" style="15" customWidth="1"/>
    <col min="13057" max="13057" width="13.1640625" style="15" customWidth="1"/>
    <col min="13058" max="13058" width="3.83203125" style="15" customWidth="1"/>
    <col min="13059" max="13059" width="15" style="15" customWidth="1"/>
    <col min="13060" max="13060" width="3.6640625" style="15" customWidth="1"/>
    <col min="13061" max="13062" width="13" style="15" customWidth="1"/>
    <col min="13063" max="13063" width="0" style="15" hidden="1" customWidth="1"/>
    <col min="13064" max="13065" width="9.33203125" style="15"/>
    <col min="13066" max="13066" width="15.83203125" style="15" customWidth="1"/>
    <col min="13067" max="13305" width="9.33203125" style="15"/>
    <col min="13306" max="13306" width="5" style="15" customWidth="1"/>
    <col min="13307" max="13307" width="9.33203125" style="15"/>
    <col min="13308" max="13308" width="21.6640625" style="15" customWidth="1"/>
    <col min="13309" max="13309" width="13.5" style="15" customWidth="1"/>
    <col min="13310" max="13310" width="10.5" style="15" customWidth="1"/>
    <col min="13311" max="13311" width="15.1640625" style="15" customWidth="1"/>
    <col min="13312" max="13312" width="3.6640625" style="15" customWidth="1"/>
    <col min="13313" max="13313" width="13.1640625" style="15" customWidth="1"/>
    <col min="13314" max="13314" width="3.83203125" style="15" customWidth="1"/>
    <col min="13315" max="13315" width="15" style="15" customWidth="1"/>
    <col min="13316" max="13316" width="3.6640625" style="15" customWidth="1"/>
    <col min="13317" max="13318" width="13" style="15" customWidth="1"/>
    <col min="13319" max="13319" width="0" style="15" hidden="1" customWidth="1"/>
    <col min="13320" max="13321" width="9.33203125" style="15"/>
    <col min="13322" max="13322" width="15.83203125" style="15" customWidth="1"/>
    <col min="13323" max="13561" width="9.33203125" style="15"/>
    <col min="13562" max="13562" width="5" style="15" customWidth="1"/>
    <col min="13563" max="13563" width="9.33203125" style="15"/>
    <col min="13564" max="13564" width="21.6640625" style="15" customWidth="1"/>
    <col min="13565" max="13565" width="13.5" style="15" customWidth="1"/>
    <col min="13566" max="13566" width="10.5" style="15" customWidth="1"/>
    <col min="13567" max="13567" width="15.1640625" style="15" customWidth="1"/>
    <col min="13568" max="13568" width="3.6640625" style="15" customWidth="1"/>
    <col min="13569" max="13569" width="13.1640625" style="15" customWidth="1"/>
    <col min="13570" max="13570" width="3.83203125" style="15" customWidth="1"/>
    <col min="13571" max="13571" width="15" style="15" customWidth="1"/>
    <col min="13572" max="13572" width="3.6640625" style="15" customWidth="1"/>
    <col min="13573" max="13574" width="13" style="15" customWidth="1"/>
    <col min="13575" max="13575" width="0" style="15" hidden="1" customWidth="1"/>
    <col min="13576" max="13577" width="9.33203125" style="15"/>
    <col min="13578" max="13578" width="15.83203125" style="15" customWidth="1"/>
    <col min="13579" max="13817" width="9.33203125" style="15"/>
    <col min="13818" max="13818" width="5" style="15" customWidth="1"/>
    <col min="13819" max="13819" width="9.33203125" style="15"/>
    <col min="13820" max="13820" width="21.6640625" style="15" customWidth="1"/>
    <col min="13821" max="13821" width="13.5" style="15" customWidth="1"/>
    <col min="13822" max="13822" width="10.5" style="15" customWidth="1"/>
    <col min="13823" max="13823" width="15.1640625" style="15" customWidth="1"/>
    <col min="13824" max="13824" width="3.6640625" style="15" customWidth="1"/>
    <col min="13825" max="13825" width="13.1640625" style="15" customWidth="1"/>
    <col min="13826" max="13826" width="3.83203125" style="15" customWidth="1"/>
    <col min="13827" max="13827" width="15" style="15" customWidth="1"/>
    <col min="13828" max="13828" width="3.6640625" style="15" customWidth="1"/>
    <col min="13829" max="13830" width="13" style="15" customWidth="1"/>
    <col min="13831" max="13831" width="0" style="15" hidden="1" customWidth="1"/>
    <col min="13832" max="13833" width="9.33203125" style="15"/>
    <col min="13834" max="13834" width="15.83203125" style="15" customWidth="1"/>
    <col min="13835" max="14073" width="9.33203125" style="15"/>
    <col min="14074" max="14074" width="5" style="15" customWidth="1"/>
    <col min="14075" max="14075" width="9.33203125" style="15"/>
    <col min="14076" max="14076" width="21.6640625" style="15" customWidth="1"/>
    <col min="14077" max="14077" width="13.5" style="15" customWidth="1"/>
    <col min="14078" max="14078" width="10.5" style="15" customWidth="1"/>
    <col min="14079" max="14079" width="15.1640625" style="15" customWidth="1"/>
    <col min="14080" max="14080" width="3.6640625" style="15" customWidth="1"/>
    <col min="14081" max="14081" width="13.1640625" style="15" customWidth="1"/>
    <col min="14082" max="14082" width="3.83203125" style="15" customWidth="1"/>
    <col min="14083" max="14083" width="15" style="15" customWidth="1"/>
    <col min="14084" max="14084" width="3.6640625" style="15" customWidth="1"/>
    <col min="14085" max="14086" width="13" style="15" customWidth="1"/>
    <col min="14087" max="14087" width="0" style="15" hidden="1" customWidth="1"/>
    <col min="14088" max="14089" width="9.33203125" style="15"/>
    <col min="14090" max="14090" width="15.83203125" style="15" customWidth="1"/>
    <col min="14091" max="14329" width="9.33203125" style="15"/>
    <col min="14330" max="14330" width="5" style="15" customWidth="1"/>
    <col min="14331" max="14331" width="9.33203125" style="15"/>
    <col min="14332" max="14332" width="21.6640625" style="15" customWidth="1"/>
    <col min="14333" max="14333" width="13.5" style="15" customWidth="1"/>
    <col min="14334" max="14334" width="10.5" style="15" customWidth="1"/>
    <col min="14335" max="14335" width="15.1640625" style="15" customWidth="1"/>
    <col min="14336" max="14336" width="3.6640625" style="15" customWidth="1"/>
    <col min="14337" max="14337" width="13.1640625" style="15" customWidth="1"/>
    <col min="14338" max="14338" width="3.83203125" style="15" customWidth="1"/>
    <col min="14339" max="14339" width="15" style="15" customWidth="1"/>
    <col min="14340" max="14340" width="3.6640625" style="15" customWidth="1"/>
    <col min="14341" max="14342" width="13" style="15" customWidth="1"/>
    <col min="14343" max="14343" width="0" style="15" hidden="1" customWidth="1"/>
    <col min="14344" max="14345" width="9.33203125" style="15"/>
    <col min="14346" max="14346" width="15.83203125" style="15" customWidth="1"/>
    <col min="14347" max="14585" width="9.33203125" style="15"/>
    <col min="14586" max="14586" width="5" style="15" customWidth="1"/>
    <col min="14587" max="14587" width="9.33203125" style="15"/>
    <col min="14588" max="14588" width="21.6640625" style="15" customWidth="1"/>
    <col min="14589" max="14589" width="13.5" style="15" customWidth="1"/>
    <col min="14590" max="14590" width="10.5" style="15" customWidth="1"/>
    <col min="14591" max="14591" width="15.1640625" style="15" customWidth="1"/>
    <col min="14592" max="14592" width="3.6640625" style="15" customWidth="1"/>
    <col min="14593" max="14593" width="13.1640625" style="15" customWidth="1"/>
    <col min="14594" max="14594" width="3.83203125" style="15" customWidth="1"/>
    <col min="14595" max="14595" width="15" style="15" customWidth="1"/>
    <col min="14596" max="14596" width="3.6640625" style="15" customWidth="1"/>
    <col min="14597" max="14598" width="13" style="15" customWidth="1"/>
    <col min="14599" max="14599" width="0" style="15" hidden="1" customWidth="1"/>
    <col min="14600" max="14601" width="9.33203125" style="15"/>
    <col min="14602" max="14602" width="15.83203125" style="15" customWidth="1"/>
    <col min="14603" max="14841" width="9.33203125" style="15"/>
    <col min="14842" max="14842" width="5" style="15" customWidth="1"/>
    <col min="14843" max="14843" width="9.33203125" style="15"/>
    <col min="14844" max="14844" width="21.6640625" style="15" customWidth="1"/>
    <col min="14845" max="14845" width="13.5" style="15" customWidth="1"/>
    <col min="14846" max="14846" width="10.5" style="15" customWidth="1"/>
    <col min="14847" max="14847" width="15.1640625" style="15" customWidth="1"/>
    <col min="14848" max="14848" width="3.6640625" style="15" customWidth="1"/>
    <col min="14849" max="14849" width="13.1640625" style="15" customWidth="1"/>
    <col min="14850" max="14850" width="3.83203125" style="15" customWidth="1"/>
    <col min="14851" max="14851" width="15" style="15" customWidth="1"/>
    <col min="14852" max="14852" width="3.6640625" style="15" customWidth="1"/>
    <col min="14853" max="14854" width="13" style="15" customWidth="1"/>
    <col min="14855" max="14855" width="0" style="15" hidden="1" customWidth="1"/>
    <col min="14856" max="14857" width="9.33203125" style="15"/>
    <col min="14858" max="14858" width="15.83203125" style="15" customWidth="1"/>
    <col min="14859" max="15097" width="9.33203125" style="15"/>
    <col min="15098" max="15098" width="5" style="15" customWidth="1"/>
    <col min="15099" max="15099" width="9.33203125" style="15"/>
    <col min="15100" max="15100" width="21.6640625" style="15" customWidth="1"/>
    <col min="15101" max="15101" width="13.5" style="15" customWidth="1"/>
    <col min="15102" max="15102" width="10.5" style="15" customWidth="1"/>
    <col min="15103" max="15103" width="15.1640625" style="15" customWidth="1"/>
    <col min="15104" max="15104" width="3.6640625" style="15" customWidth="1"/>
    <col min="15105" max="15105" width="13.1640625" style="15" customWidth="1"/>
    <col min="15106" max="15106" width="3.83203125" style="15" customWidth="1"/>
    <col min="15107" max="15107" width="15" style="15" customWidth="1"/>
    <col min="15108" max="15108" width="3.6640625" style="15" customWidth="1"/>
    <col min="15109" max="15110" width="13" style="15" customWidth="1"/>
    <col min="15111" max="15111" width="0" style="15" hidden="1" customWidth="1"/>
    <col min="15112" max="15113" width="9.33203125" style="15"/>
    <col min="15114" max="15114" width="15.83203125" style="15" customWidth="1"/>
    <col min="15115" max="15353" width="9.33203125" style="15"/>
    <col min="15354" max="15354" width="5" style="15" customWidth="1"/>
    <col min="15355" max="15355" width="9.33203125" style="15"/>
    <col min="15356" max="15356" width="21.6640625" style="15" customWidth="1"/>
    <col min="15357" max="15357" width="13.5" style="15" customWidth="1"/>
    <col min="15358" max="15358" width="10.5" style="15" customWidth="1"/>
    <col min="15359" max="15359" width="15.1640625" style="15" customWidth="1"/>
    <col min="15360" max="15360" width="3.6640625" style="15" customWidth="1"/>
    <col min="15361" max="15361" width="13.1640625" style="15" customWidth="1"/>
    <col min="15362" max="15362" width="3.83203125" style="15" customWidth="1"/>
    <col min="15363" max="15363" width="15" style="15" customWidth="1"/>
    <col min="15364" max="15364" width="3.6640625" style="15" customWidth="1"/>
    <col min="15365" max="15366" width="13" style="15" customWidth="1"/>
    <col min="15367" max="15367" width="0" style="15" hidden="1" customWidth="1"/>
    <col min="15368" max="15369" width="9.33203125" style="15"/>
    <col min="15370" max="15370" width="15.83203125" style="15" customWidth="1"/>
    <col min="15371" max="15609" width="9.33203125" style="15"/>
    <col min="15610" max="15610" width="5" style="15" customWidth="1"/>
    <col min="15611" max="15611" width="9.33203125" style="15"/>
    <col min="15612" max="15612" width="21.6640625" style="15" customWidth="1"/>
    <col min="15613" max="15613" width="13.5" style="15" customWidth="1"/>
    <col min="15614" max="15614" width="10.5" style="15" customWidth="1"/>
    <col min="15615" max="15615" width="15.1640625" style="15" customWidth="1"/>
    <col min="15616" max="15616" width="3.6640625" style="15" customWidth="1"/>
    <col min="15617" max="15617" width="13.1640625" style="15" customWidth="1"/>
    <col min="15618" max="15618" width="3.83203125" style="15" customWidth="1"/>
    <col min="15619" max="15619" width="15" style="15" customWidth="1"/>
    <col min="15620" max="15620" width="3.6640625" style="15" customWidth="1"/>
    <col min="15621" max="15622" width="13" style="15" customWidth="1"/>
    <col min="15623" max="15623" width="0" style="15" hidden="1" customWidth="1"/>
    <col min="15624" max="15625" width="9.33203125" style="15"/>
    <col min="15626" max="15626" width="15.83203125" style="15" customWidth="1"/>
    <col min="15627" max="15865" width="9.33203125" style="15"/>
    <col min="15866" max="15866" width="5" style="15" customWidth="1"/>
    <col min="15867" max="15867" width="9.33203125" style="15"/>
    <col min="15868" max="15868" width="21.6640625" style="15" customWidth="1"/>
    <col min="15869" max="15869" width="13.5" style="15" customWidth="1"/>
    <col min="15870" max="15870" width="10.5" style="15" customWidth="1"/>
    <col min="15871" max="15871" width="15.1640625" style="15" customWidth="1"/>
    <col min="15872" max="15872" width="3.6640625" style="15" customWidth="1"/>
    <col min="15873" max="15873" width="13.1640625" style="15" customWidth="1"/>
    <col min="15874" max="15874" width="3.83203125" style="15" customWidth="1"/>
    <col min="15875" max="15875" width="15" style="15" customWidth="1"/>
    <col min="15876" max="15876" width="3.6640625" style="15" customWidth="1"/>
    <col min="15877" max="15878" width="13" style="15" customWidth="1"/>
    <col min="15879" max="15879" width="0" style="15" hidden="1" customWidth="1"/>
    <col min="15880" max="15881" width="9.33203125" style="15"/>
    <col min="15882" max="15882" width="15.83203125" style="15" customWidth="1"/>
    <col min="15883" max="16121" width="9.33203125" style="15"/>
    <col min="16122" max="16122" width="5" style="15" customWidth="1"/>
    <col min="16123" max="16123" width="9.33203125" style="15"/>
    <col min="16124" max="16124" width="21.6640625" style="15" customWidth="1"/>
    <col min="16125" max="16125" width="13.5" style="15" customWidth="1"/>
    <col min="16126" max="16126" width="10.5" style="15" customWidth="1"/>
    <col min="16127" max="16127" width="15.1640625" style="15" customWidth="1"/>
    <col min="16128" max="16128" width="3.6640625" style="15" customWidth="1"/>
    <col min="16129" max="16129" width="13.1640625" style="15" customWidth="1"/>
    <col min="16130" max="16130" width="3.83203125" style="15" customWidth="1"/>
    <col min="16131" max="16131" width="15" style="15" customWidth="1"/>
    <col min="16132" max="16132" width="3.6640625" style="15" customWidth="1"/>
    <col min="16133" max="16134" width="13" style="15" customWidth="1"/>
    <col min="16135" max="16135" width="0" style="15" hidden="1" customWidth="1"/>
    <col min="16136" max="16137" width="9.33203125" style="15"/>
    <col min="16138" max="16138" width="15.83203125" style="15" customWidth="1"/>
    <col min="16139" max="16384" width="9.33203125" style="15"/>
  </cols>
  <sheetData>
    <row r="1" spans="1:16">
      <c r="K1" s="336" t="str">
        <f>+'DMA Proposed Rate 594'!G1</f>
        <v>CNGC Advice W24-09-03</v>
      </c>
    </row>
    <row r="2" spans="1:16" ht="15.75">
      <c r="A2" s="15"/>
      <c r="B2" s="9"/>
      <c r="C2" s="550" t="s">
        <v>33</v>
      </c>
      <c r="D2" s="550"/>
      <c r="E2" s="550"/>
      <c r="F2" s="550"/>
      <c r="G2" s="550"/>
      <c r="H2" s="50"/>
      <c r="I2" s="50"/>
      <c r="J2" s="50"/>
      <c r="K2" s="270" t="s">
        <v>189</v>
      </c>
    </row>
    <row r="3" spans="1:16" ht="15.75">
      <c r="A3" s="15"/>
      <c r="B3" s="9"/>
      <c r="C3" s="549" t="s">
        <v>330</v>
      </c>
      <c r="D3" s="549"/>
      <c r="E3" s="549"/>
      <c r="F3" s="549"/>
      <c r="G3" s="549"/>
      <c r="H3" s="484"/>
      <c r="I3" s="484"/>
      <c r="J3" s="484"/>
      <c r="K3" s="270" t="s">
        <v>332</v>
      </c>
    </row>
    <row r="4" spans="1:16" ht="15.75">
      <c r="A4" s="15"/>
      <c r="B4" s="9"/>
      <c r="C4" s="548" t="s">
        <v>340</v>
      </c>
      <c r="D4" s="548"/>
      <c r="E4" s="548"/>
      <c r="F4" s="548"/>
      <c r="G4" s="548"/>
      <c r="H4" s="483"/>
      <c r="I4" s="483"/>
      <c r="J4" s="483"/>
      <c r="K4" s="60"/>
    </row>
    <row r="5" spans="1:16" ht="15.75">
      <c r="A5" s="15"/>
      <c r="B5" s="9"/>
      <c r="C5" s="542" t="s">
        <v>35</v>
      </c>
      <c r="D5" s="542"/>
      <c r="E5" s="542"/>
      <c r="F5" s="542"/>
      <c r="G5" s="542"/>
      <c r="H5" s="50"/>
      <c r="I5" s="50"/>
      <c r="J5" s="50"/>
      <c r="K5" s="9" t="s">
        <v>126</v>
      </c>
    </row>
    <row r="7" spans="1:16">
      <c r="A7" s="55"/>
      <c r="B7" s="11"/>
      <c r="C7" s="246"/>
      <c r="D7" s="13"/>
      <c r="E7" s="55"/>
      <c r="F7" s="19"/>
      <c r="G7" s="55"/>
      <c r="J7" s="295" t="s">
        <v>37</v>
      </c>
      <c r="K7" s="12"/>
      <c r="L7" s="246"/>
    </row>
    <row r="8" spans="1:16">
      <c r="A8" s="56" t="s">
        <v>3</v>
      </c>
      <c r="C8" s="56" t="s">
        <v>32</v>
      </c>
      <c r="D8" s="18" t="s">
        <v>38</v>
      </c>
      <c r="E8" s="56" t="s">
        <v>212</v>
      </c>
      <c r="F8" s="19"/>
      <c r="G8" s="56" t="s">
        <v>40</v>
      </c>
      <c r="J8" s="296" t="s">
        <v>181</v>
      </c>
      <c r="K8" s="21" t="s">
        <v>41</v>
      </c>
      <c r="L8" s="56" t="s">
        <v>173</v>
      </c>
    </row>
    <row r="9" spans="1:16">
      <c r="A9" s="56" t="s">
        <v>6</v>
      </c>
      <c r="B9" s="9" t="s">
        <v>0</v>
      </c>
      <c r="C9" s="56" t="s">
        <v>43</v>
      </c>
      <c r="D9" s="18" t="s">
        <v>44</v>
      </c>
      <c r="E9" s="56" t="s">
        <v>45</v>
      </c>
      <c r="F9" s="19"/>
      <c r="G9" s="56" t="s">
        <v>46</v>
      </c>
      <c r="J9" s="296" t="s">
        <v>47</v>
      </c>
      <c r="K9" s="21" t="s">
        <v>47</v>
      </c>
      <c r="L9" s="56" t="s">
        <v>47</v>
      </c>
    </row>
    <row r="10" spans="1:16" s="18" customFormat="1">
      <c r="A10" s="56"/>
      <c r="B10" s="418" t="s">
        <v>9</v>
      </c>
      <c r="C10" s="56" t="s">
        <v>10</v>
      </c>
      <c r="D10" s="18" t="s">
        <v>11</v>
      </c>
      <c r="E10" s="57" t="s">
        <v>12</v>
      </c>
      <c r="F10" s="17"/>
      <c r="G10" s="57" t="s">
        <v>48</v>
      </c>
      <c r="J10" s="297" t="s">
        <v>87</v>
      </c>
      <c r="K10" s="17" t="s">
        <v>49</v>
      </c>
      <c r="L10" s="57" t="s">
        <v>50</v>
      </c>
    </row>
    <row r="11" spans="1:16">
      <c r="A11" s="58"/>
      <c r="B11" s="23" t="s">
        <v>52</v>
      </c>
      <c r="C11" s="453"/>
      <c r="D11" s="24"/>
      <c r="E11" s="24"/>
      <c r="G11" s="299"/>
      <c r="J11" s="298"/>
      <c r="K11" s="24"/>
    </row>
    <row r="12" spans="1:16" ht="15.75">
      <c r="A12" s="56">
        <v>1</v>
      </c>
      <c r="B12" s="322" t="s">
        <v>109</v>
      </c>
      <c r="C12" s="56" t="s">
        <v>56</v>
      </c>
      <c r="D12" s="53">
        <f>+'Bills-Therms-Revs'!F52</f>
        <v>204189</v>
      </c>
      <c r="E12" s="103">
        <f>+'DMA Summary of Def. Accts.'!G9</f>
        <v>140216275.3119559</v>
      </c>
      <c r="F12" s="80"/>
      <c r="G12" s="209">
        <f>+'Bills-Therms-Revs'!I12+'Bills-Therms-Revs'!I14+'Bills-Therms-Revs'!I15</f>
        <v>184270124.75999999</v>
      </c>
      <c r="I12" s="198"/>
      <c r="J12" s="208">
        <f>+'DMA Proposed Rate 594'!F12</f>
        <v>2.8106000000000003E-2</v>
      </c>
      <c r="K12" s="29">
        <f>E12*J12</f>
        <v>3940918.6339178327</v>
      </c>
      <c r="L12" s="485">
        <f t="shared" ref="L12:L17" si="0">+K12/G12</f>
        <v>2.1386638984754725E-2</v>
      </c>
      <c r="O12" s="76"/>
      <c r="P12" s="7"/>
    </row>
    <row r="13" spans="1:16" ht="15.75">
      <c r="A13" s="56">
        <v>2</v>
      </c>
      <c r="B13" s="322" t="s">
        <v>110</v>
      </c>
      <c r="C13" s="56" t="s">
        <v>62</v>
      </c>
      <c r="D13" s="53">
        <f>+'Bills-Therms-Revs'!F53</f>
        <v>27579</v>
      </c>
      <c r="E13" s="103">
        <f>+'DMA Summary of Def. Accts.'!H9</f>
        <v>103631783.38918559</v>
      </c>
      <c r="F13" s="19"/>
      <c r="G13" s="209">
        <f>+'Bills-Therms-Revs'!I18+'Bills-Therms-Revs'!I21+'Bills-Therms-Revs'!I22</f>
        <v>124333137.98999999</v>
      </c>
      <c r="J13" s="208">
        <f>+'DMA Proposed Rate 594'!F13</f>
        <v>1.1846000000000001E-2</v>
      </c>
      <c r="K13" s="29">
        <f>ROUND(E13*J13,0)</f>
        <v>1227622</v>
      </c>
      <c r="L13" s="486">
        <f t="shared" si="0"/>
        <v>9.8736509014896463E-3</v>
      </c>
      <c r="O13" s="76"/>
      <c r="P13" s="7"/>
    </row>
    <row r="14" spans="1:16" ht="15.75">
      <c r="A14" s="56">
        <v>3</v>
      </c>
      <c r="B14" s="322" t="s">
        <v>111</v>
      </c>
      <c r="C14" s="56" t="s">
        <v>66</v>
      </c>
      <c r="D14" s="53">
        <f>+'Bills-Therms-Revs'!F57</f>
        <v>495</v>
      </c>
      <c r="E14" s="103">
        <f>+'DMA Summary of Def. Accts.'!I9</f>
        <v>13457822.341199517</v>
      </c>
      <c r="F14" s="19"/>
      <c r="G14" s="209">
        <f>+'Bills-Therms-Revs'!I28+'Bills-Therms-Revs'!I30+'Bills-Therms-Revs'!I31</f>
        <v>14347313.25</v>
      </c>
      <c r="J14" s="208">
        <f>+'DMA Proposed Rate 594'!F14</f>
        <v>-4.3070000000000001E-3</v>
      </c>
      <c r="K14" s="29">
        <f>E14*J14</f>
        <v>-57962.840823546321</v>
      </c>
      <c r="L14" s="486">
        <f t="shared" si="0"/>
        <v>-4.0399787621244222E-3</v>
      </c>
      <c r="O14" s="76"/>
      <c r="P14" s="7"/>
    </row>
    <row r="15" spans="1:16" ht="15.75">
      <c r="A15" s="56">
        <v>4</v>
      </c>
      <c r="B15" s="322" t="s">
        <v>63</v>
      </c>
      <c r="C15" s="56" t="s">
        <v>64</v>
      </c>
      <c r="D15" s="53">
        <f>+'Bills-Therms-Revs'!F56</f>
        <v>99</v>
      </c>
      <c r="E15" s="103">
        <f>+'DMA Summary of Def. Accts.'!J9</f>
        <v>16601133.000301499</v>
      </c>
      <c r="F15" s="80"/>
      <c r="G15" s="209">
        <f>+'Bills-Therms-Revs'!I19+'Bills-Therms-Revs'!I23+'Bills-Therms-Revs'!I24+'Bills-Therms-Revs'!I29</f>
        <v>17512226.16</v>
      </c>
      <c r="H15" s="198"/>
      <c r="I15" s="198"/>
      <c r="J15" s="208">
        <f>+'DMA Proposed Rate 594'!F15</f>
        <v>3.1643000000000004E-2</v>
      </c>
      <c r="K15" s="29">
        <f>E15*J15</f>
        <v>525309.65152854042</v>
      </c>
      <c r="L15" s="486">
        <f t="shared" si="0"/>
        <v>2.9996737520921808E-2</v>
      </c>
      <c r="O15" s="76"/>
    </row>
    <row r="16" spans="1:16" ht="15.75">
      <c r="A16" s="56">
        <v>5</v>
      </c>
      <c r="B16" s="322" t="s">
        <v>112</v>
      </c>
      <c r="C16" s="56" t="s">
        <v>67</v>
      </c>
      <c r="D16" s="53">
        <f>+'Bills-Therms-Revs'!F58</f>
        <v>7</v>
      </c>
      <c r="E16" s="103">
        <f>+'DMA Summary of Def. Accts.'!K9</f>
        <v>2353804.9573574951</v>
      </c>
      <c r="F16" s="80"/>
      <c r="G16" s="209">
        <f>+'Bills-Therms-Revs'!I39</f>
        <v>2109806.16</v>
      </c>
      <c r="I16" s="198"/>
      <c r="J16" s="208">
        <f>+'DMA Proposed Rate 594'!F16</f>
        <v>1.4190000000000001E-3</v>
      </c>
      <c r="K16" s="29">
        <f>E16*J16</f>
        <v>3340.0492344902859</v>
      </c>
      <c r="L16" s="486">
        <f t="shared" si="0"/>
        <v>1.5831071582852359E-3</v>
      </c>
      <c r="O16" s="76"/>
      <c r="P16" s="7"/>
    </row>
    <row r="17" spans="1:17" s="50" customFormat="1">
      <c r="A17" s="57">
        <v>6</v>
      </c>
      <c r="B17" s="23"/>
      <c r="C17" s="300"/>
      <c r="D17" s="179">
        <f>SUM(D12:D16)</f>
        <v>232369</v>
      </c>
      <c r="E17" s="179">
        <f>SUM(E12:E16)</f>
        <v>276260818.99999994</v>
      </c>
      <c r="F17" s="54"/>
      <c r="G17" s="49">
        <f>SUM(G12:G16)</f>
        <v>342572608.32000005</v>
      </c>
      <c r="H17" s="294"/>
      <c r="I17" s="294"/>
      <c r="J17" s="81"/>
      <c r="K17" s="49">
        <f>SUM(K12:K16)</f>
        <v>5639227.4938573167</v>
      </c>
      <c r="L17" s="487">
        <f t="shared" si="0"/>
        <v>1.6461408054521585E-2</v>
      </c>
      <c r="N17" s="15"/>
      <c r="O17" s="76"/>
      <c r="Q17" s="62"/>
    </row>
    <row r="18" spans="1:17">
      <c r="B18" s="217"/>
      <c r="C18" s="478"/>
      <c r="D18" s="53"/>
      <c r="E18" s="53"/>
      <c r="F18" s="198"/>
      <c r="G18" s="1"/>
      <c r="I18" s="198"/>
      <c r="J18" s="479"/>
      <c r="K18" s="480"/>
      <c r="L18" s="178"/>
    </row>
  </sheetData>
  <mergeCells count="4">
    <mergeCell ref="C5:G5"/>
    <mergeCell ref="C4:G4"/>
    <mergeCell ref="C3:G3"/>
    <mergeCell ref="C2:G2"/>
  </mergeCells>
  <printOptions horizontalCentered="1"/>
  <pageMargins left="0.25" right="0.25" top="1" bottom="0.49" header="0.5" footer="0.27"/>
  <pageSetup scale="6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F62-4A27-4ED8-A370-71BE413F5E46}">
  <dimension ref="A1:N42"/>
  <sheetViews>
    <sheetView view="pageBreakPreview" topLeftCell="A4" zoomScale="98" zoomScaleNormal="100" zoomScaleSheetLayoutView="98" workbookViewId="0">
      <selection activeCell="G18" sqref="G18"/>
    </sheetView>
  </sheetViews>
  <sheetFormatPr defaultColWidth="12" defaultRowHeight="15.75"/>
  <cols>
    <col min="1" max="1" width="7" style="454" customWidth="1"/>
    <col min="2" max="2" width="2.33203125" style="454" customWidth="1"/>
    <col min="3" max="3" width="40.33203125" style="454" bestFit="1" customWidth="1"/>
    <col min="4" max="4" width="13.83203125" style="454" bestFit="1" customWidth="1"/>
    <col min="5" max="5" width="16.83203125" style="454" bestFit="1" customWidth="1"/>
    <col min="6" max="6" width="13.6640625" style="454" bestFit="1" customWidth="1"/>
    <col min="7" max="7" width="15.1640625" style="454" bestFit="1" customWidth="1"/>
    <col min="8" max="8" width="16.33203125" style="454" bestFit="1" customWidth="1"/>
    <col min="9" max="9" width="17.1640625" style="454" customWidth="1"/>
    <col min="10" max="10" width="14.33203125" style="454" customWidth="1"/>
    <col min="11" max="11" width="17" style="454" bestFit="1" customWidth="1"/>
    <col min="12" max="12" width="17.1640625" style="454" customWidth="1"/>
    <col min="13" max="13" width="4.1640625" style="454" customWidth="1"/>
    <col min="14" max="255" width="12" style="454"/>
    <col min="256" max="256" width="7" style="454" customWidth="1"/>
    <col min="257" max="257" width="2.33203125" style="454" customWidth="1"/>
    <col min="258" max="259" width="12" style="454"/>
    <col min="260" max="260" width="6.5" style="454" customWidth="1"/>
    <col min="261" max="261" width="5.1640625" style="454" customWidth="1"/>
    <col min="262" max="262" width="12" style="454"/>
    <col min="263" max="263" width="5.1640625" style="454" customWidth="1"/>
    <col min="264" max="264" width="17.1640625" style="454" customWidth="1"/>
    <col min="265" max="265" width="4.5" style="454" customWidth="1"/>
    <col min="266" max="266" width="16.1640625" style="454" customWidth="1"/>
    <col min="267" max="267" width="4.83203125" style="454" customWidth="1"/>
    <col min="268" max="268" width="17.1640625" style="454" customWidth="1"/>
    <col min="269" max="269" width="4.1640625" style="454" customWidth="1"/>
    <col min="270" max="511" width="12" style="454"/>
    <col min="512" max="512" width="7" style="454" customWidth="1"/>
    <col min="513" max="513" width="2.33203125" style="454" customWidth="1"/>
    <col min="514" max="515" width="12" style="454"/>
    <col min="516" max="516" width="6.5" style="454" customWidth="1"/>
    <col min="517" max="517" width="5.1640625" style="454" customWidth="1"/>
    <col min="518" max="518" width="12" style="454"/>
    <col min="519" max="519" width="5.1640625" style="454" customWidth="1"/>
    <col min="520" max="520" width="17.1640625" style="454" customWidth="1"/>
    <col min="521" max="521" width="4.5" style="454" customWidth="1"/>
    <col min="522" max="522" width="16.1640625" style="454" customWidth="1"/>
    <col min="523" max="523" width="4.83203125" style="454" customWidth="1"/>
    <col min="524" max="524" width="17.1640625" style="454" customWidth="1"/>
    <col min="525" max="525" width="4.1640625" style="454" customWidth="1"/>
    <col min="526" max="767" width="12" style="454"/>
    <col min="768" max="768" width="7" style="454" customWidth="1"/>
    <col min="769" max="769" width="2.33203125" style="454" customWidth="1"/>
    <col min="770" max="771" width="12" style="454"/>
    <col min="772" max="772" width="6.5" style="454" customWidth="1"/>
    <col min="773" max="773" width="5.1640625" style="454" customWidth="1"/>
    <col min="774" max="774" width="12" style="454"/>
    <col min="775" max="775" width="5.1640625" style="454" customWidth="1"/>
    <col min="776" max="776" width="17.1640625" style="454" customWidth="1"/>
    <col min="777" max="777" width="4.5" style="454" customWidth="1"/>
    <col min="778" max="778" width="16.1640625" style="454" customWidth="1"/>
    <col min="779" max="779" width="4.83203125" style="454" customWidth="1"/>
    <col min="780" max="780" width="17.1640625" style="454" customWidth="1"/>
    <col min="781" max="781" width="4.1640625" style="454" customWidth="1"/>
    <col min="782" max="1023" width="12" style="454"/>
    <col min="1024" max="1024" width="7" style="454" customWidth="1"/>
    <col min="1025" max="1025" width="2.33203125" style="454" customWidth="1"/>
    <col min="1026" max="1027" width="12" style="454"/>
    <col min="1028" max="1028" width="6.5" style="454" customWidth="1"/>
    <col min="1029" max="1029" width="5.1640625" style="454" customWidth="1"/>
    <col min="1030" max="1030" width="12" style="454"/>
    <col min="1031" max="1031" width="5.1640625" style="454" customWidth="1"/>
    <col min="1032" max="1032" width="17.1640625" style="454" customWidth="1"/>
    <col min="1033" max="1033" width="4.5" style="454" customWidth="1"/>
    <col min="1034" max="1034" width="16.1640625" style="454" customWidth="1"/>
    <col min="1035" max="1035" width="4.83203125" style="454" customWidth="1"/>
    <col min="1036" max="1036" width="17.1640625" style="454" customWidth="1"/>
    <col min="1037" max="1037" width="4.1640625" style="454" customWidth="1"/>
    <col min="1038" max="1279" width="12" style="454"/>
    <col min="1280" max="1280" width="7" style="454" customWidth="1"/>
    <col min="1281" max="1281" width="2.33203125" style="454" customWidth="1"/>
    <col min="1282" max="1283" width="12" style="454"/>
    <col min="1284" max="1284" width="6.5" style="454" customWidth="1"/>
    <col min="1285" max="1285" width="5.1640625" style="454" customWidth="1"/>
    <col min="1286" max="1286" width="12" style="454"/>
    <col min="1287" max="1287" width="5.1640625" style="454" customWidth="1"/>
    <col min="1288" max="1288" width="17.1640625" style="454" customWidth="1"/>
    <col min="1289" max="1289" width="4.5" style="454" customWidth="1"/>
    <col min="1290" max="1290" width="16.1640625" style="454" customWidth="1"/>
    <col min="1291" max="1291" width="4.83203125" style="454" customWidth="1"/>
    <col min="1292" max="1292" width="17.1640625" style="454" customWidth="1"/>
    <col min="1293" max="1293" width="4.1640625" style="454" customWidth="1"/>
    <col min="1294" max="1535" width="12" style="454"/>
    <col min="1536" max="1536" width="7" style="454" customWidth="1"/>
    <col min="1537" max="1537" width="2.33203125" style="454" customWidth="1"/>
    <col min="1538" max="1539" width="12" style="454"/>
    <col min="1540" max="1540" width="6.5" style="454" customWidth="1"/>
    <col min="1541" max="1541" width="5.1640625" style="454" customWidth="1"/>
    <col min="1542" max="1542" width="12" style="454"/>
    <col min="1543" max="1543" width="5.1640625" style="454" customWidth="1"/>
    <col min="1544" max="1544" width="17.1640625" style="454" customWidth="1"/>
    <col min="1545" max="1545" width="4.5" style="454" customWidth="1"/>
    <col min="1546" max="1546" width="16.1640625" style="454" customWidth="1"/>
    <col min="1547" max="1547" width="4.83203125" style="454" customWidth="1"/>
    <col min="1548" max="1548" width="17.1640625" style="454" customWidth="1"/>
    <col min="1549" max="1549" width="4.1640625" style="454" customWidth="1"/>
    <col min="1550" max="1791" width="12" style="454"/>
    <col min="1792" max="1792" width="7" style="454" customWidth="1"/>
    <col min="1793" max="1793" width="2.33203125" style="454" customWidth="1"/>
    <col min="1794" max="1795" width="12" style="454"/>
    <col min="1796" max="1796" width="6.5" style="454" customWidth="1"/>
    <col min="1797" max="1797" width="5.1640625" style="454" customWidth="1"/>
    <col min="1798" max="1798" width="12" style="454"/>
    <col min="1799" max="1799" width="5.1640625" style="454" customWidth="1"/>
    <col min="1800" max="1800" width="17.1640625" style="454" customWidth="1"/>
    <col min="1801" max="1801" width="4.5" style="454" customWidth="1"/>
    <col min="1802" max="1802" width="16.1640625" style="454" customWidth="1"/>
    <col min="1803" max="1803" width="4.83203125" style="454" customWidth="1"/>
    <col min="1804" max="1804" width="17.1640625" style="454" customWidth="1"/>
    <col min="1805" max="1805" width="4.1640625" style="454" customWidth="1"/>
    <col min="1806" max="2047" width="12" style="454"/>
    <col min="2048" max="2048" width="7" style="454" customWidth="1"/>
    <col min="2049" max="2049" width="2.33203125" style="454" customWidth="1"/>
    <col min="2050" max="2051" width="12" style="454"/>
    <col min="2052" max="2052" width="6.5" style="454" customWidth="1"/>
    <col min="2053" max="2053" width="5.1640625" style="454" customWidth="1"/>
    <col min="2054" max="2054" width="12" style="454"/>
    <col min="2055" max="2055" width="5.1640625" style="454" customWidth="1"/>
    <col min="2056" max="2056" width="17.1640625" style="454" customWidth="1"/>
    <col min="2057" max="2057" width="4.5" style="454" customWidth="1"/>
    <col min="2058" max="2058" width="16.1640625" style="454" customWidth="1"/>
    <col min="2059" max="2059" width="4.83203125" style="454" customWidth="1"/>
    <col min="2060" max="2060" width="17.1640625" style="454" customWidth="1"/>
    <col min="2061" max="2061" width="4.1640625" style="454" customWidth="1"/>
    <col min="2062" max="2303" width="12" style="454"/>
    <col min="2304" max="2304" width="7" style="454" customWidth="1"/>
    <col min="2305" max="2305" width="2.33203125" style="454" customWidth="1"/>
    <col min="2306" max="2307" width="12" style="454"/>
    <col min="2308" max="2308" width="6.5" style="454" customWidth="1"/>
    <col min="2309" max="2309" width="5.1640625" style="454" customWidth="1"/>
    <col min="2310" max="2310" width="12" style="454"/>
    <col min="2311" max="2311" width="5.1640625" style="454" customWidth="1"/>
    <col min="2312" max="2312" width="17.1640625" style="454" customWidth="1"/>
    <col min="2313" max="2313" width="4.5" style="454" customWidth="1"/>
    <col min="2314" max="2314" width="16.1640625" style="454" customWidth="1"/>
    <col min="2315" max="2315" width="4.83203125" style="454" customWidth="1"/>
    <col min="2316" max="2316" width="17.1640625" style="454" customWidth="1"/>
    <col min="2317" max="2317" width="4.1640625" style="454" customWidth="1"/>
    <col min="2318" max="2559" width="12" style="454"/>
    <col min="2560" max="2560" width="7" style="454" customWidth="1"/>
    <col min="2561" max="2561" width="2.33203125" style="454" customWidth="1"/>
    <col min="2562" max="2563" width="12" style="454"/>
    <col min="2564" max="2564" width="6.5" style="454" customWidth="1"/>
    <col min="2565" max="2565" width="5.1640625" style="454" customWidth="1"/>
    <col min="2566" max="2566" width="12" style="454"/>
    <col min="2567" max="2567" width="5.1640625" style="454" customWidth="1"/>
    <col min="2568" max="2568" width="17.1640625" style="454" customWidth="1"/>
    <col min="2569" max="2569" width="4.5" style="454" customWidth="1"/>
    <col min="2570" max="2570" width="16.1640625" style="454" customWidth="1"/>
    <col min="2571" max="2571" width="4.83203125" style="454" customWidth="1"/>
    <col min="2572" max="2572" width="17.1640625" style="454" customWidth="1"/>
    <col min="2573" max="2573" width="4.1640625" style="454" customWidth="1"/>
    <col min="2574" max="2815" width="12" style="454"/>
    <col min="2816" max="2816" width="7" style="454" customWidth="1"/>
    <col min="2817" max="2817" width="2.33203125" style="454" customWidth="1"/>
    <col min="2818" max="2819" width="12" style="454"/>
    <col min="2820" max="2820" width="6.5" style="454" customWidth="1"/>
    <col min="2821" max="2821" width="5.1640625" style="454" customWidth="1"/>
    <col min="2822" max="2822" width="12" style="454"/>
    <col min="2823" max="2823" width="5.1640625" style="454" customWidth="1"/>
    <col min="2824" max="2824" width="17.1640625" style="454" customWidth="1"/>
    <col min="2825" max="2825" width="4.5" style="454" customWidth="1"/>
    <col min="2826" max="2826" width="16.1640625" style="454" customWidth="1"/>
    <col min="2827" max="2827" width="4.83203125" style="454" customWidth="1"/>
    <col min="2828" max="2828" width="17.1640625" style="454" customWidth="1"/>
    <col min="2829" max="2829" width="4.1640625" style="454" customWidth="1"/>
    <col min="2830" max="3071" width="12" style="454"/>
    <col min="3072" max="3072" width="7" style="454" customWidth="1"/>
    <col min="3073" max="3073" width="2.33203125" style="454" customWidth="1"/>
    <col min="3074" max="3075" width="12" style="454"/>
    <col min="3076" max="3076" width="6.5" style="454" customWidth="1"/>
    <col min="3077" max="3077" width="5.1640625" style="454" customWidth="1"/>
    <col min="3078" max="3078" width="12" style="454"/>
    <col min="3079" max="3079" width="5.1640625" style="454" customWidth="1"/>
    <col min="3080" max="3080" width="17.1640625" style="454" customWidth="1"/>
    <col min="3081" max="3081" width="4.5" style="454" customWidth="1"/>
    <col min="3082" max="3082" width="16.1640625" style="454" customWidth="1"/>
    <col min="3083" max="3083" width="4.83203125" style="454" customWidth="1"/>
    <col min="3084" max="3084" width="17.1640625" style="454" customWidth="1"/>
    <col min="3085" max="3085" width="4.1640625" style="454" customWidth="1"/>
    <col min="3086" max="3327" width="12" style="454"/>
    <col min="3328" max="3328" width="7" style="454" customWidth="1"/>
    <col min="3329" max="3329" width="2.33203125" style="454" customWidth="1"/>
    <col min="3330" max="3331" width="12" style="454"/>
    <col min="3332" max="3332" width="6.5" style="454" customWidth="1"/>
    <col min="3333" max="3333" width="5.1640625" style="454" customWidth="1"/>
    <col min="3334" max="3334" width="12" style="454"/>
    <col min="3335" max="3335" width="5.1640625" style="454" customWidth="1"/>
    <col min="3336" max="3336" width="17.1640625" style="454" customWidth="1"/>
    <col min="3337" max="3337" width="4.5" style="454" customWidth="1"/>
    <col min="3338" max="3338" width="16.1640625" style="454" customWidth="1"/>
    <col min="3339" max="3339" width="4.83203125" style="454" customWidth="1"/>
    <col min="3340" max="3340" width="17.1640625" style="454" customWidth="1"/>
    <col min="3341" max="3341" width="4.1640625" style="454" customWidth="1"/>
    <col min="3342" max="3583" width="12" style="454"/>
    <col min="3584" max="3584" width="7" style="454" customWidth="1"/>
    <col min="3585" max="3585" width="2.33203125" style="454" customWidth="1"/>
    <col min="3586" max="3587" width="12" style="454"/>
    <col min="3588" max="3588" width="6.5" style="454" customWidth="1"/>
    <col min="3589" max="3589" width="5.1640625" style="454" customWidth="1"/>
    <col min="3590" max="3590" width="12" style="454"/>
    <col min="3591" max="3591" width="5.1640625" style="454" customWidth="1"/>
    <col min="3592" max="3592" width="17.1640625" style="454" customWidth="1"/>
    <col min="3593" max="3593" width="4.5" style="454" customWidth="1"/>
    <col min="3594" max="3594" width="16.1640625" style="454" customWidth="1"/>
    <col min="3595" max="3595" width="4.83203125" style="454" customWidth="1"/>
    <col min="3596" max="3596" width="17.1640625" style="454" customWidth="1"/>
    <col min="3597" max="3597" width="4.1640625" style="454" customWidth="1"/>
    <col min="3598" max="3839" width="12" style="454"/>
    <col min="3840" max="3840" width="7" style="454" customWidth="1"/>
    <col min="3841" max="3841" width="2.33203125" style="454" customWidth="1"/>
    <col min="3842" max="3843" width="12" style="454"/>
    <col min="3844" max="3844" width="6.5" style="454" customWidth="1"/>
    <col min="3845" max="3845" width="5.1640625" style="454" customWidth="1"/>
    <col min="3846" max="3846" width="12" style="454"/>
    <col min="3847" max="3847" width="5.1640625" style="454" customWidth="1"/>
    <col min="3848" max="3848" width="17.1640625" style="454" customWidth="1"/>
    <col min="3849" max="3849" width="4.5" style="454" customWidth="1"/>
    <col min="3850" max="3850" width="16.1640625" style="454" customWidth="1"/>
    <col min="3851" max="3851" width="4.83203125" style="454" customWidth="1"/>
    <col min="3852" max="3852" width="17.1640625" style="454" customWidth="1"/>
    <col min="3853" max="3853" width="4.1640625" style="454" customWidth="1"/>
    <col min="3854" max="4095" width="12" style="454"/>
    <col min="4096" max="4096" width="7" style="454" customWidth="1"/>
    <col min="4097" max="4097" width="2.33203125" style="454" customWidth="1"/>
    <col min="4098" max="4099" width="12" style="454"/>
    <col min="4100" max="4100" width="6.5" style="454" customWidth="1"/>
    <col min="4101" max="4101" width="5.1640625" style="454" customWidth="1"/>
    <col min="4102" max="4102" width="12" style="454"/>
    <col min="4103" max="4103" width="5.1640625" style="454" customWidth="1"/>
    <col min="4104" max="4104" width="17.1640625" style="454" customWidth="1"/>
    <col min="4105" max="4105" width="4.5" style="454" customWidth="1"/>
    <col min="4106" max="4106" width="16.1640625" style="454" customWidth="1"/>
    <col min="4107" max="4107" width="4.83203125" style="454" customWidth="1"/>
    <col min="4108" max="4108" width="17.1640625" style="454" customWidth="1"/>
    <col min="4109" max="4109" width="4.1640625" style="454" customWidth="1"/>
    <col min="4110" max="4351" width="12" style="454"/>
    <col min="4352" max="4352" width="7" style="454" customWidth="1"/>
    <col min="4353" max="4353" width="2.33203125" style="454" customWidth="1"/>
    <col min="4354" max="4355" width="12" style="454"/>
    <col min="4356" max="4356" width="6.5" style="454" customWidth="1"/>
    <col min="4357" max="4357" width="5.1640625" style="454" customWidth="1"/>
    <col min="4358" max="4358" width="12" style="454"/>
    <col min="4359" max="4359" width="5.1640625" style="454" customWidth="1"/>
    <col min="4360" max="4360" width="17.1640625" style="454" customWidth="1"/>
    <col min="4361" max="4361" width="4.5" style="454" customWidth="1"/>
    <col min="4362" max="4362" width="16.1640625" style="454" customWidth="1"/>
    <col min="4363" max="4363" width="4.83203125" style="454" customWidth="1"/>
    <col min="4364" max="4364" width="17.1640625" style="454" customWidth="1"/>
    <col min="4365" max="4365" width="4.1640625" style="454" customWidth="1"/>
    <col min="4366" max="4607" width="12" style="454"/>
    <col min="4608" max="4608" width="7" style="454" customWidth="1"/>
    <col min="4609" max="4609" width="2.33203125" style="454" customWidth="1"/>
    <col min="4610" max="4611" width="12" style="454"/>
    <col min="4612" max="4612" width="6.5" style="454" customWidth="1"/>
    <col min="4613" max="4613" width="5.1640625" style="454" customWidth="1"/>
    <col min="4614" max="4614" width="12" style="454"/>
    <col min="4615" max="4615" width="5.1640625" style="454" customWidth="1"/>
    <col min="4616" max="4616" width="17.1640625" style="454" customWidth="1"/>
    <col min="4617" max="4617" width="4.5" style="454" customWidth="1"/>
    <col min="4618" max="4618" width="16.1640625" style="454" customWidth="1"/>
    <col min="4619" max="4619" width="4.83203125" style="454" customWidth="1"/>
    <col min="4620" max="4620" width="17.1640625" style="454" customWidth="1"/>
    <col min="4621" max="4621" width="4.1640625" style="454" customWidth="1"/>
    <col min="4622" max="4863" width="12" style="454"/>
    <col min="4864" max="4864" width="7" style="454" customWidth="1"/>
    <col min="4865" max="4865" width="2.33203125" style="454" customWidth="1"/>
    <col min="4866" max="4867" width="12" style="454"/>
    <col min="4868" max="4868" width="6.5" style="454" customWidth="1"/>
    <col min="4869" max="4869" width="5.1640625" style="454" customWidth="1"/>
    <col min="4870" max="4870" width="12" style="454"/>
    <col min="4871" max="4871" width="5.1640625" style="454" customWidth="1"/>
    <col min="4872" max="4872" width="17.1640625" style="454" customWidth="1"/>
    <col min="4873" max="4873" width="4.5" style="454" customWidth="1"/>
    <col min="4874" max="4874" width="16.1640625" style="454" customWidth="1"/>
    <col min="4875" max="4875" width="4.83203125" style="454" customWidth="1"/>
    <col min="4876" max="4876" width="17.1640625" style="454" customWidth="1"/>
    <col min="4877" max="4877" width="4.1640625" style="454" customWidth="1"/>
    <col min="4878" max="5119" width="12" style="454"/>
    <col min="5120" max="5120" width="7" style="454" customWidth="1"/>
    <col min="5121" max="5121" width="2.33203125" style="454" customWidth="1"/>
    <col min="5122" max="5123" width="12" style="454"/>
    <col min="5124" max="5124" width="6.5" style="454" customWidth="1"/>
    <col min="5125" max="5125" width="5.1640625" style="454" customWidth="1"/>
    <col min="5126" max="5126" width="12" style="454"/>
    <col min="5127" max="5127" width="5.1640625" style="454" customWidth="1"/>
    <col min="5128" max="5128" width="17.1640625" style="454" customWidth="1"/>
    <col min="5129" max="5129" width="4.5" style="454" customWidth="1"/>
    <col min="5130" max="5130" width="16.1640625" style="454" customWidth="1"/>
    <col min="5131" max="5131" width="4.83203125" style="454" customWidth="1"/>
    <col min="5132" max="5132" width="17.1640625" style="454" customWidth="1"/>
    <col min="5133" max="5133" width="4.1640625" style="454" customWidth="1"/>
    <col min="5134" max="5375" width="12" style="454"/>
    <col min="5376" max="5376" width="7" style="454" customWidth="1"/>
    <col min="5377" max="5377" width="2.33203125" style="454" customWidth="1"/>
    <col min="5378" max="5379" width="12" style="454"/>
    <col min="5380" max="5380" width="6.5" style="454" customWidth="1"/>
    <col min="5381" max="5381" width="5.1640625" style="454" customWidth="1"/>
    <col min="5382" max="5382" width="12" style="454"/>
    <col min="5383" max="5383" width="5.1640625" style="454" customWidth="1"/>
    <col min="5384" max="5384" width="17.1640625" style="454" customWidth="1"/>
    <col min="5385" max="5385" width="4.5" style="454" customWidth="1"/>
    <col min="5386" max="5386" width="16.1640625" style="454" customWidth="1"/>
    <col min="5387" max="5387" width="4.83203125" style="454" customWidth="1"/>
    <col min="5388" max="5388" width="17.1640625" style="454" customWidth="1"/>
    <col min="5389" max="5389" width="4.1640625" style="454" customWidth="1"/>
    <col min="5390" max="5631" width="12" style="454"/>
    <col min="5632" max="5632" width="7" style="454" customWidth="1"/>
    <col min="5633" max="5633" width="2.33203125" style="454" customWidth="1"/>
    <col min="5634" max="5635" width="12" style="454"/>
    <col min="5636" max="5636" width="6.5" style="454" customWidth="1"/>
    <col min="5637" max="5637" width="5.1640625" style="454" customWidth="1"/>
    <col min="5638" max="5638" width="12" style="454"/>
    <col min="5639" max="5639" width="5.1640625" style="454" customWidth="1"/>
    <col min="5640" max="5640" width="17.1640625" style="454" customWidth="1"/>
    <col min="5641" max="5641" width="4.5" style="454" customWidth="1"/>
    <col min="5642" max="5642" width="16.1640625" style="454" customWidth="1"/>
    <col min="5643" max="5643" width="4.83203125" style="454" customWidth="1"/>
    <col min="5644" max="5644" width="17.1640625" style="454" customWidth="1"/>
    <col min="5645" max="5645" width="4.1640625" style="454" customWidth="1"/>
    <col min="5646" max="5887" width="12" style="454"/>
    <col min="5888" max="5888" width="7" style="454" customWidth="1"/>
    <col min="5889" max="5889" width="2.33203125" style="454" customWidth="1"/>
    <col min="5890" max="5891" width="12" style="454"/>
    <col min="5892" max="5892" width="6.5" style="454" customWidth="1"/>
    <col min="5893" max="5893" width="5.1640625" style="454" customWidth="1"/>
    <col min="5894" max="5894" width="12" style="454"/>
    <col min="5895" max="5895" width="5.1640625" style="454" customWidth="1"/>
    <col min="5896" max="5896" width="17.1640625" style="454" customWidth="1"/>
    <col min="5897" max="5897" width="4.5" style="454" customWidth="1"/>
    <col min="5898" max="5898" width="16.1640625" style="454" customWidth="1"/>
    <col min="5899" max="5899" width="4.83203125" style="454" customWidth="1"/>
    <col min="5900" max="5900" width="17.1640625" style="454" customWidth="1"/>
    <col min="5901" max="5901" width="4.1640625" style="454" customWidth="1"/>
    <col min="5902" max="6143" width="12" style="454"/>
    <col min="6144" max="6144" width="7" style="454" customWidth="1"/>
    <col min="6145" max="6145" width="2.33203125" style="454" customWidth="1"/>
    <col min="6146" max="6147" width="12" style="454"/>
    <col min="6148" max="6148" width="6.5" style="454" customWidth="1"/>
    <col min="6149" max="6149" width="5.1640625" style="454" customWidth="1"/>
    <col min="6150" max="6150" width="12" style="454"/>
    <col min="6151" max="6151" width="5.1640625" style="454" customWidth="1"/>
    <col min="6152" max="6152" width="17.1640625" style="454" customWidth="1"/>
    <col min="6153" max="6153" width="4.5" style="454" customWidth="1"/>
    <col min="6154" max="6154" width="16.1640625" style="454" customWidth="1"/>
    <col min="6155" max="6155" width="4.83203125" style="454" customWidth="1"/>
    <col min="6156" max="6156" width="17.1640625" style="454" customWidth="1"/>
    <col min="6157" max="6157" width="4.1640625" style="454" customWidth="1"/>
    <col min="6158" max="6399" width="12" style="454"/>
    <col min="6400" max="6400" width="7" style="454" customWidth="1"/>
    <col min="6401" max="6401" width="2.33203125" style="454" customWidth="1"/>
    <col min="6402" max="6403" width="12" style="454"/>
    <col min="6404" max="6404" width="6.5" style="454" customWidth="1"/>
    <col min="6405" max="6405" width="5.1640625" style="454" customWidth="1"/>
    <col min="6406" max="6406" width="12" style="454"/>
    <col min="6407" max="6407" width="5.1640625" style="454" customWidth="1"/>
    <col min="6408" max="6408" width="17.1640625" style="454" customWidth="1"/>
    <col min="6409" max="6409" width="4.5" style="454" customWidth="1"/>
    <col min="6410" max="6410" width="16.1640625" style="454" customWidth="1"/>
    <col min="6411" max="6411" width="4.83203125" style="454" customWidth="1"/>
    <col min="6412" max="6412" width="17.1640625" style="454" customWidth="1"/>
    <col min="6413" max="6413" width="4.1640625" style="454" customWidth="1"/>
    <col min="6414" max="6655" width="12" style="454"/>
    <col min="6656" max="6656" width="7" style="454" customWidth="1"/>
    <col min="6657" max="6657" width="2.33203125" style="454" customWidth="1"/>
    <col min="6658" max="6659" width="12" style="454"/>
    <col min="6660" max="6660" width="6.5" style="454" customWidth="1"/>
    <col min="6661" max="6661" width="5.1640625" style="454" customWidth="1"/>
    <col min="6662" max="6662" width="12" style="454"/>
    <col min="6663" max="6663" width="5.1640625" style="454" customWidth="1"/>
    <col min="6664" max="6664" width="17.1640625" style="454" customWidth="1"/>
    <col min="6665" max="6665" width="4.5" style="454" customWidth="1"/>
    <col min="6666" max="6666" width="16.1640625" style="454" customWidth="1"/>
    <col min="6667" max="6667" width="4.83203125" style="454" customWidth="1"/>
    <col min="6668" max="6668" width="17.1640625" style="454" customWidth="1"/>
    <col min="6669" max="6669" width="4.1640625" style="454" customWidth="1"/>
    <col min="6670" max="6911" width="12" style="454"/>
    <col min="6912" max="6912" width="7" style="454" customWidth="1"/>
    <col min="6913" max="6913" width="2.33203125" style="454" customWidth="1"/>
    <col min="6914" max="6915" width="12" style="454"/>
    <col min="6916" max="6916" width="6.5" style="454" customWidth="1"/>
    <col min="6917" max="6917" width="5.1640625" style="454" customWidth="1"/>
    <col min="6918" max="6918" width="12" style="454"/>
    <col min="6919" max="6919" width="5.1640625" style="454" customWidth="1"/>
    <col min="6920" max="6920" width="17.1640625" style="454" customWidth="1"/>
    <col min="6921" max="6921" width="4.5" style="454" customWidth="1"/>
    <col min="6922" max="6922" width="16.1640625" style="454" customWidth="1"/>
    <col min="6923" max="6923" width="4.83203125" style="454" customWidth="1"/>
    <col min="6924" max="6924" width="17.1640625" style="454" customWidth="1"/>
    <col min="6925" max="6925" width="4.1640625" style="454" customWidth="1"/>
    <col min="6926" max="7167" width="12" style="454"/>
    <col min="7168" max="7168" width="7" style="454" customWidth="1"/>
    <col min="7169" max="7169" width="2.33203125" style="454" customWidth="1"/>
    <col min="7170" max="7171" width="12" style="454"/>
    <col min="7172" max="7172" width="6.5" style="454" customWidth="1"/>
    <col min="7173" max="7173" width="5.1640625" style="454" customWidth="1"/>
    <col min="7174" max="7174" width="12" style="454"/>
    <col min="7175" max="7175" width="5.1640625" style="454" customWidth="1"/>
    <col min="7176" max="7176" width="17.1640625" style="454" customWidth="1"/>
    <col min="7177" max="7177" width="4.5" style="454" customWidth="1"/>
    <col min="7178" max="7178" width="16.1640625" style="454" customWidth="1"/>
    <col min="7179" max="7179" width="4.83203125" style="454" customWidth="1"/>
    <col min="7180" max="7180" width="17.1640625" style="454" customWidth="1"/>
    <col min="7181" max="7181" width="4.1640625" style="454" customWidth="1"/>
    <col min="7182" max="7423" width="12" style="454"/>
    <col min="7424" max="7424" width="7" style="454" customWidth="1"/>
    <col min="7425" max="7425" width="2.33203125" style="454" customWidth="1"/>
    <col min="7426" max="7427" width="12" style="454"/>
    <col min="7428" max="7428" width="6.5" style="454" customWidth="1"/>
    <col min="7429" max="7429" width="5.1640625" style="454" customWidth="1"/>
    <col min="7430" max="7430" width="12" style="454"/>
    <col min="7431" max="7431" width="5.1640625" style="454" customWidth="1"/>
    <col min="7432" max="7432" width="17.1640625" style="454" customWidth="1"/>
    <col min="7433" max="7433" width="4.5" style="454" customWidth="1"/>
    <col min="7434" max="7434" width="16.1640625" style="454" customWidth="1"/>
    <col min="7435" max="7435" width="4.83203125" style="454" customWidth="1"/>
    <col min="7436" max="7436" width="17.1640625" style="454" customWidth="1"/>
    <col min="7437" max="7437" width="4.1640625" style="454" customWidth="1"/>
    <col min="7438" max="7679" width="12" style="454"/>
    <col min="7680" max="7680" width="7" style="454" customWidth="1"/>
    <col min="7681" max="7681" width="2.33203125" style="454" customWidth="1"/>
    <col min="7682" max="7683" width="12" style="454"/>
    <col min="7684" max="7684" width="6.5" style="454" customWidth="1"/>
    <col min="7685" max="7685" width="5.1640625" style="454" customWidth="1"/>
    <col min="7686" max="7686" width="12" style="454"/>
    <col min="7687" max="7687" width="5.1640625" style="454" customWidth="1"/>
    <col min="7688" max="7688" width="17.1640625" style="454" customWidth="1"/>
    <col min="7689" max="7689" width="4.5" style="454" customWidth="1"/>
    <col min="7690" max="7690" width="16.1640625" style="454" customWidth="1"/>
    <col min="7691" max="7691" width="4.83203125" style="454" customWidth="1"/>
    <col min="7692" max="7692" width="17.1640625" style="454" customWidth="1"/>
    <col min="7693" max="7693" width="4.1640625" style="454" customWidth="1"/>
    <col min="7694" max="7935" width="12" style="454"/>
    <col min="7936" max="7936" width="7" style="454" customWidth="1"/>
    <col min="7937" max="7937" width="2.33203125" style="454" customWidth="1"/>
    <col min="7938" max="7939" width="12" style="454"/>
    <col min="7940" max="7940" width="6.5" style="454" customWidth="1"/>
    <col min="7941" max="7941" width="5.1640625" style="454" customWidth="1"/>
    <col min="7942" max="7942" width="12" style="454"/>
    <col min="7943" max="7943" width="5.1640625" style="454" customWidth="1"/>
    <col min="7944" max="7944" width="17.1640625" style="454" customWidth="1"/>
    <col min="7945" max="7945" width="4.5" style="454" customWidth="1"/>
    <col min="7946" max="7946" width="16.1640625" style="454" customWidth="1"/>
    <col min="7947" max="7947" width="4.83203125" style="454" customWidth="1"/>
    <col min="7948" max="7948" width="17.1640625" style="454" customWidth="1"/>
    <col min="7949" max="7949" width="4.1640625" style="454" customWidth="1"/>
    <col min="7950" max="8191" width="12" style="454"/>
    <col min="8192" max="8192" width="7" style="454" customWidth="1"/>
    <col min="8193" max="8193" width="2.33203125" style="454" customWidth="1"/>
    <col min="8194" max="8195" width="12" style="454"/>
    <col min="8196" max="8196" width="6.5" style="454" customWidth="1"/>
    <col min="8197" max="8197" width="5.1640625" style="454" customWidth="1"/>
    <col min="8198" max="8198" width="12" style="454"/>
    <col min="8199" max="8199" width="5.1640625" style="454" customWidth="1"/>
    <col min="8200" max="8200" width="17.1640625" style="454" customWidth="1"/>
    <col min="8201" max="8201" width="4.5" style="454" customWidth="1"/>
    <col min="8202" max="8202" width="16.1640625" style="454" customWidth="1"/>
    <col min="8203" max="8203" width="4.83203125" style="454" customWidth="1"/>
    <col min="8204" max="8204" width="17.1640625" style="454" customWidth="1"/>
    <col min="8205" max="8205" width="4.1640625" style="454" customWidth="1"/>
    <col min="8206" max="8447" width="12" style="454"/>
    <col min="8448" max="8448" width="7" style="454" customWidth="1"/>
    <col min="8449" max="8449" width="2.33203125" style="454" customWidth="1"/>
    <col min="8450" max="8451" width="12" style="454"/>
    <col min="8452" max="8452" width="6.5" style="454" customWidth="1"/>
    <col min="8453" max="8453" width="5.1640625" style="454" customWidth="1"/>
    <col min="8454" max="8454" width="12" style="454"/>
    <col min="8455" max="8455" width="5.1640625" style="454" customWidth="1"/>
    <col min="8456" max="8456" width="17.1640625" style="454" customWidth="1"/>
    <col min="8457" max="8457" width="4.5" style="454" customWidth="1"/>
    <col min="8458" max="8458" width="16.1640625" style="454" customWidth="1"/>
    <col min="8459" max="8459" width="4.83203125" style="454" customWidth="1"/>
    <col min="8460" max="8460" width="17.1640625" style="454" customWidth="1"/>
    <col min="8461" max="8461" width="4.1640625" style="454" customWidth="1"/>
    <col min="8462" max="8703" width="12" style="454"/>
    <col min="8704" max="8704" width="7" style="454" customWidth="1"/>
    <col min="8705" max="8705" width="2.33203125" style="454" customWidth="1"/>
    <col min="8706" max="8707" width="12" style="454"/>
    <col min="8708" max="8708" width="6.5" style="454" customWidth="1"/>
    <col min="8709" max="8709" width="5.1640625" style="454" customWidth="1"/>
    <col min="8710" max="8710" width="12" style="454"/>
    <col min="8711" max="8711" width="5.1640625" style="454" customWidth="1"/>
    <col min="8712" max="8712" width="17.1640625" style="454" customWidth="1"/>
    <col min="8713" max="8713" width="4.5" style="454" customWidth="1"/>
    <col min="8714" max="8714" width="16.1640625" style="454" customWidth="1"/>
    <col min="8715" max="8715" width="4.83203125" style="454" customWidth="1"/>
    <col min="8716" max="8716" width="17.1640625" style="454" customWidth="1"/>
    <col min="8717" max="8717" width="4.1640625" style="454" customWidth="1"/>
    <col min="8718" max="8959" width="12" style="454"/>
    <col min="8960" max="8960" width="7" style="454" customWidth="1"/>
    <col min="8961" max="8961" width="2.33203125" style="454" customWidth="1"/>
    <col min="8962" max="8963" width="12" style="454"/>
    <col min="8964" max="8964" width="6.5" style="454" customWidth="1"/>
    <col min="8965" max="8965" width="5.1640625" style="454" customWidth="1"/>
    <col min="8966" max="8966" width="12" style="454"/>
    <col min="8967" max="8967" width="5.1640625" style="454" customWidth="1"/>
    <col min="8968" max="8968" width="17.1640625" style="454" customWidth="1"/>
    <col min="8969" max="8969" width="4.5" style="454" customWidth="1"/>
    <col min="8970" max="8970" width="16.1640625" style="454" customWidth="1"/>
    <col min="8971" max="8971" width="4.83203125" style="454" customWidth="1"/>
    <col min="8972" max="8972" width="17.1640625" style="454" customWidth="1"/>
    <col min="8973" max="8973" width="4.1640625" style="454" customWidth="1"/>
    <col min="8974" max="9215" width="12" style="454"/>
    <col min="9216" max="9216" width="7" style="454" customWidth="1"/>
    <col min="9217" max="9217" width="2.33203125" style="454" customWidth="1"/>
    <col min="9218" max="9219" width="12" style="454"/>
    <col min="9220" max="9220" width="6.5" style="454" customWidth="1"/>
    <col min="9221" max="9221" width="5.1640625" style="454" customWidth="1"/>
    <col min="9222" max="9222" width="12" style="454"/>
    <col min="9223" max="9223" width="5.1640625" style="454" customWidth="1"/>
    <col min="9224" max="9224" width="17.1640625" style="454" customWidth="1"/>
    <col min="9225" max="9225" width="4.5" style="454" customWidth="1"/>
    <col min="9226" max="9226" width="16.1640625" style="454" customWidth="1"/>
    <col min="9227" max="9227" width="4.83203125" style="454" customWidth="1"/>
    <col min="9228" max="9228" width="17.1640625" style="454" customWidth="1"/>
    <col min="9229" max="9229" width="4.1640625" style="454" customWidth="1"/>
    <col min="9230" max="9471" width="12" style="454"/>
    <col min="9472" max="9472" width="7" style="454" customWidth="1"/>
    <col min="9473" max="9473" width="2.33203125" style="454" customWidth="1"/>
    <col min="9474" max="9475" width="12" style="454"/>
    <col min="9476" max="9476" width="6.5" style="454" customWidth="1"/>
    <col min="9477" max="9477" width="5.1640625" style="454" customWidth="1"/>
    <col min="9478" max="9478" width="12" style="454"/>
    <col min="9479" max="9479" width="5.1640625" style="454" customWidth="1"/>
    <col min="9480" max="9480" width="17.1640625" style="454" customWidth="1"/>
    <col min="9481" max="9481" width="4.5" style="454" customWidth="1"/>
    <col min="9482" max="9482" width="16.1640625" style="454" customWidth="1"/>
    <col min="9483" max="9483" width="4.83203125" style="454" customWidth="1"/>
    <col min="9484" max="9484" width="17.1640625" style="454" customWidth="1"/>
    <col min="9485" max="9485" width="4.1640625" style="454" customWidth="1"/>
    <col min="9486" max="9727" width="12" style="454"/>
    <col min="9728" max="9728" width="7" style="454" customWidth="1"/>
    <col min="9729" max="9729" width="2.33203125" style="454" customWidth="1"/>
    <col min="9730" max="9731" width="12" style="454"/>
    <col min="9732" max="9732" width="6.5" style="454" customWidth="1"/>
    <col min="9733" max="9733" width="5.1640625" style="454" customWidth="1"/>
    <col min="9734" max="9734" width="12" style="454"/>
    <col min="9735" max="9735" width="5.1640625" style="454" customWidth="1"/>
    <col min="9736" max="9736" width="17.1640625" style="454" customWidth="1"/>
    <col min="9737" max="9737" width="4.5" style="454" customWidth="1"/>
    <col min="9738" max="9738" width="16.1640625" style="454" customWidth="1"/>
    <col min="9739" max="9739" width="4.83203125" style="454" customWidth="1"/>
    <col min="9740" max="9740" width="17.1640625" style="454" customWidth="1"/>
    <col min="9741" max="9741" width="4.1640625" style="454" customWidth="1"/>
    <col min="9742" max="9983" width="12" style="454"/>
    <col min="9984" max="9984" width="7" style="454" customWidth="1"/>
    <col min="9985" max="9985" width="2.33203125" style="454" customWidth="1"/>
    <col min="9986" max="9987" width="12" style="454"/>
    <col min="9988" max="9988" width="6.5" style="454" customWidth="1"/>
    <col min="9989" max="9989" width="5.1640625" style="454" customWidth="1"/>
    <col min="9990" max="9990" width="12" style="454"/>
    <col min="9991" max="9991" width="5.1640625" style="454" customWidth="1"/>
    <col min="9992" max="9992" width="17.1640625" style="454" customWidth="1"/>
    <col min="9993" max="9993" width="4.5" style="454" customWidth="1"/>
    <col min="9994" max="9994" width="16.1640625" style="454" customWidth="1"/>
    <col min="9995" max="9995" width="4.83203125" style="454" customWidth="1"/>
    <col min="9996" max="9996" width="17.1640625" style="454" customWidth="1"/>
    <col min="9997" max="9997" width="4.1640625" style="454" customWidth="1"/>
    <col min="9998" max="10239" width="12" style="454"/>
    <col min="10240" max="10240" width="7" style="454" customWidth="1"/>
    <col min="10241" max="10241" width="2.33203125" style="454" customWidth="1"/>
    <col min="10242" max="10243" width="12" style="454"/>
    <col min="10244" max="10244" width="6.5" style="454" customWidth="1"/>
    <col min="10245" max="10245" width="5.1640625" style="454" customWidth="1"/>
    <col min="10246" max="10246" width="12" style="454"/>
    <col min="10247" max="10247" width="5.1640625" style="454" customWidth="1"/>
    <col min="10248" max="10248" width="17.1640625" style="454" customWidth="1"/>
    <col min="10249" max="10249" width="4.5" style="454" customWidth="1"/>
    <col min="10250" max="10250" width="16.1640625" style="454" customWidth="1"/>
    <col min="10251" max="10251" width="4.83203125" style="454" customWidth="1"/>
    <col min="10252" max="10252" width="17.1640625" style="454" customWidth="1"/>
    <col min="10253" max="10253" width="4.1640625" style="454" customWidth="1"/>
    <col min="10254" max="10495" width="12" style="454"/>
    <col min="10496" max="10496" width="7" style="454" customWidth="1"/>
    <col min="10497" max="10497" width="2.33203125" style="454" customWidth="1"/>
    <col min="10498" max="10499" width="12" style="454"/>
    <col min="10500" max="10500" width="6.5" style="454" customWidth="1"/>
    <col min="10501" max="10501" width="5.1640625" style="454" customWidth="1"/>
    <col min="10502" max="10502" width="12" style="454"/>
    <col min="10503" max="10503" width="5.1640625" style="454" customWidth="1"/>
    <col min="10504" max="10504" width="17.1640625" style="454" customWidth="1"/>
    <col min="10505" max="10505" width="4.5" style="454" customWidth="1"/>
    <col min="10506" max="10506" width="16.1640625" style="454" customWidth="1"/>
    <col min="10507" max="10507" width="4.83203125" style="454" customWidth="1"/>
    <col min="10508" max="10508" width="17.1640625" style="454" customWidth="1"/>
    <col min="10509" max="10509" width="4.1640625" style="454" customWidth="1"/>
    <col min="10510" max="10751" width="12" style="454"/>
    <col min="10752" max="10752" width="7" style="454" customWidth="1"/>
    <col min="10753" max="10753" width="2.33203125" style="454" customWidth="1"/>
    <col min="10754" max="10755" width="12" style="454"/>
    <col min="10756" max="10756" width="6.5" style="454" customWidth="1"/>
    <col min="10757" max="10757" width="5.1640625" style="454" customWidth="1"/>
    <col min="10758" max="10758" width="12" style="454"/>
    <col min="10759" max="10759" width="5.1640625" style="454" customWidth="1"/>
    <col min="10760" max="10760" width="17.1640625" style="454" customWidth="1"/>
    <col min="10761" max="10761" width="4.5" style="454" customWidth="1"/>
    <col min="10762" max="10762" width="16.1640625" style="454" customWidth="1"/>
    <col min="10763" max="10763" width="4.83203125" style="454" customWidth="1"/>
    <col min="10764" max="10764" width="17.1640625" style="454" customWidth="1"/>
    <col min="10765" max="10765" width="4.1640625" style="454" customWidth="1"/>
    <col min="10766" max="11007" width="12" style="454"/>
    <col min="11008" max="11008" width="7" style="454" customWidth="1"/>
    <col min="11009" max="11009" width="2.33203125" style="454" customWidth="1"/>
    <col min="11010" max="11011" width="12" style="454"/>
    <col min="11012" max="11012" width="6.5" style="454" customWidth="1"/>
    <col min="11013" max="11013" width="5.1640625" style="454" customWidth="1"/>
    <col min="11014" max="11014" width="12" style="454"/>
    <col min="11015" max="11015" width="5.1640625" style="454" customWidth="1"/>
    <col min="11016" max="11016" width="17.1640625" style="454" customWidth="1"/>
    <col min="11017" max="11017" width="4.5" style="454" customWidth="1"/>
    <col min="11018" max="11018" width="16.1640625" style="454" customWidth="1"/>
    <col min="11019" max="11019" width="4.83203125" style="454" customWidth="1"/>
    <col min="11020" max="11020" width="17.1640625" style="454" customWidth="1"/>
    <col min="11021" max="11021" width="4.1640625" style="454" customWidth="1"/>
    <col min="11022" max="11263" width="12" style="454"/>
    <col min="11264" max="11264" width="7" style="454" customWidth="1"/>
    <col min="11265" max="11265" width="2.33203125" style="454" customWidth="1"/>
    <col min="11266" max="11267" width="12" style="454"/>
    <col min="11268" max="11268" width="6.5" style="454" customWidth="1"/>
    <col min="11269" max="11269" width="5.1640625" style="454" customWidth="1"/>
    <col min="11270" max="11270" width="12" style="454"/>
    <col min="11271" max="11271" width="5.1640625" style="454" customWidth="1"/>
    <col min="11272" max="11272" width="17.1640625" style="454" customWidth="1"/>
    <col min="11273" max="11273" width="4.5" style="454" customWidth="1"/>
    <col min="11274" max="11274" width="16.1640625" style="454" customWidth="1"/>
    <col min="11275" max="11275" width="4.83203125" style="454" customWidth="1"/>
    <col min="11276" max="11276" width="17.1640625" style="454" customWidth="1"/>
    <col min="11277" max="11277" width="4.1640625" style="454" customWidth="1"/>
    <col min="11278" max="11519" width="12" style="454"/>
    <col min="11520" max="11520" width="7" style="454" customWidth="1"/>
    <col min="11521" max="11521" width="2.33203125" style="454" customWidth="1"/>
    <col min="11522" max="11523" width="12" style="454"/>
    <col min="11524" max="11524" width="6.5" style="454" customWidth="1"/>
    <col min="11525" max="11525" width="5.1640625" style="454" customWidth="1"/>
    <col min="11526" max="11526" width="12" style="454"/>
    <col min="11527" max="11527" width="5.1640625" style="454" customWidth="1"/>
    <col min="11528" max="11528" width="17.1640625" style="454" customWidth="1"/>
    <col min="11529" max="11529" width="4.5" style="454" customWidth="1"/>
    <col min="11530" max="11530" width="16.1640625" style="454" customWidth="1"/>
    <col min="11531" max="11531" width="4.83203125" style="454" customWidth="1"/>
    <col min="11532" max="11532" width="17.1640625" style="454" customWidth="1"/>
    <col min="11533" max="11533" width="4.1640625" style="454" customWidth="1"/>
    <col min="11534" max="11775" width="12" style="454"/>
    <col min="11776" max="11776" width="7" style="454" customWidth="1"/>
    <col min="11777" max="11777" width="2.33203125" style="454" customWidth="1"/>
    <col min="11778" max="11779" width="12" style="454"/>
    <col min="11780" max="11780" width="6.5" style="454" customWidth="1"/>
    <col min="11781" max="11781" width="5.1640625" style="454" customWidth="1"/>
    <col min="11782" max="11782" width="12" style="454"/>
    <col min="11783" max="11783" width="5.1640625" style="454" customWidth="1"/>
    <col min="11784" max="11784" width="17.1640625" style="454" customWidth="1"/>
    <col min="11785" max="11785" width="4.5" style="454" customWidth="1"/>
    <col min="11786" max="11786" width="16.1640625" style="454" customWidth="1"/>
    <col min="11787" max="11787" width="4.83203125" style="454" customWidth="1"/>
    <col min="11788" max="11788" width="17.1640625" style="454" customWidth="1"/>
    <col min="11789" max="11789" width="4.1640625" style="454" customWidth="1"/>
    <col min="11790" max="12031" width="12" style="454"/>
    <col min="12032" max="12032" width="7" style="454" customWidth="1"/>
    <col min="12033" max="12033" width="2.33203125" style="454" customWidth="1"/>
    <col min="12034" max="12035" width="12" style="454"/>
    <col min="12036" max="12036" width="6.5" style="454" customWidth="1"/>
    <col min="12037" max="12037" width="5.1640625" style="454" customWidth="1"/>
    <col min="12038" max="12038" width="12" style="454"/>
    <col min="12039" max="12039" width="5.1640625" style="454" customWidth="1"/>
    <col min="12040" max="12040" width="17.1640625" style="454" customWidth="1"/>
    <col min="12041" max="12041" width="4.5" style="454" customWidth="1"/>
    <col min="12042" max="12042" width="16.1640625" style="454" customWidth="1"/>
    <col min="12043" max="12043" width="4.83203125" style="454" customWidth="1"/>
    <col min="12044" max="12044" width="17.1640625" style="454" customWidth="1"/>
    <col min="12045" max="12045" width="4.1640625" style="454" customWidth="1"/>
    <col min="12046" max="12287" width="12" style="454"/>
    <col min="12288" max="12288" width="7" style="454" customWidth="1"/>
    <col min="12289" max="12289" width="2.33203125" style="454" customWidth="1"/>
    <col min="12290" max="12291" width="12" style="454"/>
    <col min="12292" max="12292" width="6.5" style="454" customWidth="1"/>
    <col min="12293" max="12293" width="5.1640625" style="454" customWidth="1"/>
    <col min="12294" max="12294" width="12" style="454"/>
    <col min="12295" max="12295" width="5.1640625" style="454" customWidth="1"/>
    <col min="12296" max="12296" width="17.1640625" style="454" customWidth="1"/>
    <col min="12297" max="12297" width="4.5" style="454" customWidth="1"/>
    <col min="12298" max="12298" width="16.1640625" style="454" customWidth="1"/>
    <col min="12299" max="12299" width="4.83203125" style="454" customWidth="1"/>
    <col min="12300" max="12300" width="17.1640625" style="454" customWidth="1"/>
    <col min="12301" max="12301" width="4.1640625" style="454" customWidth="1"/>
    <col min="12302" max="12543" width="12" style="454"/>
    <col min="12544" max="12544" width="7" style="454" customWidth="1"/>
    <col min="12545" max="12545" width="2.33203125" style="454" customWidth="1"/>
    <col min="12546" max="12547" width="12" style="454"/>
    <col min="12548" max="12548" width="6.5" style="454" customWidth="1"/>
    <col min="12549" max="12549" width="5.1640625" style="454" customWidth="1"/>
    <col min="12550" max="12550" width="12" style="454"/>
    <col min="12551" max="12551" width="5.1640625" style="454" customWidth="1"/>
    <col min="12552" max="12552" width="17.1640625" style="454" customWidth="1"/>
    <col min="12553" max="12553" width="4.5" style="454" customWidth="1"/>
    <col min="12554" max="12554" width="16.1640625" style="454" customWidth="1"/>
    <col min="12555" max="12555" width="4.83203125" style="454" customWidth="1"/>
    <col min="12556" max="12556" width="17.1640625" style="454" customWidth="1"/>
    <col min="12557" max="12557" width="4.1640625" style="454" customWidth="1"/>
    <col min="12558" max="12799" width="12" style="454"/>
    <col min="12800" max="12800" width="7" style="454" customWidth="1"/>
    <col min="12801" max="12801" width="2.33203125" style="454" customWidth="1"/>
    <col min="12802" max="12803" width="12" style="454"/>
    <col min="12804" max="12804" width="6.5" style="454" customWidth="1"/>
    <col min="12805" max="12805" width="5.1640625" style="454" customWidth="1"/>
    <col min="12806" max="12806" width="12" style="454"/>
    <col min="12807" max="12807" width="5.1640625" style="454" customWidth="1"/>
    <col min="12808" max="12808" width="17.1640625" style="454" customWidth="1"/>
    <col min="12809" max="12809" width="4.5" style="454" customWidth="1"/>
    <col min="12810" max="12810" width="16.1640625" style="454" customWidth="1"/>
    <col min="12811" max="12811" width="4.83203125" style="454" customWidth="1"/>
    <col min="12812" max="12812" width="17.1640625" style="454" customWidth="1"/>
    <col min="12813" max="12813" width="4.1640625" style="454" customWidth="1"/>
    <col min="12814" max="13055" width="12" style="454"/>
    <col min="13056" max="13056" width="7" style="454" customWidth="1"/>
    <col min="13057" max="13057" width="2.33203125" style="454" customWidth="1"/>
    <col min="13058" max="13059" width="12" style="454"/>
    <col min="13060" max="13060" width="6.5" style="454" customWidth="1"/>
    <col min="13061" max="13061" width="5.1640625" style="454" customWidth="1"/>
    <col min="13062" max="13062" width="12" style="454"/>
    <col min="13063" max="13063" width="5.1640625" style="454" customWidth="1"/>
    <col min="13064" max="13064" width="17.1640625" style="454" customWidth="1"/>
    <col min="13065" max="13065" width="4.5" style="454" customWidth="1"/>
    <col min="13066" max="13066" width="16.1640625" style="454" customWidth="1"/>
    <col min="13067" max="13067" width="4.83203125" style="454" customWidth="1"/>
    <col min="13068" max="13068" width="17.1640625" style="454" customWidth="1"/>
    <col min="13069" max="13069" width="4.1640625" style="454" customWidth="1"/>
    <col min="13070" max="13311" width="12" style="454"/>
    <col min="13312" max="13312" width="7" style="454" customWidth="1"/>
    <col min="13313" max="13313" width="2.33203125" style="454" customWidth="1"/>
    <col min="13314" max="13315" width="12" style="454"/>
    <col min="13316" max="13316" width="6.5" style="454" customWidth="1"/>
    <col min="13317" max="13317" width="5.1640625" style="454" customWidth="1"/>
    <col min="13318" max="13318" width="12" style="454"/>
    <col min="13319" max="13319" width="5.1640625" style="454" customWidth="1"/>
    <col min="13320" max="13320" width="17.1640625" style="454" customWidth="1"/>
    <col min="13321" max="13321" width="4.5" style="454" customWidth="1"/>
    <col min="13322" max="13322" width="16.1640625" style="454" customWidth="1"/>
    <col min="13323" max="13323" width="4.83203125" style="454" customWidth="1"/>
    <col min="13324" max="13324" width="17.1640625" style="454" customWidth="1"/>
    <col min="13325" max="13325" width="4.1640625" style="454" customWidth="1"/>
    <col min="13326" max="13567" width="12" style="454"/>
    <col min="13568" max="13568" width="7" style="454" customWidth="1"/>
    <col min="13569" max="13569" width="2.33203125" style="454" customWidth="1"/>
    <col min="13570" max="13571" width="12" style="454"/>
    <col min="13572" max="13572" width="6.5" style="454" customWidth="1"/>
    <col min="13573" max="13573" width="5.1640625" style="454" customWidth="1"/>
    <col min="13574" max="13574" width="12" style="454"/>
    <col min="13575" max="13575" width="5.1640625" style="454" customWidth="1"/>
    <col min="13576" max="13576" width="17.1640625" style="454" customWidth="1"/>
    <col min="13577" max="13577" width="4.5" style="454" customWidth="1"/>
    <col min="13578" max="13578" width="16.1640625" style="454" customWidth="1"/>
    <col min="13579" max="13579" width="4.83203125" style="454" customWidth="1"/>
    <col min="13580" max="13580" width="17.1640625" style="454" customWidth="1"/>
    <col min="13581" max="13581" width="4.1640625" style="454" customWidth="1"/>
    <col min="13582" max="13823" width="12" style="454"/>
    <col min="13824" max="13824" width="7" style="454" customWidth="1"/>
    <col min="13825" max="13825" width="2.33203125" style="454" customWidth="1"/>
    <col min="13826" max="13827" width="12" style="454"/>
    <col min="13828" max="13828" width="6.5" style="454" customWidth="1"/>
    <col min="13829" max="13829" width="5.1640625" style="454" customWidth="1"/>
    <col min="13830" max="13830" width="12" style="454"/>
    <col min="13831" max="13831" width="5.1640625" style="454" customWidth="1"/>
    <col min="13832" max="13832" width="17.1640625" style="454" customWidth="1"/>
    <col min="13833" max="13833" width="4.5" style="454" customWidth="1"/>
    <col min="13834" max="13834" width="16.1640625" style="454" customWidth="1"/>
    <col min="13835" max="13835" width="4.83203125" style="454" customWidth="1"/>
    <col min="13836" max="13836" width="17.1640625" style="454" customWidth="1"/>
    <col min="13837" max="13837" width="4.1640625" style="454" customWidth="1"/>
    <col min="13838" max="14079" width="12" style="454"/>
    <col min="14080" max="14080" width="7" style="454" customWidth="1"/>
    <col min="14081" max="14081" width="2.33203125" style="454" customWidth="1"/>
    <col min="14082" max="14083" width="12" style="454"/>
    <col min="14084" max="14084" width="6.5" style="454" customWidth="1"/>
    <col min="14085" max="14085" width="5.1640625" style="454" customWidth="1"/>
    <col min="14086" max="14086" width="12" style="454"/>
    <col min="14087" max="14087" width="5.1640625" style="454" customWidth="1"/>
    <col min="14088" max="14088" width="17.1640625" style="454" customWidth="1"/>
    <col min="14089" max="14089" width="4.5" style="454" customWidth="1"/>
    <col min="14090" max="14090" width="16.1640625" style="454" customWidth="1"/>
    <col min="14091" max="14091" width="4.83203125" style="454" customWidth="1"/>
    <col min="14092" max="14092" width="17.1640625" style="454" customWidth="1"/>
    <col min="14093" max="14093" width="4.1640625" style="454" customWidth="1"/>
    <col min="14094" max="14335" width="12" style="454"/>
    <col min="14336" max="14336" width="7" style="454" customWidth="1"/>
    <col min="14337" max="14337" width="2.33203125" style="454" customWidth="1"/>
    <col min="14338" max="14339" width="12" style="454"/>
    <col min="14340" max="14340" width="6.5" style="454" customWidth="1"/>
    <col min="14341" max="14341" width="5.1640625" style="454" customWidth="1"/>
    <col min="14342" max="14342" width="12" style="454"/>
    <col min="14343" max="14343" width="5.1640625" style="454" customWidth="1"/>
    <col min="14344" max="14344" width="17.1640625" style="454" customWidth="1"/>
    <col min="14345" max="14345" width="4.5" style="454" customWidth="1"/>
    <col min="14346" max="14346" width="16.1640625" style="454" customWidth="1"/>
    <col min="14347" max="14347" width="4.83203125" style="454" customWidth="1"/>
    <col min="14348" max="14348" width="17.1640625" style="454" customWidth="1"/>
    <col min="14349" max="14349" width="4.1640625" style="454" customWidth="1"/>
    <col min="14350" max="14591" width="12" style="454"/>
    <col min="14592" max="14592" width="7" style="454" customWidth="1"/>
    <col min="14593" max="14593" width="2.33203125" style="454" customWidth="1"/>
    <col min="14594" max="14595" width="12" style="454"/>
    <col min="14596" max="14596" width="6.5" style="454" customWidth="1"/>
    <col min="14597" max="14597" width="5.1640625" style="454" customWidth="1"/>
    <col min="14598" max="14598" width="12" style="454"/>
    <col min="14599" max="14599" width="5.1640625" style="454" customWidth="1"/>
    <col min="14600" max="14600" width="17.1640625" style="454" customWidth="1"/>
    <col min="14601" max="14601" width="4.5" style="454" customWidth="1"/>
    <col min="14602" max="14602" width="16.1640625" style="454" customWidth="1"/>
    <col min="14603" max="14603" width="4.83203125" style="454" customWidth="1"/>
    <col min="14604" max="14604" width="17.1640625" style="454" customWidth="1"/>
    <col min="14605" max="14605" width="4.1640625" style="454" customWidth="1"/>
    <col min="14606" max="14847" width="12" style="454"/>
    <col min="14848" max="14848" width="7" style="454" customWidth="1"/>
    <col min="14849" max="14849" width="2.33203125" style="454" customWidth="1"/>
    <col min="14850" max="14851" width="12" style="454"/>
    <col min="14852" max="14852" width="6.5" style="454" customWidth="1"/>
    <col min="14853" max="14853" width="5.1640625" style="454" customWidth="1"/>
    <col min="14854" max="14854" width="12" style="454"/>
    <col min="14855" max="14855" width="5.1640625" style="454" customWidth="1"/>
    <col min="14856" max="14856" width="17.1640625" style="454" customWidth="1"/>
    <col min="14857" max="14857" width="4.5" style="454" customWidth="1"/>
    <col min="14858" max="14858" width="16.1640625" style="454" customWidth="1"/>
    <col min="14859" max="14859" width="4.83203125" style="454" customWidth="1"/>
    <col min="14860" max="14860" width="17.1640625" style="454" customWidth="1"/>
    <col min="14861" max="14861" width="4.1640625" style="454" customWidth="1"/>
    <col min="14862" max="15103" width="12" style="454"/>
    <col min="15104" max="15104" width="7" style="454" customWidth="1"/>
    <col min="15105" max="15105" width="2.33203125" style="454" customWidth="1"/>
    <col min="15106" max="15107" width="12" style="454"/>
    <col min="15108" max="15108" width="6.5" style="454" customWidth="1"/>
    <col min="15109" max="15109" width="5.1640625" style="454" customWidth="1"/>
    <col min="15110" max="15110" width="12" style="454"/>
    <col min="15111" max="15111" width="5.1640625" style="454" customWidth="1"/>
    <col min="15112" max="15112" width="17.1640625" style="454" customWidth="1"/>
    <col min="15113" max="15113" width="4.5" style="454" customWidth="1"/>
    <col min="15114" max="15114" width="16.1640625" style="454" customWidth="1"/>
    <col min="15115" max="15115" width="4.83203125" style="454" customWidth="1"/>
    <col min="15116" max="15116" width="17.1640625" style="454" customWidth="1"/>
    <col min="15117" max="15117" width="4.1640625" style="454" customWidth="1"/>
    <col min="15118" max="15359" width="12" style="454"/>
    <col min="15360" max="15360" width="7" style="454" customWidth="1"/>
    <col min="15361" max="15361" width="2.33203125" style="454" customWidth="1"/>
    <col min="15362" max="15363" width="12" style="454"/>
    <col min="15364" max="15364" width="6.5" style="454" customWidth="1"/>
    <col min="15365" max="15365" width="5.1640625" style="454" customWidth="1"/>
    <col min="15366" max="15366" width="12" style="454"/>
    <col min="15367" max="15367" width="5.1640625" style="454" customWidth="1"/>
    <col min="15368" max="15368" width="17.1640625" style="454" customWidth="1"/>
    <col min="15369" max="15369" width="4.5" style="454" customWidth="1"/>
    <col min="15370" max="15370" width="16.1640625" style="454" customWidth="1"/>
    <col min="15371" max="15371" width="4.83203125" style="454" customWidth="1"/>
    <col min="15372" max="15372" width="17.1640625" style="454" customWidth="1"/>
    <col min="15373" max="15373" width="4.1640625" style="454" customWidth="1"/>
    <col min="15374" max="15615" width="12" style="454"/>
    <col min="15616" max="15616" width="7" style="454" customWidth="1"/>
    <col min="15617" max="15617" width="2.33203125" style="454" customWidth="1"/>
    <col min="15618" max="15619" width="12" style="454"/>
    <col min="15620" max="15620" width="6.5" style="454" customWidth="1"/>
    <col min="15621" max="15621" width="5.1640625" style="454" customWidth="1"/>
    <col min="15622" max="15622" width="12" style="454"/>
    <col min="15623" max="15623" width="5.1640625" style="454" customWidth="1"/>
    <col min="15624" max="15624" width="17.1640625" style="454" customWidth="1"/>
    <col min="15625" max="15625" width="4.5" style="454" customWidth="1"/>
    <col min="15626" max="15626" width="16.1640625" style="454" customWidth="1"/>
    <col min="15627" max="15627" width="4.83203125" style="454" customWidth="1"/>
    <col min="15628" max="15628" width="17.1640625" style="454" customWidth="1"/>
    <col min="15629" max="15629" width="4.1640625" style="454" customWidth="1"/>
    <col min="15630" max="15871" width="12" style="454"/>
    <col min="15872" max="15872" width="7" style="454" customWidth="1"/>
    <col min="15873" max="15873" width="2.33203125" style="454" customWidth="1"/>
    <col min="15874" max="15875" width="12" style="454"/>
    <col min="15876" max="15876" width="6.5" style="454" customWidth="1"/>
    <col min="15877" max="15877" width="5.1640625" style="454" customWidth="1"/>
    <col min="15878" max="15878" width="12" style="454"/>
    <col min="15879" max="15879" width="5.1640625" style="454" customWidth="1"/>
    <col min="15880" max="15880" width="17.1640625" style="454" customWidth="1"/>
    <col min="15881" max="15881" width="4.5" style="454" customWidth="1"/>
    <col min="15882" max="15882" width="16.1640625" style="454" customWidth="1"/>
    <col min="15883" max="15883" width="4.83203125" style="454" customWidth="1"/>
    <col min="15884" max="15884" width="17.1640625" style="454" customWidth="1"/>
    <col min="15885" max="15885" width="4.1640625" style="454" customWidth="1"/>
    <col min="15886" max="16127" width="12" style="454"/>
    <col min="16128" max="16128" width="7" style="454" customWidth="1"/>
    <col min="16129" max="16129" width="2.33203125" style="454" customWidth="1"/>
    <col min="16130" max="16131" width="12" style="454"/>
    <col min="16132" max="16132" width="6.5" style="454" customWidth="1"/>
    <col min="16133" max="16133" width="5.1640625" style="454" customWidth="1"/>
    <col min="16134" max="16134" width="12" style="454"/>
    <col min="16135" max="16135" width="5.1640625" style="454" customWidth="1"/>
    <col min="16136" max="16136" width="17.1640625" style="454" customWidth="1"/>
    <col min="16137" max="16137" width="4.5" style="454" customWidth="1"/>
    <col min="16138" max="16138" width="16.1640625" style="454" customWidth="1"/>
    <col min="16139" max="16139" width="4.83203125" style="454" customWidth="1"/>
    <col min="16140" max="16140" width="17.1640625" style="454" customWidth="1"/>
    <col min="16141" max="16141" width="4.1640625" style="454" customWidth="1"/>
    <col min="16142" max="16384" width="12" style="454"/>
  </cols>
  <sheetData>
    <row r="1" spans="1:14">
      <c r="J1" s="336" t="str">
        <f>+'DMA Summary of Def. Accts.'!N1</f>
        <v>CNGC Advice W24-09-03</v>
      </c>
    </row>
    <row r="2" spans="1:14">
      <c r="J2" s="270" t="s">
        <v>189</v>
      </c>
    </row>
    <row r="3" spans="1:14">
      <c r="J3" s="270" t="s">
        <v>333</v>
      </c>
    </row>
    <row r="4" spans="1:14">
      <c r="M4" s="455"/>
    </row>
    <row r="5" spans="1:14">
      <c r="C5" s="551" t="s">
        <v>33</v>
      </c>
      <c r="D5" s="551"/>
      <c r="E5" s="551"/>
      <c r="F5" s="551"/>
      <c r="G5" s="551"/>
      <c r="H5" s="551"/>
      <c r="I5" s="551"/>
      <c r="J5" s="551"/>
      <c r="K5" s="551"/>
      <c r="L5" s="456"/>
      <c r="M5" s="455"/>
    </row>
    <row r="6" spans="1:14">
      <c r="C6" s="547" t="s">
        <v>190</v>
      </c>
      <c r="D6" s="547"/>
      <c r="E6" s="547"/>
      <c r="F6" s="547"/>
      <c r="G6" s="547"/>
      <c r="H6" s="547"/>
      <c r="I6" s="547"/>
      <c r="J6" s="547"/>
      <c r="K6" s="547"/>
      <c r="L6" s="457"/>
      <c r="M6" s="457"/>
    </row>
    <row r="7" spans="1:14" hidden="1">
      <c r="C7" s="501" t="s">
        <v>299</v>
      </c>
      <c r="D7" s="501"/>
      <c r="E7" s="456"/>
      <c r="F7" s="456"/>
      <c r="G7" s="456"/>
      <c r="H7" s="456"/>
      <c r="I7" s="456"/>
      <c r="J7" s="456"/>
      <c r="K7" s="456"/>
      <c r="L7" s="456"/>
      <c r="M7" s="455"/>
    </row>
    <row r="8" spans="1:14">
      <c r="C8" s="551" t="s">
        <v>35</v>
      </c>
      <c r="D8" s="551"/>
      <c r="E8" s="551"/>
      <c r="F8" s="551"/>
      <c r="G8" s="551"/>
      <c r="H8" s="551"/>
      <c r="I8" s="551"/>
      <c r="J8" s="551"/>
      <c r="K8" s="551"/>
      <c r="L8" s="456"/>
    </row>
    <row r="9" spans="1:14">
      <c r="D9" s="454" t="s">
        <v>329</v>
      </c>
      <c r="I9" s="471" t="s">
        <v>2</v>
      </c>
      <c r="K9" s="472" t="s">
        <v>2</v>
      </c>
    </row>
    <row r="10" spans="1:14">
      <c r="D10" s="471" t="s">
        <v>77</v>
      </c>
      <c r="F10" s="471" t="s">
        <v>300</v>
      </c>
      <c r="G10" s="471" t="s">
        <v>300</v>
      </c>
      <c r="H10" s="471" t="s">
        <v>2</v>
      </c>
      <c r="I10" s="502">
        <f>+H11</f>
        <v>45597</v>
      </c>
      <c r="K10" s="503">
        <f>+H11</f>
        <v>45597</v>
      </c>
    </row>
    <row r="11" spans="1:14">
      <c r="A11" s="458" t="s">
        <v>3</v>
      </c>
      <c r="D11" s="471" t="s">
        <v>79</v>
      </c>
      <c r="E11" s="471" t="s">
        <v>301</v>
      </c>
      <c r="F11" s="502">
        <v>45444</v>
      </c>
      <c r="G11" s="502">
        <f>+F11</f>
        <v>45444</v>
      </c>
      <c r="H11" s="502">
        <v>45597</v>
      </c>
      <c r="I11" s="471" t="s">
        <v>324</v>
      </c>
      <c r="J11" s="471" t="s">
        <v>302</v>
      </c>
      <c r="K11" s="473" t="s">
        <v>325</v>
      </c>
      <c r="L11" s="471"/>
      <c r="N11" s="456"/>
    </row>
    <row r="12" spans="1:14">
      <c r="A12" s="458" t="s">
        <v>6</v>
      </c>
      <c r="C12" s="474" t="s">
        <v>303</v>
      </c>
      <c r="D12" s="474" t="s">
        <v>304</v>
      </c>
      <c r="E12" s="474" t="s">
        <v>305</v>
      </c>
      <c r="F12" s="474" t="s">
        <v>306</v>
      </c>
      <c r="G12" s="474" t="s">
        <v>307</v>
      </c>
      <c r="H12" s="474" t="s">
        <v>325</v>
      </c>
      <c r="I12" s="474" t="s">
        <v>307</v>
      </c>
      <c r="J12" s="474" t="s">
        <v>308</v>
      </c>
      <c r="K12" s="475" t="s">
        <v>309</v>
      </c>
      <c r="L12" s="471"/>
      <c r="N12" s="456"/>
    </row>
    <row r="13" spans="1:14">
      <c r="A13" s="458"/>
      <c r="C13" s="471"/>
      <c r="D13" s="471"/>
      <c r="E13" s="471"/>
      <c r="F13" s="471"/>
      <c r="G13" s="471" t="s">
        <v>310</v>
      </c>
      <c r="H13" s="471"/>
      <c r="I13" s="471" t="s">
        <v>311</v>
      </c>
      <c r="K13" s="504"/>
      <c r="L13" s="471"/>
      <c r="N13" s="456"/>
    </row>
    <row r="14" spans="1:14">
      <c r="C14" s="471" t="s">
        <v>9</v>
      </c>
      <c r="D14" s="471" t="s">
        <v>10</v>
      </c>
      <c r="E14" s="471" t="s">
        <v>11</v>
      </c>
      <c r="F14" s="471" t="s">
        <v>12</v>
      </c>
      <c r="G14" s="471" t="s">
        <v>13</v>
      </c>
      <c r="H14" s="471" t="s">
        <v>87</v>
      </c>
      <c r="I14" s="471" t="s">
        <v>49</v>
      </c>
      <c r="K14" s="505"/>
    </row>
    <row r="15" spans="1:14">
      <c r="K15" s="505"/>
    </row>
    <row r="16" spans="1:14">
      <c r="A16" s="454">
        <v>1</v>
      </c>
      <c r="C16" s="454" t="s">
        <v>312</v>
      </c>
      <c r="D16" s="506">
        <v>54</v>
      </c>
      <c r="E16" s="507">
        <v>5</v>
      </c>
      <c r="F16" s="459">
        <v>1.6048500000000001</v>
      </c>
      <c r="G16" s="460">
        <f>+E16+(D16*F16)</f>
        <v>91.661900000000003</v>
      </c>
      <c r="H16" s="459">
        <f>+F16+'DMA Amount of Change'!J12</f>
        <v>1.6329560000000001</v>
      </c>
      <c r="I16" s="508">
        <f>E16+(D16*H16)</f>
        <v>93.179624000000004</v>
      </c>
      <c r="J16" s="509">
        <f>+I16-G16</f>
        <v>1.5177240000000012</v>
      </c>
      <c r="K16" s="462">
        <f>+J16/G16</f>
        <v>1.6557850099114257E-2</v>
      </c>
      <c r="L16" s="460"/>
      <c r="N16" s="461"/>
    </row>
    <row r="17" spans="1:14">
      <c r="D17" s="506"/>
      <c r="E17" s="507"/>
      <c r="F17" s="459"/>
      <c r="G17" s="460"/>
      <c r="H17" s="459"/>
      <c r="I17" s="508"/>
      <c r="J17" s="509"/>
      <c r="K17" s="462"/>
    </row>
    <row r="18" spans="1:14">
      <c r="A18" s="454">
        <v>2</v>
      </c>
      <c r="C18" s="454" t="s">
        <v>313</v>
      </c>
      <c r="D18" s="506">
        <v>271</v>
      </c>
      <c r="E18" s="507">
        <v>13</v>
      </c>
      <c r="F18" s="459">
        <v>1.5259</v>
      </c>
      <c r="G18" s="460">
        <f>+E18+(D18*F18)</f>
        <v>426.51890000000003</v>
      </c>
      <c r="H18" s="459">
        <f>+F18+'DMA Amount of Change'!J13</f>
        <v>1.5377460000000001</v>
      </c>
      <c r="I18" s="508">
        <f>E18+(D18*H18)</f>
        <v>429.72916600000002</v>
      </c>
      <c r="J18" s="509">
        <f t="shared" ref="J18:J30" si="0">+I18-G18</f>
        <v>3.2102659999999901</v>
      </c>
      <c r="K18" s="462">
        <f t="shared" ref="K18:K35" si="1">+J18/G18</f>
        <v>7.5266676341892227E-3</v>
      </c>
      <c r="L18" s="460"/>
      <c r="N18" s="461"/>
    </row>
    <row r="19" spans="1:14">
      <c r="D19" s="506"/>
      <c r="E19" s="507"/>
      <c r="F19" s="459"/>
      <c r="G19" s="460"/>
      <c r="H19" s="459"/>
      <c r="J19" s="509"/>
      <c r="K19" s="462"/>
    </row>
    <row r="20" spans="1:14">
      <c r="A20" s="454">
        <v>3</v>
      </c>
      <c r="C20" s="454" t="s">
        <v>314</v>
      </c>
      <c r="D20" s="506"/>
      <c r="E20" s="507">
        <v>60</v>
      </c>
      <c r="F20" s="459"/>
      <c r="G20" s="460"/>
      <c r="H20" s="459"/>
      <c r="J20" s="509"/>
      <c r="K20" s="462"/>
      <c r="L20" s="510"/>
      <c r="N20" s="461"/>
    </row>
    <row r="21" spans="1:14">
      <c r="A21" s="454">
        <v>4</v>
      </c>
      <c r="C21" s="454" t="s">
        <v>315</v>
      </c>
      <c r="D21" s="506"/>
      <c r="E21" s="507"/>
      <c r="F21" s="459">
        <v>1.46</v>
      </c>
      <c r="G21" s="460">
        <f>+E20+(500*F21)</f>
        <v>790</v>
      </c>
      <c r="H21" s="459">
        <f>+F21+'DMA Amount of Change'!J14</f>
        <v>1.4556929999999999</v>
      </c>
      <c r="I21" s="460">
        <f>+E20+(500*H21)</f>
        <v>787.84649999999999</v>
      </c>
      <c r="J21" s="509"/>
      <c r="K21" s="462"/>
      <c r="L21" s="510"/>
      <c r="N21" s="461"/>
    </row>
    <row r="22" spans="1:14">
      <c r="A22" s="454">
        <v>5</v>
      </c>
      <c r="C22" s="454" t="s">
        <v>316</v>
      </c>
      <c r="D22" s="506"/>
      <c r="E22" s="507"/>
      <c r="F22" s="459">
        <v>1.42069</v>
      </c>
      <c r="G22" s="460">
        <f>+(D24-500)*F22</f>
        <v>2119.66948</v>
      </c>
      <c r="H22" s="459">
        <f>+F22+'DMA Amount of Change'!J14</f>
        <v>1.4163829999999999</v>
      </c>
      <c r="I22" s="460">
        <f>+(D24-500)*H22</f>
        <v>2113.2434359999997</v>
      </c>
      <c r="J22" s="509"/>
      <c r="K22" s="462"/>
      <c r="L22" s="510"/>
      <c r="N22" s="461"/>
    </row>
    <row r="23" spans="1:14">
      <c r="A23" s="454">
        <v>6</v>
      </c>
      <c r="C23" s="454" t="s">
        <v>317</v>
      </c>
      <c r="D23" s="506"/>
      <c r="E23" s="507"/>
      <c r="F23" s="459">
        <v>1.41475</v>
      </c>
      <c r="G23" s="460"/>
      <c r="H23" s="459">
        <f>+F23+'DMA Amount of Change'!J14</f>
        <v>1.4104429999999999</v>
      </c>
      <c r="J23" s="509"/>
      <c r="K23" s="462"/>
      <c r="L23" s="510"/>
    </row>
    <row r="24" spans="1:14">
      <c r="A24" s="454">
        <v>7</v>
      </c>
      <c r="C24" s="458" t="s">
        <v>318</v>
      </c>
      <c r="D24" s="511">
        <v>1992</v>
      </c>
      <c r="E24" s="507"/>
      <c r="F24" s="459"/>
      <c r="G24" s="460">
        <f>+SUM((G21:G23))</f>
        <v>2909.66948</v>
      </c>
      <c r="H24" s="460"/>
      <c r="I24" s="460">
        <f>+SUM(I21:I23)</f>
        <v>2901.0899359999999</v>
      </c>
      <c r="J24" s="509">
        <f t="shared" si="0"/>
        <v>-8.579544000000169</v>
      </c>
      <c r="K24" s="462">
        <f t="shared" si="1"/>
        <v>-2.9486318150473124E-3</v>
      </c>
      <c r="L24" s="510"/>
      <c r="N24" s="461"/>
    </row>
    <row r="25" spans="1:14">
      <c r="C25" s="455"/>
      <c r="D25" s="506"/>
      <c r="E25" s="507"/>
      <c r="F25" s="459"/>
      <c r="G25" s="460"/>
      <c r="H25" s="459"/>
      <c r="J25" s="509"/>
      <c r="K25" s="462"/>
      <c r="L25" s="510"/>
      <c r="N25" s="461"/>
    </row>
    <row r="26" spans="1:14">
      <c r="A26" s="454">
        <v>8</v>
      </c>
      <c r="C26" s="454" t="s">
        <v>361</v>
      </c>
      <c r="D26" s="506"/>
      <c r="E26" s="507">
        <v>125</v>
      </c>
      <c r="F26" s="459"/>
      <c r="G26" s="460"/>
      <c r="H26" s="459"/>
      <c r="J26" s="509"/>
      <c r="K26" s="462"/>
      <c r="L26" s="510"/>
      <c r="N26" s="461"/>
    </row>
    <row r="27" spans="1:14">
      <c r="A27" s="454">
        <v>9</v>
      </c>
      <c r="C27" s="454" t="s">
        <v>358</v>
      </c>
      <c r="D27" s="506"/>
      <c r="E27" s="507"/>
      <c r="F27" s="459">
        <v>1.41357</v>
      </c>
      <c r="G27" s="460">
        <f>+E26+(+F27*D30)</f>
        <v>23645.391230000001</v>
      </c>
      <c r="H27" s="459">
        <f>+F27+'DMA Amount of Change'!J15</f>
        <v>1.4452130000000001</v>
      </c>
      <c r="I27" s="460">
        <f>+E26+(+H27*D30)</f>
        <v>24171.899107000001</v>
      </c>
      <c r="J27" s="509"/>
      <c r="K27" s="462"/>
    </row>
    <row r="28" spans="1:14">
      <c r="A28" s="454">
        <v>11</v>
      </c>
      <c r="B28" s="455"/>
      <c r="C28" s="454" t="s">
        <v>359</v>
      </c>
      <c r="D28" s="506"/>
      <c r="E28" s="507"/>
      <c r="F28" s="459">
        <v>1.3748400000000001</v>
      </c>
      <c r="G28" s="460"/>
      <c r="H28" s="459">
        <f>+F28+'DMA Amount of Change'!J15</f>
        <v>1.4064830000000001</v>
      </c>
      <c r="I28" s="460"/>
      <c r="J28" s="509"/>
      <c r="K28" s="462"/>
    </row>
    <row r="29" spans="1:14">
      <c r="A29" s="454">
        <v>12</v>
      </c>
      <c r="B29" s="455"/>
      <c r="C29" s="454" t="s">
        <v>360</v>
      </c>
      <c r="D29" s="506"/>
      <c r="E29" s="507"/>
      <c r="F29" s="459">
        <v>1.2790299999999999</v>
      </c>
      <c r="G29" s="460"/>
      <c r="H29" s="459">
        <f>+F29+'DMA Amount of Change'!J15</f>
        <v>1.310673</v>
      </c>
      <c r="I29" s="460"/>
      <c r="J29" s="509"/>
      <c r="K29" s="462"/>
    </row>
    <row r="30" spans="1:14">
      <c r="A30" s="454">
        <v>13</v>
      </c>
      <c r="B30" s="455"/>
      <c r="C30" s="458" t="s">
        <v>319</v>
      </c>
      <c r="D30" s="511">
        <v>16639</v>
      </c>
      <c r="E30" s="507"/>
      <c r="F30" s="459"/>
      <c r="G30" s="460">
        <f>+SUM(G27:G29)</f>
        <v>23645.391230000001</v>
      </c>
      <c r="H30" s="460"/>
      <c r="I30" s="460">
        <f>+SUM(I27:I29)</f>
        <v>24171.899107000001</v>
      </c>
      <c r="J30" s="509">
        <f t="shared" si="0"/>
        <v>526.50787700000001</v>
      </c>
      <c r="K30" s="462">
        <f t="shared" si="1"/>
        <v>2.2266828739631726E-2</v>
      </c>
    </row>
    <row r="31" spans="1:14">
      <c r="D31" s="511"/>
      <c r="E31" s="507"/>
      <c r="F31" s="459"/>
      <c r="G31" s="460"/>
      <c r="H31" s="459"/>
      <c r="J31" s="509"/>
      <c r="K31" s="462"/>
    </row>
    <row r="32" spans="1:14">
      <c r="A32" s="454">
        <v>14</v>
      </c>
      <c r="C32" s="454" t="s">
        <v>320</v>
      </c>
      <c r="D32" s="511"/>
      <c r="E32" s="507">
        <v>163</v>
      </c>
      <c r="F32" s="459"/>
      <c r="G32" s="460"/>
      <c r="H32" s="459"/>
      <c r="J32" s="509"/>
      <c r="K32" s="462"/>
    </row>
    <row r="33" spans="1:14">
      <c r="A33" s="454">
        <v>15</v>
      </c>
      <c r="C33" s="454" t="s">
        <v>321</v>
      </c>
      <c r="D33" s="511"/>
      <c r="F33" s="459">
        <v>1.3115399999999999</v>
      </c>
      <c r="G33" s="460">
        <f>+E32+(D35*F33)</f>
        <v>30634.008819999999</v>
      </c>
      <c r="H33" s="459">
        <f>+F33+'DMA Amount of Change'!J16</f>
        <v>1.312959</v>
      </c>
      <c r="I33" s="460">
        <f>+E32+(D35*H33)</f>
        <v>30666.976447000001</v>
      </c>
      <c r="J33" s="509"/>
      <c r="K33" s="462"/>
    </row>
    <row r="34" spans="1:14">
      <c r="A34" s="454">
        <v>16</v>
      </c>
      <c r="C34" s="454" t="s">
        <v>322</v>
      </c>
      <c r="D34" s="511"/>
      <c r="F34" s="459">
        <v>1.24617</v>
      </c>
      <c r="G34" s="460"/>
      <c r="H34" s="459">
        <f>+F34+'DMA Amount of Change'!J16</f>
        <v>1.2475890000000001</v>
      </c>
      <c r="J34" s="509"/>
      <c r="K34" s="462"/>
    </row>
    <row r="35" spans="1:14">
      <c r="A35" s="454">
        <v>17</v>
      </c>
      <c r="C35" s="458" t="s">
        <v>323</v>
      </c>
      <c r="D35" s="511">
        <v>23233</v>
      </c>
      <c r="F35" s="459"/>
      <c r="G35" s="512">
        <f>+G33+G34</f>
        <v>30634.008819999999</v>
      </c>
      <c r="H35" s="460"/>
      <c r="I35" s="460">
        <f>+I33+I34</f>
        <v>30666.976447000001</v>
      </c>
      <c r="J35" s="509">
        <f>+I35-G35</f>
        <v>32.967627000001812</v>
      </c>
      <c r="K35" s="463">
        <f t="shared" si="1"/>
        <v>1.0761773685485873E-3</v>
      </c>
    </row>
    <row r="36" spans="1:14">
      <c r="F36" s="459"/>
    </row>
    <row r="37" spans="1:14">
      <c r="F37" s="459"/>
      <c r="N37" s="461"/>
    </row>
    <row r="38" spans="1:14">
      <c r="F38" s="459"/>
      <c r="G38" s="460"/>
    </row>
    <row r="39" spans="1:14">
      <c r="F39" s="459"/>
      <c r="G39" s="460"/>
    </row>
    <row r="40" spans="1:14">
      <c r="F40" s="459"/>
    </row>
    <row r="41" spans="1:14">
      <c r="F41" s="459"/>
    </row>
    <row r="42" spans="1:14">
      <c r="G42" s="477"/>
    </row>
  </sheetData>
  <mergeCells count="3">
    <mergeCell ref="C6:K6"/>
    <mergeCell ref="C5:K5"/>
    <mergeCell ref="C8:K8"/>
  </mergeCells>
  <pageMargins left="0.7" right="0.7" top="0.75" bottom="0.75" header="0.3" footer="0.3"/>
  <pageSetup scale="65" orientation="portrait" r:id="rId1"/>
  <headerFooter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59" customWidth="1"/>
    <col min="2" max="2" width="26" style="159" customWidth="1"/>
    <col min="3" max="3" width="14.1640625" style="159" customWidth="1"/>
    <col min="4" max="4" width="16.1640625" style="159" customWidth="1"/>
    <col min="5" max="5" width="16" style="159" customWidth="1"/>
    <col min="6" max="6" width="16.5" style="159" customWidth="1"/>
    <col min="7" max="7" width="21.83203125" style="159" customWidth="1"/>
    <col min="8" max="8" width="16.1640625" style="159" customWidth="1"/>
    <col min="9" max="9" width="18" style="159" customWidth="1"/>
    <col min="10" max="10" width="16.1640625" style="159" customWidth="1"/>
    <col min="11" max="12" width="13.83203125" style="159" customWidth="1"/>
    <col min="13" max="13" width="14.83203125" style="159" customWidth="1"/>
    <col min="14" max="14" width="13.33203125" style="159" customWidth="1"/>
    <col min="15" max="15" width="19.6640625" style="159" customWidth="1"/>
    <col min="16" max="17" width="13.33203125" style="159" customWidth="1"/>
    <col min="18" max="18" width="16" style="159" customWidth="1"/>
    <col min="19" max="19" width="14.1640625" style="159" customWidth="1"/>
    <col min="20" max="20" width="17" style="159" customWidth="1"/>
    <col min="21" max="21" width="14.1640625" style="159" customWidth="1"/>
    <col min="22" max="16384" width="10.6640625" style="159"/>
  </cols>
  <sheetData>
    <row r="1" spans="2:15">
      <c r="C1" s="552" t="s">
        <v>33</v>
      </c>
      <c r="D1" s="552"/>
      <c r="E1" s="552"/>
      <c r="F1" s="552"/>
      <c r="G1" s="227" t="s">
        <v>144</v>
      </c>
    </row>
    <row r="2" spans="2:15">
      <c r="C2" s="552" t="s">
        <v>86</v>
      </c>
      <c r="D2" s="552"/>
      <c r="E2" s="552"/>
      <c r="F2" s="552"/>
      <c r="G2" s="227" t="s">
        <v>34</v>
      </c>
    </row>
    <row r="3" spans="2:15">
      <c r="C3" s="552" t="s">
        <v>167</v>
      </c>
      <c r="D3" s="552"/>
      <c r="E3" s="552"/>
      <c r="F3" s="552"/>
      <c r="G3" s="228" t="s">
        <v>140</v>
      </c>
    </row>
    <row r="4" spans="2:15">
      <c r="C4" s="552" t="s">
        <v>35</v>
      </c>
      <c r="D4" s="552"/>
      <c r="E4" s="552"/>
      <c r="F4" s="552"/>
      <c r="G4" s="160"/>
      <c r="H4" s="160"/>
      <c r="I4" s="160"/>
      <c r="J4" s="160"/>
      <c r="K4" s="160"/>
      <c r="L4" s="160"/>
      <c r="M4" s="160"/>
      <c r="N4" s="160"/>
      <c r="O4" s="160"/>
    </row>
    <row r="5" spans="2:15">
      <c r="F5" s="160"/>
    </row>
    <row r="6" spans="2:15" s="163" customFormat="1" ht="60">
      <c r="B6" s="145" t="s">
        <v>0</v>
      </c>
      <c r="C6" s="161" t="s">
        <v>134</v>
      </c>
      <c r="D6" s="145" t="s">
        <v>145</v>
      </c>
      <c r="E6" s="144" t="s">
        <v>146</v>
      </c>
      <c r="F6" s="145" t="s">
        <v>147</v>
      </c>
      <c r="G6" s="145" t="s">
        <v>148</v>
      </c>
      <c r="H6" s="162"/>
      <c r="I6" s="162"/>
      <c r="J6" s="162"/>
      <c r="K6" s="162"/>
    </row>
    <row r="7" spans="2:15">
      <c r="B7" s="164" t="s">
        <v>9</v>
      </c>
      <c r="C7" s="165" t="s">
        <v>10</v>
      </c>
      <c r="D7" s="166" t="s">
        <v>11</v>
      </c>
      <c r="E7" s="146" t="s">
        <v>12</v>
      </c>
      <c r="F7" s="147" t="s">
        <v>87</v>
      </c>
      <c r="G7" s="147" t="s">
        <v>49</v>
      </c>
      <c r="H7" s="160"/>
      <c r="I7" s="160"/>
      <c r="J7" s="160"/>
      <c r="K7" s="160"/>
    </row>
    <row r="8" spans="2:15">
      <c r="B8" s="167" t="s">
        <v>88</v>
      </c>
      <c r="C8" s="92"/>
      <c r="D8" s="92"/>
      <c r="E8" s="92"/>
      <c r="F8" s="148"/>
      <c r="G8" s="92"/>
    </row>
    <row r="9" spans="2:15">
      <c r="B9" s="168" t="s">
        <v>90</v>
      </c>
      <c r="C9" s="160">
        <v>502</v>
      </c>
      <c r="D9" s="6">
        <v>-3.8400000000000001E-3</v>
      </c>
      <c r="E9" s="6">
        <v>7.9900000000000006E-3</v>
      </c>
      <c r="F9" s="72">
        <f t="shared" ref="F9:F17" si="0">SUM(D9:E9)</f>
        <v>4.1500000000000009E-3</v>
      </c>
      <c r="G9" s="149">
        <f t="shared" ref="G9:G17" si="1">+E9</f>
        <v>7.9900000000000006E-3</v>
      </c>
      <c r="H9" s="3"/>
    </row>
    <row r="10" spans="2:15">
      <c r="B10" s="169" t="s">
        <v>53</v>
      </c>
      <c r="C10" s="170">
        <v>503</v>
      </c>
      <c r="D10" s="6">
        <f>+D9</f>
        <v>-3.8400000000000001E-3</v>
      </c>
      <c r="E10" s="6">
        <v>7.9900000000000006E-3</v>
      </c>
      <c r="F10" s="72">
        <f t="shared" si="0"/>
        <v>4.1500000000000009E-3</v>
      </c>
      <c r="G10" s="73">
        <f t="shared" si="1"/>
        <v>7.9900000000000006E-3</v>
      </c>
      <c r="H10" s="3"/>
      <c r="I10" s="74"/>
      <c r="J10" s="33"/>
      <c r="K10" s="33"/>
    </row>
    <row r="11" spans="2:15">
      <c r="B11" s="169" t="s">
        <v>61</v>
      </c>
      <c r="C11" s="170">
        <v>504</v>
      </c>
      <c r="D11" s="6">
        <v>-3.7200000000000002E-3</v>
      </c>
      <c r="E11" s="6">
        <v>8.1300000000000001E-3</v>
      </c>
      <c r="F11" s="72">
        <f t="shared" si="0"/>
        <v>4.4099999999999999E-3</v>
      </c>
      <c r="G11" s="73">
        <f t="shared" si="1"/>
        <v>8.1300000000000001E-3</v>
      </c>
      <c r="H11" s="3"/>
      <c r="I11" s="74"/>
      <c r="J11" s="33"/>
      <c r="K11" s="33"/>
    </row>
    <row r="12" spans="2:15">
      <c r="B12" s="169" t="s">
        <v>92</v>
      </c>
      <c r="C12" s="170">
        <v>512</v>
      </c>
      <c r="D12" s="6">
        <v>-2.7299999999999998E-3</v>
      </c>
      <c r="E12" s="6">
        <v>5.0899999999999999E-3</v>
      </c>
      <c r="F12" s="72">
        <f t="shared" si="0"/>
        <v>2.3600000000000001E-3</v>
      </c>
      <c r="G12" s="73">
        <f t="shared" si="1"/>
        <v>5.0899999999999999E-3</v>
      </c>
      <c r="H12" s="3"/>
      <c r="I12" s="74"/>
      <c r="J12" s="33"/>
      <c r="K12" s="33"/>
    </row>
    <row r="13" spans="2:15">
      <c r="B13" s="169" t="s">
        <v>93</v>
      </c>
      <c r="C13" s="170">
        <v>541</v>
      </c>
      <c r="D13" s="6">
        <v>-3.7200000000000002E-3</v>
      </c>
      <c r="E13" s="6">
        <v>8.1300000000000001E-3</v>
      </c>
      <c r="F13" s="72">
        <f t="shared" si="0"/>
        <v>4.4099999999999999E-3</v>
      </c>
      <c r="G13" s="73">
        <f t="shared" si="1"/>
        <v>8.1300000000000001E-3</v>
      </c>
      <c r="H13" s="3"/>
      <c r="I13" s="74"/>
      <c r="J13" s="33"/>
      <c r="K13" s="33"/>
    </row>
    <row r="14" spans="2:15">
      <c r="B14" s="169" t="s">
        <v>136</v>
      </c>
      <c r="C14" s="171">
        <v>511</v>
      </c>
      <c r="D14" s="6">
        <v>-2.16E-3</v>
      </c>
      <c r="E14" s="6">
        <v>4.79E-3</v>
      </c>
      <c r="F14" s="72">
        <f t="shared" si="0"/>
        <v>2.63E-3</v>
      </c>
      <c r="G14" s="73">
        <f t="shared" si="1"/>
        <v>4.79E-3</v>
      </c>
      <c r="H14" s="3"/>
      <c r="I14" s="74"/>
      <c r="J14" s="33"/>
      <c r="K14" s="33"/>
    </row>
    <row r="15" spans="2:15">
      <c r="B15" s="169" t="s">
        <v>65</v>
      </c>
      <c r="C15" s="171">
        <v>505</v>
      </c>
      <c r="D15" s="6">
        <v>-5.2199999999999998E-3</v>
      </c>
      <c r="E15" s="6">
        <v>6.1000000000000004E-3</v>
      </c>
      <c r="F15" s="72">
        <f t="shared" si="0"/>
        <v>8.8000000000000057E-4</v>
      </c>
      <c r="G15" s="73">
        <f t="shared" si="1"/>
        <v>6.1000000000000004E-3</v>
      </c>
      <c r="H15" s="3"/>
      <c r="I15" s="74"/>
      <c r="J15" s="33"/>
      <c r="K15" s="33"/>
    </row>
    <row r="16" spans="2:15">
      <c r="B16" s="169" t="s">
        <v>89</v>
      </c>
      <c r="C16" s="171">
        <v>570</v>
      </c>
      <c r="D16" s="6">
        <v>-5.5000000000000003E-4</v>
      </c>
      <c r="E16" s="6">
        <v>1.16E-3</v>
      </c>
      <c r="F16" s="72">
        <f t="shared" si="0"/>
        <v>6.0999999999999997E-4</v>
      </c>
      <c r="G16" s="73">
        <f t="shared" si="1"/>
        <v>1.16E-3</v>
      </c>
      <c r="H16" s="3"/>
      <c r="I16" s="74"/>
      <c r="J16" s="33"/>
      <c r="K16" s="33"/>
    </row>
    <row r="17" spans="2:22">
      <c r="B17" s="169" t="s">
        <v>91</v>
      </c>
      <c r="C17" s="171">
        <v>577</v>
      </c>
      <c r="D17" s="6">
        <v>-1E-3</v>
      </c>
      <c r="E17" s="6">
        <v>2.31E-3</v>
      </c>
      <c r="F17" s="72">
        <f t="shared" si="0"/>
        <v>1.31E-3</v>
      </c>
      <c r="G17" s="73">
        <f t="shared" si="1"/>
        <v>2.31E-3</v>
      </c>
      <c r="H17" s="3"/>
      <c r="I17" s="74"/>
      <c r="J17" s="33"/>
      <c r="K17" s="33"/>
    </row>
    <row r="18" spans="2:22">
      <c r="B18" s="172"/>
      <c r="C18" s="91"/>
      <c r="D18" s="91"/>
      <c r="E18" s="91"/>
      <c r="F18" s="150"/>
      <c r="G18" s="91"/>
      <c r="H18" s="74"/>
      <c r="I18" s="74"/>
      <c r="J18" s="33"/>
      <c r="K18" s="33"/>
    </row>
    <row r="19" spans="2:22">
      <c r="B19" s="167" t="s">
        <v>149</v>
      </c>
      <c r="C19" s="92"/>
      <c r="D19" s="92"/>
      <c r="E19" s="92"/>
      <c r="F19" s="92"/>
      <c r="G19" s="182"/>
      <c r="H19" s="33"/>
      <c r="I19" s="33"/>
      <c r="J19" s="33"/>
      <c r="K19" s="33"/>
    </row>
    <row r="20" spans="2:22">
      <c r="B20" s="183" t="s">
        <v>150</v>
      </c>
      <c r="C20" s="160">
        <v>663</v>
      </c>
      <c r="D20" s="184">
        <v>-2.9E-4</v>
      </c>
      <c r="E20" s="6">
        <v>6.6E-4</v>
      </c>
      <c r="F20" s="185">
        <f>SUM(D20:E20)</f>
        <v>3.6999999999999999E-4</v>
      </c>
      <c r="G20" s="73">
        <f>+E20</f>
        <v>6.6E-4</v>
      </c>
      <c r="H20" s="33"/>
      <c r="I20" s="33"/>
      <c r="J20" s="33"/>
      <c r="K20" s="33"/>
    </row>
    <row r="21" spans="2:22">
      <c r="B21" s="183" t="s">
        <v>151</v>
      </c>
      <c r="C21" s="160" t="s">
        <v>30</v>
      </c>
      <c r="D21" s="6">
        <v>0</v>
      </c>
      <c r="E21" s="6">
        <v>0</v>
      </c>
      <c r="F21" s="72">
        <f>SUM(D21:E21)</f>
        <v>0</v>
      </c>
      <c r="G21" s="73">
        <f>+E21</f>
        <v>0</v>
      </c>
      <c r="H21" s="33"/>
      <c r="I21" s="33"/>
      <c r="J21" s="33"/>
      <c r="K21" s="33"/>
    </row>
    <row r="22" spans="2:22">
      <c r="B22" s="186" t="s">
        <v>152</v>
      </c>
      <c r="C22" s="187" t="s">
        <v>153</v>
      </c>
      <c r="D22" s="188">
        <v>0</v>
      </c>
      <c r="E22" s="189">
        <v>0</v>
      </c>
      <c r="F22" s="190">
        <f>SUM(E22:E22)</f>
        <v>0</v>
      </c>
      <c r="G22" s="191">
        <f>+E22</f>
        <v>0</v>
      </c>
      <c r="H22" s="33"/>
      <c r="I22" s="33"/>
      <c r="J22" s="33"/>
      <c r="K22" s="33"/>
    </row>
    <row r="23" spans="2:22">
      <c r="B23" s="173"/>
      <c r="G23" s="74"/>
      <c r="H23" s="74"/>
      <c r="I23" s="74"/>
      <c r="J23" s="74"/>
      <c r="K23" s="74"/>
    </row>
    <row r="24" spans="2:22">
      <c r="B24" s="174" t="s">
        <v>154</v>
      </c>
      <c r="G24" s="4"/>
      <c r="Q24" s="33"/>
      <c r="R24" s="33"/>
      <c r="S24" s="33"/>
      <c r="T24" s="33"/>
      <c r="U24" s="33"/>
      <c r="V24" s="33"/>
    </row>
    <row r="25" spans="2:22">
      <c r="B25" s="174" t="s">
        <v>137</v>
      </c>
      <c r="F25" s="160"/>
      <c r="G25" s="4"/>
      <c r="Q25" s="33"/>
      <c r="R25" s="33"/>
      <c r="S25" s="33"/>
      <c r="T25" s="33"/>
      <c r="U25" s="33"/>
    </row>
    <row r="26" spans="2:22">
      <c r="B26" s="174" t="s">
        <v>138</v>
      </c>
      <c r="F26" s="160"/>
      <c r="G26" s="4"/>
      <c r="Q26" s="33"/>
      <c r="R26" s="33"/>
      <c r="S26" s="33"/>
      <c r="T26" s="33"/>
      <c r="U26" s="33"/>
    </row>
    <row r="27" spans="2:22">
      <c r="B27" s="173"/>
      <c r="F27" s="160"/>
      <c r="G27" s="4"/>
    </row>
    <row r="28" spans="2:22">
      <c r="B28" s="173"/>
      <c r="F28" s="160"/>
      <c r="G28" s="76"/>
      <c r="H28" s="76"/>
      <c r="I28" s="76"/>
    </row>
    <row r="29" spans="2:22">
      <c r="F29" s="175"/>
      <c r="K29" s="76"/>
    </row>
    <row r="30" spans="2:22">
      <c r="F30" s="176"/>
      <c r="K30" s="76"/>
    </row>
    <row r="31" spans="2:22">
      <c r="K31" s="76"/>
    </row>
    <row r="32" spans="2:22">
      <c r="K32" s="76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18" bestFit="1" customWidth="1"/>
    <col min="2" max="2" width="9.33203125" style="15"/>
    <col min="3" max="3" width="19.5" style="15" customWidth="1"/>
    <col min="4" max="4" width="13.5" style="15" customWidth="1"/>
    <col min="5" max="5" width="11" style="15" customWidth="1"/>
    <col min="6" max="6" width="17.1640625" style="15" customWidth="1"/>
    <col min="7" max="7" width="1.33203125" style="15" customWidth="1"/>
    <col min="8" max="8" width="15.33203125" style="15" customWidth="1"/>
    <col min="9" max="10" width="1.33203125" style="15" customWidth="1"/>
    <col min="11" max="11" width="15.33203125" style="8" customWidth="1"/>
    <col min="12" max="12" width="16.1640625" style="15" customWidth="1"/>
    <col min="13" max="13" width="11.33203125" style="15" hidden="1" customWidth="1" outlineLevel="1"/>
    <col min="14" max="14" width="9.33203125" style="15" collapsed="1"/>
    <col min="15" max="251" width="9.33203125" style="15"/>
    <col min="252" max="252" width="5" style="15" customWidth="1"/>
    <col min="253" max="253" width="9.33203125" style="15"/>
    <col min="254" max="254" width="21.6640625" style="15" customWidth="1"/>
    <col min="255" max="255" width="13.5" style="15" customWidth="1"/>
    <col min="256" max="256" width="10.5" style="15" customWidth="1"/>
    <col min="257" max="257" width="15.1640625" style="15" customWidth="1"/>
    <col min="258" max="258" width="3.6640625" style="15" customWidth="1"/>
    <col min="259" max="259" width="13.1640625" style="15" customWidth="1"/>
    <col min="260" max="260" width="3.83203125" style="15" customWidth="1"/>
    <col min="261" max="261" width="15" style="15" customWidth="1"/>
    <col min="262" max="262" width="3.6640625" style="15" customWidth="1"/>
    <col min="263" max="264" width="13" style="15" customWidth="1"/>
    <col min="265" max="265" width="0" style="15" hidden="1" customWidth="1"/>
    <col min="266" max="267" width="9.33203125" style="15"/>
    <col min="268" max="268" width="15.83203125" style="15" customWidth="1"/>
    <col min="269" max="507" width="9.33203125" style="15"/>
    <col min="508" max="508" width="5" style="15" customWidth="1"/>
    <col min="509" max="509" width="9.33203125" style="15"/>
    <col min="510" max="510" width="21.6640625" style="15" customWidth="1"/>
    <col min="511" max="511" width="13.5" style="15" customWidth="1"/>
    <col min="512" max="512" width="10.5" style="15" customWidth="1"/>
    <col min="513" max="513" width="15.1640625" style="15" customWidth="1"/>
    <col min="514" max="514" width="3.6640625" style="15" customWidth="1"/>
    <col min="515" max="515" width="13.1640625" style="15" customWidth="1"/>
    <col min="516" max="516" width="3.83203125" style="15" customWidth="1"/>
    <col min="517" max="517" width="15" style="15" customWidth="1"/>
    <col min="518" max="518" width="3.6640625" style="15" customWidth="1"/>
    <col min="519" max="520" width="13" style="15" customWidth="1"/>
    <col min="521" max="521" width="0" style="15" hidden="1" customWidth="1"/>
    <col min="522" max="523" width="9.33203125" style="15"/>
    <col min="524" max="524" width="15.83203125" style="15" customWidth="1"/>
    <col min="525" max="763" width="9.33203125" style="15"/>
    <col min="764" max="764" width="5" style="15" customWidth="1"/>
    <col min="765" max="765" width="9.33203125" style="15"/>
    <col min="766" max="766" width="21.6640625" style="15" customWidth="1"/>
    <col min="767" max="767" width="13.5" style="15" customWidth="1"/>
    <col min="768" max="768" width="10.5" style="15" customWidth="1"/>
    <col min="769" max="769" width="15.1640625" style="15" customWidth="1"/>
    <col min="770" max="770" width="3.6640625" style="15" customWidth="1"/>
    <col min="771" max="771" width="13.1640625" style="15" customWidth="1"/>
    <col min="772" max="772" width="3.83203125" style="15" customWidth="1"/>
    <col min="773" max="773" width="15" style="15" customWidth="1"/>
    <col min="774" max="774" width="3.6640625" style="15" customWidth="1"/>
    <col min="775" max="776" width="13" style="15" customWidth="1"/>
    <col min="777" max="777" width="0" style="15" hidden="1" customWidth="1"/>
    <col min="778" max="779" width="9.33203125" style="15"/>
    <col min="780" max="780" width="15.83203125" style="15" customWidth="1"/>
    <col min="781" max="1019" width="9.33203125" style="15"/>
    <col min="1020" max="1020" width="5" style="15" customWidth="1"/>
    <col min="1021" max="1021" width="9.33203125" style="15"/>
    <col min="1022" max="1022" width="21.6640625" style="15" customWidth="1"/>
    <col min="1023" max="1023" width="13.5" style="15" customWidth="1"/>
    <col min="1024" max="1024" width="10.5" style="15" customWidth="1"/>
    <col min="1025" max="1025" width="15.1640625" style="15" customWidth="1"/>
    <col min="1026" max="1026" width="3.6640625" style="15" customWidth="1"/>
    <col min="1027" max="1027" width="13.1640625" style="15" customWidth="1"/>
    <col min="1028" max="1028" width="3.83203125" style="15" customWidth="1"/>
    <col min="1029" max="1029" width="15" style="15" customWidth="1"/>
    <col min="1030" max="1030" width="3.6640625" style="15" customWidth="1"/>
    <col min="1031" max="1032" width="13" style="15" customWidth="1"/>
    <col min="1033" max="1033" width="0" style="15" hidden="1" customWidth="1"/>
    <col min="1034" max="1035" width="9.33203125" style="15"/>
    <col min="1036" max="1036" width="15.83203125" style="15" customWidth="1"/>
    <col min="1037" max="1275" width="9.33203125" style="15"/>
    <col min="1276" max="1276" width="5" style="15" customWidth="1"/>
    <col min="1277" max="1277" width="9.33203125" style="15"/>
    <col min="1278" max="1278" width="21.6640625" style="15" customWidth="1"/>
    <col min="1279" max="1279" width="13.5" style="15" customWidth="1"/>
    <col min="1280" max="1280" width="10.5" style="15" customWidth="1"/>
    <col min="1281" max="1281" width="15.1640625" style="15" customWidth="1"/>
    <col min="1282" max="1282" width="3.6640625" style="15" customWidth="1"/>
    <col min="1283" max="1283" width="13.1640625" style="15" customWidth="1"/>
    <col min="1284" max="1284" width="3.83203125" style="15" customWidth="1"/>
    <col min="1285" max="1285" width="15" style="15" customWidth="1"/>
    <col min="1286" max="1286" width="3.6640625" style="15" customWidth="1"/>
    <col min="1287" max="1288" width="13" style="15" customWidth="1"/>
    <col min="1289" max="1289" width="0" style="15" hidden="1" customWidth="1"/>
    <col min="1290" max="1291" width="9.33203125" style="15"/>
    <col min="1292" max="1292" width="15.83203125" style="15" customWidth="1"/>
    <col min="1293" max="1531" width="9.33203125" style="15"/>
    <col min="1532" max="1532" width="5" style="15" customWidth="1"/>
    <col min="1533" max="1533" width="9.33203125" style="15"/>
    <col min="1534" max="1534" width="21.6640625" style="15" customWidth="1"/>
    <col min="1535" max="1535" width="13.5" style="15" customWidth="1"/>
    <col min="1536" max="1536" width="10.5" style="15" customWidth="1"/>
    <col min="1537" max="1537" width="15.1640625" style="15" customWidth="1"/>
    <col min="1538" max="1538" width="3.6640625" style="15" customWidth="1"/>
    <col min="1539" max="1539" width="13.1640625" style="15" customWidth="1"/>
    <col min="1540" max="1540" width="3.83203125" style="15" customWidth="1"/>
    <col min="1541" max="1541" width="15" style="15" customWidth="1"/>
    <col min="1542" max="1542" width="3.6640625" style="15" customWidth="1"/>
    <col min="1543" max="1544" width="13" style="15" customWidth="1"/>
    <col min="1545" max="1545" width="0" style="15" hidden="1" customWidth="1"/>
    <col min="1546" max="1547" width="9.33203125" style="15"/>
    <col min="1548" max="1548" width="15.83203125" style="15" customWidth="1"/>
    <col min="1549" max="1787" width="9.33203125" style="15"/>
    <col min="1788" max="1788" width="5" style="15" customWidth="1"/>
    <col min="1789" max="1789" width="9.33203125" style="15"/>
    <col min="1790" max="1790" width="21.6640625" style="15" customWidth="1"/>
    <col min="1791" max="1791" width="13.5" style="15" customWidth="1"/>
    <col min="1792" max="1792" width="10.5" style="15" customWidth="1"/>
    <col min="1793" max="1793" width="15.1640625" style="15" customWidth="1"/>
    <col min="1794" max="1794" width="3.6640625" style="15" customWidth="1"/>
    <col min="1795" max="1795" width="13.1640625" style="15" customWidth="1"/>
    <col min="1796" max="1796" width="3.83203125" style="15" customWidth="1"/>
    <col min="1797" max="1797" width="15" style="15" customWidth="1"/>
    <col min="1798" max="1798" width="3.6640625" style="15" customWidth="1"/>
    <col min="1799" max="1800" width="13" style="15" customWidth="1"/>
    <col min="1801" max="1801" width="0" style="15" hidden="1" customWidth="1"/>
    <col min="1802" max="1803" width="9.33203125" style="15"/>
    <col min="1804" max="1804" width="15.83203125" style="15" customWidth="1"/>
    <col min="1805" max="2043" width="9.33203125" style="15"/>
    <col min="2044" max="2044" width="5" style="15" customWidth="1"/>
    <col min="2045" max="2045" width="9.33203125" style="15"/>
    <col min="2046" max="2046" width="21.6640625" style="15" customWidth="1"/>
    <col min="2047" max="2047" width="13.5" style="15" customWidth="1"/>
    <col min="2048" max="2048" width="10.5" style="15" customWidth="1"/>
    <col min="2049" max="2049" width="15.1640625" style="15" customWidth="1"/>
    <col min="2050" max="2050" width="3.6640625" style="15" customWidth="1"/>
    <col min="2051" max="2051" width="13.1640625" style="15" customWidth="1"/>
    <col min="2052" max="2052" width="3.83203125" style="15" customWidth="1"/>
    <col min="2053" max="2053" width="15" style="15" customWidth="1"/>
    <col min="2054" max="2054" width="3.6640625" style="15" customWidth="1"/>
    <col min="2055" max="2056" width="13" style="15" customWidth="1"/>
    <col min="2057" max="2057" width="0" style="15" hidden="1" customWidth="1"/>
    <col min="2058" max="2059" width="9.33203125" style="15"/>
    <col min="2060" max="2060" width="15.83203125" style="15" customWidth="1"/>
    <col min="2061" max="2299" width="9.33203125" style="15"/>
    <col min="2300" max="2300" width="5" style="15" customWidth="1"/>
    <col min="2301" max="2301" width="9.33203125" style="15"/>
    <col min="2302" max="2302" width="21.6640625" style="15" customWidth="1"/>
    <col min="2303" max="2303" width="13.5" style="15" customWidth="1"/>
    <col min="2304" max="2304" width="10.5" style="15" customWidth="1"/>
    <col min="2305" max="2305" width="15.1640625" style="15" customWidth="1"/>
    <col min="2306" max="2306" width="3.6640625" style="15" customWidth="1"/>
    <col min="2307" max="2307" width="13.1640625" style="15" customWidth="1"/>
    <col min="2308" max="2308" width="3.83203125" style="15" customWidth="1"/>
    <col min="2309" max="2309" width="15" style="15" customWidth="1"/>
    <col min="2310" max="2310" width="3.6640625" style="15" customWidth="1"/>
    <col min="2311" max="2312" width="13" style="15" customWidth="1"/>
    <col min="2313" max="2313" width="0" style="15" hidden="1" customWidth="1"/>
    <col min="2314" max="2315" width="9.33203125" style="15"/>
    <col min="2316" max="2316" width="15.83203125" style="15" customWidth="1"/>
    <col min="2317" max="2555" width="9.33203125" style="15"/>
    <col min="2556" max="2556" width="5" style="15" customWidth="1"/>
    <col min="2557" max="2557" width="9.33203125" style="15"/>
    <col min="2558" max="2558" width="21.6640625" style="15" customWidth="1"/>
    <col min="2559" max="2559" width="13.5" style="15" customWidth="1"/>
    <col min="2560" max="2560" width="10.5" style="15" customWidth="1"/>
    <col min="2561" max="2561" width="15.1640625" style="15" customWidth="1"/>
    <col min="2562" max="2562" width="3.6640625" style="15" customWidth="1"/>
    <col min="2563" max="2563" width="13.1640625" style="15" customWidth="1"/>
    <col min="2564" max="2564" width="3.83203125" style="15" customWidth="1"/>
    <col min="2565" max="2565" width="15" style="15" customWidth="1"/>
    <col min="2566" max="2566" width="3.6640625" style="15" customWidth="1"/>
    <col min="2567" max="2568" width="13" style="15" customWidth="1"/>
    <col min="2569" max="2569" width="0" style="15" hidden="1" customWidth="1"/>
    <col min="2570" max="2571" width="9.33203125" style="15"/>
    <col min="2572" max="2572" width="15.83203125" style="15" customWidth="1"/>
    <col min="2573" max="2811" width="9.33203125" style="15"/>
    <col min="2812" max="2812" width="5" style="15" customWidth="1"/>
    <col min="2813" max="2813" width="9.33203125" style="15"/>
    <col min="2814" max="2814" width="21.6640625" style="15" customWidth="1"/>
    <col min="2815" max="2815" width="13.5" style="15" customWidth="1"/>
    <col min="2816" max="2816" width="10.5" style="15" customWidth="1"/>
    <col min="2817" max="2817" width="15.1640625" style="15" customWidth="1"/>
    <col min="2818" max="2818" width="3.6640625" style="15" customWidth="1"/>
    <col min="2819" max="2819" width="13.1640625" style="15" customWidth="1"/>
    <col min="2820" max="2820" width="3.83203125" style="15" customWidth="1"/>
    <col min="2821" max="2821" width="15" style="15" customWidth="1"/>
    <col min="2822" max="2822" width="3.6640625" style="15" customWidth="1"/>
    <col min="2823" max="2824" width="13" style="15" customWidth="1"/>
    <col min="2825" max="2825" width="0" style="15" hidden="1" customWidth="1"/>
    <col min="2826" max="2827" width="9.33203125" style="15"/>
    <col min="2828" max="2828" width="15.83203125" style="15" customWidth="1"/>
    <col min="2829" max="3067" width="9.33203125" style="15"/>
    <col min="3068" max="3068" width="5" style="15" customWidth="1"/>
    <col min="3069" max="3069" width="9.33203125" style="15"/>
    <col min="3070" max="3070" width="21.6640625" style="15" customWidth="1"/>
    <col min="3071" max="3071" width="13.5" style="15" customWidth="1"/>
    <col min="3072" max="3072" width="10.5" style="15" customWidth="1"/>
    <col min="3073" max="3073" width="15.1640625" style="15" customWidth="1"/>
    <col min="3074" max="3074" width="3.6640625" style="15" customWidth="1"/>
    <col min="3075" max="3075" width="13.1640625" style="15" customWidth="1"/>
    <col min="3076" max="3076" width="3.83203125" style="15" customWidth="1"/>
    <col min="3077" max="3077" width="15" style="15" customWidth="1"/>
    <col min="3078" max="3078" width="3.6640625" style="15" customWidth="1"/>
    <col min="3079" max="3080" width="13" style="15" customWidth="1"/>
    <col min="3081" max="3081" width="0" style="15" hidden="1" customWidth="1"/>
    <col min="3082" max="3083" width="9.33203125" style="15"/>
    <col min="3084" max="3084" width="15.83203125" style="15" customWidth="1"/>
    <col min="3085" max="3323" width="9.33203125" style="15"/>
    <col min="3324" max="3324" width="5" style="15" customWidth="1"/>
    <col min="3325" max="3325" width="9.33203125" style="15"/>
    <col min="3326" max="3326" width="21.6640625" style="15" customWidth="1"/>
    <col min="3327" max="3327" width="13.5" style="15" customWidth="1"/>
    <col min="3328" max="3328" width="10.5" style="15" customWidth="1"/>
    <col min="3329" max="3329" width="15.1640625" style="15" customWidth="1"/>
    <col min="3330" max="3330" width="3.6640625" style="15" customWidth="1"/>
    <col min="3331" max="3331" width="13.1640625" style="15" customWidth="1"/>
    <col min="3332" max="3332" width="3.83203125" style="15" customWidth="1"/>
    <col min="3333" max="3333" width="15" style="15" customWidth="1"/>
    <col min="3334" max="3334" width="3.6640625" style="15" customWidth="1"/>
    <col min="3335" max="3336" width="13" style="15" customWidth="1"/>
    <col min="3337" max="3337" width="0" style="15" hidden="1" customWidth="1"/>
    <col min="3338" max="3339" width="9.33203125" style="15"/>
    <col min="3340" max="3340" width="15.83203125" style="15" customWidth="1"/>
    <col min="3341" max="3579" width="9.33203125" style="15"/>
    <col min="3580" max="3580" width="5" style="15" customWidth="1"/>
    <col min="3581" max="3581" width="9.33203125" style="15"/>
    <col min="3582" max="3582" width="21.6640625" style="15" customWidth="1"/>
    <col min="3583" max="3583" width="13.5" style="15" customWidth="1"/>
    <col min="3584" max="3584" width="10.5" style="15" customWidth="1"/>
    <col min="3585" max="3585" width="15.1640625" style="15" customWidth="1"/>
    <col min="3586" max="3586" width="3.6640625" style="15" customWidth="1"/>
    <col min="3587" max="3587" width="13.1640625" style="15" customWidth="1"/>
    <col min="3588" max="3588" width="3.83203125" style="15" customWidth="1"/>
    <col min="3589" max="3589" width="15" style="15" customWidth="1"/>
    <col min="3590" max="3590" width="3.6640625" style="15" customWidth="1"/>
    <col min="3591" max="3592" width="13" style="15" customWidth="1"/>
    <col min="3593" max="3593" width="0" style="15" hidden="1" customWidth="1"/>
    <col min="3594" max="3595" width="9.33203125" style="15"/>
    <col min="3596" max="3596" width="15.83203125" style="15" customWidth="1"/>
    <col min="3597" max="3835" width="9.33203125" style="15"/>
    <col min="3836" max="3836" width="5" style="15" customWidth="1"/>
    <col min="3837" max="3837" width="9.33203125" style="15"/>
    <col min="3838" max="3838" width="21.6640625" style="15" customWidth="1"/>
    <col min="3839" max="3839" width="13.5" style="15" customWidth="1"/>
    <col min="3840" max="3840" width="10.5" style="15" customWidth="1"/>
    <col min="3841" max="3841" width="15.1640625" style="15" customWidth="1"/>
    <col min="3842" max="3842" width="3.6640625" style="15" customWidth="1"/>
    <col min="3843" max="3843" width="13.1640625" style="15" customWidth="1"/>
    <col min="3844" max="3844" width="3.83203125" style="15" customWidth="1"/>
    <col min="3845" max="3845" width="15" style="15" customWidth="1"/>
    <col min="3846" max="3846" width="3.6640625" style="15" customWidth="1"/>
    <col min="3847" max="3848" width="13" style="15" customWidth="1"/>
    <col min="3849" max="3849" width="0" style="15" hidden="1" customWidth="1"/>
    <col min="3850" max="3851" width="9.33203125" style="15"/>
    <col min="3852" max="3852" width="15.83203125" style="15" customWidth="1"/>
    <col min="3853" max="4091" width="9.33203125" style="15"/>
    <col min="4092" max="4092" width="5" style="15" customWidth="1"/>
    <col min="4093" max="4093" width="9.33203125" style="15"/>
    <col min="4094" max="4094" width="21.6640625" style="15" customWidth="1"/>
    <col min="4095" max="4095" width="13.5" style="15" customWidth="1"/>
    <col min="4096" max="4096" width="10.5" style="15" customWidth="1"/>
    <col min="4097" max="4097" width="15.1640625" style="15" customWidth="1"/>
    <col min="4098" max="4098" width="3.6640625" style="15" customWidth="1"/>
    <col min="4099" max="4099" width="13.1640625" style="15" customWidth="1"/>
    <col min="4100" max="4100" width="3.83203125" style="15" customWidth="1"/>
    <col min="4101" max="4101" width="15" style="15" customWidth="1"/>
    <col min="4102" max="4102" width="3.6640625" style="15" customWidth="1"/>
    <col min="4103" max="4104" width="13" style="15" customWidth="1"/>
    <col min="4105" max="4105" width="0" style="15" hidden="1" customWidth="1"/>
    <col min="4106" max="4107" width="9.33203125" style="15"/>
    <col min="4108" max="4108" width="15.83203125" style="15" customWidth="1"/>
    <col min="4109" max="4347" width="9.33203125" style="15"/>
    <col min="4348" max="4348" width="5" style="15" customWidth="1"/>
    <col min="4349" max="4349" width="9.33203125" style="15"/>
    <col min="4350" max="4350" width="21.6640625" style="15" customWidth="1"/>
    <col min="4351" max="4351" width="13.5" style="15" customWidth="1"/>
    <col min="4352" max="4352" width="10.5" style="15" customWidth="1"/>
    <col min="4353" max="4353" width="15.1640625" style="15" customWidth="1"/>
    <col min="4354" max="4354" width="3.6640625" style="15" customWidth="1"/>
    <col min="4355" max="4355" width="13.1640625" style="15" customWidth="1"/>
    <col min="4356" max="4356" width="3.83203125" style="15" customWidth="1"/>
    <col min="4357" max="4357" width="15" style="15" customWidth="1"/>
    <col min="4358" max="4358" width="3.6640625" style="15" customWidth="1"/>
    <col min="4359" max="4360" width="13" style="15" customWidth="1"/>
    <col min="4361" max="4361" width="0" style="15" hidden="1" customWidth="1"/>
    <col min="4362" max="4363" width="9.33203125" style="15"/>
    <col min="4364" max="4364" width="15.83203125" style="15" customWidth="1"/>
    <col min="4365" max="4603" width="9.33203125" style="15"/>
    <col min="4604" max="4604" width="5" style="15" customWidth="1"/>
    <col min="4605" max="4605" width="9.33203125" style="15"/>
    <col min="4606" max="4606" width="21.6640625" style="15" customWidth="1"/>
    <col min="4607" max="4607" width="13.5" style="15" customWidth="1"/>
    <col min="4608" max="4608" width="10.5" style="15" customWidth="1"/>
    <col min="4609" max="4609" width="15.1640625" style="15" customWidth="1"/>
    <col min="4610" max="4610" width="3.6640625" style="15" customWidth="1"/>
    <col min="4611" max="4611" width="13.1640625" style="15" customWidth="1"/>
    <col min="4612" max="4612" width="3.83203125" style="15" customWidth="1"/>
    <col min="4613" max="4613" width="15" style="15" customWidth="1"/>
    <col min="4614" max="4614" width="3.6640625" style="15" customWidth="1"/>
    <col min="4615" max="4616" width="13" style="15" customWidth="1"/>
    <col min="4617" max="4617" width="0" style="15" hidden="1" customWidth="1"/>
    <col min="4618" max="4619" width="9.33203125" style="15"/>
    <col min="4620" max="4620" width="15.83203125" style="15" customWidth="1"/>
    <col min="4621" max="4859" width="9.33203125" style="15"/>
    <col min="4860" max="4860" width="5" style="15" customWidth="1"/>
    <col min="4861" max="4861" width="9.33203125" style="15"/>
    <col min="4862" max="4862" width="21.6640625" style="15" customWidth="1"/>
    <col min="4863" max="4863" width="13.5" style="15" customWidth="1"/>
    <col min="4864" max="4864" width="10.5" style="15" customWidth="1"/>
    <col min="4865" max="4865" width="15.1640625" style="15" customWidth="1"/>
    <col min="4866" max="4866" width="3.6640625" style="15" customWidth="1"/>
    <col min="4867" max="4867" width="13.1640625" style="15" customWidth="1"/>
    <col min="4868" max="4868" width="3.83203125" style="15" customWidth="1"/>
    <col min="4869" max="4869" width="15" style="15" customWidth="1"/>
    <col min="4870" max="4870" width="3.6640625" style="15" customWidth="1"/>
    <col min="4871" max="4872" width="13" style="15" customWidth="1"/>
    <col min="4873" max="4873" width="0" style="15" hidden="1" customWidth="1"/>
    <col min="4874" max="4875" width="9.33203125" style="15"/>
    <col min="4876" max="4876" width="15.83203125" style="15" customWidth="1"/>
    <col min="4877" max="5115" width="9.33203125" style="15"/>
    <col min="5116" max="5116" width="5" style="15" customWidth="1"/>
    <col min="5117" max="5117" width="9.33203125" style="15"/>
    <col min="5118" max="5118" width="21.6640625" style="15" customWidth="1"/>
    <col min="5119" max="5119" width="13.5" style="15" customWidth="1"/>
    <col min="5120" max="5120" width="10.5" style="15" customWidth="1"/>
    <col min="5121" max="5121" width="15.1640625" style="15" customWidth="1"/>
    <col min="5122" max="5122" width="3.6640625" style="15" customWidth="1"/>
    <col min="5123" max="5123" width="13.1640625" style="15" customWidth="1"/>
    <col min="5124" max="5124" width="3.83203125" style="15" customWidth="1"/>
    <col min="5125" max="5125" width="15" style="15" customWidth="1"/>
    <col min="5126" max="5126" width="3.6640625" style="15" customWidth="1"/>
    <col min="5127" max="5128" width="13" style="15" customWidth="1"/>
    <col min="5129" max="5129" width="0" style="15" hidden="1" customWidth="1"/>
    <col min="5130" max="5131" width="9.33203125" style="15"/>
    <col min="5132" max="5132" width="15.83203125" style="15" customWidth="1"/>
    <col min="5133" max="5371" width="9.33203125" style="15"/>
    <col min="5372" max="5372" width="5" style="15" customWidth="1"/>
    <col min="5373" max="5373" width="9.33203125" style="15"/>
    <col min="5374" max="5374" width="21.6640625" style="15" customWidth="1"/>
    <col min="5375" max="5375" width="13.5" style="15" customWidth="1"/>
    <col min="5376" max="5376" width="10.5" style="15" customWidth="1"/>
    <col min="5377" max="5377" width="15.1640625" style="15" customWidth="1"/>
    <col min="5378" max="5378" width="3.6640625" style="15" customWidth="1"/>
    <col min="5379" max="5379" width="13.1640625" style="15" customWidth="1"/>
    <col min="5380" max="5380" width="3.83203125" style="15" customWidth="1"/>
    <col min="5381" max="5381" width="15" style="15" customWidth="1"/>
    <col min="5382" max="5382" width="3.6640625" style="15" customWidth="1"/>
    <col min="5383" max="5384" width="13" style="15" customWidth="1"/>
    <col min="5385" max="5385" width="0" style="15" hidden="1" customWidth="1"/>
    <col min="5386" max="5387" width="9.33203125" style="15"/>
    <col min="5388" max="5388" width="15.83203125" style="15" customWidth="1"/>
    <col min="5389" max="5627" width="9.33203125" style="15"/>
    <col min="5628" max="5628" width="5" style="15" customWidth="1"/>
    <col min="5629" max="5629" width="9.33203125" style="15"/>
    <col min="5630" max="5630" width="21.6640625" style="15" customWidth="1"/>
    <col min="5631" max="5631" width="13.5" style="15" customWidth="1"/>
    <col min="5632" max="5632" width="10.5" style="15" customWidth="1"/>
    <col min="5633" max="5633" width="15.1640625" style="15" customWidth="1"/>
    <col min="5634" max="5634" width="3.6640625" style="15" customWidth="1"/>
    <col min="5635" max="5635" width="13.1640625" style="15" customWidth="1"/>
    <col min="5636" max="5636" width="3.83203125" style="15" customWidth="1"/>
    <col min="5637" max="5637" width="15" style="15" customWidth="1"/>
    <col min="5638" max="5638" width="3.6640625" style="15" customWidth="1"/>
    <col min="5639" max="5640" width="13" style="15" customWidth="1"/>
    <col min="5641" max="5641" width="0" style="15" hidden="1" customWidth="1"/>
    <col min="5642" max="5643" width="9.33203125" style="15"/>
    <col min="5644" max="5644" width="15.83203125" style="15" customWidth="1"/>
    <col min="5645" max="5883" width="9.33203125" style="15"/>
    <col min="5884" max="5884" width="5" style="15" customWidth="1"/>
    <col min="5885" max="5885" width="9.33203125" style="15"/>
    <col min="5886" max="5886" width="21.6640625" style="15" customWidth="1"/>
    <col min="5887" max="5887" width="13.5" style="15" customWidth="1"/>
    <col min="5888" max="5888" width="10.5" style="15" customWidth="1"/>
    <col min="5889" max="5889" width="15.1640625" style="15" customWidth="1"/>
    <col min="5890" max="5890" width="3.6640625" style="15" customWidth="1"/>
    <col min="5891" max="5891" width="13.1640625" style="15" customWidth="1"/>
    <col min="5892" max="5892" width="3.83203125" style="15" customWidth="1"/>
    <col min="5893" max="5893" width="15" style="15" customWidth="1"/>
    <col min="5894" max="5894" width="3.6640625" style="15" customWidth="1"/>
    <col min="5895" max="5896" width="13" style="15" customWidth="1"/>
    <col min="5897" max="5897" width="0" style="15" hidden="1" customWidth="1"/>
    <col min="5898" max="5899" width="9.33203125" style="15"/>
    <col min="5900" max="5900" width="15.83203125" style="15" customWidth="1"/>
    <col min="5901" max="6139" width="9.33203125" style="15"/>
    <col min="6140" max="6140" width="5" style="15" customWidth="1"/>
    <col min="6141" max="6141" width="9.33203125" style="15"/>
    <col min="6142" max="6142" width="21.6640625" style="15" customWidth="1"/>
    <col min="6143" max="6143" width="13.5" style="15" customWidth="1"/>
    <col min="6144" max="6144" width="10.5" style="15" customWidth="1"/>
    <col min="6145" max="6145" width="15.1640625" style="15" customWidth="1"/>
    <col min="6146" max="6146" width="3.6640625" style="15" customWidth="1"/>
    <col min="6147" max="6147" width="13.1640625" style="15" customWidth="1"/>
    <col min="6148" max="6148" width="3.83203125" style="15" customWidth="1"/>
    <col min="6149" max="6149" width="15" style="15" customWidth="1"/>
    <col min="6150" max="6150" width="3.6640625" style="15" customWidth="1"/>
    <col min="6151" max="6152" width="13" style="15" customWidth="1"/>
    <col min="6153" max="6153" width="0" style="15" hidden="1" customWidth="1"/>
    <col min="6154" max="6155" width="9.33203125" style="15"/>
    <col min="6156" max="6156" width="15.83203125" style="15" customWidth="1"/>
    <col min="6157" max="6395" width="9.33203125" style="15"/>
    <col min="6396" max="6396" width="5" style="15" customWidth="1"/>
    <col min="6397" max="6397" width="9.33203125" style="15"/>
    <col min="6398" max="6398" width="21.6640625" style="15" customWidth="1"/>
    <col min="6399" max="6399" width="13.5" style="15" customWidth="1"/>
    <col min="6400" max="6400" width="10.5" style="15" customWidth="1"/>
    <col min="6401" max="6401" width="15.1640625" style="15" customWidth="1"/>
    <col min="6402" max="6402" width="3.6640625" style="15" customWidth="1"/>
    <col min="6403" max="6403" width="13.1640625" style="15" customWidth="1"/>
    <col min="6404" max="6404" width="3.83203125" style="15" customWidth="1"/>
    <col min="6405" max="6405" width="15" style="15" customWidth="1"/>
    <col min="6406" max="6406" width="3.6640625" style="15" customWidth="1"/>
    <col min="6407" max="6408" width="13" style="15" customWidth="1"/>
    <col min="6409" max="6409" width="0" style="15" hidden="1" customWidth="1"/>
    <col min="6410" max="6411" width="9.33203125" style="15"/>
    <col min="6412" max="6412" width="15.83203125" style="15" customWidth="1"/>
    <col min="6413" max="6651" width="9.33203125" style="15"/>
    <col min="6652" max="6652" width="5" style="15" customWidth="1"/>
    <col min="6653" max="6653" width="9.33203125" style="15"/>
    <col min="6654" max="6654" width="21.6640625" style="15" customWidth="1"/>
    <col min="6655" max="6655" width="13.5" style="15" customWidth="1"/>
    <col min="6656" max="6656" width="10.5" style="15" customWidth="1"/>
    <col min="6657" max="6657" width="15.1640625" style="15" customWidth="1"/>
    <col min="6658" max="6658" width="3.6640625" style="15" customWidth="1"/>
    <col min="6659" max="6659" width="13.1640625" style="15" customWidth="1"/>
    <col min="6660" max="6660" width="3.83203125" style="15" customWidth="1"/>
    <col min="6661" max="6661" width="15" style="15" customWidth="1"/>
    <col min="6662" max="6662" width="3.6640625" style="15" customWidth="1"/>
    <col min="6663" max="6664" width="13" style="15" customWidth="1"/>
    <col min="6665" max="6665" width="0" style="15" hidden="1" customWidth="1"/>
    <col min="6666" max="6667" width="9.33203125" style="15"/>
    <col min="6668" max="6668" width="15.83203125" style="15" customWidth="1"/>
    <col min="6669" max="6907" width="9.33203125" style="15"/>
    <col min="6908" max="6908" width="5" style="15" customWidth="1"/>
    <col min="6909" max="6909" width="9.33203125" style="15"/>
    <col min="6910" max="6910" width="21.6640625" style="15" customWidth="1"/>
    <col min="6911" max="6911" width="13.5" style="15" customWidth="1"/>
    <col min="6912" max="6912" width="10.5" style="15" customWidth="1"/>
    <col min="6913" max="6913" width="15.1640625" style="15" customWidth="1"/>
    <col min="6914" max="6914" width="3.6640625" style="15" customWidth="1"/>
    <col min="6915" max="6915" width="13.1640625" style="15" customWidth="1"/>
    <col min="6916" max="6916" width="3.83203125" style="15" customWidth="1"/>
    <col min="6917" max="6917" width="15" style="15" customWidth="1"/>
    <col min="6918" max="6918" width="3.6640625" style="15" customWidth="1"/>
    <col min="6919" max="6920" width="13" style="15" customWidth="1"/>
    <col min="6921" max="6921" width="0" style="15" hidden="1" customWidth="1"/>
    <col min="6922" max="6923" width="9.33203125" style="15"/>
    <col min="6924" max="6924" width="15.83203125" style="15" customWidth="1"/>
    <col min="6925" max="7163" width="9.33203125" style="15"/>
    <col min="7164" max="7164" width="5" style="15" customWidth="1"/>
    <col min="7165" max="7165" width="9.33203125" style="15"/>
    <col min="7166" max="7166" width="21.6640625" style="15" customWidth="1"/>
    <col min="7167" max="7167" width="13.5" style="15" customWidth="1"/>
    <col min="7168" max="7168" width="10.5" style="15" customWidth="1"/>
    <col min="7169" max="7169" width="15.1640625" style="15" customWidth="1"/>
    <col min="7170" max="7170" width="3.6640625" style="15" customWidth="1"/>
    <col min="7171" max="7171" width="13.1640625" style="15" customWidth="1"/>
    <col min="7172" max="7172" width="3.83203125" style="15" customWidth="1"/>
    <col min="7173" max="7173" width="15" style="15" customWidth="1"/>
    <col min="7174" max="7174" width="3.6640625" style="15" customWidth="1"/>
    <col min="7175" max="7176" width="13" style="15" customWidth="1"/>
    <col min="7177" max="7177" width="0" style="15" hidden="1" customWidth="1"/>
    <col min="7178" max="7179" width="9.33203125" style="15"/>
    <col min="7180" max="7180" width="15.83203125" style="15" customWidth="1"/>
    <col min="7181" max="7419" width="9.33203125" style="15"/>
    <col min="7420" max="7420" width="5" style="15" customWidth="1"/>
    <col min="7421" max="7421" width="9.33203125" style="15"/>
    <col min="7422" max="7422" width="21.6640625" style="15" customWidth="1"/>
    <col min="7423" max="7423" width="13.5" style="15" customWidth="1"/>
    <col min="7424" max="7424" width="10.5" style="15" customWidth="1"/>
    <col min="7425" max="7425" width="15.1640625" style="15" customWidth="1"/>
    <col min="7426" max="7426" width="3.6640625" style="15" customWidth="1"/>
    <col min="7427" max="7427" width="13.1640625" style="15" customWidth="1"/>
    <col min="7428" max="7428" width="3.83203125" style="15" customWidth="1"/>
    <col min="7429" max="7429" width="15" style="15" customWidth="1"/>
    <col min="7430" max="7430" width="3.6640625" style="15" customWidth="1"/>
    <col min="7431" max="7432" width="13" style="15" customWidth="1"/>
    <col min="7433" max="7433" width="0" style="15" hidden="1" customWidth="1"/>
    <col min="7434" max="7435" width="9.33203125" style="15"/>
    <col min="7436" max="7436" width="15.83203125" style="15" customWidth="1"/>
    <col min="7437" max="7675" width="9.33203125" style="15"/>
    <col min="7676" max="7676" width="5" style="15" customWidth="1"/>
    <col min="7677" max="7677" width="9.33203125" style="15"/>
    <col min="7678" max="7678" width="21.6640625" style="15" customWidth="1"/>
    <col min="7679" max="7679" width="13.5" style="15" customWidth="1"/>
    <col min="7680" max="7680" width="10.5" style="15" customWidth="1"/>
    <col min="7681" max="7681" width="15.1640625" style="15" customWidth="1"/>
    <col min="7682" max="7682" width="3.6640625" style="15" customWidth="1"/>
    <col min="7683" max="7683" width="13.1640625" style="15" customWidth="1"/>
    <col min="7684" max="7684" width="3.83203125" style="15" customWidth="1"/>
    <col min="7685" max="7685" width="15" style="15" customWidth="1"/>
    <col min="7686" max="7686" width="3.6640625" style="15" customWidth="1"/>
    <col min="7687" max="7688" width="13" style="15" customWidth="1"/>
    <col min="7689" max="7689" width="0" style="15" hidden="1" customWidth="1"/>
    <col min="7690" max="7691" width="9.33203125" style="15"/>
    <col min="7692" max="7692" width="15.83203125" style="15" customWidth="1"/>
    <col min="7693" max="7931" width="9.33203125" style="15"/>
    <col min="7932" max="7932" width="5" style="15" customWidth="1"/>
    <col min="7933" max="7933" width="9.33203125" style="15"/>
    <col min="7934" max="7934" width="21.6640625" style="15" customWidth="1"/>
    <col min="7935" max="7935" width="13.5" style="15" customWidth="1"/>
    <col min="7936" max="7936" width="10.5" style="15" customWidth="1"/>
    <col min="7937" max="7937" width="15.1640625" style="15" customWidth="1"/>
    <col min="7938" max="7938" width="3.6640625" style="15" customWidth="1"/>
    <col min="7939" max="7939" width="13.1640625" style="15" customWidth="1"/>
    <col min="7940" max="7940" width="3.83203125" style="15" customWidth="1"/>
    <col min="7941" max="7941" width="15" style="15" customWidth="1"/>
    <col min="7942" max="7942" width="3.6640625" style="15" customWidth="1"/>
    <col min="7943" max="7944" width="13" style="15" customWidth="1"/>
    <col min="7945" max="7945" width="0" style="15" hidden="1" customWidth="1"/>
    <col min="7946" max="7947" width="9.33203125" style="15"/>
    <col min="7948" max="7948" width="15.83203125" style="15" customWidth="1"/>
    <col min="7949" max="8187" width="9.33203125" style="15"/>
    <col min="8188" max="8188" width="5" style="15" customWidth="1"/>
    <col min="8189" max="8189" width="9.33203125" style="15"/>
    <col min="8190" max="8190" width="21.6640625" style="15" customWidth="1"/>
    <col min="8191" max="8191" width="13.5" style="15" customWidth="1"/>
    <col min="8192" max="8192" width="10.5" style="15" customWidth="1"/>
    <col min="8193" max="8193" width="15.1640625" style="15" customWidth="1"/>
    <col min="8194" max="8194" width="3.6640625" style="15" customWidth="1"/>
    <col min="8195" max="8195" width="13.1640625" style="15" customWidth="1"/>
    <col min="8196" max="8196" width="3.83203125" style="15" customWidth="1"/>
    <col min="8197" max="8197" width="15" style="15" customWidth="1"/>
    <col min="8198" max="8198" width="3.6640625" style="15" customWidth="1"/>
    <col min="8199" max="8200" width="13" style="15" customWidth="1"/>
    <col min="8201" max="8201" width="0" style="15" hidden="1" customWidth="1"/>
    <col min="8202" max="8203" width="9.33203125" style="15"/>
    <col min="8204" max="8204" width="15.83203125" style="15" customWidth="1"/>
    <col min="8205" max="8443" width="9.33203125" style="15"/>
    <col min="8444" max="8444" width="5" style="15" customWidth="1"/>
    <col min="8445" max="8445" width="9.33203125" style="15"/>
    <col min="8446" max="8446" width="21.6640625" style="15" customWidth="1"/>
    <col min="8447" max="8447" width="13.5" style="15" customWidth="1"/>
    <col min="8448" max="8448" width="10.5" style="15" customWidth="1"/>
    <col min="8449" max="8449" width="15.1640625" style="15" customWidth="1"/>
    <col min="8450" max="8450" width="3.6640625" style="15" customWidth="1"/>
    <col min="8451" max="8451" width="13.1640625" style="15" customWidth="1"/>
    <col min="8452" max="8452" width="3.83203125" style="15" customWidth="1"/>
    <col min="8453" max="8453" width="15" style="15" customWidth="1"/>
    <col min="8454" max="8454" width="3.6640625" style="15" customWidth="1"/>
    <col min="8455" max="8456" width="13" style="15" customWidth="1"/>
    <col min="8457" max="8457" width="0" style="15" hidden="1" customWidth="1"/>
    <col min="8458" max="8459" width="9.33203125" style="15"/>
    <col min="8460" max="8460" width="15.83203125" style="15" customWidth="1"/>
    <col min="8461" max="8699" width="9.33203125" style="15"/>
    <col min="8700" max="8700" width="5" style="15" customWidth="1"/>
    <col min="8701" max="8701" width="9.33203125" style="15"/>
    <col min="8702" max="8702" width="21.6640625" style="15" customWidth="1"/>
    <col min="8703" max="8703" width="13.5" style="15" customWidth="1"/>
    <col min="8704" max="8704" width="10.5" style="15" customWidth="1"/>
    <col min="8705" max="8705" width="15.1640625" style="15" customWidth="1"/>
    <col min="8706" max="8706" width="3.6640625" style="15" customWidth="1"/>
    <col min="8707" max="8707" width="13.1640625" style="15" customWidth="1"/>
    <col min="8708" max="8708" width="3.83203125" style="15" customWidth="1"/>
    <col min="8709" max="8709" width="15" style="15" customWidth="1"/>
    <col min="8710" max="8710" width="3.6640625" style="15" customWidth="1"/>
    <col min="8711" max="8712" width="13" style="15" customWidth="1"/>
    <col min="8713" max="8713" width="0" style="15" hidden="1" customWidth="1"/>
    <col min="8714" max="8715" width="9.33203125" style="15"/>
    <col min="8716" max="8716" width="15.83203125" style="15" customWidth="1"/>
    <col min="8717" max="8955" width="9.33203125" style="15"/>
    <col min="8956" max="8956" width="5" style="15" customWidth="1"/>
    <col min="8957" max="8957" width="9.33203125" style="15"/>
    <col min="8958" max="8958" width="21.6640625" style="15" customWidth="1"/>
    <col min="8959" max="8959" width="13.5" style="15" customWidth="1"/>
    <col min="8960" max="8960" width="10.5" style="15" customWidth="1"/>
    <col min="8961" max="8961" width="15.1640625" style="15" customWidth="1"/>
    <col min="8962" max="8962" width="3.6640625" style="15" customWidth="1"/>
    <col min="8963" max="8963" width="13.1640625" style="15" customWidth="1"/>
    <col min="8964" max="8964" width="3.83203125" style="15" customWidth="1"/>
    <col min="8965" max="8965" width="15" style="15" customWidth="1"/>
    <col min="8966" max="8966" width="3.6640625" style="15" customWidth="1"/>
    <col min="8967" max="8968" width="13" style="15" customWidth="1"/>
    <col min="8969" max="8969" width="0" style="15" hidden="1" customWidth="1"/>
    <col min="8970" max="8971" width="9.33203125" style="15"/>
    <col min="8972" max="8972" width="15.83203125" style="15" customWidth="1"/>
    <col min="8973" max="9211" width="9.33203125" style="15"/>
    <col min="9212" max="9212" width="5" style="15" customWidth="1"/>
    <col min="9213" max="9213" width="9.33203125" style="15"/>
    <col min="9214" max="9214" width="21.6640625" style="15" customWidth="1"/>
    <col min="9215" max="9215" width="13.5" style="15" customWidth="1"/>
    <col min="9216" max="9216" width="10.5" style="15" customWidth="1"/>
    <col min="9217" max="9217" width="15.1640625" style="15" customWidth="1"/>
    <col min="9218" max="9218" width="3.6640625" style="15" customWidth="1"/>
    <col min="9219" max="9219" width="13.1640625" style="15" customWidth="1"/>
    <col min="9220" max="9220" width="3.83203125" style="15" customWidth="1"/>
    <col min="9221" max="9221" width="15" style="15" customWidth="1"/>
    <col min="9222" max="9222" width="3.6640625" style="15" customWidth="1"/>
    <col min="9223" max="9224" width="13" style="15" customWidth="1"/>
    <col min="9225" max="9225" width="0" style="15" hidden="1" customWidth="1"/>
    <col min="9226" max="9227" width="9.33203125" style="15"/>
    <col min="9228" max="9228" width="15.83203125" style="15" customWidth="1"/>
    <col min="9229" max="9467" width="9.33203125" style="15"/>
    <col min="9468" max="9468" width="5" style="15" customWidth="1"/>
    <col min="9469" max="9469" width="9.33203125" style="15"/>
    <col min="9470" max="9470" width="21.6640625" style="15" customWidth="1"/>
    <col min="9471" max="9471" width="13.5" style="15" customWidth="1"/>
    <col min="9472" max="9472" width="10.5" style="15" customWidth="1"/>
    <col min="9473" max="9473" width="15.1640625" style="15" customWidth="1"/>
    <col min="9474" max="9474" width="3.6640625" style="15" customWidth="1"/>
    <col min="9475" max="9475" width="13.1640625" style="15" customWidth="1"/>
    <col min="9476" max="9476" width="3.83203125" style="15" customWidth="1"/>
    <col min="9477" max="9477" width="15" style="15" customWidth="1"/>
    <col min="9478" max="9478" width="3.6640625" style="15" customWidth="1"/>
    <col min="9479" max="9480" width="13" style="15" customWidth="1"/>
    <col min="9481" max="9481" width="0" style="15" hidden="1" customWidth="1"/>
    <col min="9482" max="9483" width="9.33203125" style="15"/>
    <col min="9484" max="9484" width="15.83203125" style="15" customWidth="1"/>
    <col min="9485" max="9723" width="9.33203125" style="15"/>
    <col min="9724" max="9724" width="5" style="15" customWidth="1"/>
    <col min="9725" max="9725" width="9.33203125" style="15"/>
    <col min="9726" max="9726" width="21.6640625" style="15" customWidth="1"/>
    <col min="9727" max="9727" width="13.5" style="15" customWidth="1"/>
    <col min="9728" max="9728" width="10.5" style="15" customWidth="1"/>
    <col min="9729" max="9729" width="15.1640625" style="15" customWidth="1"/>
    <col min="9730" max="9730" width="3.6640625" style="15" customWidth="1"/>
    <col min="9731" max="9731" width="13.1640625" style="15" customWidth="1"/>
    <col min="9732" max="9732" width="3.83203125" style="15" customWidth="1"/>
    <col min="9733" max="9733" width="15" style="15" customWidth="1"/>
    <col min="9734" max="9734" width="3.6640625" style="15" customWidth="1"/>
    <col min="9735" max="9736" width="13" style="15" customWidth="1"/>
    <col min="9737" max="9737" width="0" style="15" hidden="1" customWidth="1"/>
    <col min="9738" max="9739" width="9.33203125" style="15"/>
    <col min="9740" max="9740" width="15.83203125" style="15" customWidth="1"/>
    <col min="9741" max="9979" width="9.33203125" style="15"/>
    <col min="9980" max="9980" width="5" style="15" customWidth="1"/>
    <col min="9981" max="9981" width="9.33203125" style="15"/>
    <col min="9982" max="9982" width="21.6640625" style="15" customWidth="1"/>
    <col min="9983" max="9983" width="13.5" style="15" customWidth="1"/>
    <col min="9984" max="9984" width="10.5" style="15" customWidth="1"/>
    <col min="9985" max="9985" width="15.1640625" style="15" customWidth="1"/>
    <col min="9986" max="9986" width="3.6640625" style="15" customWidth="1"/>
    <col min="9987" max="9987" width="13.1640625" style="15" customWidth="1"/>
    <col min="9988" max="9988" width="3.83203125" style="15" customWidth="1"/>
    <col min="9989" max="9989" width="15" style="15" customWidth="1"/>
    <col min="9990" max="9990" width="3.6640625" style="15" customWidth="1"/>
    <col min="9991" max="9992" width="13" style="15" customWidth="1"/>
    <col min="9993" max="9993" width="0" style="15" hidden="1" customWidth="1"/>
    <col min="9994" max="9995" width="9.33203125" style="15"/>
    <col min="9996" max="9996" width="15.83203125" style="15" customWidth="1"/>
    <col min="9997" max="10235" width="9.33203125" style="15"/>
    <col min="10236" max="10236" width="5" style="15" customWidth="1"/>
    <col min="10237" max="10237" width="9.33203125" style="15"/>
    <col min="10238" max="10238" width="21.6640625" style="15" customWidth="1"/>
    <col min="10239" max="10239" width="13.5" style="15" customWidth="1"/>
    <col min="10240" max="10240" width="10.5" style="15" customWidth="1"/>
    <col min="10241" max="10241" width="15.1640625" style="15" customWidth="1"/>
    <col min="10242" max="10242" width="3.6640625" style="15" customWidth="1"/>
    <col min="10243" max="10243" width="13.1640625" style="15" customWidth="1"/>
    <col min="10244" max="10244" width="3.83203125" style="15" customWidth="1"/>
    <col min="10245" max="10245" width="15" style="15" customWidth="1"/>
    <col min="10246" max="10246" width="3.6640625" style="15" customWidth="1"/>
    <col min="10247" max="10248" width="13" style="15" customWidth="1"/>
    <col min="10249" max="10249" width="0" style="15" hidden="1" customWidth="1"/>
    <col min="10250" max="10251" width="9.33203125" style="15"/>
    <col min="10252" max="10252" width="15.83203125" style="15" customWidth="1"/>
    <col min="10253" max="10491" width="9.33203125" style="15"/>
    <col min="10492" max="10492" width="5" style="15" customWidth="1"/>
    <col min="10493" max="10493" width="9.33203125" style="15"/>
    <col min="10494" max="10494" width="21.6640625" style="15" customWidth="1"/>
    <col min="10495" max="10495" width="13.5" style="15" customWidth="1"/>
    <col min="10496" max="10496" width="10.5" style="15" customWidth="1"/>
    <col min="10497" max="10497" width="15.1640625" style="15" customWidth="1"/>
    <col min="10498" max="10498" width="3.6640625" style="15" customWidth="1"/>
    <col min="10499" max="10499" width="13.1640625" style="15" customWidth="1"/>
    <col min="10500" max="10500" width="3.83203125" style="15" customWidth="1"/>
    <col min="10501" max="10501" width="15" style="15" customWidth="1"/>
    <col min="10502" max="10502" width="3.6640625" style="15" customWidth="1"/>
    <col min="10503" max="10504" width="13" style="15" customWidth="1"/>
    <col min="10505" max="10505" width="0" style="15" hidden="1" customWidth="1"/>
    <col min="10506" max="10507" width="9.33203125" style="15"/>
    <col min="10508" max="10508" width="15.83203125" style="15" customWidth="1"/>
    <col min="10509" max="10747" width="9.33203125" style="15"/>
    <col min="10748" max="10748" width="5" style="15" customWidth="1"/>
    <col min="10749" max="10749" width="9.33203125" style="15"/>
    <col min="10750" max="10750" width="21.6640625" style="15" customWidth="1"/>
    <col min="10751" max="10751" width="13.5" style="15" customWidth="1"/>
    <col min="10752" max="10752" width="10.5" style="15" customWidth="1"/>
    <col min="10753" max="10753" width="15.1640625" style="15" customWidth="1"/>
    <col min="10754" max="10754" width="3.6640625" style="15" customWidth="1"/>
    <col min="10755" max="10755" width="13.1640625" style="15" customWidth="1"/>
    <col min="10756" max="10756" width="3.83203125" style="15" customWidth="1"/>
    <col min="10757" max="10757" width="15" style="15" customWidth="1"/>
    <col min="10758" max="10758" width="3.6640625" style="15" customWidth="1"/>
    <col min="10759" max="10760" width="13" style="15" customWidth="1"/>
    <col min="10761" max="10761" width="0" style="15" hidden="1" customWidth="1"/>
    <col min="10762" max="10763" width="9.33203125" style="15"/>
    <col min="10764" max="10764" width="15.83203125" style="15" customWidth="1"/>
    <col min="10765" max="11003" width="9.33203125" style="15"/>
    <col min="11004" max="11004" width="5" style="15" customWidth="1"/>
    <col min="11005" max="11005" width="9.33203125" style="15"/>
    <col min="11006" max="11006" width="21.6640625" style="15" customWidth="1"/>
    <col min="11007" max="11007" width="13.5" style="15" customWidth="1"/>
    <col min="11008" max="11008" width="10.5" style="15" customWidth="1"/>
    <col min="11009" max="11009" width="15.1640625" style="15" customWidth="1"/>
    <col min="11010" max="11010" width="3.6640625" style="15" customWidth="1"/>
    <col min="11011" max="11011" width="13.1640625" style="15" customWidth="1"/>
    <col min="11012" max="11012" width="3.83203125" style="15" customWidth="1"/>
    <col min="11013" max="11013" width="15" style="15" customWidth="1"/>
    <col min="11014" max="11014" width="3.6640625" style="15" customWidth="1"/>
    <col min="11015" max="11016" width="13" style="15" customWidth="1"/>
    <col min="11017" max="11017" width="0" style="15" hidden="1" customWidth="1"/>
    <col min="11018" max="11019" width="9.33203125" style="15"/>
    <col min="11020" max="11020" width="15.83203125" style="15" customWidth="1"/>
    <col min="11021" max="11259" width="9.33203125" style="15"/>
    <col min="11260" max="11260" width="5" style="15" customWidth="1"/>
    <col min="11261" max="11261" width="9.33203125" style="15"/>
    <col min="11262" max="11262" width="21.6640625" style="15" customWidth="1"/>
    <col min="11263" max="11263" width="13.5" style="15" customWidth="1"/>
    <col min="11264" max="11264" width="10.5" style="15" customWidth="1"/>
    <col min="11265" max="11265" width="15.1640625" style="15" customWidth="1"/>
    <col min="11266" max="11266" width="3.6640625" style="15" customWidth="1"/>
    <col min="11267" max="11267" width="13.1640625" style="15" customWidth="1"/>
    <col min="11268" max="11268" width="3.83203125" style="15" customWidth="1"/>
    <col min="11269" max="11269" width="15" style="15" customWidth="1"/>
    <col min="11270" max="11270" width="3.6640625" style="15" customWidth="1"/>
    <col min="11271" max="11272" width="13" style="15" customWidth="1"/>
    <col min="11273" max="11273" width="0" style="15" hidden="1" customWidth="1"/>
    <col min="11274" max="11275" width="9.33203125" style="15"/>
    <col min="11276" max="11276" width="15.83203125" style="15" customWidth="1"/>
    <col min="11277" max="11515" width="9.33203125" style="15"/>
    <col min="11516" max="11516" width="5" style="15" customWidth="1"/>
    <col min="11517" max="11517" width="9.33203125" style="15"/>
    <col min="11518" max="11518" width="21.6640625" style="15" customWidth="1"/>
    <col min="11519" max="11519" width="13.5" style="15" customWidth="1"/>
    <col min="11520" max="11520" width="10.5" style="15" customWidth="1"/>
    <col min="11521" max="11521" width="15.1640625" style="15" customWidth="1"/>
    <col min="11522" max="11522" width="3.6640625" style="15" customWidth="1"/>
    <col min="11523" max="11523" width="13.1640625" style="15" customWidth="1"/>
    <col min="11524" max="11524" width="3.83203125" style="15" customWidth="1"/>
    <col min="11525" max="11525" width="15" style="15" customWidth="1"/>
    <col min="11526" max="11526" width="3.6640625" style="15" customWidth="1"/>
    <col min="11527" max="11528" width="13" style="15" customWidth="1"/>
    <col min="11529" max="11529" width="0" style="15" hidden="1" customWidth="1"/>
    <col min="11530" max="11531" width="9.33203125" style="15"/>
    <col min="11532" max="11532" width="15.83203125" style="15" customWidth="1"/>
    <col min="11533" max="11771" width="9.33203125" style="15"/>
    <col min="11772" max="11772" width="5" style="15" customWidth="1"/>
    <col min="11773" max="11773" width="9.33203125" style="15"/>
    <col min="11774" max="11774" width="21.6640625" style="15" customWidth="1"/>
    <col min="11775" max="11775" width="13.5" style="15" customWidth="1"/>
    <col min="11776" max="11776" width="10.5" style="15" customWidth="1"/>
    <col min="11777" max="11777" width="15.1640625" style="15" customWidth="1"/>
    <col min="11778" max="11778" width="3.6640625" style="15" customWidth="1"/>
    <col min="11779" max="11779" width="13.1640625" style="15" customWidth="1"/>
    <col min="11780" max="11780" width="3.83203125" style="15" customWidth="1"/>
    <col min="11781" max="11781" width="15" style="15" customWidth="1"/>
    <col min="11782" max="11782" width="3.6640625" style="15" customWidth="1"/>
    <col min="11783" max="11784" width="13" style="15" customWidth="1"/>
    <col min="11785" max="11785" width="0" style="15" hidden="1" customWidth="1"/>
    <col min="11786" max="11787" width="9.33203125" style="15"/>
    <col min="11788" max="11788" width="15.83203125" style="15" customWidth="1"/>
    <col min="11789" max="12027" width="9.33203125" style="15"/>
    <col min="12028" max="12028" width="5" style="15" customWidth="1"/>
    <col min="12029" max="12029" width="9.33203125" style="15"/>
    <col min="12030" max="12030" width="21.6640625" style="15" customWidth="1"/>
    <col min="12031" max="12031" width="13.5" style="15" customWidth="1"/>
    <col min="12032" max="12032" width="10.5" style="15" customWidth="1"/>
    <col min="12033" max="12033" width="15.1640625" style="15" customWidth="1"/>
    <col min="12034" max="12034" width="3.6640625" style="15" customWidth="1"/>
    <col min="12035" max="12035" width="13.1640625" style="15" customWidth="1"/>
    <col min="12036" max="12036" width="3.83203125" style="15" customWidth="1"/>
    <col min="12037" max="12037" width="15" style="15" customWidth="1"/>
    <col min="12038" max="12038" width="3.6640625" style="15" customWidth="1"/>
    <col min="12039" max="12040" width="13" style="15" customWidth="1"/>
    <col min="12041" max="12041" width="0" style="15" hidden="1" customWidth="1"/>
    <col min="12042" max="12043" width="9.33203125" style="15"/>
    <col min="12044" max="12044" width="15.83203125" style="15" customWidth="1"/>
    <col min="12045" max="12283" width="9.33203125" style="15"/>
    <col min="12284" max="12284" width="5" style="15" customWidth="1"/>
    <col min="12285" max="12285" width="9.33203125" style="15"/>
    <col min="12286" max="12286" width="21.6640625" style="15" customWidth="1"/>
    <col min="12287" max="12287" width="13.5" style="15" customWidth="1"/>
    <col min="12288" max="12288" width="10.5" style="15" customWidth="1"/>
    <col min="12289" max="12289" width="15.1640625" style="15" customWidth="1"/>
    <col min="12290" max="12290" width="3.6640625" style="15" customWidth="1"/>
    <col min="12291" max="12291" width="13.1640625" style="15" customWidth="1"/>
    <col min="12292" max="12292" width="3.83203125" style="15" customWidth="1"/>
    <col min="12293" max="12293" width="15" style="15" customWidth="1"/>
    <col min="12294" max="12294" width="3.6640625" style="15" customWidth="1"/>
    <col min="12295" max="12296" width="13" style="15" customWidth="1"/>
    <col min="12297" max="12297" width="0" style="15" hidden="1" customWidth="1"/>
    <col min="12298" max="12299" width="9.33203125" style="15"/>
    <col min="12300" max="12300" width="15.83203125" style="15" customWidth="1"/>
    <col min="12301" max="12539" width="9.33203125" style="15"/>
    <col min="12540" max="12540" width="5" style="15" customWidth="1"/>
    <col min="12541" max="12541" width="9.33203125" style="15"/>
    <col min="12542" max="12542" width="21.6640625" style="15" customWidth="1"/>
    <col min="12543" max="12543" width="13.5" style="15" customWidth="1"/>
    <col min="12544" max="12544" width="10.5" style="15" customWidth="1"/>
    <col min="12545" max="12545" width="15.1640625" style="15" customWidth="1"/>
    <col min="12546" max="12546" width="3.6640625" style="15" customWidth="1"/>
    <col min="12547" max="12547" width="13.1640625" style="15" customWidth="1"/>
    <col min="12548" max="12548" width="3.83203125" style="15" customWidth="1"/>
    <col min="12549" max="12549" width="15" style="15" customWidth="1"/>
    <col min="12550" max="12550" width="3.6640625" style="15" customWidth="1"/>
    <col min="12551" max="12552" width="13" style="15" customWidth="1"/>
    <col min="12553" max="12553" width="0" style="15" hidden="1" customWidth="1"/>
    <col min="12554" max="12555" width="9.33203125" style="15"/>
    <col min="12556" max="12556" width="15.83203125" style="15" customWidth="1"/>
    <col min="12557" max="12795" width="9.33203125" style="15"/>
    <col min="12796" max="12796" width="5" style="15" customWidth="1"/>
    <col min="12797" max="12797" width="9.33203125" style="15"/>
    <col min="12798" max="12798" width="21.6640625" style="15" customWidth="1"/>
    <col min="12799" max="12799" width="13.5" style="15" customWidth="1"/>
    <col min="12800" max="12800" width="10.5" style="15" customWidth="1"/>
    <col min="12801" max="12801" width="15.1640625" style="15" customWidth="1"/>
    <col min="12802" max="12802" width="3.6640625" style="15" customWidth="1"/>
    <col min="12803" max="12803" width="13.1640625" style="15" customWidth="1"/>
    <col min="12804" max="12804" width="3.83203125" style="15" customWidth="1"/>
    <col min="12805" max="12805" width="15" style="15" customWidth="1"/>
    <col min="12806" max="12806" width="3.6640625" style="15" customWidth="1"/>
    <col min="12807" max="12808" width="13" style="15" customWidth="1"/>
    <col min="12809" max="12809" width="0" style="15" hidden="1" customWidth="1"/>
    <col min="12810" max="12811" width="9.33203125" style="15"/>
    <col min="12812" max="12812" width="15.83203125" style="15" customWidth="1"/>
    <col min="12813" max="13051" width="9.33203125" style="15"/>
    <col min="13052" max="13052" width="5" style="15" customWidth="1"/>
    <col min="13053" max="13053" width="9.33203125" style="15"/>
    <col min="13054" max="13054" width="21.6640625" style="15" customWidth="1"/>
    <col min="13055" max="13055" width="13.5" style="15" customWidth="1"/>
    <col min="13056" max="13056" width="10.5" style="15" customWidth="1"/>
    <col min="13057" max="13057" width="15.1640625" style="15" customWidth="1"/>
    <col min="13058" max="13058" width="3.6640625" style="15" customWidth="1"/>
    <col min="13059" max="13059" width="13.1640625" style="15" customWidth="1"/>
    <col min="13060" max="13060" width="3.83203125" style="15" customWidth="1"/>
    <col min="13061" max="13061" width="15" style="15" customWidth="1"/>
    <col min="13062" max="13062" width="3.6640625" style="15" customWidth="1"/>
    <col min="13063" max="13064" width="13" style="15" customWidth="1"/>
    <col min="13065" max="13065" width="0" style="15" hidden="1" customWidth="1"/>
    <col min="13066" max="13067" width="9.33203125" style="15"/>
    <col min="13068" max="13068" width="15.83203125" style="15" customWidth="1"/>
    <col min="13069" max="13307" width="9.33203125" style="15"/>
    <col min="13308" max="13308" width="5" style="15" customWidth="1"/>
    <col min="13309" max="13309" width="9.33203125" style="15"/>
    <col min="13310" max="13310" width="21.6640625" style="15" customWidth="1"/>
    <col min="13311" max="13311" width="13.5" style="15" customWidth="1"/>
    <col min="13312" max="13312" width="10.5" style="15" customWidth="1"/>
    <col min="13313" max="13313" width="15.1640625" style="15" customWidth="1"/>
    <col min="13314" max="13314" width="3.6640625" style="15" customWidth="1"/>
    <col min="13315" max="13315" width="13.1640625" style="15" customWidth="1"/>
    <col min="13316" max="13316" width="3.83203125" style="15" customWidth="1"/>
    <col min="13317" max="13317" width="15" style="15" customWidth="1"/>
    <col min="13318" max="13318" width="3.6640625" style="15" customWidth="1"/>
    <col min="13319" max="13320" width="13" style="15" customWidth="1"/>
    <col min="13321" max="13321" width="0" style="15" hidden="1" customWidth="1"/>
    <col min="13322" max="13323" width="9.33203125" style="15"/>
    <col min="13324" max="13324" width="15.83203125" style="15" customWidth="1"/>
    <col min="13325" max="13563" width="9.33203125" style="15"/>
    <col min="13564" max="13564" width="5" style="15" customWidth="1"/>
    <col min="13565" max="13565" width="9.33203125" style="15"/>
    <col min="13566" max="13566" width="21.6640625" style="15" customWidth="1"/>
    <col min="13567" max="13567" width="13.5" style="15" customWidth="1"/>
    <col min="13568" max="13568" width="10.5" style="15" customWidth="1"/>
    <col min="13569" max="13569" width="15.1640625" style="15" customWidth="1"/>
    <col min="13570" max="13570" width="3.6640625" style="15" customWidth="1"/>
    <col min="13571" max="13571" width="13.1640625" style="15" customWidth="1"/>
    <col min="13572" max="13572" width="3.83203125" style="15" customWidth="1"/>
    <col min="13573" max="13573" width="15" style="15" customWidth="1"/>
    <col min="13574" max="13574" width="3.6640625" style="15" customWidth="1"/>
    <col min="13575" max="13576" width="13" style="15" customWidth="1"/>
    <col min="13577" max="13577" width="0" style="15" hidden="1" customWidth="1"/>
    <col min="13578" max="13579" width="9.33203125" style="15"/>
    <col min="13580" max="13580" width="15.83203125" style="15" customWidth="1"/>
    <col min="13581" max="13819" width="9.33203125" style="15"/>
    <col min="13820" max="13820" width="5" style="15" customWidth="1"/>
    <col min="13821" max="13821" width="9.33203125" style="15"/>
    <col min="13822" max="13822" width="21.6640625" style="15" customWidth="1"/>
    <col min="13823" max="13823" width="13.5" style="15" customWidth="1"/>
    <col min="13824" max="13824" width="10.5" style="15" customWidth="1"/>
    <col min="13825" max="13825" width="15.1640625" style="15" customWidth="1"/>
    <col min="13826" max="13826" width="3.6640625" style="15" customWidth="1"/>
    <col min="13827" max="13827" width="13.1640625" style="15" customWidth="1"/>
    <col min="13828" max="13828" width="3.83203125" style="15" customWidth="1"/>
    <col min="13829" max="13829" width="15" style="15" customWidth="1"/>
    <col min="13830" max="13830" width="3.6640625" style="15" customWidth="1"/>
    <col min="13831" max="13832" width="13" style="15" customWidth="1"/>
    <col min="13833" max="13833" width="0" style="15" hidden="1" customWidth="1"/>
    <col min="13834" max="13835" width="9.33203125" style="15"/>
    <col min="13836" max="13836" width="15.83203125" style="15" customWidth="1"/>
    <col min="13837" max="14075" width="9.33203125" style="15"/>
    <col min="14076" max="14076" width="5" style="15" customWidth="1"/>
    <col min="14077" max="14077" width="9.33203125" style="15"/>
    <col min="14078" max="14078" width="21.6640625" style="15" customWidth="1"/>
    <col min="14079" max="14079" width="13.5" style="15" customWidth="1"/>
    <col min="14080" max="14080" width="10.5" style="15" customWidth="1"/>
    <col min="14081" max="14081" width="15.1640625" style="15" customWidth="1"/>
    <col min="14082" max="14082" width="3.6640625" style="15" customWidth="1"/>
    <col min="14083" max="14083" width="13.1640625" style="15" customWidth="1"/>
    <col min="14084" max="14084" width="3.83203125" style="15" customWidth="1"/>
    <col min="14085" max="14085" width="15" style="15" customWidth="1"/>
    <col min="14086" max="14086" width="3.6640625" style="15" customWidth="1"/>
    <col min="14087" max="14088" width="13" style="15" customWidth="1"/>
    <col min="14089" max="14089" width="0" style="15" hidden="1" customWidth="1"/>
    <col min="14090" max="14091" width="9.33203125" style="15"/>
    <col min="14092" max="14092" width="15.83203125" style="15" customWidth="1"/>
    <col min="14093" max="14331" width="9.33203125" style="15"/>
    <col min="14332" max="14332" width="5" style="15" customWidth="1"/>
    <col min="14333" max="14333" width="9.33203125" style="15"/>
    <col min="14334" max="14334" width="21.6640625" style="15" customWidth="1"/>
    <col min="14335" max="14335" width="13.5" style="15" customWidth="1"/>
    <col min="14336" max="14336" width="10.5" style="15" customWidth="1"/>
    <col min="14337" max="14337" width="15.1640625" style="15" customWidth="1"/>
    <col min="14338" max="14338" width="3.6640625" style="15" customWidth="1"/>
    <col min="14339" max="14339" width="13.1640625" style="15" customWidth="1"/>
    <col min="14340" max="14340" width="3.83203125" style="15" customWidth="1"/>
    <col min="14341" max="14341" width="15" style="15" customWidth="1"/>
    <col min="14342" max="14342" width="3.6640625" style="15" customWidth="1"/>
    <col min="14343" max="14344" width="13" style="15" customWidth="1"/>
    <col min="14345" max="14345" width="0" style="15" hidden="1" customWidth="1"/>
    <col min="14346" max="14347" width="9.33203125" style="15"/>
    <col min="14348" max="14348" width="15.83203125" style="15" customWidth="1"/>
    <col min="14349" max="14587" width="9.33203125" style="15"/>
    <col min="14588" max="14588" width="5" style="15" customWidth="1"/>
    <col min="14589" max="14589" width="9.33203125" style="15"/>
    <col min="14590" max="14590" width="21.6640625" style="15" customWidth="1"/>
    <col min="14591" max="14591" width="13.5" style="15" customWidth="1"/>
    <col min="14592" max="14592" width="10.5" style="15" customWidth="1"/>
    <col min="14593" max="14593" width="15.1640625" style="15" customWidth="1"/>
    <col min="14594" max="14594" width="3.6640625" style="15" customWidth="1"/>
    <col min="14595" max="14595" width="13.1640625" style="15" customWidth="1"/>
    <col min="14596" max="14596" width="3.83203125" style="15" customWidth="1"/>
    <col min="14597" max="14597" width="15" style="15" customWidth="1"/>
    <col min="14598" max="14598" width="3.6640625" style="15" customWidth="1"/>
    <col min="14599" max="14600" width="13" style="15" customWidth="1"/>
    <col min="14601" max="14601" width="0" style="15" hidden="1" customWidth="1"/>
    <col min="14602" max="14603" width="9.33203125" style="15"/>
    <col min="14604" max="14604" width="15.83203125" style="15" customWidth="1"/>
    <col min="14605" max="14843" width="9.33203125" style="15"/>
    <col min="14844" max="14844" width="5" style="15" customWidth="1"/>
    <col min="14845" max="14845" width="9.33203125" style="15"/>
    <col min="14846" max="14846" width="21.6640625" style="15" customWidth="1"/>
    <col min="14847" max="14847" width="13.5" style="15" customWidth="1"/>
    <col min="14848" max="14848" width="10.5" style="15" customWidth="1"/>
    <col min="14849" max="14849" width="15.1640625" style="15" customWidth="1"/>
    <col min="14850" max="14850" width="3.6640625" style="15" customWidth="1"/>
    <col min="14851" max="14851" width="13.1640625" style="15" customWidth="1"/>
    <col min="14852" max="14852" width="3.83203125" style="15" customWidth="1"/>
    <col min="14853" max="14853" width="15" style="15" customWidth="1"/>
    <col min="14854" max="14854" width="3.6640625" style="15" customWidth="1"/>
    <col min="14855" max="14856" width="13" style="15" customWidth="1"/>
    <col min="14857" max="14857" width="0" style="15" hidden="1" customWidth="1"/>
    <col min="14858" max="14859" width="9.33203125" style="15"/>
    <col min="14860" max="14860" width="15.83203125" style="15" customWidth="1"/>
    <col min="14861" max="15099" width="9.33203125" style="15"/>
    <col min="15100" max="15100" width="5" style="15" customWidth="1"/>
    <col min="15101" max="15101" width="9.33203125" style="15"/>
    <col min="15102" max="15102" width="21.6640625" style="15" customWidth="1"/>
    <col min="15103" max="15103" width="13.5" style="15" customWidth="1"/>
    <col min="15104" max="15104" width="10.5" style="15" customWidth="1"/>
    <col min="15105" max="15105" width="15.1640625" style="15" customWidth="1"/>
    <col min="15106" max="15106" width="3.6640625" style="15" customWidth="1"/>
    <col min="15107" max="15107" width="13.1640625" style="15" customWidth="1"/>
    <col min="15108" max="15108" width="3.83203125" style="15" customWidth="1"/>
    <col min="15109" max="15109" width="15" style="15" customWidth="1"/>
    <col min="15110" max="15110" width="3.6640625" style="15" customWidth="1"/>
    <col min="15111" max="15112" width="13" style="15" customWidth="1"/>
    <col min="15113" max="15113" width="0" style="15" hidden="1" customWidth="1"/>
    <col min="15114" max="15115" width="9.33203125" style="15"/>
    <col min="15116" max="15116" width="15.83203125" style="15" customWidth="1"/>
    <col min="15117" max="15355" width="9.33203125" style="15"/>
    <col min="15356" max="15356" width="5" style="15" customWidth="1"/>
    <col min="15357" max="15357" width="9.33203125" style="15"/>
    <col min="15358" max="15358" width="21.6640625" style="15" customWidth="1"/>
    <col min="15359" max="15359" width="13.5" style="15" customWidth="1"/>
    <col min="15360" max="15360" width="10.5" style="15" customWidth="1"/>
    <col min="15361" max="15361" width="15.1640625" style="15" customWidth="1"/>
    <col min="15362" max="15362" width="3.6640625" style="15" customWidth="1"/>
    <col min="15363" max="15363" width="13.1640625" style="15" customWidth="1"/>
    <col min="15364" max="15364" width="3.83203125" style="15" customWidth="1"/>
    <col min="15365" max="15365" width="15" style="15" customWidth="1"/>
    <col min="15366" max="15366" width="3.6640625" style="15" customWidth="1"/>
    <col min="15367" max="15368" width="13" style="15" customWidth="1"/>
    <col min="15369" max="15369" width="0" style="15" hidden="1" customWidth="1"/>
    <col min="15370" max="15371" width="9.33203125" style="15"/>
    <col min="15372" max="15372" width="15.83203125" style="15" customWidth="1"/>
    <col min="15373" max="15611" width="9.33203125" style="15"/>
    <col min="15612" max="15612" width="5" style="15" customWidth="1"/>
    <col min="15613" max="15613" width="9.33203125" style="15"/>
    <col min="15614" max="15614" width="21.6640625" style="15" customWidth="1"/>
    <col min="15615" max="15615" width="13.5" style="15" customWidth="1"/>
    <col min="15616" max="15616" width="10.5" style="15" customWidth="1"/>
    <col min="15617" max="15617" width="15.1640625" style="15" customWidth="1"/>
    <col min="15618" max="15618" width="3.6640625" style="15" customWidth="1"/>
    <col min="15619" max="15619" width="13.1640625" style="15" customWidth="1"/>
    <col min="15620" max="15620" width="3.83203125" style="15" customWidth="1"/>
    <col min="15621" max="15621" width="15" style="15" customWidth="1"/>
    <col min="15622" max="15622" width="3.6640625" style="15" customWidth="1"/>
    <col min="15623" max="15624" width="13" style="15" customWidth="1"/>
    <col min="15625" max="15625" width="0" style="15" hidden="1" customWidth="1"/>
    <col min="15626" max="15627" width="9.33203125" style="15"/>
    <col min="15628" max="15628" width="15.83203125" style="15" customWidth="1"/>
    <col min="15629" max="15867" width="9.33203125" style="15"/>
    <col min="15868" max="15868" width="5" style="15" customWidth="1"/>
    <col min="15869" max="15869" width="9.33203125" style="15"/>
    <col min="15870" max="15870" width="21.6640625" style="15" customWidth="1"/>
    <col min="15871" max="15871" width="13.5" style="15" customWidth="1"/>
    <col min="15872" max="15872" width="10.5" style="15" customWidth="1"/>
    <col min="15873" max="15873" width="15.1640625" style="15" customWidth="1"/>
    <col min="15874" max="15874" width="3.6640625" style="15" customWidth="1"/>
    <col min="15875" max="15875" width="13.1640625" style="15" customWidth="1"/>
    <col min="15876" max="15876" width="3.83203125" style="15" customWidth="1"/>
    <col min="15877" max="15877" width="15" style="15" customWidth="1"/>
    <col min="15878" max="15878" width="3.6640625" style="15" customWidth="1"/>
    <col min="15879" max="15880" width="13" style="15" customWidth="1"/>
    <col min="15881" max="15881" width="0" style="15" hidden="1" customWidth="1"/>
    <col min="15882" max="15883" width="9.33203125" style="15"/>
    <col min="15884" max="15884" width="15.83203125" style="15" customWidth="1"/>
    <col min="15885" max="16123" width="9.33203125" style="15"/>
    <col min="16124" max="16124" width="5" style="15" customWidth="1"/>
    <col min="16125" max="16125" width="9.33203125" style="15"/>
    <col min="16126" max="16126" width="21.6640625" style="15" customWidth="1"/>
    <col min="16127" max="16127" width="13.5" style="15" customWidth="1"/>
    <col min="16128" max="16128" width="10.5" style="15" customWidth="1"/>
    <col min="16129" max="16129" width="15.1640625" style="15" customWidth="1"/>
    <col min="16130" max="16130" width="3.6640625" style="15" customWidth="1"/>
    <col min="16131" max="16131" width="13.1640625" style="15" customWidth="1"/>
    <col min="16132" max="16132" width="3.83203125" style="15" customWidth="1"/>
    <col min="16133" max="16133" width="15" style="15" customWidth="1"/>
    <col min="16134" max="16134" width="3.6640625" style="15" customWidth="1"/>
    <col min="16135" max="16136" width="13" style="15" customWidth="1"/>
    <col min="16137" max="16137" width="0" style="15" hidden="1" customWidth="1"/>
    <col min="16138" max="16139" width="9.33203125" style="15"/>
    <col min="16140" max="16140" width="15.83203125" style="15" customWidth="1"/>
    <col min="16141" max="16384" width="9.33203125" style="15"/>
  </cols>
  <sheetData>
    <row r="2" spans="1:18">
      <c r="A2" s="15"/>
      <c r="B2" s="9"/>
      <c r="C2" s="9"/>
      <c r="D2" s="553" t="s">
        <v>33</v>
      </c>
      <c r="E2" s="553"/>
      <c r="F2" s="553"/>
      <c r="G2" s="553"/>
      <c r="H2" s="553"/>
      <c r="I2" s="553"/>
      <c r="J2" s="553"/>
      <c r="K2" s="192"/>
      <c r="L2" s="59" t="s">
        <v>168</v>
      </c>
    </row>
    <row r="3" spans="1:18">
      <c r="A3" s="15"/>
      <c r="B3" s="9"/>
      <c r="C3" s="9"/>
      <c r="D3" s="554" t="s">
        <v>169</v>
      </c>
      <c r="E3" s="555"/>
      <c r="F3" s="555"/>
      <c r="G3" s="555"/>
      <c r="H3" s="555"/>
      <c r="I3" s="555"/>
      <c r="J3" s="555"/>
      <c r="K3" s="192"/>
      <c r="L3" s="59"/>
    </row>
    <row r="4" spans="1:18">
      <c r="A4" s="15"/>
      <c r="B4" s="9"/>
      <c r="C4" s="9"/>
      <c r="D4" s="554" t="s">
        <v>143</v>
      </c>
      <c r="E4" s="555"/>
      <c r="F4" s="555"/>
      <c r="G4" s="555"/>
      <c r="H4" s="555"/>
      <c r="I4" s="555"/>
      <c r="J4" s="555"/>
      <c r="K4" s="193"/>
      <c r="L4" s="60"/>
      <c r="M4" s="10" t="s">
        <v>36</v>
      </c>
    </row>
    <row r="5" spans="1:18">
      <c r="A5" s="15"/>
      <c r="B5" s="9"/>
      <c r="C5" s="9"/>
      <c r="D5" s="553" t="s">
        <v>35</v>
      </c>
      <c r="E5" s="553"/>
      <c r="F5" s="553"/>
      <c r="G5" s="553"/>
      <c r="H5" s="553"/>
      <c r="I5" s="553"/>
      <c r="J5" s="553"/>
      <c r="K5" s="192"/>
      <c r="L5" s="9" t="s">
        <v>126</v>
      </c>
      <c r="M5" s="10" t="s">
        <v>36</v>
      </c>
    </row>
    <row r="7" spans="1:18">
      <c r="A7" s="55"/>
      <c r="B7" s="11"/>
      <c r="C7" s="12"/>
      <c r="D7" s="12"/>
      <c r="E7" s="13"/>
      <c r="F7" s="55"/>
      <c r="G7" s="19"/>
      <c r="H7" s="55"/>
      <c r="I7" s="19"/>
      <c r="J7" s="19"/>
      <c r="K7" s="14" t="s">
        <v>37</v>
      </c>
      <c r="L7" s="12"/>
      <c r="M7" s="12"/>
    </row>
    <row r="8" spans="1:18">
      <c r="A8" s="56" t="s">
        <v>3</v>
      </c>
      <c r="C8" s="16"/>
      <c r="D8" s="17" t="s">
        <v>32</v>
      </c>
      <c r="E8" s="18" t="s">
        <v>38</v>
      </c>
      <c r="F8" s="56" t="s">
        <v>39</v>
      </c>
      <c r="G8" s="19"/>
      <c r="H8" s="56" t="s">
        <v>40</v>
      </c>
      <c r="I8" s="19"/>
      <c r="J8" s="19"/>
      <c r="K8" s="20" t="s">
        <v>155</v>
      </c>
      <c r="L8" s="21" t="s">
        <v>41</v>
      </c>
      <c r="M8" s="17" t="s">
        <v>42</v>
      </c>
    </row>
    <row r="9" spans="1:18">
      <c r="A9" s="56" t="s">
        <v>6</v>
      </c>
      <c r="B9" s="9" t="s">
        <v>0</v>
      </c>
      <c r="C9" s="21"/>
      <c r="D9" s="17" t="s">
        <v>43</v>
      </c>
      <c r="E9" s="18" t="s">
        <v>44</v>
      </c>
      <c r="F9" s="56" t="s">
        <v>45</v>
      </c>
      <c r="G9" s="19"/>
      <c r="H9" s="56" t="s">
        <v>46</v>
      </c>
      <c r="I9" s="19"/>
      <c r="J9" s="19"/>
      <c r="K9" s="20" t="s">
        <v>47</v>
      </c>
      <c r="L9" s="21" t="s">
        <v>47</v>
      </c>
      <c r="M9" s="21" t="s">
        <v>47</v>
      </c>
    </row>
    <row r="10" spans="1:18" s="18" customFormat="1">
      <c r="A10" s="56"/>
      <c r="B10" s="556" t="s">
        <v>9</v>
      </c>
      <c r="C10" s="557"/>
      <c r="D10" s="17" t="s">
        <v>10</v>
      </c>
      <c r="E10" s="18" t="s">
        <v>11</v>
      </c>
      <c r="F10" s="57" t="s">
        <v>12</v>
      </c>
      <c r="G10" s="17"/>
      <c r="H10" s="57" t="s">
        <v>48</v>
      </c>
      <c r="I10" s="17"/>
      <c r="J10" s="17"/>
      <c r="K10" s="22" t="s">
        <v>49</v>
      </c>
      <c r="L10" s="17" t="s">
        <v>50</v>
      </c>
      <c r="M10" s="17" t="s">
        <v>51</v>
      </c>
    </row>
    <row r="11" spans="1:18">
      <c r="A11" s="58"/>
      <c r="B11" s="23" t="s">
        <v>52</v>
      </c>
      <c r="C11" s="24"/>
      <c r="D11" s="24"/>
      <c r="E11" s="24"/>
      <c r="F11" s="24"/>
      <c r="H11" s="25"/>
      <c r="K11" s="26"/>
      <c r="L11" s="24"/>
      <c r="M11" s="27"/>
    </row>
    <row r="12" spans="1:18">
      <c r="A12" s="56">
        <v>1</v>
      </c>
      <c r="B12" s="7" t="s">
        <v>54</v>
      </c>
      <c r="C12" s="19"/>
      <c r="D12" s="17" t="s">
        <v>55</v>
      </c>
      <c r="E12" s="53">
        <v>579</v>
      </c>
      <c r="F12" s="103">
        <v>411467</v>
      </c>
      <c r="G12" s="19"/>
      <c r="H12" s="104">
        <v>417001</v>
      </c>
      <c r="I12" s="19"/>
      <c r="J12" s="19"/>
      <c r="K12" s="79">
        <f>+'Ex-1'!F9</f>
        <v>4.1500000000000009E-3</v>
      </c>
      <c r="L12" s="29">
        <f>F12*K12</f>
        <v>1707.5880500000003</v>
      </c>
      <c r="M12" s="40" t="e">
        <f>L12/#REF!</f>
        <v>#REF!</v>
      </c>
      <c r="N12" s="178">
        <f>+L12/H12</f>
        <v>4.0949255517372871E-3</v>
      </c>
      <c r="R12" s="7"/>
    </row>
    <row r="13" spans="1:18">
      <c r="A13" s="56">
        <v>2</v>
      </c>
      <c r="B13" s="7" t="s">
        <v>109</v>
      </c>
      <c r="C13" s="28"/>
      <c r="D13" s="17" t="s">
        <v>56</v>
      </c>
      <c r="E13" s="53">
        <v>175146</v>
      </c>
      <c r="F13" s="103">
        <v>118476427</v>
      </c>
      <c r="G13" s="80"/>
      <c r="H13" s="103">
        <v>121197050</v>
      </c>
      <c r="I13" s="19"/>
      <c r="J13" s="80"/>
      <c r="K13" s="79">
        <f>+'Ex-1'!F10</f>
        <v>4.1500000000000009E-3</v>
      </c>
      <c r="L13" s="29">
        <f>F13*K13</f>
        <v>491677.17205000011</v>
      </c>
      <c r="M13" s="40" t="e">
        <f>L13/#REF!</f>
        <v>#REF!</v>
      </c>
      <c r="N13" s="178">
        <f t="shared" ref="N13:N24" si="0">+L13/H13</f>
        <v>4.0568410868911421E-3</v>
      </c>
      <c r="R13" s="7"/>
    </row>
    <row r="14" spans="1:18">
      <c r="A14" s="56">
        <v>3</v>
      </c>
      <c r="B14" s="7" t="s">
        <v>110</v>
      </c>
      <c r="C14" s="19"/>
      <c r="D14" s="17" t="s">
        <v>62</v>
      </c>
      <c r="E14" s="53">
        <v>24894</v>
      </c>
      <c r="F14" s="103">
        <v>80983340</v>
      </c>
      <c r="G14" s="19"/>
      <c r="H14" s="103">
        <v>77628809</v>
      </c>
      <c r="I14" s="19"/>
      <c r="J14" s="19"/>
      <c r="K14" s="79">
        <f>+'Ex-1'!F11</f>
        <v>4.4099999999999999E-3</v>
      </c>
      <c r="L14" s="29">
        <f>ROUND(F14*K14,0)</f>
        <v>357137</v>
      </c>
      <c r="M14" s="40" t="e">
        <f>ROUND(L14/#REF!,4)</f>
        <v>#REF!</v>
      </c>
      <c r="N14" s="178">
        <f t="shared" si="0"/>
        <v>4.6005729651217497E-3</v>
      </c>
      <c r="R14" s="7"/>
    </row>
    <row r="15" spans="1:18">
      <c r="A15" s="56">
        <v>4</v>
      </c>
      <c r="B15" s="7" t="s">
        <v>111</v>
      </c>
      <c r="C15" s="28"/>
      <c r="D15" s="17" t="s">
        <v>66</v>
      </c>
      <c r="E15" s="53">
        <v>387</v>
      </c>
      <c r="F15" s="103">
        <v>13450676</v>
      </c>
      <c r="G15" s="19"/>
      <c r="H15" s="103">
        <v>10594609</v>
      </c>
      <c r="I15" s="19"/>
      <c r="J15" s="19"/>
      <c r="K15" s="79">
        <f>+'Ex-1'!F15</f>
        <v>8.8000000000000057E-4</v>
      </c>
      <c r="L15" s="29">
        <f t="shared" ref="L15:L20" si="1">F15*K15</f>
        <v>11836.594880000008</v>
      </c>
      <c r="M15" s="40" t="e">
        <f>L15/#REF!</f>
        <v>#REF!</v>
      </c>
      <c r="N15" s="178">
        <f t="shared" si="0"/>
        <v>1.117228099687304E-3</v>
      </c>
      <c r="R15" s="7"/>
    </row>
    <row r="16" spans="1:18">
      <c r="A16" s="56">
        <v>5</v>
      </c>
      <c r="B16" s="7" t="s">
        <v>63</v>
      </c>
      <c r="C16" s="19"/>
      <c r="D16" s="17" t="s">
        <v>64</v>
      </c>
      <c r="E16" s="53">
        <v>81</v>
      </c>
      <c r="F16" s="103">
        <v>8608384</v>
      </c>
      <c r="G16" s="80"/>
      <c r="H16" s="103">
        <v>6795588</v>
      </c>
      <c r="I16" s="80"/>
      <c r="J16" s="80"/>
      <c r="K16" s="79">
        <f>+'Ex-1'!F14</f>
        <v>2.63E-3</v>
      </c>
      <c r="L16" s="29">
        <f t="shared" si="1"/>
        <v>22640.049920000001</v>
      </c>
      <c r="M16" s="40" t="e">
        <f>L16/#REF!</f>
        <v>#REF!</v>
      </c>
      <c r="N16" s="178">
        <f t="shared" si="0"/>
        <v>3.3315807138396265E-3</v>
      </c>
    </row>
    <row r="17" spans="1:18">
      <c r="A17" s="56">
        <v>6</v>
      </c>
      <c r="B17" s="7" t="s">
        <v>57</v>
      </c>
      <c r="C17" s="19"/>
      <c r="D17" s="17" t="s">
        <v>58</v>
      </c>
      <c r="E17" s="53">
        <v>1</v>
      </c>
      <c r="F17" s="103">
        <v>46067</v>
      </c>
      <c r="G17" s="80"/>
      <c r="H17" s="103">
        <v>40035</v>
      </c>
      <c r="I17" s="80"/>
      <c r="J17" s="80"/>
      <c r="K17" s="79">
        <f>+'Ex-1'!F12</f>
        <v>2.3600000000000001E-3</v>
      </c>
      <c r="L17" s="29">
        <f t="shared" si="1"/>
        <v>108.71812</v>
      </c>
      <c r="M17" s="40" t="e">
        <f>L17/#REF!</f>
        <v>#REF!</v>
      </c>
      <c r="N17" s="178">
        <f t="shared" si="0"/>
        <v>2.7155768702385413E-3</v>
      </c>
      <c r="R17" s="7"/>
    </row>
    <row r="18" spans="1:18">
      <c r="A18" s="56">
        <v>7</v>
      </c>
      <c r="B18" s="7" t="s">
        <v>59</v>
      </c>
      <c r="C18" s="19"/>
      <c r="D18" s="17" t="s">
        <v>60</v>
      </c>
      <c r="E18" s="53">
        <v>1</v>
      </c>
      <c r="F18" s="105">
        <v>555</v>
      </c>
      <c r="G18" s="19"/>
      <c r="H18" s="105">
        <v>583</v>
      </c>
      <c r="I18" s="19"/>
      <c r="J18" s="19"/>
      <c r="K18" s="79">
        <f>+'Ex-1'!F13</f>
        <v>4.4099999999999999E-3</v>
      </c>
      <c r="L18" s="29">
        <f t="shared" si="1"/>
        <v>2.4475500000000001</v>
      </c>
      <c r="M18" s="40" t="e">
        <f>L18/#REF!</f>
        <v>#REF!</v>
      </c>
      <c r="N18" s="178">
        <f t="shared" si="0"/>
        <v>4.1981989708404803E-3</v>
      </c>
      <c r="R18" s="7"/>
    </row>
    <row r="19" spans="1:18">
      <c r="A19" s="56">
        <v>8</v>
      </c>
      <c r="B19" s="7" t="s">
        <v>112</v>
      </c>
      <c r="C19" s="19"/>
      <c r="D19" s="17" t="s">
        <v>67</v>
      </c>
      <c r="E19" s="53">
        <v>10</v>
      </c>
      <c r="F19" s="103">
        <v>4238887</v>
      </c>
      <c r="G19" s="80"/>
      <c r="H19" s="103">
        <v>2870316</v>
      </c>
      <c r="I19" s="19"/>
      <c r="J19" s="80"/>
      <c r="K19" s="79">
        <f>+'Ex-1'!F16</f>
        <v>6.0999999999999997E-4</v>
      </c>
      <c r="L19" s="29">
        <f t="shared" si="1"/>
        <v>2585.7210700000001</v>
      </c>
      <c r="M19" s="40" t="e">
        <f>L19/#REF!</f>
        <v>#REF!</v>
      </c>
      <c r="N19" s="178">
        <f t="shared" si="0"/>
        <v>9.0084892046729352E-4</v>
      </c>
      <c r="R19" s="7"/>
    </row>
    <row r="20" spans="1:18">
      <c r="A20" s="56">
        <v>9</v>
      </c>
      <c r="B20" s="7" t="s">
        <v>68</v>
      </c>
      <c r="C20" s="19"/>
      <c r="D20" s="17" t="s">
        <v>69</v>
      </c>
      <c r="E20" s="53">
        <v>3</v>
      </c>
      <c r="F20" s="103">
        <v>412711</v>
      </c>
      <c r="G20" s="19"/>
      <c r="H20" s="103">
        <v>307005</v>
      </c>
      <c r="I20" s="19"/>
      <c r="J20" s="19"/>
      <c r="K20" s="79">
        <f>+'Ex-1'!F17</f>
        <v>1.31E-3</v>
      </c>
      <c r="L20" s="29">
        <f t="shared" si="1"/>
        <v>540.65140999999994</v>
      </c>
      <c r="M20" s="40" t="e">
        <f>L20/#REF!</f>
        <v>#REF!</v>
      </c>
      <c r="N20" s="178">
        <f t="shared" si="0"/>
        <v>1.7610508297910455E-3</v>
      </c>
      <c r="R20" s="7"/>
    </row>
    <row r="21" spans="1:18" s="50" customFormat="1">
      <c r="A21" s="57">
        <v>10</v>
      </c>
      <c r="B21" s="23" t="s">
        <v>70</v>
      </c>
      <c r="C21" s="52"/>
      <c r="D21" s="48"/>
      <c r="E21" s="179">
        <f>SUM(E12:E20)</f>
        <v>201102</v>
      </c>
      <c r="F21" s="180">
        <f>SUM(F12:F20)</f>
        <v>226628514</v>
      </c>
      <c r="G21" s="54"/>
      <c r="H21" s="180">
        <f>SUM(H12:H20)</f>
        <v>219850996</v>
      </c>
      <c r="I21" s="54"/>
      <c r="J21" s="54"/>
      <c r="K21" s="81"/>
      <c r="L21" s="49">
        <f>SUM(L12:L20)</f>
        <v>888235.94305000012</v>
      </c>
      <c r="M21" s="61" t="e">
        <f>L21/#REF!</f>
        <v>#REF!</v>
      </c>
      <c r="N21" s="178">
        <f t="shared" si="0"/>
        <v>4.040172476862466E-3</v>
      </c>
    </row>
    <row r="22" spans="1:18">
      <c r="A22" s="194"/>
      <c r="B22" s="195" t="s">
        <v>71</v>
      </c>
      <c r="C22" s="196"/>
      <c r="D22" s="196"/>
      <c r="E22" s="197"/>
      <c r="F22" s="197"/>
      <c r="G22" s="198"/>
      <c r="H22" s="5"/>
      <c r="J22" s="198"/>
      <c r="K22" s="199"/>
      <c r="L22" s="200"/>
      <c r="M22" s="201"/>
      <c r="N22" s="178"/>
    </row>
    <row r="23" spans="1:18">
      <c r="A23" s="202">
        <v>11</v>
      </c>
      <c r="B23" s="203" t="s">
        <v>156</v>
      </c>
      <c r="C23" s="11"/>
      <c r="D23" s="55" t="s">
        <v>30</v>
      </c>
      <c r="E23" s="204"/>
      <c r="F23" s="104">
        <v>0</v>
      </c>
      <c r="H23" s="204">
        <v>0</v>
      </c>
      <c r="K23" s="205">
        <v>0</v>
      </c>
      <c r="L23" s="206">
        <f>+F23*K23</f>
        <v>0</v>
      </c>
      <c r="M23" s="40"/>
      <c r="N23" s="178"/>
    </row>
    <row r="24" spans="1:18">
      <c r="A24" s="202"/>
      <c r="B24" s="207" t="s">
        <v>157</v>
      </c>
      <c r="D24" s="56" t="s">
        <v>72</v>
      </c>
      <c r="E24" s="103">
        <v>181</v>
      </c>
      <c r="F24" s="103">
        <v>448282732</v>
      </c>
      <c r="G24" s="198"/>
      <c r="H24" s="103">
        <v>14405303</v>
      </c>
      <c r="I24" s="7"/>
      <c r="J24" s="198"/>
      <c r="K24" s="208">
        <f>+'Ex-1'!F20</f>
        <v>3.6999999999999999E-4</v>
      </c>
      <c r="L24" s="209">
        <f>F24*K24</f>
        <v>165864.61084000001</v>
      </c>
      <c r="M24" s="40"/>
      <c r="N24" s="178">
        <f t="shared" si="0"/>
        <v>1.1514135512456768E-2</v>
      </c>
    </row>
    <row r="25" spans="1:18">
      <c r="A25" s="202">
        <v>12</v>
      </c>
      <c r="B25" s="207" t="s">
        <v>158</v>
      </c>
      <c r="D25" s="57" t="s">
        <v>153</v>
      </c>
      <c r="E25" s="210">
        <v>13</v>
      </c>
      <c r="F25" s="210">
        <v>307148738</v>
      </c>
      <c r="H25" s="103">
        <v>5894906</v>
      </c>
      <c r="K25" s="208">
        <v>0</v>
      </c>
      <c r="L25" s="209">
        <v>0</v>
      </c>
      <c r="M25" s="211"/>
    </row>
    <row r="26" spans="1:18" s="50" customFormat="1">
      <c r="A26" s="212">
        <v>13</v>
      </c>
      <c r="B26" s="213" t="s">
        <v>159</v>
      </c>
      <c r="C26" s="52"/>
      <c r="D26" s="48"/>
      <c r="E26" s="214">
        <f>SUM(E23:E25)</f>
        <v>194</v>
      </c>
      <c r="F26" s="214">
        <f>SUM(F23:F25)</f>
        <v>755431470</v>
      </c>
      <c r="H26" s="214">
        <f>SUM(H23:H25)</f>
        <v>20300209</v>
      </c>
      <c r="K26" s="215"/>
      <c r="L26" s="216">
        <f>+L24+L23</f>
        <v>165864.61084000001</v>
      </c>
      <c r="M26" s="62"/>
    </row>
    <row r="27" spans="1:18" s="50" customFormat="1">
      <c r="A27" s="18"/>
      <c r="B27" s="217"/>
      <c r="E27" s="218"/>
      <c r="F27" s="51"/>
      <c r="H27" s="218"/>
      <c r="K27" s="219"/>
      <c r="L27" s="220"/>
      <c r="M27" s="221"/>
    </row>
    <row r="28" spans="1:18" s="50" customFormat="1">
      <c r="A28" s="58">
        <v>14</v>
      </c>
      <c r="B28" s="213" t="s">
        <v>160</v>
      </c>
      <c r="C28" s="52"/>
      <c r="D28" s="52"/>
      <c r="E28" s="214">
        <f>+E26+E21</f>
        <v>201296</v>
      </c>
      <c r="F28" s="214">
        <f>+F26+F21</f>
        <v>982059984</v>
      </c>
      <c r="G28" s="51"/>
      <c r="H28" s="214">
        <f>+H26+H21</f>
        <v>240151205</v>
      </c>
      <c r="I28" s="51"/>
      <c r="K28" s="215"/>
      <c r="L28" s="216">
        <f>+L24+L21</f>
        <v>1054100.5538900001</v>
      </c>
      <c r="N28" s="177">
        <f>+L28/H28</f>
        <v>4.389320277989028E-3</v>
      </c>
    </row>
    <row r="30" spans="1:18">
      <c r="B30" s="78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37" customWidth="1"/>
    <col min="2" max="2" width="28.6640625" style="35" bestFit="1" customWidth="1"/>
    <col min="3" max="3" width="18.83203125" style="35" customWidth="1"/>
    <col min="4" max="4" width="1.83203125" style="35" customWidth="1"/>
    <col min="5" max="5" width="20" style="35" customWidth="1"/>
    <col min="6" max="6" width="1.83203125" style="35" customWidth="1"/>
    <col min="7" max="7" width="15.5" style="35" customWidth="1"/>
    <col min="8" max="8" width="14.6640625" style="35" customWidth="1"/>
    <col min="9" max="9" width="12.33203125" style="35" customWidth="1"/>
    <col min="10" max="10" width="5.83203125" style="35" customWidth="1"/>
    <col min="11" max="16384" width="12" style="35"/>
  </cols>
  <sheetData>
    <row r="1" spans="1:17" ht="15" customHeight="1"/>
    <row r="2" spans="1:17" ht="15" customHeight="1">
      <c r="A2" s="35"/>
      <c r="B2" s="93"/>
      <c r="C2" s="552" t="s">
        <v>33</v>
      </c>
      <c r="D2" s="552"/>
      <c r="E2" s="552"/>
      <c r="F2" s="552"/>
      <c r="G2" s="552"/>
      <c r="H2" s="93"/>
      <c r="I2" s="59" t="s">
        <v>168</v>
      </c>
    </row>
    <row r="3" spans="1:17" ht="15" customHeight="1">
      <c r="A3" s="35"/>
      <c r="B3" s="93"/>
      <c r="C3" s="552" t="s">
        <v>74</v>
      </c>
      <c r="D3" s="552"/>
      <c r="E3" s="552"/>
      <c r="F3" s="552"/>
      <c r="G3" s="552"/>
      <c r="H3" s="93"/>
      <c r="I3" s="94"/>
    </row>
    <row r="4" spans="1:17" ht="15" customHeight="1">
      <c r="A4" s="35"/>
      <c r="B4" s="93"/>
      <c r="C4" s="558" t="s">
        <v>170</v>
      </c>
      <c r="D4" s="558"/>
      <c r="E4" s="558"/>
      <c r="F4" s="558"/>
      <c r="G4" s="558"/>
      <c r="H4" s="93"/>
      <c r="I4" s="85"/>
    </row>
    <row r="5" spans="1:17" ht="15" customHeight="1">
      <c r="A5" s="35"/>
      <c r="B5" s="93"/>
      <c r="C5" s="552" t="s">
        <v>35</v>
      </c>
      <c r="D5" s="552"/>
      <c r="E5" s="552"/>
      <c r="F5" s="552"/>
      <c r="G5" s="552"/>
      <c r="H5" s="93"/>
      <c r="I5" s="46"/>
    </row>
    <row r="8" spans="1:17">
      <c r="G8" s="37" t="s">
        <v>37</v>
      </c>
    </row>
    <row r="9" spans="1:17">
      <c r="A9" s="37" t="s">
        <v>3</v>
      </c>
      <c r="E9" s="34" t="s">
        <v>75</v>
      </c>
      <c r="G9" s="37" t="s">
        <v>32</v>
      </c>
      <c r="H9" s="37" t="s">
        <v>41</v>
      </c>
      <c r="I9" s="37" t="s">
        <v>42</v>
      </c>
    </row>
    <row r="10" spans="1:17" s="37" customFormat="1">
      <c r="A10" s="37" t="s">
        <v>6</v>
      </c>
      <c r="B10" s="37" t="s">
        <v>0</v>
      </c>
      <c r="C10" s="37" t="s">
        <v>76</v>
      </c>
      <c r="E10" s="44" t="s">
        <v>139</v>
      </c>
      <c r="G10" s="37" t="s">
        <v>47</v>
      </c>
      <c r="H10" s="37" t="s">
        <v>47</v>
      </c>
      <c r="I10" s="37" t="s">
        <v>47</v>
      </c>
    </row>
    <row r="11" spans="1:17" s="37" customFormat="1">
      <c r="A11" s="95"/>
      <c r="B11" s="95" t="s">
        <v>9</v>
      </c>
      <c r="C11" s="95" t="s">
        <v>10</v>
      </c>
      <c r="D11" s="95"/>
      <c r="E11" s="95" t="s">
        <v>11</v>
      </c>
      <c r="F11" s="95"/>
      <c r="G11" s="95" t="s">
        <v>12</v>
      </c>
      <c r="H11" s="95" t="s">
        <v>13</v>
      </c>
      <c r="I11" s="95" t="s">
        <v>87</v>
      </c>
    </row>
    <row r="12" spans="1:17" ht="8.25" customHeight="1"/>
    <row r="13" spans="1:17">
      <c r="A13" s="37">
        <v>1</v>
      </c>
      <c r="B13" s="42" t="s">
        <v>94</v>
      </c>
      <c r="C13" s="63">
        <f>+'Ex-2'!F13</f>
        <v>118476427</v>
      </c>
      <c r="D13" s="4"/>
      <c r="E13" s="63">
        <f>+'Ex-2'!H13</f>
        <v>121197050</v>
      </c>
      <c r="G13" s="96">
        <f>+'Ex-2'!K13</f>
        <v>4.1500000000000009E-3</v>
      </c>
      <c r="H13" s="41">
        <f>+G13*C13</f>
        <v>491677.17205000011</v>
      </c>
      <c r="I13" s="97">
        <f>+H13/E13</f>
        <v>4.0568410868911421E-3</v>
      </c>
      <c r="Q13" s="15"/>
    </row>
    <row r="14" spans="1:17">
      <c r="C14" s="63"/>
      <c r="D14" s="4"/>
      <c r="E14" s="63"/>
      <c r="G14" s="96"/>
      <c r="H14" s="41"/>
      <c r="I14" s="97"/>
      <c r="Q14" s="15"/>
    </row>
    <row r="15" spans="1:17">
      <c r="A15" s="37">
        <v>2</v>
      </c>
      <c r="B15" s="42" t="s">
        <v>95</v>
      </c>
      <c r="C15" s="63">
        <f>+'Ex-2'!F14</f>
        <v>80983340</v>
      </c>
      <c r="D15" s="4"/>
      <c r="E15" s="63">
        <f>+'Ex-2'!H14</f>
        <v>77628809</v>
      </c>
      <c r="G15" s="96">
        <f>+'Ex-2'!K14</f>
        <v>4.4099999999999999E-3</v>
      </c>
      <c r="H15" s="41">
        <f>+G15*C15</f>
        <v>357136.5294</v>
      </c>
      <c r="I15" s="97">
        <f>+H15/E15</f>
        <v>4.6005669029393452E-3</v>
      </c>
      <c r="Q15" s="15"/>
    </row>
    <row r="16" spans="1:17">
      <c r="C16" s="63"/>
      <c r="D16" s="4"/>
      <c r="E16" s="63"/>
      <c r="G16" s="96"/>
      <c r="H16" s="41"/>
      <c r="I16" s="97"/>
      <c r="Q16" s="15"/>
    </row>
    <row r="17" spans="1:17">
      <c r="A17" s="37">
        <v>3</v>
      </c>
      <c r="B17" s="42" t="s">
        <v>96</v>
      </c>
      <c r="C17" s="63">
        <f>+'Ex-2'!F15</f>
        <v>13450676</v>
      </c>
      <c r="D17" s="4"/>
      <c r="E17" s="63">
        <f>+'Ex-2'!H15</f>
        <v>10594609</v>
      </c>
      <c r="G17" s="96">
        <f>+'Ex-2'!K15</f>
        <v>8.8000000000000057E-4</v>
      </c>
      <c r="H17" s="41">
        <f>+G17*C17</f>
        <v>11836.594880000008</v>
      </c>
      <c r="I17" s="97">
        <f>+H17/E17</f>
        <v>1.117228099687304E-3</v>
      </c>
      <c r="Q17" s="15"/>
    </row>
    <row r="18" spans="1:17">
      <c r="C18" s="63"/>
      <c r="D18" s="4"/>
      <c r="E18" s="63"/>
      <c r="G18" s="96"/>
      <c r="H18" s="41"/>
      <c r="I18" s="97"/>
      <c r="Q18" s="15"/>
    </row>
    <row r="19" spans="1:17">
      <c r="A19" s="37">
        <v>4</v>
      </c>
      <c r="B19" s="35" t="s">
        <v>97</v>
      </c>
      <c r="C19" s="63">
        <f>+'Ex-2'!F16</f>
        <v>8608384</v>
      </c>
      <c r="D19" s="4"/>
      <c r="E19" s="63">
        <f>+'Ex-2'!H16</f>
        <v>6795588</v>
      </c>
      <c r="G19" s="96">
        <f>+'Ex-2'!K16</f>
        <v>2.63E-3</v>
      </c>
      <c r="H19" s="41">
        <f>+G19*C19</f>
        <v>22640.049920000001</v>
      </c>
      <c r="I19" s="97">
        <f>+H19/E19</f>
        <v>3.3315807138396265E-3</v>
      </c>
      <c r="Q19" s="15"/>
    </row>
    <row r="20" spans="1:17">
      <c r="C20" s="63"/>
      <c r="D20" s="4"/>
      <c r="E20" s="63"/>
      <c r="G20" s="96"/>
      <c r="H20" s="41"/>
      <c r="I20" s="97"/>
      <c r="Q20" s="15"/>
    </row>
    <row r="21" spans="1:17">
      <c r="A21" s="37">
        <v>5</v>
      </c>
      <c r="B21" s="42" t="s">
        <v>98</v>
      </c>
      <c r="C21" s="63">
        <f>+'Ex-2'!F19</f>
        <v>4238887</v>
      </c>
      <c r="D21" s="4"/>
      <c r="E21" s="63">
        <f>+'Ex-2'!H19</f>
        <v>2870316</v>
      </c>
      <c r="G21" s="96">
        <f>+'Ex-2'!K19</f>
        <v>6.0999999999999997E-4</v>
      </c>
      <c r="H21" s="41">
        <f>+G21*C21</f>
        <v>2585.7210700000001</v>
      </c>
      <c r="I21" s="97">
        <f>+H21/E21</f>
        <v>9.0084892046729352E-4</v>
      </c>
      <c r="Q21" s="15"/>
    </row>
    <row r="22" spans="1:17">
      <c r="C22" s="4"/>
      <c r="D22" s="4"/>
      <c r="E22" s="4"/>
      <c r="G22" s="33"/>
      <c r="I22" s="97"/>
    </row>
    <row r="23" spans="1:17">
      <c r="A23" s="37">
        <v>6</v>
      </c>
      <c r="B23" s="42" t="s">
        <v>113</v>
      </c>
      <c r="C23" s="63">
        <f>+'Ex-2'!F20</f>
        <v>412711</v>
      </c>
      <c r="D23" s="4"/>
      <c r="E23" s="63">
        <f>+'Ex-2'!H20</f>
        <v>307005</v>
      </c>
      <c r="G23" s="96">
        <f>+'Ex-2'!K20</f>
        <v>1.31E-3</v>
      </c>
      <c r="H23" s="41">
        <f>+G23*C23</f>
        <v>540.65140999999994</v>
      </c>
      <c r="I23" s="97">
        <f>+H23/E23</f>
        <v>1.7610508297910455E-3</v>
      </c>
    </row>
    <row r="24" spans="1:17">
      <c r="C24" s="4"/>
      <c r="D24" s="4"/>
      <c r="E24" s="4"/>
      <c r="G24" s="33"/>
      <c r="I24" s="97"/>
    </row>
    <row r="25" spans="1:17">
      <c r="A25" s="37">
        <v>7</v>
      </c>
      <c r="B25" s="35" t="s">
        <v>161</v>
      </c>
      <c r="C25" s="4">
        <f>+'Ex-2'!F24</f>
        <v>448282732</v>
      </c>
      <c r="D25" s="4"/>
      <c r="E25" s="4">
        <f>+'Ex-2'!H24</f>
        <v>14405303</v>
      </c>
      <c r="G25" s="96">
        <f>+'Ex-2'!K24</f>
        <v>3.6999999999999999E-4</v>
      </c>
      <c r="H25" s="41">
        <f>+G25*C25</f>
        <v>165864.61084000001</v>
      </c>
      <c r="I25" s="97">
        <f>+H25/E25</f>
        <v>1.1514135512456768E-2</v>
      </c>
    </row>
    <row r="26" spans="1:17">
      <c r="C26" s="4"/>
      <c r="D26" s="4"/>
      <c r="E26" s="4"/>
      <c r="G26" s="33"/>
      <c r="I26" s="97"/>
    </row>
    <row r="27" spans="1:17">
      <c r="A27" s="37">
        <v>8</v>
      </c>
      <c r="B27" s="43" t="s">
        <v>162</v>
      </c>
      <c r="C27" s="63">
        <v>0</v>
      </c>
      <c r="D27" s="222"/>
      <c r="E27" s="63">
        <v>0</v>
      </c>
      <c r="G27" s="96">
        <v>0</v>
      </c>
      <c r="H27" s="223">
        <f>+G27*C27</f>
        <v>0</v>
      </c>
      <c r="I27" s="224">
        <v>0</v>
      </c>
    </row>
    <row r="28" spans="1:17" ht="22.5" customHeight="1">
      <c r="I28" s="225"/>
    </row>
    <row r="29" spans="1:17" ht="32.25" customHeight="1">
      <c r="B29" s="559" t="s">
        <v>163</v>
      </c>
      <c r="C29" s="559"/>
      <c r="D29" s="559"/>
      <c r="E29" s="559"/>
      <c r="F29" s="559"/>
      <c r="G29" s="559"/>
      <c r="H29" s="559"/>
      <c r="I29" s="559"/>
    </row>
    <row r="64" spans="1:7">
      <c r="A64" s="35"/>
      <c r="G64" s="43"/>
    </row>
    <row r="65" spans="1:9">
      <c r="A65" s="35"/>
      <c r="H65" s="43"/>
    </row>
    <row r="66" spans="1:9">
      <c r="A66" s="35"/>
      <c r="E66" s="4"/>
      <c r="G66" s="4"/>
      <c r="H66" s="4"/>
      <c r="I66" s="4"/>
    </row>
    <row r="67" spans="1:9">
      <c r="A67" s="35"/>
      <c r="E67" s="4"/>
      <c r="G67" s="4"/>
      <c r="H67" s="4"/>
      <c r="I67" s="4"/>
    </row>
    <row r="68" spans="1:9">
      <c r="A68" s="35"/>
      <c r="E68" s="4"/>
      <c r="G68" s="4"/>
      <c r="H68" s="4"/>
      <c r="I68" s="4"/>
    </row>
    <row r="69" spans="1:9">
      <c r="A69" s="35"/>
      <c r="E69" s="4"/>
      <c r="G69" s="4"/>
      <c r="H69" s="4"/>
      <c r="I69" s="4"/>
    </row>
    <row r="70" spans="1:9">
      <c r="A70" s="35"/>
      <c r="E70" s="4"/>
      <c r="G70" s="4"/>
      <c r="H70" s="4"/>
      <c r="I70" s="4"/>
    </row>
    <row r="71" spans="1:9">
      <c r="A71" s="35"/>
      <c r="E71" s="4"/>
      <c r="G71" s="4"/>
      <c r="H71" s="4"/>
      <c r="I71" s="4"/>
    </row>
    <row r="72" spans="1:9">
      <c r="A72" s="35"/>
      <c r="E72" s="4"/>
      <c r="G72" s="4"/>
      <c r="H72" s="4"/>
      <c r="I72" s="4"/>
    </row>
    <row r="76" spans="1:9">
      <c r="A76" s="35"/>
      <c r="B76" s="43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37" customWidth="1"/>
    <col min="2" max="2" width="27" style="35" bestFit="1" customWidth="1"/>
    <col min="3" max="3" width="16.1640625" style="35" customWidth="1"/>
    <col min="4" max="4" width="1.83203125" style="35" customWidth="1"/>
    <col min="5" max="5" width="19" style="35" bestFit="1" customWidth="1"/>
    <col min="6" max="6" width="1.83203125" style="35" customWidth="1"/>
    <col min="7" max="7" width="16.33203125" style="35" customWidth="1"/>
    <col min="8" max="8" width="1.83203125" style="35" customWidth="1"/>
    <col min="9" max="9" width="15.33203125" style="35" customWidth="1"/>
    <col min="10" max="10" width="1.83203125" style="35" customWidth="1"/>
    <col min="11" max="16384" width="12" style="35"/>
  </cols>
  <sheetData>
    <row r="2" spans="1:15">
      <c r="A2" s="35"/>
      <c r="B2" s="34"/>
      <c r="C2" s="552" t="s">
        <v>33</v>
      </c>
      <c r="D2" s="552"/>
      <c r="E2" s="552"/>
      <c r="F2" s="552"/>
      <c r="G2" s="552"/>
      <c r="H2" s="552"/>
      <c r="I2" s="34"/>
      <c r="K2" s="59" t="s">
        <v>168</v>
      </c>
    </row>
    <row r="3" spans="1:15">
      <c r="A3" s="35"/>
      <c r="B3" s="34"/>
      <c r="C3" s="552" t="s">
        <v>74</v>
      </c>
      <c r="D3" s="552"/>
      <c r="E3" s="552"/>
      <c r="F3" s="552"/>
      <c r="G3" s="552"/>
      <c r="H3" s="552"/>
      <c r="I3" s="34"/>
      <c r="K3" s="94"/>
    </row>
    <row r="4" spans="1:15">
      <c r="A4" s="35"/>
      <c r="B4" s="34"/>
      <c r="C4" s="560" t="s">
        <v>170</v>
      </c>
      <c r="D4" s="558"/>
      <c r="E4" s="558"/>
      <c r="F4" s="558"/>
      <c r="G4" s="558"/>
      <c r="H4" s="558"/>
      <c r="I4" s="34"/>
      <c r="K4" s="85"/>
    </row>
    <row r="5" spans="1:15">
      <c r="A5" s="35"/>
      <c r="B5" s="34"/>
      <c r="C5" s="552" t="s">
        <v>35</v>
      </c>
      <c r="D5" s="552"/>
      <c r="E5" s="552"/>
      <c r="F5" s="552"/>
      <c r="G5" s="552"/>
      <c r="H5" s="552"/>
      <c r="I5" s="34"/>
      <c r="J5" s="42"/>
    </row>
    <row r="6" spans="1:15">
      <c r="C6" s="34"/>
      <c r="D6" s="34"/>
      <c r="E6" s="34"/>
      <c r="F6" s="34"/>
      <c r="G6" s="34"/>
      <c r="H6" s="34"/>
      <c r="I6" s="34"/>
      <c r="J6" s="42"/>
    </row>
    <row r="7" spans="1:15" s="37" customFormat="1">
      <c r="C7" s="37" t="s">
        <v>77</v>
      </c>
      <c r="G7" s="37" t="s">
        <v>78</v>
      </c>
    </row>
    <row r="8" spans="1:15" s="37" customFormat="1">
      <c r="A8" s="37" t="s">
        <v>3</v>
      </c>
      <c r="C8" s="37" t="s">
        <v>79</v>
      </c>
      <c r="E8" s="37" t="s">
        <v>80</v>
      </c>
      <c r="G8" s="37" t="s">
        <v>81</v>
      </c>
      <c r="I8" s="37" t="s">
        <v>2</v>
      </c>
      <c r="K8" s="37" t="s">
        <v>42</v>
      </c>
    </row>
    <row r="9" spans="1:15" s="37" customFormat="1">
      <c r="A9" s="37" t="s">
        <v>6</v>
      </c>
      <c r="B9" s="37" t="s">
        <v>0</v>
      </c>
      <c r="C9" s="37" t="s">
        <v>82</v>
      </c>
      <c r="E9" s="44" t="s">
        <v>141</v>
      </c>
      <c r="G9" s="37" t="s">
        <v>83</v>
      </c>
      <c r="I9" s="37" t="s">
        <v>84</v>
      </c>
      <c r="K9" s="37" t="s">
        <v>47</v>
      </c>
    </row>
    <row r="10" spans="1:15" s="37" customFormat="1">
      <c r="A10" s="95"/>
      <c r="B10" s="95" t="s">
        <v>9</v>
      </c>
      <c r="C10" s="95" t="s">
        <v>10</v>
      </c>
      <c r="D10" s="95"/>
      <c r="E10" s="95" t="s">
        <v>11</v>
      </c>
      <c r="F10" s="95"/>
      <c r="G10" s="95" t="s">
        <v>12</v>
      </c>
      <c r="H10" s="95"/>
      <c r="I10" s="95" t="s">
        <v>13</v>
      </c>
      <c r="J10" s="95"/>
      <c r="K10" s="95" t="s">
        <v>87</v>
      </c>
    </row>
    <row r="11" spans="1:15" ht="9" customHeight="1"/>
    <row r="12" spans="1:15">
      <c r="A12" s="37">
        <v>1</v>
      </c>
      <c r="B12" s="42" t="s">
        <v>94</v>
      </c>
      <c r="C12" s="98">
        <v>56.370317240093023</v>
      </c>
      <c r="E12" s="75">
        <f>+'Ex-2'!H13/'Ex-2'!E13/12</f>
        <v>57.664772056836391</v>
      </c>
      <c r="G12" s="75">
        <f>+C12*'Ex-2'!K13</f>
        <v>0.23393681654638609</v>
      </c>
      <c r="I12" s="75">
        <f>E12+G12</f>
        <v>57.89870887338278</v>
      </c>
      <c r="K12" s="99">
        <f>G12/E12</f>
        <v>4.0568410868911421E-3</v>
      </c>
      <c r="O12" s="15"/>
    </row>
    <row r="13" spans="1:15">
      <c r="C13" s="41"/>
      <c r="E13" s="75"/>
      <c r="G13" s="76"/>
      <c r="I13" s="76"/>
      <c r="O13" s="15"/>
    </row>
    <row r="14" spans="1:15">
      <c r="A14" s="37">
        <v>2</v>
      </c>
      <c r="B14" s="42" t="s">
        <v>95</v>
      </c>
      <c r="C14" s="41">
        <v>271.0939048231167</v>
      </c>
      <c r="E14" s="75">
        <f>+'Ex-2'!H14/'Ex-2'!E14/12</f>
        <v>259.86452224096837</v>
      </c>
      <c r="G14" s="75">
        <f>+C14*'Ex-2'!K14</f>
        <v>1.1955241202699447</v>
      </c>
      <c r="I14" s="75">
        <f>E14+G14</f>
        <v>261.06004636123834</v>
      </c>
      <c r="K14" s="99">
        <f>G14/E14</f>
        <v>4.6005669029393461E-3</v>
      </c>
      <c r="O14" s="15"/>
    </row>
    <row r="15" spans="1:15">
      <c r="C15" s="41"/>
      <c r="E15" s="100"/>
      <c r="G15" s="101"/>
      <c r="I15" s="76"/>
      <c r="N15" s="37"/>
      <c r="O15" s="15"/>
    </row>
    <row r="16" spans="1:15">
      <c r="A16" s="37">
        <v>3</v>
      </c>
      <c r="B16" s="42" t="s">
        <v>96</v>
      </c>
      <c r="C16" s="102" t="s">
        <v>85</v>
      </c>
      <c r="E16" s="96">
        <f>+'Ex-2'!H15/'Ex-2'!F15</f>
        <v>0.7876636832230588</v>
      </c>
      <c r="G16" s="96">
        <f>+'Ex-2'!K15</f>
        <v>8.8000000000000057E-4</v>
      </c>
      <c r="I16" s="96">
        <f>E16+G16</f>
        <v>0.78854368322305879</v>
      </c>
      <c r="K16" s="99">
        <f>G16/E16</f>
        <v>1.117228099687304E-3</v>
      </c>
      <c r="O16" s="15"/>
    </row>
    <row r="17" spans="1:15">
      <c r="C17" s="41"/>
      <c r="E17" s="96"/>
      <c r="G17" s="96"/>
      <c r="I17" s="96"/>
      <c r="K17" s="99"/>
      <c r="O17" s="15"/>
    </row>
    <row r="18" spans="1:15">
      <c r="A18" s="37">
        <v>4</v>
      </c>
      <c r="B18" s="42" t="s">
        <v>97</v>
      </c>
      <c r="C18" s="102" t="s">
        <v>85</v>
      </c>
      <c r="E18" s="96">
        <f>+'Ex-2'!H16/'Ex-2'!F16</f>
        <v>0.78941506326855304</v>
      </c>
      <c r="G18" s="96">
        <f>+'Ex-2'!K16</f>
        <v>2.63E-3</v>
      </c>
      <c r="I18" s="96">
        <f>E18+G18</f>
        <v>0.79204506326855306</v>
      </c>
      <c r="K18" s="99">
        <f>G18/E18</f>
        <v>3.3315807138396265E-3</v>
      </c>
      <c r="O18" s="15"/>
    </row>
    <row r="19" spans="1:15">
      <c r="C19" s="41"/>
      <c r="E19" s="96"/>
      <c r="G19" s="96"/>
      <c r="I19" s="96"/>
      <c r="O19" s="15"/>
    </row>
    <row r="20" spans="1:15">
      <c r="A20" s="37">
        <v>5</v>
      </c>
      <c r="B20" s="42" t="s">
        <v>98</v>
      </c>
      <c r="C20" s="102" t="s">
        <v>85</v>
      </c>
      <c r="E20" s="96">
        <f>+'Ex-2'!H19/'Ex-2'!F19</f>
        <v>0.67713906976052907</v>
      </c>
      <c r="G20" s="96">
        <f>+'Ex-2'!K19</f>
        <v>6.0999999999999997E-4</v>
      </c>
      <c r="I20" s="96">
        <f>E20+G20</f>
        <v>0.67774906976052907</v>
      </c>
      <c r="K20" s="99">
        <f>G20/E20</f>
        <v>9.0084892046729352E-4</v>
      </c>
      <c r="O20" s="15"/>
    </row>
    <row r="21" spans="1:15">
      <c r="E21" s="33"/>
      <c r="G21" s="33"/>
      <c r="I21" s="96"/>
      <c r="K21" s="99"/>
    </row>
    <row r="22" spans="1:15">
      <c r="A22" s="37">
        <v>6</v>
      </c>
      <c r="B22" s="42" t="s">
        <v>113</v>
      </c>
      <c r="C22" s="102" t="s">
        <v>85</v>
      </c>
      <c r="E22" s="96">
        <f>+'Ex-2'!H20/'Ex-2'!F20</f>
        <v>0.74387404261093115</v>
      </c>
      <c r="G22" s="33">
        <f>+'Ex-2'!K20</f>
        <v>1.31E-3</v>
      </c>
      <c r="I22" s="96">
        <f>E22+G22</f>
        <v>0.74518404261093119</v>
      </c>
      <c r="K22" s="99">
        <f>G22/E22</f>
        <v>1.7610508297910457E-3</v>
      </c>
    </row>
    <row r="23" spans="1:15">
      <c r="E23" s="33"/>
      <c r="G23" s="33"/>
      <c r="I23" s="96"/>
      <c r="K23" s="99"/>
    </row>
    <row r="24" spans="1:15">
      <c r="A24" s="37">
        <v>7</v>
      </c>
      <c r="B24" s="35" t="s">
        <v>161</v>
      </c>
      <c r="C24" s="102" t="s">
        <v>85</v>
      </c>
      <c r="E24" s="96">
        <f>+'Ex-2'!H24/'Ex-2'!F24</f>
        <v>3.2134414224994058E-2</v>
      </c>
      <c r="G24" s="96">
        <f>+'Ex-2'!K24</f>
        <v>3.6999999999999999E-4</v>
      </c>
      <c r="I24" s="96">
        <f>E24+G24</f>
        <v>3.250441422499406E-2</v>
      </c>
      <c r="K24" s="99">
        <f>G24/E24</f>
        <v>1.1514135512456768E-2</v>
      </c>
    </row>
    <row r="25" spans="1:15">
      <c r="G25" s="33"/>
      <c r="I25" s="76"/>
    </row>
    <row r="26" spans="1:15">
      <c r="A26" s="37">
        <v>8</v>
      </c>
      <c r="B26" s="42" t="s">
        <v>164</v>
      </c>
      <c r="C26" s="102" t="s">
        <v>85</v>
      </c>
      <c r="E26" s="226" t="s">
        <v>165</v>
      </c>
      <c r="G26" s="96">
        <v>0</v>
      </c>
      <c r="I26" s="226" t="s">
        <v>165</v>
      </c>
      <c r="K26" s="226" t="s">
        <v>165</v>
      </c>
    </row>
    <row r="27" spans="1:15" ht="22.5" customHeight="1"/>
    <row r="28" spans="1:15" ht="29.25" customHeight="1">
      <c r="B28" s="561" t="s">
        <v>166</v>
      </c>
      <c r="C28" s="561"/>
      <c r="D28" s="561"/>
      <c r="E28" s="561"/>
      <c r="F28" s="561"/>
      <c r="G28" s="561"/>
      <c r="H28" s="561"/>
      <c r="I28" s="561"/>
      <c r="J28" s="561"/>
      <c r="K28" s="561"/>
    </row>
    <row r="29" spans="1:15">
      <c r="B29" s="42"/>
    </row>
    <row r="30" spans="1:15">
      <c r="B30" s="42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13A4-2942-4296-9CF6-951C00F8E6EB}">
  <dimension ref="A1:K58"/>
  <sheetViews>
    <sheetView view="pageBreakPreview" topLeftCell="A22" zoomScale="115" zoomScaleNormal="100" zoomScaleSheetLayoutView="115" workbookViewId="0">
      <selection activeCell="B50" sqref="B50"/>
    </sheetView>
  </sheetViews>
  <sheetFormatPr defaultColWidth="9.33203125" defaultRowHeight="15"/>
  <cols>
    <col min="1" max="1" width="8.6640625" style="400" customWidth="1"/>
    <col min="2" max="2" width="49.83203125" style="340" bestFit="1" customWidth="1"/>
    <col min="3" max="3" width="9.33203125" style="340"/>
    <col min="4" max="4" width="17" style="340" hidden="1" customWidth="1"/>
    <col min="5" max="5" width="11.33203125" style="340" hidden="1" customWidth="1"/>
    <col min="6" max="6" width="20.5" style="340" bestFit="1" customWidth="1"/>
    <col min="7" max="7" width="19.83203125" style="340" bestFit="1" customWidth="1"/>
    <col min="8" max="8" width="17.6640625" style="340" bestFit="1" customWidth="1"/>
    <col min="9" max="9" width="19" style="340" bestFit="1" customWidth="1"/>
    <col min="10" max="10" width="17.6640625" style="340" bestFit="1" customWidth="1"/>
    <col min="11" max="11" width="25.1640625" style="340" bestFit="1" customWidth="1"/>
    <col min="12" max="16384" width="9.33203125" style="340"/>
  </cols>
  <sheetData>
    <row r="1" spans="1:11">
      <c r="B1" s="566" t="s">
        <v>253</v>
      </c>
      <c r="C1" s="566"/>
      <c r="D1" s="566"/>
      <c r="E1" s="566"/>
      <c r="F1" s="566"/>
      <c r="G1" s="566"/>
      <c r="K1" s="336" t="str">
        <f>+'DMA Summary of Def. Accts.'!N1</f>
        <v>CNGC Advice W24-09-03</v>
      </c>
    </row>
    <row r="2" spans="1:11">
      <c r="B2" s="567" t="s">
        <v>201</v>
      </c>
      <c r="C2" s="567"/>
      <c r="D2" s="567"/>
      <c r="E2" s="567"/>
      <c r="F2" s="567"/>
      <c r="G2" s="567"/>
      <c r="K2" s="270" t="s">
        <v>189</v>
      </c>
    </row>
    <row r="3" spans="1:11">
      <c r="B3" s="568" t="s">
        <v>341</v>
      </c>
      <c r="C3" s="569"/>
      <c r="D3" s="569"/>
      <c r="E3" s="569"/>
      <c r="F3" s="569"/>
      <c r="G3" s="569"/>
      <c r="K3" s="270" t="s">
        <v>334</v>
      </c>
    </row>
    <row r="5" spans="1:11">
      <c r="B5" s="570" t="s">
        <v>342</v>
      </c>
      <c r="C5" s="570"/>
      <c r="D5" s="570"/>
      <c r="E5" s="570"/>
      <c r="F5" s="570"/>
      <c r="G5" s="570"/>
    </row>
    <row r="7" spans="1:11">
      <c r="A7" s="400" t="s">
        <v>129</v>
      </c>
      <c r="D7" s="400" t="s">
        <v>202</v>
      </c>
      <c r="E7" s="400"/>
      <c r="F7" s="400"/>
      <c r="G7" s="400" t="s">
        <v>203</v>
      </c>
      <c r="H7" s="400"/>
      <c r="I7" s="400"/>
    </row>
    <row r="9" spans="1:11">
      <c r="A9" s="400">
        <v>1</v>
      </c>
      <c r="B9" s="340" t="s">
        <v>204</v>
      </c>
      <c r="D9" s="363">
        <v>1338806000</v>
      </c>
      <c r="G9" s="363">
        <v>569074804</v>
      </c>
      <c r="H9" s="363"/>
      <c r="I9" s="363"/>
    </row>
    <row r="11" spans="1:11">
      <c r="A11" s="400">
        <v>2</v>
      </c>
      <c r="B11" s="340" t="s">
        <v>205</v>
      </c>
      <c r="D11" s="363">
        <v>99114000</v>
      </c>
      <c r="G11" s="363">
        <v>32433675</v>
      </c>
      <c r="H11" s="363"/>
      <c r="I11" s="363"/>
    </row>
    <row r="12" spans="1:11">
      <c r="D12" s="363"/>
    </row>
    <row r="13" spans="1:11">
      <c r="A13" s="400">
        <v>3</v>
      </c>
      <c r="B13" s="340" t="s">
        <v>206</v>
      </c>
      <c r="D13" s="395">
        <f>D11/D9</f>
        <v>7.4031637145336962E-2</v>
      </c>
      <c r="G13" s="513">
        <f>G11/G9</f>
        <v>5.6993693574245823E-2</v>
      </c>
      <c r="H13" s="395"/>
      <c r="I13" s="395"/>
    </row>
    <row r="14" spans="1:11">
      <c r="A14" s="400">
        <v>4</v>
      </c>
      <c r="B14" s="534" t="s">
        <v>362</v>
      </c>
      <c r="D14" s="395">
        <v>7.3200000000000001E-2</v>
      </c>
      <c r="G14" s="513">
        <v>6.8500000000000005E-2</v>
      </c>
      <c r="H14" s="395"/>
      <c r="I14" s="395"/>
    </row>
    <row r="15" spans="1:11">
      <c r="A15" s="400">
        <v>5</v>
      </c>
      <c r="B15" s="340" t="s">
        <v>207</v>
      </c>
      <c r="D15" s="396">
        <f>D13-D14</f>
        <v>8.3163714533696087E-4</v>
      </c>
      <c r="G15" s="396">
        <f>G13-G14</f>
        <v>-1.1506306425754183E-2</v>
      </c>
      <c r="H15" s="396"/>
      <c r="I15" s="396"/>
    </row>
    <row r="17" spans="1:11">
      <c r="A17" s="400">
        <v>6</v>
      </c>
      <c r="B17" s="340" t="s">
        <v>208</v>
      </c>
      <c r="D17" s="363">
        <f>IF(D15&gt;0,D9*D15,0)</f>
        <v>1113400.7999999952</v>
      </c>
      <c r="G17" s="363">
        <f>IF(G15&gt;0,G9*G15,0)</f>
        <v>0</v>
      </c>
      <c r="H17" s="363"/>
      <c r="I17" s="363"/>
    </row>
    <row r="18" spans="1:11">
      <c r="A18" s="400">
        <v>7</v>
      </c>
      <c r="B18" s="340" t="s">
        <v>209</v>
      </c>
      <c r="D18" s="397">
        <v>0.61931199999999997</v>
      </c>
      <c r="G18" s="476">
        <f>+' Conversion Factor'!C25</f>
        <v>0.75505829999999996</v>
      </c>
      <c r="H18" s="397"/>
      <c r="I18" s="397"/>
    </row>
    <row r="19" spans="1:11">
      <c r="A19" s="400">
        <v>8</v>
      </c>
      <c r="B19" s="340" t="s">
        <v>210</v>
      </c>
      <c r="D19" s="363">
        <f>D17/D18</f>
        <v>1797802.7230216679</v>
      </c>
      <c r="G19" s="363">
        <f>G17/G18</f>
        <v>0</v>
      </c>
      <c r="H19" s="363"/>
      <c r="I19" s="363"/>
      <c r="J19" s="363"/>
    </row>
    <row r="20" spans="1:11">
      <c r="A20" s="400">
        <v>9</v>
      </c>
      <c r="B20" s="340" t="s">
        <v>211</v>
      </c>
      <c r="D20" s="398">
        <v>0.5</v>
      </c>
      <c r="G20" s="398">
        <v>0.5</v>
      </c>
      <c r="H20" s="398"/>
      <c r="I20" s="398"/>
    </row>
    <row r="21" spans="1:11">
      <c r="A21" s="400">
        <v>10</v>
      </c>
      <c r="B21" s="521" t="s">
        <v>352</v>
      </c>
      <c r="D21" s="364">
        <f>D19*D20</f>
        <v>898901.36151083396</v>
      </c>
      <c r="G21" s="364">
        <v>0</v>
      </c>
      <c r="H21" s="364"/>
      <c r="I21" s="364"/>
    </row>
    <row r="23" spans="1:11">
      <c r="A23" s="400">
        <v>11</v>
      </c>
      <c r="B23" s="515" t="s">
        <v>254</v>
      </c>
      <c r="G23" s="399">
        <v>146880373</v>
      </c>
    </row>
    <row r="24" spans="1:11">
      <c r="A24" s="400">
        <v>12</v>
      </c>
      <c r="B24" s="514" t="s">
        <v>335</v>
      </c>
      <c r="G24" s="399">
        <f>+'DMA Summary of Def. Accts.'!F19</f>
        <v>2248186.4958600011</v>
      </c>
    </row>
    <row r="25" spans="1:11">
      <c r="A25" s="400">
        <v>13</v>
      </c>
      <c r="B25" s="515" t="s">
        <v>252</v>
      </c>
      <c r="G25" s="396">
        <f>+G24/G23</f>
        <v>1.5306241739051147E-2</v>
      </c>
    </row>
    <row r="27" spans="1:11">
      <c r="A27" s="400" t="s">
        <v>129</v>
      </c>
      <c r="B27" s="571" t="s">
        <v>257</v>
      </c>
      <c r="C27" s="571"/>
      <c r="D27" s="571"/>
      <c r="E27" s="571"/>
      <c r="F27" s="571"/>
      <c r="G27" s="571"/>
    </row>
    <row r="29" spans="1:11">
      <c r="F29" s="400" t="s">
        <v>53</v>
      </c>
      <c r="G29" s="400" t="s">
        <v>263</v>
      </c>
      <c r="H29" s="400" t="s">
        <v>264</v>
      </c>
      <c r="I29" s="535" t="s">
        <v>118</v>
      </c>
      <c r="J29" s="400" t="s">
        <v>265</v>
      </c>
      <c r="K29" s="400" t="s">
        <v>266</v>
      </c>
    </row>
    <row r="30" spans="1:11">
      <c r="F30" s="400">
        <v>503</v>
      </c>
      <c r="G30" s="400">
        <v>504</v>
      </c>
      <c r="H30" s="400">
        <v>505</v>
      </c>
      <c r="I30" s="400">
        <v>511</v>
      </c>
      <c r="J30" s="400">
        <v>570</v>
      </c>
      <c r="K30" s="400"/>
    </row>
    <row r="31" spans="1:11">
      <c r="F31" s="400"/>
      <c r="G31" s="400"/>
      <c r="H31" s="400"/>
      <c r="I31" s="400"/>
      <c r="J31" s="400"/>
      <c r="K31" s="400"/>
    </row>
    <row r="32" spans="1:11" ht="33" customHeight="1">
      <c r="A32" s="400">
        <v>1</v>
      </c>
      <c r="B32" s="565" t="s">
        <v>353</v>
      </c>
      <c r="C32" s="565"/>
      <c r="F32" s="412">
        <f>+'DMA Amount of Change'!G12</f>
        <v>184270124.75999999</v>
      </c>
      <c r="G32" s="412">
        <f>+'DMA Amount of Change'!G13</f>
        <v>124333137.98999999</v>
      </c>
      <c r="H32" s="412">
        <f>+'DMA Amount of Change'!G14</f>
        <v>14347313.25</v>
      </c>
      <c r="I32" s="412">
        <f>+'DMA Amount of Change'!G15</f>
        <v>17512226.16</v>
      </c>
      <c r="J32" s="412">
        <f>+'DMA Amount of Change'!G16</f>
        <v>2109806.16</v>
      </c>
      <c r="K32" s="363">
        <f>SUM(F32:J32)</f>
        <v>342572608.32000005</v>
      </c>
    </row>
    <row r="34" spans="1:11">
      <c r="A34" s="400">
        <v>2</v>
      </c>
      <c r="B34" s="521" t="s">
        <v>354</v>
      </c>
      <c r="F34" s="413">
        <f>+'DMA Amount of Change'!E12</f>
        <v>140216275.3119559</v>
      </c>
      <c r="G34" s="413">
        <f>+'DMA Amount of Change'!E13</f>
        <v>103631783.38918559</v>
      </c>
      <c r="H34" s="413">
        <f>+'DMA Amount of Change'!E14</f>
        <v>13457822.341199517</v>
      </c>
      <c r="I34" s="413">
        <f>+'DMA Amount of Change'!E15</f>
        <v>16601133.000301499</v>
      </c>
      <c r="J34" s="413">
        <f>+'DMA Amount of Change'!E16</f>
        <v>2353804.9573574951</v>
      </c>
      <c r="K34" s="413">
        <f>SUM(F34:J34)</f>
        <v>276260818.99999994</v>
      </c>
    </row>
    <row r="36" spans="1:11">
      <c r="A36" s="400">
        <v>3</v>
      </c>
      <c r="B36" s="340" t="s">
        <v>267</v>
      </c>
      <c r="F36" s="415">
        <f>+'DMA Summary of Def. Accts.'!G12</f>
        <v>1.6716000000000002E-2</v>
      </c>
      <c r="G36" s="417">
        <f>+'DMA Summary of Def. Accts.'!H13</f>
        <v>-1.0123999999999999E-2</v>
      </c>
      <c r="H36" s="415">
        <f>+'DMA Summary of Def. Accts.'!I14</f>
        <v>-4.9069999999999999E-3</v>
      </c>
      <c r="I36" s="415">
        <f>+'DMA Summary of Def. Accts.'!J15</f>
        <v>6.1773000000000002E-2</v>
      </c>
      <c r="J36" s="415">
        <f>+'DMA Summary of Def. Accts.'!K16</f>
        <v>-2.581E-3</v>
      </c>
    </row>
    <row r="38" spans="1:11">
      <c r="A38" s="400">
        <v>4</v>
      </c>
      <c r="B38" s="340" t="s">
        <v>268</v>
      </c>
      <c r="F38" s="516">
        <f>-'DMA Proposed Rate 594'!D12</f>
        <v>-1.1390000000000001E-2</v>
      </c>
      <c r="G38" s="517">
        <f>-'DMA Proposed Rate 594'!D13</f>
        <v>-2.197E-2</v>
      </c>
      <c r="H38" s="516">
        <f>-'DMA Proposed Rate 594'!D14</f>
        <v>-5.9999999999999995E-4</v>
      </c>
      <c r="I38" s="516">
        <f>-'DMA Proposed Rate 594'!D15</f>
        <v>3.3899999999999998E-3</v>
      </c>
      <c r="J38" s="516">
        <f>-'DMA Proposed Rate 594'!D16</f>
        <v>-4.0000000000000001E-3</v>
      </c>
    </row>
    <row r="40" spans="1:11">
      <c r="A40" s="400">
        <v>5</v>
      </c>
      <c r="B40" s="340" t="s">
        <v>269</v>
      </c>
      <c r="F40" s="415">
        <f>+F36-F38</f>
        <v>2.8106000000000003E-2</v>
      </c>
      <c r="G40" s="415">
        <f t="shared" ref="G40:J40" si="0">+G36-G38</f>
        <v>1.1846000000000001E-2</v>
      </c>
      <c r="H40" s="415">
        <f t="shared" si="0"/>
        <v>-4.3070000000000001E-3</v>
      </c>
      <c r="I40" s="415">
        <f>+I36-I38</f>
        <v>5.8383000000000004E-2</v>
      </c>
      <c r="J40" s="415">
        <f t="shared" si="0"/>
        <v>1.4190000000000001E-3</v>
      </c>
    </row>
    <row r="42" spans="1:11">
      <c r="A42" s="400">
        <v>6</v>
      </c>
      <c r="B42" s="340" t="s">
        <v>270</v>
      </c>
      <c r="F42" s="412">
        <f>+F34*F40</f>
        <v>3940918.6339178327</v>
      </c>
      <c r="G42" s="412">
        <f t="shared" ref="G42:J42" si="1">+G34*G40</f>
        <v>1227622.1060282926</v>
      </c>
      <c r="H42" s="412">
        <f t="shared" si="1"/>
        <v>-57962.840823546321</v>
      </c>
      <c r="I42" s="412">
        <f t="shared" si="1"/>
        <v>969223.94795660244</v>
      </c>
      <c r="J42" s="412">
        <f t="shared" si="1"/>
        <v>3340.0492344902859</v>
      </c>
      <c r="K42" s="363">
        <f>SUM(F42:J42)</f>
        <v>6083141.896313671</v>
      </c>
    </row>
    <row r="44" spans="1:11">
      <c r="A44" s="400">
        <v>7</v>
      </c>
      <c r="B44" s="151" t="s">
        <v>258</v>
      </c>
      <c r="F44" s="411">
        <f>+F42/F32</f>
        <v>2.1386638984754725E-2</v>
      </c>
      <c r="G44" s="411">
        <f t="shared" ref="G44:J44" si="2">+G42/G32</f>
        <v>9.8736517542654563E-3</v>
      </c>
      <c r="H44" s="411">
        <f t="shared" si="2"/>
        <v>-4.0399787621244222E-3</v>
      </c>
      <c r="I44" s="411">
        <f t="shared" si="2"/>
        <v>5.5345559102612824E-2</v>
      </c>
      <c r="J44" s="411">
        <f t="shared" si="2"/>
        <v>1.5831071582852359E-3</v>
      </c>
    </row>
    <row r="45" spans="1:11">
      <c r="G45" s="409"/>
    </row>
    <row r="46" spans="1:11">
      <c r="A46" s="400">
        <v>8</v>
      </c>
      <c r="B46" s="340" t="s">
        <v>271</v>
      </c>
      <c r="F46" s="414">
        <f>IF(F44&gt;0.03,F32*0.03-F42,0)</f>
        <v>0</v>
      </c>
      <c r="G46" s="414">
        <f t="shared" ref="G46:J46" si="3">IF(G44&gt;0.03,G32*0.03-G42,0)</f>
        <v>0</v>
      </c>
      <c r="H46" s="414">
        <f t="shared" si="3"/>
        <v>0</v>
      </c>
      <c r="I46" s="414">
        <f>IF(I44&gt;0.03,I32*0.03-I42,0)</f>
        <v>-443857.16315660242</v>
      </c>
      <c r="J46" s="414">
        <f t="shared" si="3"/>
        <v>0</v>
      </c>
    </row>
    <row r="47" spans="1:11">
      <c r="G47" s="410"/>
    </row>
    <row r="48" spans="1:11">
      <c r="A48" s="400">
        <v>9</v>
      </c>
      <c r="B48" s="151" t="s">
        <v>259</v>
      </c>
      <c r="F48" s="415">
        <f>ROUND(F46/F34,5)</f>
        <v>0</v>
      </c>
      <c r="G48" s="415">
        <f t="shared" ref="G48:J48" si="4">ROUND(G46/G34,5)</f>
        <v>0</v>
      </c>
      <c r="H48" s="415">
        <f t="shared" si="4"/>
        <v>0</v>
      </c>
      <c r="I48" s="415">
        <f t="shared" si="4"/>
        <v>-2.674E-2</v>
      </c>
      <c r="J48" s="415">
        <f t="shared" si="4"/>
        <v>0</v>
      </c>
    </row>
    <row r="49" spans="1:11">
      <c r="B49" s="151"/>
      <c r="F49" s="415"/>
      <c r="G49" s="415"/>
      <c r="H49" s="415"/>
      <c r="I49" s="415"/>
      <c r="J49" s="415"/>
    </row>
    <row r="50" spans="1:11">
      <c r="A50" s="400">
        <v>10</v>
      </c>
      <c r="B50" s="340" t="s">
        <v>260</v>
      </c>
      <c r="F50" s="415">
        <f>+F36+F48</f>
        <v>1.6716000000000002E-2</v>
      </c>
      <c r="G50" s="415">
        <f>+G36+G48</f>
        <v>-1.0123999999999999E-2</v>
      </c>
      <c r="H50" s="415">
        <f>+H36+H48</f>
        <v>-4.9069999999999999E-3</v>
      </c>
      <c r="I50" s="415">
        <f>+I36+I48</f>
        <v>3.5033000000000002E-2</v>
      </c>
      <c r="J50" s="415">
        <f>+J36+J48</f>
        <v>-2.581E-3</v>
      </c>
    </row>
    <row r="52" spans="1:11">
      <c r="A52" s="400">
        <v>11</v>
      </c>
      <c r="B52" s="340" t="s">
        <v>261</v>
      </c>
      <c r="F52" s="412">
        <f>(F50-F38)*F34</f>
        <v>3940918.6339178327</v>
      </c>
      <c r="G52" s="412">
        <f>(G50-G38)*G34</f>
        <v>1227622.1060282926</v>
      </c>
      <c r="H52" s="412">
        <f>(H50-H38)*H34</f>
        <v>-57962.840823546321</v>
      </c>
      <c r="I52" s="412">
        <f>(I50-I38)*I34</f>
        <v>525309.65152854042</v>
      </c>
      <c r="J52" s="412">
        <f>(J50-J38)*J34</f>
        <v>3340.0492344902859</v>
      </c>
      <c r="K52" s="363">
        <f>SUM(F52:J52)</f>
        <v>5639227.599885609</v>
      </c>
    </row>
    <row r="53" spans="1:11">
      <c r="G53" s="363"/>
      <c r="K53" s="363"/>
    </row>
    <row r="54" spans="1:11">
      <c r="A54" s="400">
        <v>12</v>
      </c>
      <c r="B54" s="340" t="s">
        <v>262</v>
      </c>
      <c r="F54" s="411">
        <f>+F52/F32</f>
        <v>2.1386638984754725E-2</v>
      </c>
      <c r="G54" s="411">
        <f>+G52/G32</f>
        <v>9.8736517542654563E-3</v>
      </c>
      <c r="H54" s="411">
        <f>+H52/H32</f>
        <v>-4.0399787621244222E-3</v>
      </c>
      <c r="I54" s="411">
        <f>+I52/I32</f>
        <v>2.9996737520921808E-2</v>
      </c>
      <c r="J54" s="411">
        <f>+J52/J32</f>
        <v>1.5831071582852359E-3</v>
      </c>
    </row>
    <row r="55" spans="1:11">
      <c r="K55" s="363"/>
    </row>
    <row r="56" spans="1:11">
      <c r="B56" s="416" t="s">
        <v>273</v>
      </c>
    </row>
    <row r="57" spans="1:11" ht="27" customHeight="1">
      <c r="B57" s="563" t="s">
        <v>355</v>
      </c>
      <c r="C57" s="564"/>
      <c r="D57" s="564"/>
      <c r="E57" s="564"/>
      <c r="F57" s="564"/>
    </row>
    <row r="58" spans="1:11" ht="43.5" customHeight="1">
      <c r="B58" s="562" t="s">
        <v>272</v>
      </c>
      <c r="C58" s="562"/>
      <c r="D58" s="562"/>
      <c r="E58" s="562"/>
      <c r="F58" s="562"/>
    </row>
  </sheetData>
  <mergeCells count="8">
    <mergeCell ref="B58:F58"/>
    <mergeCell ref="B57:F57"/>
    <mergeCell ref="B32:C32"/>
    <mergeCell ref="B1:G1"/>
    <mergeCell ref="B2:G2"/>
    <mergeCell ref="B3:G3"/>
    <mergeCell ref="B5:G5"/>
    <mergeCell ref="B27:G27"/>
  </mergeCells>
  <printOptions horizontalCentered="1"/>
  <pageMargins left="0.7" right="0.7" top="0.75" bottom="0.75" header="0.3" footer="0.3"/>
  <pageSetup scale="54" firstPageNumber="5" orientation="portrait" useFirstPageNumber="1" r:id="rId1"/>
  <headerFooter scaleWithDoc="0" alignWithMargins="0">
    <oddFooter>&amp;LTab Name: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G39" sqref="G39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0"/>
  <sheetViews>
    <sheetView zoomScaleNormal="100" workbookViewId="0">
      <pane xSplit="1" topLeftCell="B1" activePane="topRight" state="frozen"/>
      <selection activeCell="G39" sqref="G39"/>
      <selection pane="topRight" activeCell="D18" sqref="D18:D22"/>
    </sheetView>
  </sheetViews>
  <sheetFormatPr defaultColWidth="9.33203125" defaultRowHeight="15"/>
  <cols>
    <col min="1" max="1" width="24.33203125" style="151" bestFit="1" customWidth="1"/>
    <col min="2" max="2" width="32.5" style="151" bestFit="1" customWidth="1"/>
    <col min="3" max="3" width="41.1640625" style="151" customWidth="1"/>
    <col min="4" max="4" width="24.33203125" style="151" bestFit="1" customWidth="1"/>
    <col min="5" max="5" width="11.1640625" style="151" bestFit="1" customWidth="1"/>
    <col min="6" max="6" width="8.6640625" style="151" bestFit="1" customWidth="1"/>
    <col min="7" max="9" width="10.6640625" style="151" customWidth="1"/>
    <col min="10" max="11" width="9.33203125" style="151"/>
    <col min="12" max="12" width="14.1640625" style="151" bestFit="1" customWidth="1"/>
    <col min="13" max="16384" width="9.33203125" style="151"/>
  </cols>
  <sheetData>
    <row r="1" spans="1:9">
      <c r="C1" s="552" t="s">
        <v>33</v>
      </c>
      <c r="D1" s="552"/>
      <c r="E1" s="552"/>
      <c r="F1" s="552"/>
      <c r="G1" s="552"/>
      <c r="H1" s="552"/>
    </row>
    <row r="2" spans="1:9">
      <c r="C2" s="552" t="s">
        <v>343</v>
      </c>
      <c r="D2" s="552"/>
      <c r="E2" s="552"/>
      <c r="F2" s="552"/>
      <c r="G2" s="552"/>
      <c r="H2" s="552"/>
    </row>
    <row r="3" spans="1:9">
      <c r="C3" s="552" t="s">
        <v>35</v>
      </c>
      <c r="D3" s="552"/>
      <c r="E3" s="552"/>
      <c r="F3" s="552"/>
      <c r="G3" s="552"/>
      <c r="H3" s="552"/>
    </row>
    <row r="7" spans="1:9">
      <c r="A7" s="158"/>
      <c r="B7" s="2"/>
      <c r="C7" s="66"/>
    </row>
    <row r="8" spans="1:9">
      <c r="A8" s="572" t="s">
        <v>344</v>
      </c>
      <c r="B8" s="572"/>
      <c r="C8" s="572"/>
    </row>
    <row r="9" spans="1:9">
      <c r="D9" s="76"/>
      <c r="G9" s="233"/>
      <c r="H9" s="233"/>
      <c r="I9" s="233"/>
    </row>
    <row r="10" spans="1:9">
      <c r="A10" s="154"/>
      <c r="B10" s="154"/>
      <c r="C10" s="66"/>
      <c r="D10" s="156"/>
      <c r="E10" s="156"/>
      <c r="F10" s="156"/>
      <c r="G10" s="156"/>
      <c r="H10" s="156"/>
      <c r="I10" s="156"/>
    </row>
    <row r="11" spans="1:9" ht="30">
      <c r="A11" s="324" t="s">
        <v>246</v>
      </c>
      <c r="B11" s="157" t="s">
        <v>245</v>
      </c>
      <c r="C11" s="157" t="s">
        <v>25</v>
      </c>
      <c r="D11" s="234" t="s">
        <v>345</v>
      </c>
      <c r="E11" s="157" t="s">
        <v>105</v>
      </c>
      <c r="F11" s="157" t="s">
        <v>24</v>
      </c>
      <c r="G11" s="157" t="s">
        <v>1</v>
      </c>
      <c r="H11" s="157" t="s">
        <v>4</v>
      </c>
      <c r="I11" s="157" t="s">
        <v>27</v>
      </c>
    </row>
    <row r="12" spans="1:9">
      <c r="B12" s="233"/>
      <c r="D12" s="76"/>
      <c r="E12" s="233" t="s">
        <v>23</v>
      </c>
      <c r="G12" s="233" t="s">
        <v>127</v>
      </c>
      <c r="H12" s="233" t="s">
        <v>127</v>
      </c>
      <c r="I12" s="233" t="s">
        <v>128</v>
      </c>
    </row>
    <row r="13" spans="1:9">
      <c r="A13" s="151" t="s">
        <v>224</v>
      </c>
      <c r="B13" s="233" t="str">
        <f>+'Int calc thru 10-31-2024'!B11</f>
        <v>503-Residential</v>
      </c>
      <c r="C13" s="151" t="s">
        <v>176</v>
      </c>
      <c r="D13" s="76">
        <f>-'[1]WA CAP 2023'!$R$19</f>
        <v>2182081.5800000015</v>
      </c>
      <c r="E13" s="233" t="s">
        <v>23</v>
      </c>
      <c r="G13" s="233" t="s">
        <v>127</v>
      </c>
      <c r="H13" s="233" t="s">
        <v>127</v>
      </c>
      <c r="I13" s="233" t="s">
        <v>128</v>
      </c>
    </row>
    <row r="14" spans="1:9">
      <c r="A14" s="151" t="s">
        <v>224</v>
      </c>
      <c r="B14" s="233" t="str">
        <f>+'Int calc thru 10-31-2024'!B12</f>
        <v>504-Commercial</v>
      </c>
      <c r="C14" s="151" t="s">
        <v>176</v>
      </c>
      <c r="D14" s="76">
        <f>-'[1]WA CAP 2023'!$R$49-'[1]WA CAP 2023'!$R$78</f>
        <v>-936059.51999999955</v>
      </c>
      <c r="E14" s="233" t="s">
        <v>23</v>
      </c>
      <c r="G14" s="233" t="s">
        <v>127</v>
      </c>
      <c r="H14" s="233" t="s">
        <v>127</v>
      </c>
      <c r="I14" s="233" t="s">
        <v>128</v>
      </c>
    </row>
    <row r="15" spans="1:9">
      <c r="A15" s="151" t="s">
        <v>224</v>
      </c>
      <c r="B15" s="233" t="str">
        <f>+'Int calc thru 10-31-2024'!B13</f>
        <v>505-Industrial</v>
      </c>
      <c r="C15" s="151" t="s">
        <v>176</v>
      </c>
      <c r="D15" s="76">
        <f>-'[1]WA CAP 2023'!$R$29</f>
        <v>-73309.33000000006</v>
      </c>
      <c r="E15" s="233" t="s">
        <v>23</v>
      </c>
      <c r="G15" s="233" t="s">
        <v>127</v>
      </c>
      <c r="H15" s="233" t="s">
        <v>127</v>
      </c>
      <c r="I15" s="233" t="s">
        <v>128</v>
      </c>
    </row>
    <row r="16" spans="1:9">
      <c r="A16" s="151" t="s">
        <v>224</v>
      </c>
      <c r="B16" s="233" t="str">
        <f>+'Int calc thru 10-31-2024'!B14</f>
        <v>511-Large Volume</v>
      </c>
      <c r="C16" s="151" t="s">
        <v>176</v>
      </c>
      <c r="D16" s="76">
        <f>-'[1]WA CAP 2023'!$R$92-'[1]WA CAP 2023'!$R$64-'[1]WA CAP 2023'!$R$39</f>
        <v>485406.44000000006</v>
      </c>
      <c r="E16" s="233" t="s">
        <v>23</v>
      </c>
      <c r="G16" s="233" t="s">
        <v>127</v>
      </c>
      <c r="H16" s="233" t="s">
        <v>127</v>
      </c>
      <c r="I16" s="233" t="s">
        <v>128</v>
      </c>
    </row>
    <row r="17" spans="1:9">
      <c r="A17" s="151" t="s">
        <v>224</v>
      </c>
      <c r="B17" s="233" t="str">
        <f>+'Int calc thru 10-31-2024'!B15</f>
        <v>570-Interruptible Commercial</v>
      </c>
      <c r="C17" s="151" t="s">
        <v>176</v>
      </c>
      <c r="D17" s="76">
        <f>-'[1]WA CAP 2023'!$R$118</f>
        <v>-4636.029999999987</v>
      </c>
      <c r="E17" s="233" t="s">
        <v>23</v>
      </c>
      <c r="G17" s="233" t="s">
        <v>127</v>
      </c>
      <c r="H17" s="233" t="s">
        <v>127</v>
      </c>
      <c r="I17" s="233" t="s">
        <v>128</v>
      </c>
    </row>
    <row r="18" spans="1:9">
      <c r="A18" s="151" t="s">
        <v>238</v>
      </c>
      <c r="B18" s="233" t="str">
        <f>+B13</f>
        <v>503-Residential</v>
      </c>
      <c r="C18" s="151" t="s">
        <v>244</v>
      </c>
      <c r="D18" s="76">
        <f>+[1]WACAP2023Amort!$R$15+0.06</f>
        <v>-1061182.6243000031</v>
      </c>
      <c r="E18" s="233" t="s">
        <v>23</v>
      </c>
      <c r="G18" s="233" t="s">
        <v>127</v>
      </c>
      <c r="H18" s="233" t="s">
        <v>127</v>
      </c>
      <c r="I18" s="233" t="s">
        <v>127</v>
      </c>
    </row>
    <row r="19" spans="1:9">
      <c r="A19" s="151" t="s">
        <v>238</v>
      </c>
      <c r="B19" s="233" t="str">
        <f>+B14</f>
        <v>504-Commercial</v>
      </c>
      <c r="C19" s="151" t="s">
        <v>244</v>
      </c>
      <c r="D19" s="76">
        <f>+[1]WACAP2023Amort!$R$42+[1]WACAP2023Amort!$R$33</f>
        <v>-1467867.973919997</v>
      </c>
      <c r="E19" s="233" t="s">
        <v>23</v>
      </c>
      <c r="G19" s="233" t="s">
        <v>127</v>
      </c>
      <c r="H19" s="233" t="s">
        <v>127</v>
      </c>
      <c r="I19" s="233" t="s">
        <v>127</v>
      </c>
    </row>
    <row r="20" spans="1:9">
      <c r="A20" s="151" t="s">
        <v>238</v>
      </c>
      <c r="B20" s="233" t="str">
        <f>+B15</f>
        <v>505-Industrial</v>
      </c>
      <c r="C20" s="151" t="s">
        <v>244</v>
      </c>
      <c r="D20" s="76">
        <f>+[1]WACAP2023Amort!$R$24</f>
        <v>8120.9684300000517</v>
      </c>
      <c r="E20" s="233" t="s">
        <v>23</v>
      </c>
      <c r="G20" s="233" t="s">
        <v>127</v>
      </c>
      <c r="H20" s="233" t="s">
        <v>127</v>
      </c>
      <c r="I20" s="233" t="s">
        <v>127</v>
      </c>
    </row>
    <row r="21" spans="1:9">
      <c r="A21" s="151" t="s">
        <v>238</v>
      </c>
      <c r="B21" s="233" t="str">
        <f>+B16</f>
        <v>511-Large Volume</v>
      </c>
      <c r="C21" s="151" t="s">
        <v>244</v>
      </c>
      <c r="D21" s="76">
        <f>+[1]WACAP2023Amort!$R$51</f>
        <v>471321.11565999995</v>
      </c>
      <c r="E21" s="233" t="s">
        <v>23</v>
      </c>
      <c r="G21" s="233" t="s">
        <v>127</v>
      </c>
      <c r="H21" s="233" t="s">
        <v>127</v>
      </c>
      <c r="I21" s="233" t="s">
        <v>127</v>
      </c>
    </row>
    <row r="22" spans="1:9">
      <c r="A22" s="151" t="s">
        <v>238</v>
      </c>
      <c r="B22" s="233" t="str">
        <f>+B17</f>
        <v>570-Interruptible Commercial</v>
      </c>
      <c r="C22" s="151" t="s">
        <v>244</v>
      </c>
      <c r="D22" s="76">
        <f>+[1]WACAP2023Amort!$R$61</f>
        <v>-7094.2471599999881</v>
      </c>
      <c r="E22" s="233" t="s">
        <v>23</v>
      </c>
      <c r="G22" s="233" t="s">
        <v>127</v>
      </c>
      <c r="H22" s="233" t="s">
        <v>127</v>
      </c>
      <c r="I22" s="233" t="s">
        <v>127</v>
      </c>
    </row>
    <row r="23" spans="1:9">
      <c r="B23" s="233"/>
      <c r="D23" s="76"/>
      <c r="E23" s="233"/>
      <c r="G23" s="233"/>
      <c r="H23" s="233"/>
      <c r="I23" s="233"/>
    </row>
    <row r="24" spans="1:9">
      <c r="A24" s="153"/>
      <c r="B24" s="153"/>
      <c r="D24" s="76"/>
    </row>
    <row r="25" spans="1:9">
      <c r="A25" s="157" t="s">
        <v>99</v>
      </c>
      <c r="B25" s="157"/>
      <c r="C25" s="157"/>
      <c r="D25" s="234"/>
      <c r="E25" s="157"/>
    </row>
    <row r="26" spans="1:9">
      <c r="A26" s="151" t="s">
        <v>175</v>
      </c>
      <c r="C26" s="151" t="s">
        <v>176</v>
      </c>
      <c r="D26" s="76">
        <f>SUM(D12:D17,D18:D23)</f>
        <v>-403219.62128999829</v>
      </c>
      <c r="G26" s="233"/>
      <c r="H26" s="233"/>
      <c r="I26" s="233"/>
    </row>
    <row r="27" spans="1:9">
      <c r="D27" s="76"/>
      <c r="G27" s="233"/>
      <c r="H27" s="233"/>
      <c r="I27" s="233"/>
    </row>
    <row r="28" spans="1:9">
      <c r="D28" s="76"/>
      <c r="G28" s="233"/>
      <c r="H28" s="233"/>
      <c r="I28" s="233"/>
    </row>
    <row r="29" spans="1:9" ht="15.75" thickBot="1">
      <c r="D29" s="235">
        <f>-D26</f>
        <v>403219.62128999829</v>
      </c>
      <c r="G29" s="233"/>
      <c r="H29" s="233"/>
      <c r="I29" s="233"/>
    </row>
    <row r="30" spans="1:9" ht="15.75" thickTop="1"/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94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zoomScaleNormal="100" workbookViewId="0">
      <selection activeCell="N9" sqref="N9"/>
    </sheetView>
  </sheetViews>
  <sheetFormatPr defaultColWidth="9.33203125" defaultRowHeight="15"/>
  <cols>
    <col min="1" max="1" width="27.33203125" style="151" customWidth="1"/>
    <col min="2" max="2" width="34.1640625" style="151" bestFit="1" customWidth="1"/>
    <col min="3" max="3" width="17.6640625" style="151" bestFit="1" customWidth="1"/>
    <col min="4" max="12" width="14.5" style="151" bestFit="1" customWidth="1"/>
    <col min="13" max="13" width="1.6640625" style="151" customWidth="1"/>
    <col min="14" max="14" width="15.1640625" style="233" bestFit="1" customWidth="1"/>
    <col min="15" max="15" width="9.33203125" style="151"/>
    <col min="16" max="16" width="17.6640625" style="151" bestFit="1" customWidth="1"/>
    <col min="17" max="16384" width="9.33203125" style="151"/>
  </cols>
  <sheetData>
    <row r="1" spans="1:14">
      <c r="B1" s="552" t="s">
        <v>33</v>
      </c>
      <c r="C1" s="552"/>
      <c r="D1" s="552"/>
      <c r="E1" s="552"/>
      <c r="F1" s="552"/>
      <c r="G1" s="552"/>
      <c r="H1" s="552"/>
      <c r="I1" s="552"/>
      <c r="J1" s="552"/>
      <c r="K1" s="552"/>
    </row>
    <row r="2" spans="1:14">
      <c r="B2" s="552" t="s">
        <v>174</v>
      </c>
      <c r="C2" s="552"/>
      <c r="D2" s="552"/>
      <c r="E2" s="552"/>
      <c r="F2" s="552"/>
      <c r="G2" s="552"/>
      <c r="H2" s="552"/>
      <c r="I2" s="552"/>
      <c r="J2" s="552"/>
      <c r="K2" s="552"/>
    </row>
    <row r="3" spans="1:14">
      <c r="B3" s="573" t="s">
        <v>346</v>
      </c>
      <c r="C3" s="573"/>
      <c r="D3" s="573"/>
      <c r="E3" s="573"/>
      <c r="F3" s="573"/>
      <c r="G3" s="573"/>
      <c r="H3" s="573"/>
      <c r="I3" s="573"/>
      <c r="J3" s="573"/>
      <c r="K3" s="573"/>
    </row>
    <row r="4" spans="1:14">
      <c r="B4" s="552" t="s">
        <v>35</v>
      </c>
      <c r="C4" s="552"/>
      <c r="D4" s="552"/>
      <c r="E4" s="552"/>
      <c r="F4" s="552"/>
      <c r="G4" s="552"/>
      <c r="H4" s="552"/>
      <c r="I4" s="552"/>
      <c r="J4" s="552"/>
      <c r="K4" s="552"/>
    </row>
    <row r="7" spans="1:14">
      <c r="A7" s="65" t="s">
        <v>21</v>
      </c>
      <c r="B7" s="66" t="s">
        <v>181</v>
      </c>
      <c r="C7" s="490">
        <f>+EstimatedBalances!D6</f>
        <v>45322</v>
      </c>
      <c r="D7" s="490">
        <f>+EstimatedBalances!E6</f>
        <v>45350</v>
      </c>
      <c r="E7" s="490">
        <f>+EstimatedBalances!F6</f>
        <v>45382</v>
      </c>
      <c r="F7" s="490">
        <f>+EstimatedBalances!G6</f>
        <v>45412</v>
      </c>
      <c r="G7" s="490">
        <f>+EstimatedBalances!H6</f>
        <v>45443</v>
      </c>
      <c r="H7" s="490">
        <f>+EstimatedBalances!I6</f>
        <v>45473</v>
      </c>
      <c r="I7" s="490">
        <f>+EstimatedBalances!J6</f>
        <v>45504</v>
      </c>
      <c r="J7" s="237">
        <f>+EstimatedBalances!K6</f>
        <v>45535</v>
      </c>
      <c r="K7" s="237">
        <f>+EstimatedBalances!L6</f>
        <v>45565</v>
      </c>
      <c r="L7" s="237">
        <f>+EstimatedBalances!M6</f>
        <v>45596</v>
      </c>
      <c r="M7" s="237"/>
      <c r="N7" s="253" t="s">
        <v>26</v>
      </c>
    </row>
    <row r="8" spans="1:14">
      <c r="A8" s="65" t="s">
        <v>22</v>
      </c>
      <c r="C8" s="469">
        <v>8.5000000000000006E-2</v>
      </c>
      <c r="D8" s="469">
        <v>8.5000000000000006E-2</v>
      </c>
      <c r="E8" s="469">
        <v>8.5000000000000006E-2</v>
      </c>
      <c r="F8" s="469">
        <v>8.5000000000000006E-2</v>
      </c>
      <c r="G8" s="469">
        <v>8.5000000000000006E-2</v>
      </c>
      <c r="H8" s="469">
        <v>8.5000000000000006E-2</v>
      </c>
      <c r="I8" s="469">
        <v>8.5000000000000006E-2</v>
      </c>
      <c r="J8" s="469">
        <v>8.5000000000000006E-2</v>
      </c>
      <c r="K8" s="469">
        <v>8.5000000000000006E-2</v>
      </c>
      <c r="L8" s="469">
        <v>8.5000000000000006E-2</v>
      </c>
      <c r="M8" s="238"/>
      <c r="N8" s="66" t="s">
        <v>28</v>
      </c>
    </row>
    <row r="9" spans="1:14">
      <c r="A9" s="30" t="s">
        <v>29</v>
      </c>
      <c r="B9" s="31" t="s">
        <v>0</v>
      </c>
      <c r="C9" s="239">
        <f>+C8/365*31</f>
        <v>7.2191780821917817E-3</v>
      </c>
      <c r="D9" s="239">
        <f>+D8/365*29</f>
        <v>6.7534246575342476E-3</v>
      </c>
      <c r="E9" s="239">
        <f t="shared" ref="E9:M9" si="0">+E8/365*31</f>
        <v>7.2191780821917817E-3</v>
      </c>
      <c r="F9" s="239">
        <f>+F8/365*30</f>
        <v>6.9863013698630147E-3</v>
      </c>
      <c r="G9" s="239">
        <f>+G8/365*31</f>
        <v>7.2191780821917817E-3</v>
      </c>
      <c r="H9" s="239">
        <f>+H8/365*30</f>
        <v>6.9863013698630147E-3</v>
      </c>
      <c r="I9" s="239">
        <f t="shared" si="0"/>
        <v>7.2191780821917817E-3</v>
      </c>
      <c r="J9" s="239">
        <f t="shared" si="0"/>
        <v>7.2191780821917817E-3</v>
      </c>
      <c r="K9" s="239">
        <f>+K8/365*30</f>
        <v>6.9863013698630147E-3</v>
      </c>
      <c r="L9" s="239">
        <f t="shared" si="0"/>
        <v>7.2191780821917817E-3</v>
      </c>
      <c r="M9" s="239">
        <f t="shared" si="0"/>
        <v>0</v>
      </c>
      <c r="N9" s="491">
        <v>45596</v>
      </c>
    </row>
    <row r="10" spans="1:14">
      <c r="J10" s="75"/>
      <c r="K10" s="75"/>
      <c r="L10" s="75"/>
      <c r="N10" s="263"/>
    </row>
    <row r="11" spans="1:14">
      <c r="A11" s="151" t="str">
        <f>+'Balances at 12-31-2023'!A13</f>
        <v>47WA.1862.20477</v>
      </c>
      <c r="B11" s="151" t="s">
        <v>239</v>
      </c>
      <c r="C11" s="75">
        <f>+'Balances at 12-31-2023'!D13*C9</f>
        <v>15752.835515890423</v>
      </c>
      <c r="D11" s="75">
        <f>ROUND(EstimatedBalances!D10*'Int calc thru 10-31-2024'!D9,2)</f>
        <v>14842.91</v>
      </c>
      <c r="E11" s="75">
        <f>ROUND(EstimatedBalances!E10*'Int calc thru 10-31-2024'!E$9,2)</f>
        <v>15973.71</v>
      </c>
      <c r="F11" s="75">
        <f>ROUND(EstimatedBalances!F10*'Int calc thru 10-31-2024'!F$9,2)</f>
        <v>15570.03</v>
      </c>
      <c r="G11" s="75">
        <f>ROUND(EstimatedBalances!G10*'Int calc thru 10-31-2024'!G$9,2)</f>
        <v>16201.43</v>
      </c>
      <c r="H11" s="75">
        <f>ROUND(EstimatedBalances!H10*'Int calc thru 10-31-2024'!H$9,2)</f>
        <v>15791.99</v>
      </c>
      <c r="I11" s="75">
        <f>ROUND(EstimatedBalances!I10*'Int calc thru 10-31-2024'!I$9,2)</f>
        <v>16432.400000000001</v>
      </c>
      <c r="J11" s="75">
        <f>ROUND(EstimatedBalances!J10*'Int calc thru 10-31-2024'!J$9,2)</f>
        <v>16551.03</v>
      </c>
      <c r="K11" s="75">
        <f>ROUND(EstimatedBalances!K10*'Int calc thru 10-31-2024'!K$9,2)</f>
        <v>16132.75</v>
      </c>
      <c r="L11" s="75">
        <f>ROUND(EstimatedBalances!L10*'Int calc thru 10-31-2024'!L$9,2)</f>
        <v>16786.98</v>
      </c>
      <c r="N11" s="263">
        <f t="shared" ref="N11:N20" si="1">SUM(C11:M11)</f>
        <v>160036.06551589046</v>
      </c>
    </row>
    <row r="12" spans="1:14">
      <c r="A12" s="151" t="str">
        <f>+'Balances at 12-31-2023'!A14</f>
        <v>47WA.1862.20477</v>
      </c>
      <c r="B12" s="151" t="s">
        <v>240</v>
      </c>
      <c r="C12" s="75">
        <f>+'Balances at 12-31-2023'!D14*C9</f>
        <v>-6757.5803704109567</v>
      </c>
      <c r="D12" s="75">
        <f>ROUND(EstimatedBalances!D11*'Int calc thru 10-31-2024'!D9,2)</f>
        <v>-6367.24</v>
      </c>
      <c r="E12" s="75">
        <f>ROUND(EstimatedBalances!E11*'Int calc thru 10-31-2024'!E$9,2)</f>
        <v>-6852.33</v>
      </c>
      <c r="F12" s="75">
        <f>ROUND(EstimatedBalances!F11*'Int calc thru 10-31-2024'!F$9,2)</f>
        <v>-6679.16</v>
      </c>
      <c r="G12" s="75">
        <f>ROUND(EstimatedBalances!G11*'Int calc thru 10-31-2024'!G$9,2)</f>
        <v>-6950.02</v>
      </c>
      <c r="H12" s="75">
        <f>ROUND(EstimatedBalances!H11*'Int calc thru 10-31-2024'!H$9,2)</f>
        <v>-6774.38</v>
      </c>
      <c r="I12" s="75">
        <f>ROUND(EstimatedBalances!I11*'Int calc thru 10-31-2024'!I$9,2)</f>
        <v>-7049.1</v>
      </c>
      <c r="J12" s="75">
        <f>ROUND(EstimatedBalances!J11*'Int calc thru 10-31-2024'!J$9,2)</f>
        <v>-7099.98</v>
      </c>
      <c r="K12" s="75">
        <f>ROUND(EstimatedBalances!K11*'Int calc thru 10-31-2024'!K$9,2)</f>
        <v>-6920.56</v>
      </c>
      <c r="L12" s="75">
        <f>ROUND(EstimatedBalances!L11*'Int calc thru 10-31-2024'!L$9,2)</f>
        <v>-7201.2</v>
      </c>
      <c r="N12" s="263">
        <f t="shared" si="1"/>
        <v>-68651.550370410943</v>
      </c>
    </row>
    <row r="13" spans="1:14">
      <c r="A13" s="151" t="str">
        <f>+'Balances at 12-31-2023'!A15</f>
        <v>47WA.1862.20477</v>
      </c>
      <c r="B13" s="151" t="s">
        <v>241</v>
      </c>
      <c r="C13" s="75">
        <f>+'Balances at 12-31-2023'!D15*C9</f>
        <v>-529.23310835616485</v>
      </c>
      <c r="D13" s="75">
        <f>ROUND(EstimatedBalances!D12*'Int calc thru 10-31-2024'!D9,2)</f>
        <v>-498.66</v>
      </c>
      <c r="E13" s="75">
        <f>ROUND(EstimatedBalances!E12*'Int calc thru 10-31-2024'!E$9,2)</f>
        <v>-536.65</v>
      </c>
      <c r="F13" s="75">
        <f>ROUND(EstimatedBalances!F12*'Int calc thru 10-31-2024'!F$9,2)</f>
        <v>-523.09</v>
      </c>
      <c r="G13" s="75">
        <f>ROUND(EstimatedBalances!G12*'Int calc thru 10-31-2024'!G$9,2)</f>
        <v>-544.29999999999995</v>
      </c>
      <c r="H13" s="75">
        <f>ROUND(EstimatedBalances!H12*'Int calc thru 10-31-2024'!H$9,2)</f>
        <v>-530.54999999999995</v>
      </c>
      <c r="I13" s="75">
        <f>ROUND(EstimatedBalances!I12*'Int calc thru 10-31-2024'!I$9,2)</f>
        <v>-552.05999999999995</v>
      </c>
      <c r="J13" s="75">
        <f>ROUND(EstimatedBalances!J12*'Int calc thru 10-31-2024'!J$9,2)</f>
        <v>-556.04999999999995</v>
      </c>
      <c r="K13" s="75">
        <f>ROUND(EstimatedBalances!K12*'Int calc thru 10-31-2024'!K$9,2)</f>
        <v>-542</v>
      </c>
      <c r="L13" s="75">
        <f>ROUND(EstimatedBalances!L12*'Int calc thru 10-31-2024'!L$9,2)</f>
        <v>-563.98</v>
      </c>
      <c r="N13" s="263">
        <f t="shared" si="1"/>
        <v>-5376.5731083561641</v>
      </c>
    </row>
    <row r="14" spans="1:14">
      <c r="A14" s="151" t="str">
        <f>+'Balances at 12-31-2023'!A16</f>
        <v>47WA.1862.20477</v>
      </c>
      <c r="B14" s="151" t="s">
        <v>242</v>
      </c>
      <c r="C14" s="75">
        <f>+'Balances at 12-31-2023'!D16*C9</f>
        <v>3504.2355326027405</v>
      </c>
      <c r="D14" s="75">
        <f>ROUND(EstimatedBalances!D13*'Int calc thru 10-31-2024'!D9,2)</f>
        <v>3301.82</v>
      </c>
      <c r="E14" s="75">
        <f>ROUND(EstimatedBalances!E13*'Int calc thru 10-31-2024'!E$9,2)</f>
        <v>3553.37</v>
      </c>
      <c r="F14" s="75">
        <f>ROUND(EstimatedBalances!F13*'Int calc thru 10-31-2024'!F$9,2)</f>
        <v>3463.57</v>
      </c>
      <c r="G14" s="75">
        <f>ROUND(EstimatedBalances!G13*'Int calc thru 10-31-2024'!G$9,2)</f>
        <v>3604.03</v>
      </c>
      <c r="H14" s="75">
        <f>ROUND(EstimatedBalances!H13*'Int calc thru 10-31-2024'!H$9,2)</f>
        <v>3512.95</v>
      </c>
      <c r="I14" s="75">
        <f>ROUND(EstimatedBalances!I13*'Int calc thru 10-31-2024'!I$9,2)</f>
        <v>3655.4</v>
      </c>
      <c r="J14" s="75">
        <f>ROUND(EstimatedBalances!J13*'Int calc thru 10-31-2024'!J$9,2)</f>
        <v>3681.79</v>
      </c>
      <c r="K14" s="75">
        <f>ROUND(EstimatedBalances!K13*'Int calc thru 10-31-2024'!K$9,2)</f>
        <v>3588.75</v>
      </c>
      <c r="L14" s="75">
        <f>ROUND(EstimatedBalances!L13*'Int calc thru 10-31-2024'!L$9,2)</f>
        <v>3734.28</v>
      </c>
      <c r="N14" s="263">
        <f t="shared" si="1"/>
        <v>35600.195532602746</v>
      </c>
    </row>
    <row r="15" spans="1:14">
      <c r="A15" s="151" t="str">
        <f>+'Balances at 12-31-2023'!A17</f>
        <v>47WA.1862.20477</v>
      </c>
      <c r="B15" s="151" t="s">
        <v>243</v>
      </c>
      <c r="C15" s="75">
        <f>+'Balances at 12-31-2023'!D17*C9</f>
        <v>-33.46832616438347</v>
      </c>
      <c r="D15" s="75">
        <f>ROUND(EstimatedBalances!D14*'Int calc thru 10-31-2024'!D9,2)</f>
        <v>-31.54</v>
      </c>
      <c r="E15" s="75">
        <f>ROUND(EstimatedBalances!E14*'Int calc thru 10-31-2024'!E$9,2)</f>
        <v>-33.94</v>
      </c>
      <c r="F15" s="75">
        <f>ROUND(EstimatedBalances!F14*'Int calc thru 10-31-2024'!F$9,2)</f>
        <v>-33.08</v>
      </c>
      <c r="G15" s="75">
        <f>ROUND(EstimatedBalances!G14*'Int calc thru 10-31-2024'!G$9,2)</f>
        <v>-34.42</v>
      </c>
      <c r="H15" s="75">
        <f>ROUND(EstimatedBalances!H14*'Int calc thru 10-31-2024'!H$9,2)</f>
        <v>-33.549999999999997</v>
      </c>
      <c r="I15" s="75">
        <f>ROUND(EstimatedBalances!I14*'Int calc thru 10-31-2024'!I$9,2)</f>
        <v>-34.909999999999997</v>
      </c>
      <c r="J15" s="75">
        <f>ROUND(EstimatedBalances!J14*'Int calc thru 10-31-2024'!J$9,2)</f>
        <v>-35.159999999999997</v>
      </c>
      <c r="K15" s="75">
        <f>ROUND(EstimatedBalances!K14*'Int calc thru 10-31-2024'!K$9,2)</f>
        <v>-34.28</v>
      </c>
      <c r="L15" s="75">
        <f>ROUND(EstimatedBalances!L14*'Int calc thru 10-31-2024'!L$9,2)</f>
        <v>-35.67</v>
      </c>
      <c r="N15" s="263">
        <f t="shared" si="1"/>
        <v>-340.0183261643835</v>
      </c>
    </row>
    <row r="16" spans="1:14">
      <c r="A16" s="151" t="str">
        <f>+'Balances at 12-31-2023'!A18</f>
        <v>47WA.1862.20480</v>
      </c>
      <c r="B16" s="151" t="str">
        <f>+'Balances at 12-31-2023'!B18</f>
        <v>503-Residential</v>
      </c>
      <c r="C16" s="75">
        <f>+'Balances at 12-31-2023'!D18*C9</f>
        <v>-7660.8663425493378</v>
      </c>
      <c r="D16" s="75">
        <f>ROUND(EstimatedBalances!D15*'Int calc thru 10-31-2024'!D9,2)</f>
        <v>-5475.58</v>
      </c>
      <c r="E16" s="75">
        <f>ROUND(EstimatedBalances!E15*'Int calc thru 10-31-2024'!E$9,2)</f>
        <v>-4589.63</v>
      </c>
      <c r="F16" s="75">
        <f>ROUND(EstimatedBalances!F15*'Int calc thru 10-31-2024'!F$9,2)</f>
        <v>-3335.37</v>
      </c>
      <c r="G16" s="75">
        <f>ROUND(EstimatedBalances!G15*'Int calc thru 10-31-2024'!G$9,2)</f>
        <v>-2755.58</v>
      </c>
      <c r="H16" s="75">
        <f>ROUND(EstimatedBalances!H15*'Int calc thru 10-31-2024'!H$9,2)</f>
        <v>-2188.38</v>
      </c>
      <c r="I16" s="75">
        <f>ROUND(EstimatedBalances!I15*'Int calc thru 10-31-2024'!I$9,2)</f>
        <v>-2074.96</v>
      </c>
      <c r="J16" s="75">
        <f>ROUND(EstimatedBalances!J15*'Int calc thru 10-31-2024'!J$9,2)</f>
        <v>-1832.45</v>
      </c>
      <c r="K16" s="75">
        <f>ROUND(EstimatedBalances!K15*'Int calc thru 10-31-2024'!K$9,2)</f>
        <v>-1594.92</v>
      </c>
      <c r="L16" s="75">
        <f>ROUND(EstimatedBalances!L15*'Int calc thru 10-31-2024'!L$9,2)</f>
        <v>-1371.79</v>
      </c>
      <c r="N16" s="263">
        <f t="shared" si="1"/>
        <v>-32879.526342549339</v>
      </c>
    </row>
    <row r="17" spans="1:14">
      <c r="A17" s="151" t="str">
        <f>+'Balances at 12-31-2023'!A19</f>
        <v>47WA.1862.20480</v>
      </c>
      <c r="B17" s="151" t="str">
        <f>+'Balances at 12-31-2023'!B19</f>
        <v>504-Commercial</v>
      </c>
      <c r="C17" s="75">
        <f>+'Balances at 12-31-2023'!D19*C9</f>
        <v>-10596.800304874499</v>
      </c>
      <c r="D17" s="75">
        <f>ROUND(EstimatedBalances!D16*'Int calc thru 10-31-2024'!D9,2)</f>
        <v>-7649.88</v>
      </c>
      <c r="E17" s="75">
        <f>ROUND(EstimatedBalances!E16*'Int calc thru 10-31-2024'!E$9,2)</f>
        <v>-6259.62</v>
      </c>
      <c r="F17" s="75">
        <f>ROUND(EstimatedBalances!F16*'Int calc thru 10-31-2024'!F$9,2)</f>
        <v>-4632.1400000000003</v>
      </c>
      <c r="G17" s="75">
        <f>ROUND(EstimatedBalances!G16*'Int calc thru 10-31-2024'!G$9,2)</f>
        <v>-3757.65</v>
      </c>
      <c r="H17" s="75">
        <f>ROUND(EstimatedBalances!H16*'Int calc thru 10-31-2024'!H$9,2)</f>
        <v>-2950.87</v>
      </c>
      <c r="I17" s="75">
        <f>ROUND(EstimatedBalances!I16*'Int calc thru 10-31-2024'!I$9,2)</f>
        <v>-2502.39</v>
      </c>
      <c r="J17" s="75">
        <f>ROUND(EstimatedBalances!J16*'Int calc thru 10-31-2024'!J$9,2)</f>
        <v>-2220.36</v>
      </c>
      <c r="K17" s="75">
        <f>ROUND(EstimatedBalances!K16*'Int calc thru 10-31-2024'!K$9,2)</f>
        <v>-1784.98</v>
      </c>
      <c r="L17" s="75">
        <f>ROUND(EstimatedBalances!L16*'Int calc thru 10-31-2024'!L$9,2)</f>
        <v>-1326.57</v>
      </c>
      <c r="N17" s="263">
        <f t="shared" si="1"/>
        <v>-43681.2603048745</v>
      </c>
    </row>
    <row r="18" spans="1:14">
      <c r="A18" s="151" t="str">
        <f>+'Balances at 12-31-2023'!A20</f>
        <v>47WA.1862.20480</v>
      </c>
      <c r="B18" s="151" t="str">
        <f>+'Balances at 12-31-2023'!B20</f>
        <v>505-Industrial</v>
      </c>
      <c r="C18" s="75">
        <f>+'Balances at 12-31-2023'!D20*C9</f>
        <v>58.626717296027778</v>
      </c>
      <c r="D18" s="75">
        <f>ROUND(EstimatedBalances!D17*'Int calc thru 10-31-2024'!D9,2)</f>
        <v>62.11</v>
      </c>
      <c r="E18" s="75">
        <f>ROUND(EstimatedBalances!E17*'Int calc thru 10-31-2024'!E$9,2)</f>
        <v>73.349999999999994</v>
      </c>
      <c r="F18" s="75">
        <f>ROUND(EstimatedBalances!F17*'Int calc thru 10-31-2024'!F$9,2)</f>
        <v>77.09</v>
      </c>
      <c r="G18" s="75">
        <f>ROUND(EstimatedBalances!G17*'Int calc thru 10-31-2024'!G$9,2)</f>
        <v>84.77</v>
      </c>
      <c r="H18" s="75">
        <f>ROUND(EstimatedBalances!H17*'Int calc thru 10-31-2024'!H$9,2)</f>
        <v>86.5</v>
      </c>
      <c r="I18" s="75">
        <f>ROUND(EstimatedBalances!I17*'Int calc thru 10-31-2024'!I$9,2)</f>
        <v>95.78</v>
      </c>
      <c r="J18" s="75">
        <f>ROUND(EstimatedBalances!J17*'Int calc thru 10-31-2024'!J$9,2)</f>
        <v>98.63</v>
      </c>
      <c r="K18" s="75">
        <f>ROUND(EstimatedBalances!K17*'Int calc thru 10-31-2024'!K$9,2)</f>
        <v>98.07</v>
      </c>
      <c r="L18" s="75">
        <f>ROUND(EstimatedBalances!L17*'Int calc thru 10-31-2024'!L$9,2)</f>
        <v>104.09</v>
      </c>
      <c r="N18" s="263">
        <f t="shared" si="1"/>
        <v>839.01671729602765</v>
      </c>
    </row>
    <row r="19" spans="1:14">
      <c r="A19" s="151" t="str">
        <f>+'Balances at 12-31-2023'!A21</f>
        <v>47WA.1862.20480</v>
      </c>
      <c r="B19" s="151" t="str">
        <f>+'Balances at 12-31-2023'!B21</f>
        <v>511-Large Volume</v>
      </c>
      <c r="C19" s="75">
        <f>+'Balances at 12-31-2023'!D21*C9</f>
        <v>3402.5510678468495</v>
      </c>
      <c r="D19" s="75">
        <f>ROUND(EstimatedBalances!D18*'Int calc thru 10-31-2024'!D9,2)</f>
        <v>3155.36</v>
      </c>
      <c r="E19" s="75">
        <f>ROUND(EstimatedBalances!E18*'Int calc thru 10-31-2024'!E$9,2)</f>
        <v>3354.34</v>
      </c>
      <c r="F19" s="75">
        <f>ROUND(EstimatedBalances!F18*'Int calc thru 10-31-2024'!F$9,2)</f>
        <v>3237.1</v>
      </c>
      <c r="G19" s="75">
        <f>ROUND(EstimatedBalances!G18*'Int calc thru 10-31-2024'!G$9,2)</f>
        <v>3339.35</v>
      </c>
      <c r="H19" s="75">
        <f>ROUND(EstimatedBalances!H18*'Int calc thru 10-31-2024'!H$9,2)</f>
        <v>3233.97</v>
      </c>
      <c r="I19" s="75">
        <f>ROUND(EstimatedBalances!I18*'Int calc thru 10-31-2024'!I$9,2)</f>
        <v>3344</v>
      </c>
      <c r="J19" s="75">
        <f>ROUND(EstimatedBalances!J18*'Int calc thru 10-31-2024'!J$9,2)</f>
        <v>3353.73</v>
      </c>
      <c r="K19" s="75">
        <f>ROUND(EstimatedBalances!K18*'Int calc thru 10-31-2024'!K$9,2)</f>
        <v>3247.19</v>
      </c>
      <c r="L19" s="75">
        <f>ROUND(EstimatedBalances!L18*'Int calc thru 10-31-2024'!L$9,2)</f>
        <v>3365.63</v>
      </c>
      <c r="N19" s="263">
        <f t="shared" si="1"/>
        <v>33033.221067846847</v>
      </c>
    </row>
    <row r="20" spans="1:14">
      <c r="A20" s="151" t="str">
        <f>+'Balances at 12-31-2023'!A22</f>
        <v>47WA.1862.20480</v>
      </c>
      <c r="B20" s="151" t="str">
        <f>+'Balances at 12-31-2023'!B22</f>
        <v>570-Interruptible Commercial</v>
      </c>
      <c r="C20" s="75">
        <f>+'Balances at 12-31-2023'!D22*C9</f>
        <v>-51.214633607123211</v>
      </c>
      <c r="D20" s="75">
        <f>ROUND(EstimatedBalances!D19*'Int calc thru 10-31-2024'!D9,2)</f>
        <v>-41.1</v>
      </c>
      <c r="E20" s="75">
        <f>ROUND(EstimatedBalances!E19*'Int calc thru 10-31-2024'!E$9,2)</f>
        <v>-37.35</v>
      </c>
      <c r="F20" s="75">
        <f>ROUND(EstimatedBalances!F19*'Int calc thru 10-31-2024'!F$9,2)</f>
        <v>-30.01</v>
      </c>
      <c r="G20" s="75">
        <f>ROUND(EstimatedBalances!G19*'Int calc thru 10-31-2024'!G$9,2)</f>
        <v>-25.59</v>
      </c>
      <c r="H20" s="75">
        <f>ROUND(EstimatedBalances!H19*'Int calc thru 10-31-2024'!H$9,2)</f>
        <v>-20.38</v>
      </c>
      <c r="I20" s="75">
        <f>ROUND(EstimatedBalances!I19*'Int calc thru 10-31-2024'!I$9,2)</f>
        <v>-17.920000000000002</v>
      </c>
      <c r="J20" s="75">
        <f>ROUND(EstimatedBalances!J19*'Int calc thru 10-31-2024'!J$9,2)</f>
        <v>-17.02</v>
      </c>
      <c r="K20" s="75">
        <f>ROUND(EstimatedBalances!K19*'Int calc thru 10-31-2024'!K$9,2)</f>
        <v>-14.33</v>
      </c>
      <c r="L20" s="75">
        <f>ROUND(EstimatedBalances!L19*'Int calc thru 10-31-2024'!L$9,2)</f>
        <v>-12.19</v>
      </c>
      <c r="N20" s="263">
        <f t="shared" si="1"/>
        <v>-267.10463360712322</v>
      </c>
    </row>
    <row r="21" spans="1:14">
      <c r="J21" s="75"/>
      <c r="K21" s="75"/>
      <c r="L21" s="75"/>
      <c r="N21" s="263"/>
    </row>
    <row r="22" spans="1:14" ht="15.75" thickBot="1">
      <c r="A22" s="152" t="s">
        <v>26</v>
      </c>
      <c r="C22" s="245">
        <f t="shared" ref="C22:I22" si="2">SUM(C10:C20)</f>
        <v>-2910.9142523264254</v>
      </c>
      <c r="D22" s="245">
        <f t="shared" si="2"/>
        <v>1298.1999999999991</v>
      </c>
      <c r="E22" s="245">
        <f t="shared" si="2"/>
        <v>4645.2499999999982</v>
      </c>
      <c r="F22" s="245">
        <f t="shared" si="2"/>
        <v>7114.9400000000005</v>
      </c>
      <c r="G22" s="245">
        <f t="shared" si="2"/>
        <v>9162.0200000000023</v>
      </c>
      <c r="H22" s="245">
        <f t="shared" si="2"/>
        <v>10127.300000000003</v>
      </c>
      <c r="I22" s="245">
        <f t="shared" si="2"/>
        <v>11296.24</v>
      </c>
      <c r="J22" s="245">
        <f>SUM(J10:J20)</f>
        <v>11924.159999999998</v>
      </c>
      <c r="K22" s="245">
        <f>SUM(K10:K20)</f>
        <v>12175.689999999999</v>
      </c>
      <c r="L22" s="245">
        <f>SUM(L10:L20)</f>
        <v>13479.58</v>
      </c>
      <c r="M22" s="245">
        <f>SUM(M10:M16)</f>
        <v>0</v>
      </c>
      <c r="N22" s="255">
        <f>SUM(N10:N20)</f>
        <v>78312.465747673603</v>
      </c>
    </row>
    <row r="23" spans="1:14" ht="15.75" thickTop="1"/>
    <row r="24" spans="1:14"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56"/>
    </row>
  </sheetData>
  <mergeCells count="4">
    <mergeCell ref="B1:K1"/>
    <mergeCell ref="B2:K2"/>
    <mergeCell ref="B3:K3"/>
    <mergeCell ref="B4:K4"/>
  </mergeCells>
  <phoneticPr fontId="31" type="noConversion"/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1"/>
  <sheetViews>
    <sheetView workbookViewId="0">
      <selection activeCell="D18" sqref="D18"/>
    </sheetView>
  </sheetViews>
  <sheetFormatPr defaultColWidth="9.33203125" defaultRowHeight="15"/>
  <cols>
    <col min="1" max="1" width="22.1640625" style="151" customWidth="1"/>
    <col min="2" max="2" width="11.1640625" style="151" bestFit="1" customWidth="1"/>
    <col min="3" max="3" width="12.1640625" style="151" customWidth="1"/>
    <col min="4" max="4" width="17.6640625" style="151" bestFit="1" customWidth="1"/>
    <col min="5" max="6" width="16.6640625" style="151" bestFit="1" customWidth="1"/>
    <col min="7" max="10" width="15.6640625" style="151" bestFit="1" customWidth="1"/>
    <col min="11" max="11" width="17.6640625" style="151" customWidth="1"/>
    <col min="12" max="12" width="17" style="151" customWidth="1"/>
    <col min="13" max="13" width="17.33203125" style="151" customWidth="1"/>
    <col min="14" max="14" width="20" style="151" customWidth="1"/>
    <col min="15" max="15" width="12.6640625" style="151" customWidth="1"/>
    <col min="16" max="16" width="15.6640625" style="151" bestFit="1" customWidth="1"/>
    <col min="17" max="16384" width="9.33203125" style="151"/>
  </cols>
  <sheetData>
    <row r="1" spans="1:16">
      <c r="A1" s="552" t="s">
        <v>33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6">
      <c r="A2" s="552" t="s">
        <v>348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</row>
    <row r="3" spans="1:16">
      <c r="A3" s="552" t="s">
        <v>35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328"/>
    </row>
    <row r="4" spans="1:16">
      <c r="A4" s="158"/>
      <c r="N4" s="327"/>
      <c r="O4" s="329"/>
    </row>
    <row r="5" spans="1:16">
      <c r="A5" s="2"/>
      <c r="N5" s="327"/>
      <c r="O5" s="329"/>
    </row>
    <row r="6" spans="1:16">
      <c r="A6" s="330"/>
      <c r="K6" s="327"/>
      <c r="L6" s="327"/>
      <c r="M6" s="327"/>
      <c r="N6" s="327"/>
      <c r="O6" s="331"/>
    </row>
    <row r="9" spans="1:16">
      <c r="C9" s="494">
        <v>45231</v>
      </c>
      <c r="D9" s="253" t="s">
        <v>214</v>
      </c>
      <c r="E9" s="253" t="s">
        <v>214</v>
      </c>
      <c r="F9" s="253" t="s">
        <v>214</v>
      </c>
      <c r="G9" s="253" t="s">
        <v>214</v>
      </c>
      <c r="H9" s="253" t="s">
        <v>214</v>
      </c>
      <c r="I9" s="253" t="s">
        <v>214</v>
      </c>
      <c r="J9" s="253" t="s">
        <v>214</v>
      </c>
      <c r="K9" s="253" t="s">
        <v>214</v>
      </c>
      <c r="L9" s="253" t="s">
        <v>214</v>
      </c>
      <c r="M9" s="253" t="s">
        <v>214</v>
      </c>
      <c r="N9" s="495" t="s">
        <v>214</v>
      </c>
    </row>
    <row r="10" spans="1:16">
      <c r="C10" s="254" t="s">
        <v>215</v>
      </c>
      <c r="D10" s="230">
        <v>45292</v>
      </c>
      <c r="E10" s="230">
        <v>45323</v>
      </c>
      <c r="F10" s="230">
        <v>45352</v>
      </c>
      <c r="G10" s="230">
        <v>45383</v>
      </c>
      <c r="H10" s="230">
        <v>45413</v>
      </c>
      <c r="I10" s="230">
        <v>45444</v>
      </c>
      <c r="J10" s="230">
        <v>45474</v>
      </c>
      <c r="K10" s="230">
        <v>45505</v>
      </c>
      <c r="L10" s="230">
        <v>45536</v>
      </c>
      <c r="M10" s="230">
        <v>45566</v>
      </c>
      <c r="N10" s="495" t="s">
        <v>216</v>
      </c>
    </row>
    <row r="11" spans="1:16">
      <c r="C11" s="232" t="s">
        <v>217</v>
      </c>
      <c r="D11" s="68" t="s">
        <v>218</v>
      </c>
      <c r="E11" s="68" t="s">
        <v>218</v>
      </c>
      <c r="F11" s="68" t="s">
        <v>218</v>
      </c>
      <c r="G11" s="68" t="s">
        <v>218</v>
      </c>
      <c r="H11" s="68" t="s">
        <v>218</v>
      </c>
      <c r="I11" s="68" t="s">
        <v>218</v>
      </c>
      <c r="J11" s="68" t="s">
        <v>218</v>
      </c>
      <c r="K11" s="68" t="s">
        <v>218</v>
      </c>
      <c r="L11" s="68" t="s">
        <v>218</v>
      </c>
      <c r="M11" s="68" t="s">
        <v>218</v>
      </c>
      <c r="N11" s="496">
        <v>45596</v>
      </c>
    </row>
    <row r="12" spans="1:16">
      <c r="A12" s="151" t="s">
        <v>224</v>
      </c>
      <c r="B12" s="151" t="s">
        <v>23</v>
      </c>
      <c r="C12" s="470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6">
      <c r="A13" s="151" t="s">
        <v>238</v>
      </c>
      <c r="B13" s="151" t="s">
        <v>23</v>
      </c>
      <c r="C13" s="470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6">
      <c r="B14" s="233">
        <v>503</v>
      </c>
      <c r="C14" s="470">
        <v>1.1390000000000001E-2</v>
      </c>
      <c r="D14" s="75">
        <f>+$C$14*'Test Period Volumes'!$C11</f>
        <v>258057.53500000003</v>
      </c>
      <c r="E14" s="75">
        <f>+$C$14*'Test Period Volumes'!$C12</f>
        <v>180506.55590000001</v>
      </c>
      <c r="F14" s="75">
        <f>+$C$14*'Test Period Volumes'!$C13</f>
        <v>162928.83589000002</v>
      </c>
      <c r="G14" s="75">
        <f>+$C$14*'Test Period Volumes'!$C14</f>
        <v>99048.385370000004</v>
      </c>
      <c r="H14" s="75">
        <f>+$C$14*'Test Period Volumes'!$C15</f>
        <v>71219.494510000004</v>
      </c>
      <c r="I14" s="75">
        <f>+$C$14*'Test Period Volumes'!$C16</f>
        <v>28004.467710000001</v>
      </c>
      <c r="J14" s="75">
        <f>+$C$14*'Test Period Volumes'!$C17</f>
        <v>35666.714340000006</v>
      </c>
      <c r="K14" s="75">
        <f>+$C$14*'Test Period Volumes'!$C19</f>
        <v>27370.383368536055</v>
      </c>
      <c r="L14" s="75">
        <f>+C14*'Test Period Volumes'!C20</f>
        <v>39867.428593279401</v>
      </c>
      <c r="M14" s="75">
        <f>+C14*'Test Period Volumes'!C21</f>
        <v>115968.8145854217</v>
      </c>
      <c r="N14" s="75">
        <f>SUM(D14:M14)</f>
        <v>1018638.6152672372</v>
      </c>
      <c r="P14" s="76"/>
    </row>
    <row r="15" spans="1:16">
      <c r="B15" s="233">
        <v>504</v>
      </c>
      <c r="C15" s="470">
        <v>2.197E-2</v>
      </c>
      <c r="D15" s="75">
        <f>+$C$15*'Test Period Volumes'!D11</f>
        <v>345723.39126</v>
      </c>
      <c r="E15" s="75">
        <f>+$C$15*'Test Period Volumes'!D12</f>
        <v>273308.93109000003</v>
      </c>
      <c r="F15" s="75">
        <f>+$C$15*'Test Period Volumes'!D13</f>
        <v>210310.32957999999</v>
      </c>
      <c r="G15" s="75">
        <f>+$C$15*'Test Period Volumes'!D14</f>
        <v>147153.76376999999</v>
      </c>
      <c r="H15" s="75">
        <f>+$C$15*'Test Period Volumes'!D15</f>
        <v>101888.18184999999</v>
      </c>
      <c r="I15" s="75">
        <f>+$C$15*'Test Period Volumes'!D16</f>
        <v>78699.769589999996</v>
      </c>
      <c r="J15" s="75">
        <f>+$C$15*'Test Period Volumes'!D17</f>
        <v>41568.27259</v>
      </c>
      <c r="K15" s="75">
        <f>+$C$15*'Test Period Volumes'!D19</f>
        <v>54288.044500775592</v>
      </c>
      <c r="L15" s="75">
        <f>+C15*'Test Period Volumes'!D20</f>
        <v>73525.334629729696</v>
      </c>
      <c r="M15" s="75">
        <f>+C15*'Test Period Volumes'!D21</f>
        <v>177048.42119115073</v>
      </c>
      <c r="N15" s="75">
        <f>SUM(D15:M15)</f>
        <v>1503514.440051656</v>
      </c>
      <c r="P15" s="76"/>
    </row>
    <row r="16" spans="1:16">
      <c r="B16" s="233">
        <v>505</v>
      </c>
      <c r="C16" s="470">
        <v>5.9999999999999995E-4</v>
      </c>
      <c r="D16" s="75">
        <f>+$C$16*'Test Period Volumes'!E11</f>
        <v>1017.8693999999999</v>
      </c>
      <c r="E16" s="75">
        <f>+$C$16*'Test Period Volumes'!E12</f>
        <v>901.00499999999988</v>
      </c>
      <c r="F16" s="75">
        <f>+$C$16*'Test Period Volumes'!E13</f>
        <v>799.93379999999991</v>
      </c>
      <c r="G16" s="75">
        <f>+$C$16*'Test Period Volumes'!E14</f>
        <v>632.07119999999998</v>
      </c>
      <c r="H16" s="75">
        <f>+$C$16*'Test Period Volumes'!E15</f>
        <v>553.75559999999996</v>
      </c>
      <c r="I16" s="75">
        <f>+$C$16*'Test Period Volumes'!E13</f>
        <v>799.93379999999991</v>
      </c>
      <c r="J16" s="75">
        <f>+$C$16*'Test Period Volumes'!E17</f>
        <v>299.01299999999998</v>
      </c>
      <c r="K16" s="75">
        <f>+$C$16*'Test Period Volumes'!E19</f>
        <v>276.51762105092143</v>
      </c>
      <c r="L16" s="75">
        <f>+C16*'Test Period Volumes'!E20</f>
        <v>281.90330443132888</v>
      </c>
      <c r="M16" s="75">
        <f>+C16*'Test Period Volumes'!E21</f>
        <v>676.69092384049748</v>
      </c>
      <c r="N16" s="75">
        <f>SUM(D16:M16)</f>
        <v>6238.6936493227477</v>
      </c>
      <c r="P16" s="76"/>
    </row>
    <row r="17" spans="1:16">
      <c r="B17" s="233">
        <v>511</v>
      </c>
      <c r="C17" s="470">
        <v>-3.3899999999999998E-3</v>
      </c>
      <c r="D17" s="75">
        <f>+$C$17*'Test Period Volumes'!F11</f>
        <v>-7500.0190499999999</v>
      </c>
      <c r="E17" s="75">
        <f>+$C$17*'Test Period Volumes'!F12</f>
        <v>-5736.0189899999996</v>
      </c>
      <c r="F17" s="75">
        <f>+$C$17*'Test Period Volumes'!F13</f>
        <v>-4648.0154400000001</v>
      </c>
      <c r="G17" s="75">
        <f>+$C$17*'Test Period Volumes'!F14</f>
        <v>-4019.6518199999996</v>
      </c>
      <c r="H17" s="75">
        <f>+$C$17*'Test Period Volumes'!F15</f>
        <v>-3004.5230999999999</v>
      </c>
      <c r="I17" s="75">
        <f>+$C$17*'Test Period Volumes'!F16</f>
        <v>-2925.3801599999997</v>
      </c>
      <c r="J17" s="75">
        <f>+$C$17*'Test Period Volumes'!F17</f>
        <v>-1996.3676099999998</v>
      </c>
      <c r="K17" s="75">
        <f>+$C$17*'Test Period Volumes'!F19</f>
        <v>-3117.374692110805</v>
      </c>
      <c r="L17" s="75">
        <f>+C17*'Test Period Volumes'!F20</f>
        <v>-1834.9358342788482</v>
      </c>
      <c r="M17" s="75">
        <f>+C17*'Test Period Volumes'!F21</f>
        <v>-4953.4050995297011</v>
      </c>
      <c r="N17" s="75">
        <f>SUM(D17:M17)</f>
        <v>-39735.691795919352</v>
      </c>
      <c r="P17" s="76"/>
    </row>
    <row r="18" spans="1:16">
      <c r="B18" s="233">
        <v>570</v>
      </c>
      <c r="C18" s="470">
        <v>4.0000000000000001E-3</v>
      </c>
      <c r="D18" s="75">
        <f>+$C$18*'Test Period Volumes'!G11</f>
        <v>1059.94</v>
      </c>
      <c r="E18" s="75">
        <f>+$C$18*'Test Period Volumes'!G12</f>
        <v>953.15200000000004</v>
      </c>
      <c r="F18" s="75">
        <f>+$C$18*'Test Period Volumes'!G13</f>
        <v>914.79200000000003</v>
      </c>
      <c r="G18" s="75">
        <f>+$C$18*'Test Period Volumes'!G14</f>
        <v>780.96</v>
      </c>
      <c r="H18" s="75">
        <f>+$C$18*'Test Period Volumes'!G15</f>
        <v>653.05600000000004</v>
      </c>
      <c r="I18" s="75">
        <f>+$C$18*'Test Period Volumes'!G16</f>
        <v>455.34000000000003</v>
      </c>
      <c r="J18" s="75">
        <f>+$C$18*'Test Period Volumes'!G17</f>
        <v>143.00399999999999</v>
      </c>
      <c r="K18" s="75">
        <f>+$C$18*'Test Period Volumes'!G19</f>
        <v>323.3242695939461</v>
      </c>
      <c r="L18" s="75">
        <f>+C18*'Test Period Volumes'!G20</f>
        <v>376.97874833204554</v>
      </c>
      <c r="M18" s="75">
        <f>+C18*'Test Period Volumes'!G21</f>
        <v>832.085947540794</v>
      </c>
      <c r="N18" s="75">
        <f>SUM(D18:M18)</f>
        <v>6492.6329654667852</v>
      </c>
    </row>
    <row r="19" spans="1:16" ht="15.75" thickBot="1">
      <c r="A19" s="152" t="s">
        <v>219</v>
      </c>
      <c r="C19" s="152"/>
      <c r="D19" s="235">
        <f t="shared" ref="D19:J19" si="0">SUM(D12:D18)</f>
        <v>598358.71661</v>
      </c>
      <c r="E19" s="235">
        <f t="shared" si="0"/>
        <v>449933.625</v>
      </c>
      <c r="F19" s="235">
        <f t="shared" si="0"/>
        <v>370305.87583000003</v>
      </c>
      <c r="G19" s="235">
        <f t="shared" si="0"/>
        <v>243595.52851999999</v>
      </c>
      <c r="H19" s="235">
        <f t="shared" si="0"/>
        <v>171309.96486000001</v>
      </c>
      <c r="I19" s="235">
        <f t="shared" si="0"/>
        <v>105034.13093999999</v>
      </c>
      <c r="J19" s="235">
        <f t="shared" si="0"/>
        <v>75680.63632000002</v>
      </c>
      <c r="K19" s="235">
        <f>SUM(K12:K18)</f>
        <v>79140.895067845704</v>
      </c>
      <c r="L19" s="235">
        <f>SUM(L12:L18)</f>
        <v>112216.70944149361</v>
      </c>
      <c r="M19" s="235">
        <f>SUM(M12:M18)</f>
        <v>289572.60754842404</v>
      </c>
      <c r="N19" s="235">
        <f>SUM(N12:N18)</f>
        <v>2495148.690137763</v>
      </c>
      <c r="P19" s="76"/>
    </row>
    <row r="20" spans="1:16" ht="15.75" thickTop="1"/>
    <row r="21" spans="1:16"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</sheetData>
  <mergeCells count="3">
    <mergeCell ref="A1:N1"/>
    <mergeCell ref="A2:N2"/>
    <mergeCell ref="A3:N3"/>
  </mergeCells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3"/>
  <sheetViews>
    <sheetView zoomScaleNormal="100" workbookViewId="0">
      <selection activeCell="F14" sqref="F14"/>
    </sheetView>
  </sheetViews>
  <sheetFormatPr defaultColWidth="9.33203125" defaultRowHeight="15"/>
  <cols>
    <col min="1" max="1" width="19.33203125" style="151" bestFit="1" customWidth="1"/>
    <col min="2" max="2" width="32.5" style="151" bestFit="1" customWidth="1"/>
    <col min="3" max="4" width="17.6640625" style="151" bestFit="1" customWidth="1"/>
    <col min="5" max="5" width="17.6640625" style="151" customWidth="1"/>
    <col min="6" max="13" width="17.6640625" style="151" bestFit="1" customWidth="1"/>
    <col min="14" max="14" width="7.1640625" style="151" bestFit="1" customWidth="1"/>
    <col min="15" max="15" width="17.6640625" style="151" bestFit="1" customWidth="1"/>
    <col min="16" max="16384" width="9.33203125" style="151"/>
  </cols>
  <sheetData>
    <row r="1" spans="1:15">
      <c r="B1" s="552" t="s">
        <v>33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</row>
    <row r="2" spans="1:15">
      <c r="B2" s="576" t="s">
        <v>347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</row>
    <row r="3" spans="1:15">
      <c r="B3" s="552" t="s">
        <v>35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</row>
    <row r="4" spans="1:15">
      <c r="A4" s="574"/>
      <c r="B4" s="575"/>
    </row>
    <row r="6" spans="1:15">
      <c r="C6" s="492">
        <v>45291</v>
      </c>
      <c r="D6" s="492">
        <v>45322</v>
      </c>
      <c r="E6" s="492">
        <v>45350</v>
      </c>
      <c r="F6" s="492">
        <v>45382</v>
      </c>
      <c r="G6" s="492">
        <v>45412</v>
      </c>
      <c r="H6" s="492">
        <v>45443</v>
      </c>
      <c r="I6" s="492">
        <v>45473</v>
      </c>
      <c r="J6" s="492">
        <v>45504</v>
      </c>
      <c r="K6" s="492">
        <v>45535</v>
      </c>
      <c r="L6" s="492">
        <v>45565</v>
      </c>
      <c r="M6" s="492">
        <v>45596</v>
      </c>
      <c r="N6" s="230"/>
      <c r="O6" s="67" t="s">
        <v>106</v>
      </c>
    </row>
    <row r="7" spans="1:15">
      <c r="A7" s="2" t="s">
        <v>18</v>
      </c>
      <c r="B7" s="66" t="s">
        <v>181</v>
      </c>
      <c r="C7" s="254" t="s">
        <v>17</v>
      </c>
      <c r="D7" s="254" t="s">
        <v>17</v>
      </c>
      <c r="E7" s="254" t="s">
        <v>17</v>
      </c>
      <c r="F7" s="254" t="s">
        <v>17</v>
      </c>
      <c r="G7" s="254" t="s">
        <v>17</v>
      </c>
      <c r="H7" s="254" t="s">
        <v>17</v>
      </c>
      <c r="I7" s="254" t="s">
        <v>17</v>
      </c>
      <c r="J7" s="254" t="s">
        <v>17</v>
      </c>
      <c r="K7" s="254" t="s">
        <v>17</v>
      </c>
      <c r="L7" s="254" t="s">
        <v>17</v>
      </c>
      <c r="M7" s="254" t="s">
        <v>17</v>
      </c>
      <c r="N7" s="254"/>
      <c r="O7" s="254" t="s">
        <v>107</v>
      </c>
    </row>
    <row r="8" spans="1:15">
      <c r="A8" s="32" t="s">
        <v>20</v>
      </c>
      <c r="C8" s="254" t="s">
        <v>19</v>
      </c>
      <c r="D8" s="254" t="s">
        <v>19</v>
      </c>
      <c r="E8" s="254" t="s">
        <v>19</v>
      </c>
      <c r="F8" s="254" t="s">
        <v>19</v>
      </c>
      <c r="G8" s="254" t="s">
        <v>19</v>
      </c>
      <c r="H8" s="254" t="s">
        <v>19</v>
      </c>
      <c r="I8" s="254" t="s">
        <v>19</v>
      </c>
      <c r="J8" s="254" t="s">
        <v>19</v>
      </c>
      <c r="K8" s="254" t="s">
        <v>19</v>
      </c>
      <c r="L8" s="254" t="s">
        <v>19</v>
      </c>
      <c r="M8" s="254" t="s">
        <v>19</v>
      </c>
      <c r="N8" s="254"/>
      <c r="O8" s="492">
        <v>45596</v>
      </c>
    </row>
    <row r="9" spans="1:15">
      <c r="C9" s="32" t="s">
        <v>20</v>
      </c>
      <c r="D9" s="32" t="s">
        <v>20</v>
      </c>
      <c r="E9" s="32" t="s">
        <v>20</v>
      </c>
      <c r="F9" s="32" t="s">
        <v>20</v>
      </c>
      <c r="G9" s="32" t="s">
        <v>20</v>
      </c>
      <c r="H9" s="32" t="s">
        <v>20</v>
      </c>
      <c r="I9" s="32" t="s">
        <v>20</v>
      </c>
      <c r="J9" s="32" t="s">
        <v>20</v>
      </c>
      <c r="K9" s="32" t="s">
        <v>20</v>
      </c>
      <c r="L9" s="32" t="s">
        <v>20</v>
      </c>
      <c r="M9" s="32"/>
      <c r="N9" s="32"/>
      <c r="O9" s="32"/>
    </row>
    <row r="10" spans="1:15">
      <c r="A10" s="233" t="str">
        <f>+'Int calc thru 10-31-2024'!A11</f>
        <v>47WA.1862.20477</v>
      </c>
      <c r="B10" s="151" t="str">
        <f>+'Int calc thru 10-31-2024'!B11</f>
        <v>503-Residential</v>
      </c>
      <c r="C10" s="365">
        <f>+'Balances at 12-31-2023'!D13</f>
        <v>2182081.5800000015</v>
      </c>
      <c r="D10" s="365">
        <f>+C10+'Int calc thru 10-31-2024'!C11</f>
        <v>2197834.4155158917</v>
      </c>
      <c r="E10" s="236">
        <f>+D10+'Int calc thru 10-31-2024'!D11</f>
        <v>2212677.3255158919</v>
      </c>
      <c r="F10" s="236">
        <f>+E10+'Int calc thru 10-31-2024'!E11</f>
        <v>2228651.0355158919</v>
      </c>
      <c r="G10" s="236">
        <f>+F10+'Int calc thru 10-31-2024'!F11</f>
        <v>2244221.0655158916</v>
      </c>
      <c r="H10" s="236">
        <f>+G10+'Int calc thru 10-31-2024'!G11</f>
        <v>2260422.4955158918</v>
      </c>
      <c r="I10" s="236">
        <f>+H10+'Int calc thru 10-31-2024'!H11</f>
        <v>2276214.485515892</v>
      </c>
      <c r="J10" s="236">
        <f>+I10+'Int calc thru 10-31-2024'!I11</f>
        <v>2292646.8855158919</v>
      </c>
      <c r="K10" s="236">
        <f>+J10+'Int calc thru 10-31-2024'!J11</f>
        <v>2309197.9155158917</v>
      </c>
      <c r="L10" s="236">
        <f>+K10+'Int calc thru 10-31-2024'!K11</f>
        <v>2325330.6655158917</v>
      </c>
      <c r="M10" s="236">
        <f>+L10+'Int calc thru 10-31-2024'!L11</f>
        <v>2342117.6455158917</v>
      </c>
      <c r="N10" s="236"/>
      <c r="O10" s="236">
        <f t="shared" ref="O10:O13" si="0">+M10-C10</f>
        <v>160036.06551589025</v>
      </c>
    </row>
    <row r="11" spans="1:15">
      <c r="A11" s="233" t="str">
        <f>+'Int calc thru 10-31-2024'!A12</f>
        <v>47WA.1862.20477</v>
      </c>
      <c r="B11" s="151" t="str">
        <f>+'Int calc thru 10-31-2024'!B12</f>
        <v>504-Commercial</v>
      </c>
      <c r="C11" s="365">
        <f>+'Balances at 12-31-2023'!D14</f>
        <v>-936059.51999999955</v>
      </c>
      <c r="D11" s="365">
        <f>+C11+'Int calc thru 10-31-2024'!C12</f>
        <v>-942817.10037041048</v>
      </c>
      <c r="E11" s="236">
        <f>+D11+'Int calc thru 10-31-2024'!D12</f>
        <v>-949184.34037041047</v>
      </c>
      <c r="F11" s="236">
        <f>+E11+'Int calc thru 10-31-2024'!E12</f>
        <v>-956036.67037041043</v>
      </c>
      <c r="G11" s="236">
        <f>+F11+'Int calc thru 10-31-2024'!F12</f>
        <v>-962715.83037041046</v>
      </c>
      <c r="H11" s="236">
        <f>+G11+'Int calc thru 10-31-2024'!G12</f>
        <v>-969665.85037041048</v>
      </c>
      <c r="I11" s="236">
        <f>+H11+'Int calc thru 10-31-2024'!H12</f>
        <v>-976440.23037041049</v>
      </c>
      <c r="J11" s="236">
        <f>+I11+'Int calc thru 10-31-2024'!I12</f>
        <v>-983489.33037041046</v>
      </c>
      <c r="K11" s="236">
        <f>+J11+'Int calc thru 10-31-2024'!J12</f>
        <v>-990589.31037041044</v>
      </c>
      <c r="L11" s="236">
        <f>+K11+'Int calc thru 10-31-2024'!K12</f>
        <v>-997509.8703704105</v>
      </c>
      <c r="M11" s="236">
        <f>+L11+'Int calc thru 10-31-2024'!L12</f>
        <v>-1004711.0703704105</v>
      </c>
      <c r="N11" s="236"/>
      <c r="O11" s="236">
        <f t="shared" si="0"/>
        <v>-68651.5503704109</v>
      </c>
    </row>
    <row r="12" spans="1:15">
      <c r="A12" s="233" t="str">
        <f>+'Int calc thru 10-31-2024'!A13</f>
        <v>47WA.1862.20477</v>
      </c>
      <c r="B12" s="151" t="str">
        <f>+'Int calc thru 10-31-2024'!B13</f>
        <v>505-Industrial</v>
      </c>
      <c r="C12" s="365">
        <f>+'Balances at 12-31-2023'!D15</f>
        <v>-73309.33000000006</v>
      </c>
      <c r="D12" s="365">
        <f>+C12+'Int calc thru 10-31-2024'!C13</f>
        <v>-73838.563108356218</v>
      </c>
      <c r="E12" s="236">
        <f>+D12+'Int calc thru 10-31-2024'!D13</f>
        <v>-74337.223108356222</v>
      </c>
      <c r="F12" s="236">
        <f>+E12+'Int calc thru 10-31-2024'!E13</f>
        <v>-74873.873108356216</v>
      </c>
      <c r="G12" s="236">
        <f>+F12+'Int calc thru 10-31-2024'!F13</f>
        <v>-75396.963108356213</v>
      </c>
      <c r="H12" s="236">
        <f>+G12+'Int calc thru 10-31-2024'!G13</f>
        <v>-75941.263108356216</v>
      </c>
      <c r="I12" s="236">
        <f>+H12+'Int calc thru 10-31-2024'!H13</f>
        <v>-76471.813108356218</v>
      </c>
      <c r="J12" s="236">
        <f>+I12+'Int calc thru 10-31-2024'!I13</f>
        <v>-77023.873108356216</v>
      </c>
      <c r="K12" s="236">
        <f>+J12+'Int calc thru 10-31-2024'!J13</f>
        <v>-77579.923108356219</v>
      </c>
      <c r="L12" s="236">
        <f>+K12+'Int calc thru 10-31-2024'!K13</f>
        <v>-78121.923108356219</v>
      </c>
      <c r="M12" s="236">
        <f>+L12+'Int calc thru 10-31-2024'!L13</f>
        <v>-78685.903108356215</v>
      </c>
      <c r="N12" s="236"/>
      <c r="O12" s="236">
        <f t="shared" si="0"/>
        <v>-5376.573108356155</v>
      </c>
    </row>
    <row r="13" spans="1:15">
      <c r="A13" s="233" t="str">
        <f>+'Int calc thru 10-31-2024'!A14</f>
        <v>47WA.1862.20477</v>
      </c>
      <c r="B13" s="151" t="str">
        <f>+'Int calc thru 10-31-2024'!B14</f>
        <v>511-Large Volume</v>
      </c>
      <c r="C13" s="365">
        <f>+'Balances at 12-31-2023'!D16</f>
        <v>485406.44000000006</v>
      </c>
      <c r="D13" s="365">
        <f>+C13+'Int calc thru 10-31-2024'!C14</f>
        <v>488910.67553260282</v>
      </c>
      <c r="E13" s="236">
        <f>+D13+'Int calc thru 10-31-2024'!D14</f>
        <v>492212.49553260283</v>
      </c>
      <c r="F13" s="236">
        <f>+E13+'Int calc thru 10-31-2024'!E14</f>
        <v>495765.86553260282</v>
      </c>
      <c r="G13" s="236">
        <f>+F13+'Int calc thru 10-31-2024'!F14</f>
        <v>499229.43553260283</v>
      </c>
      <c r="H13" s="236">
        <f>+G13+'Int calc thru 10-31-2024'!G14</f>
        <v>502833.46553260286</v>
      </c>
      <c r="I13" s="236">
        <f>+H13+'Int calc thru 10-31-2024'!H14</f>
        <v>506346.41553260287</v>
      </c>
      <c r="J13" s="236">
        <f>+I13+'Int calc thru 10-31-2024'!I14</f>
        <v>510001.81553260289</v>
      </c>
      <c r="K13" s="236">
        <f>+J13+'Int calc thru 10-31-2024'!J14</f>
        <v>513683.60553260287</v>
      </c>
      <c r="L13" s="236">
        <f>+K13+'Int calc thru 10-31-2024'!K14</f>
        <v>517272.35553260287</v>
      </c>
      <c r="M13" s="236">
        <f>+L13+'Int calc thru 10-31-2024'!L14</f>
        <v>521006.6355326029</v>
      </c>
      <c r="N13" s="236"/>
      <c r="O13" s="236">
        <f t="shared" si="0"/>
        <v>35600.19553260284</v>
      </c>
    </row>
    <row r="14" spans="1:15">
      <c r="A14" s="233" t="str">
        <f>+'Int calc thru 10-31-2024'!A15</f>
        <v>47WA.1862.20477</v>
      </c>
      <c r="B14" s="151" t="str">
        <f>+'Int calc thru 10-31-2024'!B15</f>
        <v>570-Interruptible Commercial</v>
      </c>
      <c r="C14" s="365">
        <f>+'Balances at 12-31-2023'!D17</f>
        <v>-4636.029999999987</v>
      </c>
      <c r="D14" s="365">
        <f>+C14+'Int calc thru 10-31-2024'!C15</f>
        <v>-4669.4983261643702</v>
      </c>
      <c r="E14" s="236">
        <f>+D14+'Int calc thru 10-31-2024'!D15</f>
        <v>-4701.0383261643701</v>
      </c>
      <c r="F14" s="236">
        <f>+E14+'Int calc thru 10-31-2024'!E15</f>
        <v>-4734.9783261643697</v>
      </c>
      <c r="G14" s="236">
        <f>+F14+'Int calc thru 10-31-2024'!F15</f>
        <v>-4768.0583261643696</v>
      </c>
      <c r="H14" s="236">
        <f>+G14+'Int calc thru 10-31-2024'!G15</f>
        <v>-4802.4783261643697</v>
      </c>
      <c r="I14" s="236">
        <f>+H14+'Int calc thru 10-31-2024'!H15</f>
        <v>-4836.0283261643699</v>
      </c>
      <c r="J14" s="236">
        <f>+I14+'Int calc thru 10-31-2024'!I15</f>
        <v>-4870.9383261643698</v>
      </c>
      <c r="K14" s="236">
        <f>+J14+'Int calc thru 10-31-2024'!J15</f>
        <v>-4906.0983261643696</v>
      </c>
      <c r="L14" s="236">
        <f>+K14+'Int calc thru 10-31-2024'!K15</f>
        <v>-4940.3783261643694</v>
      </c>
      <c r="M14" s="236">
        <f>+L14+'Int calc thru 10-31-2024'!L15</f>
        <v>-4976.0483261643694</v>
      </c>
      <c r="N14" s="236"/>
      <c r="O14" s="236">
        <f>+M14-C14</f>
        <v>-340.01832616438242</v>
      </c>
    </row>
    <row r="15" spans="1:15">
      <c r="A15" s="233" t="str">
        <f>+'Int calc thru 10-31-2024'!A16</f>
        <v>47WA.1862.20480</v>
      </c>
      <c r="B15" s="151" t="str">
        <f>+'Int calc thru 10-31-2024'!B16</f>
        <v>503-Residential</v>
      </c>
      <c r="C15" s="365">
        <f>+'Balances at 12-31-2023'!D18+0.1</f>
        <v>-1061182.524300003</v>
      </c>
      <c r="D15" s="365">
        <f>+C15+'Int calc thru 10-31-2024'!C16+'Amort Calc thru 10-31-2024'!D14-0.01</f>
        <v>-810785.86564255238</v>
      </c>
      <c r="E15" s="236">
        <f>+D15+'Int calc thru 10-31-2024'!D16+'Amort Calc thru 10-31-2024'!E14</f>
        <v>-635754.8897425523</v>
      </c>
      <c r="F15" s="236">
        <f>+E15+'Int calc thru 10-31-2024'!E16+'Amort Calc thru 10-31-2024'!F14-0.01</f>
        <v>-477415.69385255233</v>
      </c>
      <c r="G15" s="236">
        <f>+F15+'Int calc thru 10-31-2024'!F16+'Amort Calc thru 10-31-2024'!G14</f>
        <v>-381702.67848255229</v>
      </c>
      <c r="H15" s="236">
        <f>+G15+'Int calc thru 10-31-2024'!G16+'Amort Calc thru 10-31-2024'!H14</f>
        <v>-313238.76397255232</v>
      </c>
      <c r="I15" s="236">
        <f>+H15+'Int calc thru 10-31-2024'!H16+'Amort Calc thru 10-31-2024'!I14</f>
        <v>-287422.67626255233</v>
      </c>
      <c r="J15" s="236">
        <f>+I15+'Int calc thru 10-31-2024'!I16+'Amort Calc thru 10-31-2024'!J14</f>
        <v>-253830.92192255234</v>
      </c>
      <c r="K15" s="236">
        <f>+J15+'Int calc thru 10-31-2024'!J16+'Amort Calc thru 10-31-2024'!K14</f>
        <v>-228292.98855401631</v>
      </c>
      <c r="L15" s="236">
        <f>+K15+'Int calc thru 10-31-2024'!K16+'Amort Calc thru 10-31-2024'!L14</f>
        <v>-190020.47996073694</v>
      </c>
      <c r="M15" s="236">
        <f>+L15+'Int calc thru 10-31-2024'!L16+'Amort Calc thru 10-31-2024'!M14</f>
        <v>-75423.455375315243</v>
      </c>
      <c r="N15" s="236"/>
      <c r="O15" s="236">
        <f t="shared" ref="O15:O19" si="1">+M15-C15</f>
        <v>985759.06892468769</v>
      </c>
    </row>
    <row r="16" spans="1:15">
      <c r="A16" s="233" t="s">
        <v>238</v>
      </c>
      <c r="B16" s="151" t="str">
        <f>+B11</f>
        <v>504-Commercial</v>
      </c>
      <c r="C16" s="365">
        <f>+'Balances at 12-31-2023'!D19</f>
        <v>-1467867.973919997</v>
      </c>
      <c r="D16" s="365">
        <f>+C16+'Int calc thru 10-31-2024'!C17+'Amort Calc thru 10-31-2024'!D15</f>
        <v>-1132741.3829648716</v>
      </c>
      <c r="E16" s="236">
        <f>+D16+'Int calc thru 10-31-2024'!D17+'Amort Calc thru 10-31-2024'!E15</f>
        <v>-867082.33187487139</v>
      </c>
      <c r="F16" s="236">
        <f>+E16+'Int calc thru 10-31-2024'!E17+'Amort Calc thru 10-31-2024'!F15</f>
        <v>-663031.62229487137</v>
      </c>
      <c r="G16" s="236">
        <f>+F16+'Int calc thru 10-31-2024'!F17+'Amort Calc thru 10-31-2024'!G15</f>
        <v>-520509.99852487142</v>
      </c>
      <c r="H16" s="236">
        <f>+G16+'Int calc thru 10-31-2024'!G17+'Amort Calc thru 10-31-2024'!H15</f>
        <v>-422379.46667487145</v>
      </c>
      <c r="I16" s="236">
        <f>+H16+'Int calc thru 10-31-2024'!H17+'Amort Calc thru 10-31-2024'!I15</f>
        <v>-346630.56708487147</v>
      </c>
      <c r="J16" s="236">
        <f>+I16+'Int calc thru 10-31-2024'!I17+'Amort Calc thru 10-31-2024'!J15</f>
        <v>-307564.68449487147</v>
      </c>
      <c r="K16" s="236">
        <f>+J16+'Int calc thru 10-31-2024'!J17+'Amort Calc thru 10-31-2024'!K15</f>
        <v>-255496.99999409588</v>
      </c>
      <c r="L16" s="236">
        <f>+K16+'Int calc thru 10-31-2024'!K17+'Amort Calc thru 10-31-2024'!L15</f>
        <v>-183756.64536436618</v>
      </c>
      <c r="M16" s="236">
        <f>+L16+'Int calc thru 10-31-2024'!L17+'Amort Calc thru 10-31-2024'!M15</f>
        <v>-8034.7941732154577</v>
      </c>
      <c r="N16" s="236"/>
      <c r="O16" s="236">
        <f t="shared" si="1"/>
        <v>1459833.1797467815</v>
      </c>
    </row>
    <row r="17" spans="1:15">
      <c r="A17" s="233" t="s">
        <v>238</v>
      </c>
      <c r="B17" s="151" t="str">
        <f>+B12</f>
        <v>505-Industrial</v>
      </c>
      <c r="C17" s="365">
        <f>+'Balances at 12-31-2023'!D20</f>
        <v>8120.9684300000517</v>
      </c>
      <c r="D17" s="365">
        <f>+C17+'Int calc thru 10-31-2024'!C18+'Amort Calc thru 10-31-2024'!D16</f>
        <v>9197.4645472960801</v>
      </c>
      <c r="E17" s="236">
        <f>+D17+'Int calc thru 10-31-2024'!D18+'Amort Calc thru 10-31-2024'!E16</f>
        <v>10160.57954729608</v>
      </c>
      <c r="F17" s="236">
        <f>+E17+'Int calc thru 10-31-2024'!E18+'Amort Calc thru 10-31-2024'!F16</f>
        <v>11033.863347296081</v>
      </c>
      <c r="G17" s="236">
        <f>+F17+'Int calc thru 10-31-2024'!F18+'Amort Calc thru 10-31-2024'!G16</f>
        <v>11743.024547296081</v>
      </c>
      <c r="H17" s="236">
        <f>+G17+'Int calc thru 10-31-2024'!G18+'Amort Calc thru 10-31-2024'!H16</f>
        <v>12381.550147296082</v>
      </c>
      <c r="I17" s="236">
        <f>+H17+'Int calc thru 10-31-2024'!H18+'Amort Calc thru 10-31-2024'!I16</f>
        <v>13267.983947296083</v>
      </c>
      <c r="J17" s="236">
        <f>+I17+'Int calc thru 10-31-2024'!I18+'Amort Calc thru 10-31-2024'!J16</f>
        <v>13662.776947296084</v>
      </c>
      <c r="K17" s="236">
        <f>+J17+'Int calc thru 10-31-2024'!J18+'Amort Calc thru 10-31-2024'!K16</f>
        <v>14037.924568347005</v>
      </c>
      <c r="L17" s="236">
        <f>+K17+'Int calc thru 10-31-2024'!K18+'Amort Calc thru 10-31-2024'!L16</f>
        <v>14417.897872778334</v>
      </c>
      <c r="M17" s="236">
        <f>+L17+'Int calc thru 10-31-2024'!L18+'Amort Calc thru 10-31-2024'!M16</f>
        <v>15198.678796618831</v>
      </c>
      <c r="N17" s="236"/>
      <c r="O17" s="236">
        <f t="shared" si="1"/>
        <v>7077.7103666187795</v>
      </c>
    </row>
    <row r="18" spans="1:15">
      <c r="A18" s="233" t="s">
        <v>238</v>
      </c>
      <c r="B18" s="151" t="str">
        <f>+B13</f>
        <v>511-Large Volume</v>
      </c>
      <c r="C18" s="365">
        <f>+'Balances at 12-31-2023'!D21</f>
        <v>471321.11565999995</v>
      </c>
      <c r="D18" s="365">
        <f>+C18+'Int calc thru 10-31-2024'!C19+'Amort Calc thru 10-31-2024'!D17</f>
        <v>467223.64767784678</v>
      </c>
      <c r="E18" s="236">
        <f>+D18+'Int calc thru 10-31-2024'!D19+'Amort Calc thru 10-31-2024'!E17</f>
        <v>464642.98868784675</v>
      </c>
      <c r="F18" s="236">
        <f>+E18+'Int calc thru 10-31-2024'!E19+'Amort Calc thru 10-31-2024'!F17</f>
        <v>463349.31324784679</v>
      </c>
      <c r="G18" s="236">
        <f>+F18+'Int calc thru 10-31-2024'!F19+'Amort Calc thru 10-31-2024'!G17</f>
        <v>462566.76142784674</v>
      </c>
      <c r="H18" s="236">
        <f>+G18+'Int calc thru 10-31-2024'!G19+'Amort Calc thru 10-31-2024'!H17</f>
        <v>462901.58832784672</v>
      </c>
      <c r="I18" s="236">
        <f>+H18+'Int calc thru 10-31-2024'!H19+'Amort Calc thru 10-31-2024'!I17</f>
        <v>463210.17816784669</v>
      </c>
      <c r="J18" s="236">
        <f>+I18+'Int calc thru 10-31-2024'!I19+'Amort Calc thru 10-31-2024'!J17</f>
        <v>464557.81055784668</v>
      </c>
      <c r="K18" s="236">
        <f>+J18+'Int calc thru 10-31-2024'!J19+'Amort Calc thru 10-31-2024'!K17</f>
        <v>464794.16586573585</v>
      </c>
      <c r="L18" s="236">
        <f>+K18+'Int calc thru 10-31-2024'!K19+'Amort Calc thru 10-31-2024'!L17</f>
        <v>466206.42003145698</v>
      </c>
      <c r="M18" s="236">
        <f>+L18+'Int calc thru 10-31-2024'!L19+'Amort Calc thru 10-31-2024'!M17</f>
        <v>464618.64493192727</v>
      </c>
      <c r="N18" s="236"/>
      <c r="O18" s="236">
        <f t="shared" si="1"/>
        <v>-6702.4707280726871</v>
      </c>
    </row>
    <row r="19" spans="1:15">
      <c r="A19" s="233" t="s">
        <v>238</v>
      </c>
      <c r="B19" s="151" t="str">
        <f>+B14</f>
        <v>570-Interruptible Commercial</v>
      </c>
      <c r="C19" s="365">
        <f>+'Balances at 12-31-2023'!D22</f>
        <v>-7094.2471599999881</v>
      </c>
      <c r="D19" s="365">
        <f>+C19+'Int calc thru 10-31-2024'!C20+'Amort Calc thru 10-31-2024'!D18</f>
        <v>-6085.5217936071112</v>
      </c>
      <c r="E19" s="236">
        <f>+D19+'Int calc thru 10-31-2024'!D20+'Amort Calc thru 10-31-2024'!E18</f>
        <v>-5173.4697936071116</v>
      </c>
      <c r="F19" s="236">
        <f>+E19+'Int calc thru 10-31-2024'!E20+'Amort Calc thru 10-31-2024'!F18</f>
        <v>-4296.0277936071116</v>
      </c>
      <c r="G19" s="236">
        <f>+F19+'Int calc thru 10-31-2024'!F20+'Amort Calc thru 10-31-2024'!G18</f>
        <v>-3545.0777936071117</v>
      </c>
      <c r="H19" s="236">
        <f>+G19+'Int calc thru 10-31-2024'!G20+'Amort Calc thru 10-31-2024'!H18</f>
        <v>-2917.6117936071118</v>
      </c>
      <c r="I19" s="236">
        <f>+H19+'Int calc thru 10-31-2024'!H20+'Amort Calc thru 10-31-2024'!I18</f>
        <v>-2482.6517936071118</v>
      </c>
      <c r="J19" s="236">
        <f>+I19+'Int calc thru 10-31-2024'!I20+'Amort Calc thru 10-31-2024'!J18</f>
        <v>-2357.567793607112</v>
      </c>
      <c r="K19" s="236">
        <f>+J19+'Int calc thru 10-31-2024'!J20+'Amort Calc thru 10-31-2024'!K18</f>
        <v>-2051.2635240131658</v>
      </c>
      <c r="L19" s="236">
        <f>+K19+'Int calc thru 10-31-2024'!K20+'Amort Calc thru 10-31-2024'!L18</f>
        <v>-1688.6147756811201</v>
      </c>
      <c r="M19" s="236">
        <f>+L19+'Int calc thru 10-31-2024'!L20+'Amort Calc thru 10-31-2024'!M18</f>
        <v>-868.7188281403262</v>
      </c>
      <c r="N19" s="236"/>
      <c r="O19" s="236">
        <f t="shared" si="1"/>
        <v>6225.5283318596621</v>
      </c>
    </row>
    <row r="20" spans="1:15">
      <c r="A20" s="233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</row>
    <row r="21" spans="1:15" ht="15.75" thickBot="1">
      <c r="A21" s="254" t="s">
        <v>16</v>
      </c>
      <c r="C21" s="77">
        <f t="shared" ref="C21:O21" si="2">SUM(C10:C20)</f>
        <v>-403219.5212899982</v>
      </c>
      <c r="D21" s="77">
        <f t="shared" si="2"/>
        <v>192228.2710676752</v>
      </c>
      <c r="E21" s="77">
        <f t="shared" si="2"/>
        <v>643460.09606767551</v>
      </c>
      <c r="F21" s="77">
        <f t="shared" si="2"/>
        <v>1018411.2118976756</v>
      </c>
      <c r="G21" s="77">
        <f t="shared" si="2"/>
        <v>1269121.680417676</v>
      </c>
      <c r="H21" s="77">
        <f t="shared" si="2"/>
        <v>1449593.6652776757</v>
      </c>
      <c r="I21" s="77">
        <f t="shared" si="2"/>
        <v>1564755.0962176758</v>
      </c>
      <c r="J21" s="77">
        <f t="shared" si="2"/>
        <v>1651731.9725376756</v>
      </c>
      <c r="K21" s="77">
        <f t="shared" si="2"/>
        <v>1742797.0276055213</v>
      </c>
      <c r="L21" s="77">
        <f t="shared" si="2"/>
        <v>1867189.4270470147</v>
      </c>
      <c r="M21" s="77">
        <f t="shared" si="2"/>
        <v>2170241.6145954384</v>
      </c>
      <c r="N21" s="77"/>
      <c r="O21" s="77">
        <f t="shared" si="2"/>
        <v>2573461.1358854361</v>
      </c>
    </row>
    <row r="22" spans="1:15" ht="15.75" thickTop="1"/>
    <row r="23" spans="1:15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36"/>
    </row>
  </sheetData>
  <mergeCells count="4">
    <mergeCell ref="A4:B4"/>
    <mergeCell ref="B1:M1"/>
    <mergeCell ref="B2:M2"/>
    <mergeCell ref="B3:M3"/>
  </mergeCells>
  <printOptions horizontalCentered="1"/>
  <pageMargins left="0.25" right="0.25" top="1" bottom="1" header="0.5" footer="0.5"/>
  <pageSetup scale="62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7"/>
  <sheetViews>
    <sheetView view="pageBreakPreview" topLeftCell="B1" zoomScale="90" zoomScaleNormal="70" zoomScaleSheetLayoutView="90" workbookViewId="0">
      <pane ySplit="6" topLeftCell="A7" activePane="bottomLeft" state="frozen"/>
      <selection activeCell="G39" sqref="G39"/>
      <selection pane="bottomLeft" activeCell="F10" sqref="F10"/>
    </sheetView>
  </sheetViews>
  <sheetFormatPr defaultColWidth="9.33203125" defaultRowHeight="15"/>
  <cols>
    <col min="1" max="1" width="25.5" style="151" customWidth="1"/>
    <col min="2" max="2" width="57.1640625" style="151" bestFit="1" customWidth="1"/>
    <col min="3" max="3" width="11.1640625" style="233" customWidth="1"/>
    <col min="4" max="4" width="3.5" style="151" customWidth="1"/>
    <col min="5" max="5" width="17.1640625" style="151" customWidth="1"/>
    <col min="6" max="6" width="19.83203125" style="151" bestFit="1" customWidth="1"/>
    <col min="7" max="7" width="16" style="151" customWidth="1"/>
    <col min="8" max="11" width="16" style="151" bestFit="1" customWidth="1"/>
    <col min="12" max="12" width="15.1640625" style="151" bestFit="1" customWidth="1"/>
    <col min="13" max="13" width="14" style="151" bestFit="1" customWidth="1"/>
    <col min="14" max="14" width="15.1640625" style="151" bestFit="1" customWidth="1"/>
    <col min="15" max="17" width="14" style="151" bestFit="1" customWidth="1"/>
    <col min="18" max="18" width="16.33203125" style="151" bestFit="1" customWidth="1"/>
    <col min="19" max="19" width="18.83203125" style="151" customWidth="1"/>
    <col min="20" max="20" width="14.5" style="151" customWidth="1"/>
    <col min="21" max="16384" width="9.33203125" style="151"/>
  </cols>
  <sheetData>
    <row r="1" spans="1:20">
      <c r="G1" s="552" t="s">
        <v>33</v>
      </c>
      <c r="H1" s="552"/>
      <c r="I1" s="552"/>
      <c r="J1" s="552"/>
      <c r="K1" s="552"/>
    </row>
    <row r="2" spans="1:20">
      <c r="F2" s="576" t="s">
        <v>357</v>
      </c>
      <c r="G2" s="576"/>
      <c r="H2" s="576"/>
      <c r="I2" s="576"/>
      <c r="J2" s="576"/>
      <c r="K2" s="576"/>
      <c r="L2" s="576"/>
    </row>
    <row r="3" spans="1:20">
      <c r="G3" s="552" t="s">
        <v>35</v>
      </c>
      <c r="H3" s="552"/>
      <c r="I3" s="552"/>
      <c r="J3" s="552"/>
      <c r="K3" s="552"/>
    </row>
    <row r="6" spans="1:20">
      <c r="A6" s="574"/>
      <c r="B6" s="574"/>
    </row>
    <row r="7" spans="1:20">
      <c r="B7" s="152"/>
    </row>
    <row r="8" spans="1:20">
      <c r="B8" s="152" t="s">
        <v>103</v>
      </c>
      <c r="G8" s="577" t="s">
        <v>108</v>
      </c>
      <c r="H8" s="577"/>
      <c r="I8" s="577"/>
    </row>
    <row r="9" spans="1:20" ht="45">
      <c r="A9" s="233"/>
      <c r="B9" s="243" t="s">
        <v>183</v>
      </c>
      <c r="C9" s="155" t="s">
        <v>31</v>
      </c>
      <c r="D9" s="155"/>
      <c r="E9" s="87" t="s">
        <v>100</v>
      </c>
      <c r="F9" s="88" t="s">
        <v>349</v>
      </c>
      <c r="G9" s="497">
        <v>45597</v>
      </c>
      <c r="H9" s="497">
        <v>45627</v>
      </c>
      <c r="I9" s="497">
        <v>45658</v>
      </c>
      <c r="J9" s="497">
        <v>45689</v>
      </c>
      <c r="K9" s="497">
        <v>45717</v>
      </c>
      <c r="L9" s="497">
        <v>45748</v>
      </c>
      <c r="M9" s="497">
        <v>45778</v>
      </c>
      <c r="N9" s="497">
        <v>45809</v>
      </c>
      <c r="O9" s="497">
        <v>45839</v>
      </c>
      <c r="P9" s="497">
        <v>45870</v>
      </c>
      <c r="Q9" s="497">
        <v>45901</v>
      </c>
      <c r="R9" s="497">
        <v>45931</v>
      </c>
      <c r="S9" s="88" t="s">
        <v>135</v>
      </c>
      <c r="T9" s="89" t="s">
        <v>101</v>
      </c>
    </row>
    <row r="10" spans="1:20">
      <c r="A10" s="151" t="str">
        <f>+'Balances at 12-31-2023'!A13</f>
        <v>47WA.1862.20477</v>
      </c>
      <c r="B10" s="151" t="s">
        <v>248</v>
      </c>
      <c r="C10" s="233">
        <v>503</v>
      </c>
      <c r="E10" s="240">
        <v>-1.6165699631498491E-2</v>
      </c>
      <c r="F10" s="241">
        <f>+EstimatedBalances!M10+EstimatedBalances!M15</f>
        <v>2266694.1901405766</v>
      </c>
      <c r="G10" s="241">
        <f>$E10*'Test Period Volumes'!$C22</f>
        <v>-279675.87152028969</v>
      </c>
      <c r="H10" s="241">
        <f>$E10*'Test Period Volumes'!$C23</f>
        <v>-420440.59126823657</v>
      </c>
      <c r="I10" s="241">
        <f>$E10*'Test Period Volumes'!$C24</f>
        <v>-372935.28342232161</v>
      </c>
      <c r="J10" s="241">
        <f>$E10*'Test Period Volumes'!$C25</f>
        <v>-314558.44623296929</v>
      </c>
      <c r="K10" s="241">
        <f>$E10*'Test Period Volumes'!$C26</f>
        <v>-267890.82541235315</v>
      </c>
      <c r="L10" s="241">
        <f>$E10*'Test Period Volumes'!$C27</f>
        <v>-144992.67990733348</v>
      </c>
      <c r="M10" s="241">
        <f>$E10*'Test Period Volumes'!$C28</f>
        <v>-93461.629990534522</v>
      </c>
      <c r="N10" s="241">
        <f>$E10*'Test Period Volumes'!$C29</f>
        <v>-43871.948239624144</v>
      </c>
      <c r="O10" s="241">
        <f>$E10*'Test Period Volumes'!$C30</f>
        <v>-64560.90811685584</v>
      </c>
      <c r="P10" s="241">
        <f>$E10*'Test Period Volumes'!$C31</f>
        <v>-40019.482919840899</v>
      </c>
      <c r="Q10" s="241">
        <f>$E10*'Test Period Volumes'!$C32</f>
        <v>-58289.677905063902</v>
      </c>
      <c r="R10" s="241">
        <f>$E10*'Test Period Volumes'!$C33</f>
        <v>-165996.84520515375</v>
      </c>
      <c r="S10" s="241">
        <f>SUM(G10:R10)</f>
        <v>-2266694.1901405766</v>
      </c>
      <c r="T10" s="241">
        <f>+S10+F10</f>
        <v>0</v>
      </c>
    </row>
    <row r="11" spans="1:20">
      <c r="A11" s="151" t="str">
        <f>+'Balances at 12-31-2023'!A14</f>
        <v>47WA.1862.20477</v>
      </c>
      <c r="B11" s="151" t="s">
        <v>248</v>
      </c>
      <c r="C11" s="233">
        <v>504</v>
      </c>
      <c r="E11" s="240">
        <v>9.7725411203268969E-3</v>
      </c>
      <c r="F11" s="241">
        <f>+EstimatedBalances!M11+EstimatedBalances!M16</f>
        <v>-1012745.8645436259</v>
      </c>
      <c r="G11" s="241">
        <f>$E11*'Test Period Volumes'!$D$22</f>
        <v>109844.02953791359</v>
      </c>
      <c r="H11" s="241">
        <f>$E11*'Test Period Volumes'!$D$23</f>
        <v>179041.13202884822</v>
      </c>
      <c r="I11" s="241">
        <f>$E11*'Test Period Volumes'!$D$24</f>
        <v>156585.79529110965</v>
      </c>
      <c r="J11" s="241">
        <f>$E11*'Test Period Volumes'!$D$25</f>
        <v>149268.73876994732</v>
      </c>
      <c r="K11" s="241">
        <f>$E11*'Test Period Volumes'!$D$26</f>
        <v>108374.51287028252</v>
      </c>
      <c r="L11" s="241">
        <f>$E11*'Test Period Volumes'!$D$27</f>
        <v>67511.338709181218</v>
      </c>
      <c r="M11" s="241">
        <f>$E11*'Test Period Volumes'!$D$28</f>
        <v>41904.913174943555</v>
      </c>
      <c r="N11" s="241">
        <f>$E11*'Test Period Volumes'!$D$29</f>
        <v>38640.232229083238</v>
      </c>
      <c r="O11" s="241">
        <f>$E11*'Test Period Volumes'!$D$30</f>
        <v>23581.703418158148</v>
      </c>
      <c r="P11" s="241">
        <f>$E11*'Test Period Volumes'!$D$31</f>
        <v>24877.197803809129</v>
      </c>
      <c r="Q11" s="241">
        <f>$E11*'Test Period Volumes'!$D$32</f>
        <v>33691.24879828548</v>
      </c>
      <c r="R11" s="241">
        <f>$E11*'Test Period Volumes'!$D$33</f>
        <v>79425.021912063894</v>
      </c>
      <c r="S11" s="241">
        <f>SUM(G11:R11)</f>
        <v>1012745.8645436259</v>
      </c>
      <c r="T11" s="241">
        <f>+S11+F11</f>
        <v>0</v>
      </c>
    </row>
    <row r="12" spans="1:20">
      <c r="A12" s="151" t="str">
        <f>+'Balances at 12-31-2023'!A15</f>
        <v>47WA.1862.20477</v>
      </c>
      <c r="B12" s="151" t="s">
        <v>248</v>
      </c>
      <c r="C12" s="233">
        <v>505</v>
      </c>
      <c r="E12" s="240">
        <v>4.7174960927652328E-3</v>
      </c>
      <c r="F12" s="241">
        <f>+EstimatedBalances!M12+EstimatedBalances!M17</f>
        <v>-63487.224311737387</v>
      </c>
      <c r="G12" s="241">
        <f>$E12*'Test Period Volumes'!$E$22</f>
        <v>4875.0972415008418</v>
      </c>
      <c r="H12" s="241">
        <f>$E12*'Test Period Volumes'!$E$23</f>
        <v>9376.2292328537151</v>
      </c>
      <c r="I12" s="241">
        <f>$E12*'Test Period Volumes'!$E$24</f>
        <v>8148.8909420444834</v>
      </c>
      <c r="J12" s="241">
        <f>$E12*'Test Period Volumes'!$E$25</f>
        <v>8698.1138902173298</v>
      </c>
      <c r="K12" s="241">
        <f>$E12*'Test Period Volumes'!$E$26</f>
        <v>7286.239646659621</v>
      </c>
      <c r="L12" s="241">
        <f>$E12*'Test Period Volumes'!$E$27</f>
        <v>5125.711954408971</v>
      </c>
      <c r="M12" s="241">
        <f>$E12*'Test Period Volumes'!$E$28</f>
        <v>4025.7065383881331</v>
      </c>
      <c r="N12" s="241">
        <f>$E12*'Test Period Volumes'!$E$29</f>
        <v>3063.94109399953</v>
      </c>
      <c r="O12" s="241">
        <f>$E12*'Test Period Volumes'!$E$30</f>
        <v>2998.3761529429185</v>
      </c>
      <c r="P12" s="241">
        <f>$E12*'Test Period Volumes'!$E$31</f>
        <v>2239.7674151111546</v>
      </c>
      <c r="Q12" s="241">
        <f>$E12*'Test Period Volumes'!$E$32</f>
        <v>2283.3007266501004</v>
      </c>
      <c r="R12" s="241">
        <f>$E12*'Test Period Volumes'!$E$33</f>
        <v>5365.8494769605759</v>
      </c>
      <c r="S12" s="241">
        <f>SUM(G12:R12)</f>
        <v>63487.22431173738</v>
      </c>
      <c r="T12" s="241">
        <f>+S12+F12</f>
        <v>0</v>
      </c>
    </row>
    <row r="13" spans="1:20">
      <c r="A13" s="151" t="str">
        <f>+'Balances at 12-31-2023'!A16</f>
        <v>47WA.1862.20477</v>
      </c>
      <c r="B13" s="151" t="s">
        <v>248</v>
      </c>
      <c r="C13" s="233">
        <v>511</v>
      </c>
      <c r="E13" s="240">
        <v>-5.9370964647209895E-2</v>
      </c>
      <c r="F13" s="241">
        <f>+EstimatedBalances!M13+EstimatedBalances!M18</f>
        <v>985625.28046453022</v>
      </c>
      <c r="G13" s="241">
        <f>$E13*'Test Period Volumes'!$F$22</f>
        <v>-95837.671076296741</v>
      </c>
      <c r="H13" s="241">
        <f>$E13*'Test Period Volumes'!$F$23</f>
        <v>-139144.13421674925</v>
      </c>
      <c r="I13" s="241">
        <f>$E13*'Test Period Volumes'!$F$24</f>
        <v>-133746.65280445394</v>
      </c>
      <c r="J13" s="241">
        <f>$E13*'Test Period Volumes'!$F$25</f>
        <v>-123345.29206059851</v>
      </c>
      <c r="K13" s="241">
        <f>$E13*'Test Period Volumes'!$F$26</f>
        <v>-94304.208417069458</v>
      </c>
      <c r="L13" s="241">
        <f>$E13*'Test Period Volumes'!$F$27</f>
        <v>-72609.04742424775</v>
      </c>
      <c r="M13" s="241">
        <f>$E13*'Test Period Volumes'!$F$28</f>
        <v>-48653.449572255457</v>
      </c>
      <c r="N13" s="241">
        <f>$E13*'Test Period Volumes'!$F$29</f>
        <v>-56551.683256242199</v>
      </c>
      <c r="O13" s="241">
        <f>$E13*'Test Period Volumes'!$F$30</f>
        <v>-44591.354875107572</v>
      </c>
      <c r="P13" s="241">
        <f>$E13*'Test Period Volumes'!$F$31</f>
        <v>-56244.909704907594</v>
      </c>
      <c r="Q13" s="241">
        <f>$E13*'Test Period Volumes'!$F$32</f>
        <v>-33105.331316264514</v>
      </c>
      <c r="R13" s="241">
        <f>$E13*'Test Period Volumes'!$F$33</f>
        <v>-87491.545740337024</v>
      </c>
      <c r="S13" s="241">
        <f>SUM(G13:R13)</f>
        <v>-985625.28046452987</v>
      </c>
      <c r="T13" s="241">
        <f>+S13+F13</f>
        <v>0</v>
      </c>
    </row>
    <row r="14" spans="1:20">
      <c r="A14" s="151" t="str">
        <f>+'Balances at 12-31-2023'!A17</f>
        <v>47WA.1862.20477</v>
      </c>
      <c r="B14" s="151" t="s">
        <v>248</v>
      </c>
      <c r="C14" s="233">
        <v>570</v>
      </c>
      <c r="E14" s="240">
        <v>2.4831144721805414E-3</v>
      </c>
      <c r="F14" s="241">
        <f>+EstimatedBalances!M14+EstimatedBalances!M19</f>
        <v>-5844.7671543046954</v>
      </c>
      <c r="G14" s="241">
        <f>$E14*'Test Period Volumes'!$G$22</f>
        <v>614.40385927537795</v>
      </c>
      <c r="H14" s="241">
        <f>$E14*'Test Period Volumes'!$G$23</f>
        <v>907.10358877813337</v>
      </c>
      <c r="I14" s="241">
        <f>$E14*'Test Period Volumes'!$G$24</f>
        <v>669.98361227092562</v>
      </c>
      <c r="J14" s="241">
        <f>$E14*'Test Period Volumes'!$G$25</f>
        <v>726.50147996214071</v>
      </c>
      <c r="K14" s="241">
        <f>$E14*'Test Period Volumes'!$G$26</f>
        <v>657.88231591088902</v>
      </c>
      <c r="L14" s="241">
        <f>$E14*'Test Period Volumes'!$G$27</f>
        <v>500.02697718148835</v>
      </c>
      <c r="M14" s="241">
        <f>$E14*'Test Period Volumes'!$G$28</f>
        <v>374.84425298587172</v>
      </c>
      <c r="N14" s="241">
        <f>$E14*'Test Period Volumes'!$G$29</f>
        <v>312.00486823142325</v>
      </c>
      <c r="O14" s="241">
        <f>$E14*'Test Period Volumes'!$G$30</f>
        <v>113.21935626253837</v>
      </c>
      <c r="P14" s="241">
        <f>$E14*'Test Period Volumes'!$G$31</f>
        <v>206.7734939914568</v>
      </c>
      <c r="Q14" s="241">
        <f>$E14*'Test Period Volumes'!$G$32</f>
        <v>241.07727143289046</v>
      </c>
      <c r="R14" s="241">
        <f>$E14*'Test Period Volumes'!$G$33</f>
        <v>520.94607802156065</v>
      </c>
      <c r="S14" s="241">
        <f>SUM(G14:R14)</f>
        <v>5844.7671543046972</v>
      </c>
      <c r="T14" s="241">
        <f>+S14+F14</f>
        <v>0</v>
      </c>
    </row>
    <row r="15" spans="1:20">
      <c r="E15" s="240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</row>
    <row r="16" spans="1:20">
      <c r="A16" s="151" t="s">
        <v>175</v>
      </c>
      <c r="B16" s="151" t="s">
        <v>182</v>
      </c>
      <c r="E16" s="242">
        <f t="shared" ref="E16:T16" si="0">SUM(E10:E14)</f>
        <v>-5.8563512593435715E-2</v>
      </c>
      <c r="F16" s="241">
        <f t="shared" si="0"/>
        <v>2170241.6145954388</v>
      </c>
      <c r="G16" s="241">
        <f t="shared" si="0"/>
        <v>-260180.01195789664</v>
      </c>
      <c r="H16" s="241">
        <f t="shared" si="0"/>
        <v>-370260.26063450577</v>
      </c>
      <c r="I16" s="241">
        <f t="shared" si="0"/>
        <v>-341277.26638135046</v>
      </c>
      <c r="J16" s="241">
        <f t="shared" si="0"/>
        <v>-279210.384153441</v>
      </c>
      <c r="K16" s="241">
        <f t="shared" si="0"/>
        <v>-245876.39899656959</v>
      </c>
      <c r="L16" s="241">
        <f t="shared" si="0"/>
        <v>-144464.64969080954</v>
      </c>
      <c r="M16" s="241">
        <f t="shared" si="0"/>
        <v>-95809.615596472417</v>
      </c>
      <c r="N16" s="241">
        <f t="shared" si="0"/>
        <v>-58407.453304552153</v>
      </c>
      <c r="O16" s="241">
        <f t="shared" si="0"/>
        <v>-82458.964064599815</v>
      </c>
      <c r="P16" s="241">
        <f t="shared" si="0"/>
        <v>-68940.653911836751</v>
      </c>
      <c r="Q16" s="241">
        <f t="shared" si="0"/>
        <v>-55179.382424959942</v>
      </c>
      <c r="R16" s="241">
        <f t="shared" si="0"/>
        <v>-168176.57347844474</v>
      </c>
      <c r="S16" s="241">
        <f t="shared" si="0"/>
        <v>-2170241.6145954384</v>
      </c>
      <c r="T16" s="241">
        <f t="shared" si="0"/>
        <v>0</v>
      </c>
    </row>
    <row r="18" spans="1:19">
      <c r="B18" s="152" t="s">
        <v>102</v>
      </c>
    </row>
    <row r="19" spans="1:19">
      <c r="B19" s="90" t="s">
        <v>104</v>
      </c>
      <c r="C19" s="498">
        <v>8.5000000000000006E-2</v>
      </c>
      <c r="E19" s="62">
        <f>+C19</f>
        <v>8.5000000000000006E-2</v>
      </c>
      <c r="G19" s="231">
        <f>+C19*DAY(DATE(YEAR(G9),MONTH(G9)+1,DAY(1))-1)/365</f>
        <v>6.9863013698630147E-3</v>
      </c>
      <c r="H19" s="231">
        <f>+C19*DAY(DATE(YEAR(H9),MONTH(H9)+1,DAY(1))-1)/365</f>
        <v>7.2191780821917817E-3</v>
      </c>
      <c r="I19" s="231">
        <f>+C19*DAY(DATE(YEAR(I9),MONTH(I9)+1,DAY(1))-1)/365</f>
        <v>7.2191780821917817E-3</v>
      </c>
      <c r="J19" s="231">
        <f>+C19*DAY(DATE(YEAR(J9),MONTH(J9)+1,DAY(1))-1)/365</f>
        <v>6.5205479452054805E-3</v>
      </c>
      <c r="K19" s="231">
        <f>+C19*DAY(DATE(YEAR(K9),MONTH(K9)+1,DAY(1))-1)/365</f>
        <v>7.2191780821917817E-3</v>
      </c>
      <c r="L19" s="231">
        <f>+C19*DAY(DATE(YEAR(L9),MONTH(L9)+1,DAY(1))-1)/365</f>
        <v>6.9863013698630147E-3</v>
      </c>
      <c r="M19" s="231">
        <f>+C19*DAY(DATE(YEAR(M9),MONTH(M9)+1,DAY(1))-1)/365</f>
        <v>7.2191780821917817E-3</v>
      </c>
      <c r="N19" s="231">
        <f>+C19*DAY(DATE(YEAR(N9),MONTH(N9)+1,DAY(1))-1)/365</f>
        <v>6.9863013698630147E-3</v>
      </c>
      <c r="O19" s="231">
        <f>+E19*DAY(DATE(YEAR(O9),MONTH(O9)+1,DAY(1))-1)/365</f>
        <v>7.2191780821917817E-3</v>
      </c>
      <c r="P19" s="231">
        <f>+E19*DAY(DATE(YEAR(P9),MONTH(P9)+1,DAY(1))-1)/365</f>
        <v>7.2191780821917817E-3</v>
      </c>
      <c r="Q19" s="231">
        <f>+E19*DAY(DATE(YEAR(Q9),MONTH(Q9)+1,DAY(1))-1)/365</f>
        <v>6.9863013698630147E-3</v>
      </c>
      <c r="R19" s="231">
        <f>+E19*DAY(DATE(YEAR(R9),MONTH(R9)+1,DAY(1))-1)/365</f>
        <v>7.2191780821917817E-3</v>
      </c>
      <c r="S19" s="253" t="s">
        <v>26</v>
      </c>
    </row>
    <row r="20" spans="1:19"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241"/>
    </row>
    <row r="21" spans="1:19">
      <c r="A21" s="151" t="str">
        <f t="shared" ref="A21:B25" si="1">+A10</f>
        <v>47WA.1862.20477</v>
      </c>
      <c r="B21" s="151" t="str">
        <f t="shared" si="1"/>
        <v>Rule 21 Decoupling Mechanism &amp; Amort.</v>
      </c>
      <c r="C21" s="233">
        <v>503</v>
      </c>
      <c r="G21" s="181">
        <f>+G$19*(SUM($F10:F10))</f>
        <v>15835.808725639647</v>
      </c>
      <c r="H21" s="181">
        <f>+H$19*(SUM($F10:G10)+G21)</f>
        <v>14458.960617963061</v>
      </c>
      <c r="I21" s="181">
        <f>+I$19*(SUM($F10:H10)+H21+G21)</f>
        <v>11528.106928200126</v>
      </c>
      <c r="J21" s="181">
        <f>+J$19*(SUM($F10:I10)+I21+H21+G21)</f>
        <v>8055.9108550127285</v>
      </c>
      <c r="K21" s="181">
        <f>+K$19*(SUM($F10:J10)+J21+G21+H21+I21)</f>
        <v>6706.3477753701936</v>
      </c>
      <c r="L21" s="181">
        <f>+L$19*(SUM($F10:K10)+K21+G21+H21+I21+J21)</f>
        <v>4665.3005022624939</v>
      </c>
      <c r="M21" s="181">
        <f>+M$19*(SUM($F10:L10)+L21+G21+H21+I21+J21+K21)</f>
        <v>3807.7621772720777</v>
      </c>
      <c r="N21" s="181">
        <f>+N$19*(SUM($F10:M10)+M21+G21+H21+I21+J21+K21+L21)</f>
        <v>3058.5821997782459</v>
      </c>
      <c r="O21" s="181">
        <f>+O$19*(SUM($F10:N10)+N21+G21+H21+I21+J21+K21+L21+M21)</f>
        <v>2865.8959821955282</v>
      </c>
      <c r="P21" s="181">
        <f>+P$19*(SUM($F10:O10)+O21+G21+H21+I21+J21+K21+L21+M21+N21)</f>
        <v>2420.5087028124321</v>
      </c>
      <c r="Q21" s="181">
        <f>+Q$19*(SUM($F10:P10)+P21+G21+H21+I21+J21+K21+L21+M21+N21+O21)</f>
        <v>2079.7500118373869</v>
      </c>
      <c r="R21" s="181">
        <f>+R$19*(SUM($F10:Q10)+Q21+P21+O21+N21+M21+L21+K21+J21+I21+H21+G21)</f>
        <v>1743.285532783606</v>
      </c>
      <c r="S21" s="241">
        <f>SUM(G21:R21)</f>
        <v>77226.220011127501</v>
      </c>
    </row>
    <row r="22" spans="1:19">
      <c r="A22" s="151" t="str">
        <f t="shared" si="1"/>
        <v>47WA.1862.20477</v>
      </c>
      <c r="B22" s="151" t="str">
        <f t="shared" si="1"/>
        <v>Rule 21 Decoupling Mechanism &amp; Amort.</v>
      </c>
      <c r="C22" s="233">
        <v>504</v>
      </c>
      <c r="G22" s="181">
        <f>+G$19*(SUM($F11:F11))</f>
        <v>-7075.3478207842363</v>
      </c>
      <c r="H22" s="181">
        <f>+H$19*(SUM($F11:G11)+G22)</f>
        <v>-6569.2873335556669</v>
      </c>
      <c r="I22" s="181">
        <f>+I$19*(SUM($F11:H11)+H22+G22)</f>
        <v>-5324.1823725362265</v>
      </c>
      <c r="J22" s="181">
        <f>+J$19*(SUM($F11:I11)+I22+H22+G22)</f>
        <v>-3822.630317824824</v>
      </c>
      <c r="K22" s="181">
        <f>+K$19*(SUM($F11:J11)+J22+G22+H22+I22)</f>
        <v>-3182.1964935998326</v>
      </c>
      <c r="L22" s="181">
        <f>+L$19*(SUM($F11:K11)+K22+G22+H22+I22+J22)</f>
        <v>-2344.6397698048077</v>
      </c>
      <c r="M22" s="181">
        <f>+M$19*(SUM($F11:L11)+L22+G22+H22+I22+J22+K22)</f>
        <v>-1952.3444241263644</v>
      </c>
      <c r="N22" s="181">
        <f>+N$19*(SUM($F11:M11)+M22+G22+H22+I22+J22+K22+L22)</f>
        <v>-1610.2448859418107</v>
      </c>
      <c r="O22" s="181">
        <f>+O$19*(SUM($F11:N11)+N22+G22+H22+I22+J22+K22+L22+M22)</f>
        <v>-1396.5936424617587</v>
      </c>
      <c r="P22" s="181">
        <f>+P$19*(SUM($F11:O11)+O22+G22+H22+I22+J22+K22+L22+M22+N22)</f>
        <v>-1236.4353842180328</v>
      </c>
      <c r="Q22" s="181">
        <f>+Q$19*(SUM($F11:P11)+P22+G22+H22+I22+J22+K22+L22+M22+N22+O22)</f>
        <v>-1031.3888809473076</v>
      </c>
      <c r="R22" s="181">
        <f>+R$19*(SUM($F11:Q11)+Q22+P22+O22+N22+M22+L22+K22+J22+I22+H22+G22)</f>
        <v>-829.99116542951572</v>
      </c>
      <c r="S22" s="241">
        <f>SUM(G22:R22)</f>
        <v>-36375.282491230384</v>
      </c>
    </row>
    <row r="23" spans="1:19">
      <c r="A23" s="151" t="str">
        <f t="shared" si="1"/>
        <v>47WA.1862.20477</v>
      </c>
      <c r="B23" s="151" t="str">
        <f t="shared" si="1"/>
        <v>Rule 21 Decoupling Mechanism &amp; Amort.</v>
      </c>
      <c r="C23" s="233">
        <v>505</v>
      </c>
      <c r="G23" s="181">
        <f>+G$19*(SUM($F12:F12))</f>
        <v>-443.54088217789138</v>
      </c>
      <c r="H23" s="181">
        <f>+H$19*(SUM($F12:G12)+G23)</f>
        <v>-426.33338371126592</v>
      </c>
      <c r="I23" s="181">
        <f>+I$19*(SUM($F12:H12)+H23+G23)</f>
        <v>-361.72249175923753</v>
      </c>
      <c r="J23" s="181">
        <f>+J$19*(SUM($F12:I12)+I23+H23+G23)</f>
        <v>-275.94048409344782</v>
      </c>
      <c r="K23" s="181">
        <f>+K$19*(SUM($F12:J12)+J23+G23+H23+I23)</f>
        <v>-244.70436630269492</v>
      </c>
      <c r="L23" s="181">
        <f>+L$19*(SUM($F12:K12)+K23+G23+H23+I23+J23)</f>
        <v>-187.61638949202776</v>
      </c>
      <c r="M23" s="181">
        <f>+M$19*(SUM($F12:L12)+L23+G23+H23+I23+J23+K23)</f>
        <v>-158.22127787174517</v>
      </c>
      <c r="N23" s="181">
        <f>+N$19*(SUM($F12:M12)+M23+G23+H23+I23+J23+K23+L23)</f>
        <v>-126.09794810886338</v>
      </c>
      <c r="O23" s="181">
        <f>+O$19*(SUM($F12:N12)+N23+G23+H23+I23+J23+K23+L23+M23)</f>
        <v>-109.09240019809423</v>
      </c>
      <c r="P23" s="181">
        <f>+P$19*(SUM($F12:O12)+O23+G23+H23+I23+J23+K23+L23+M23+N23)</f>
        <v>-88.234146257045992</v>
      </c>
      <c r="Q23" s="181">
        <f>+Q$19*(SUM($F12:P12)+P23+G23+H23+I23+J23+K23+L23+M23+N23+O23)</f>
        <v>-70.356623651059323</v>
      </c>
      <c r="R23" s="181">
        <f>+R$19*(SUM($F12:Q12)+Q23+P23+O23+N23+M23+L23+K23+J23+I23+H23+G23)</f>
        <v>-56.72620687394172</v>
      </c>
      <c r="S23" s="241">
        <f>SUM(G23:R23)</f>
        <v>-2548.5866004973159</v>
      </c>
    </row>
    <row r="24" spans="1:19">
      <c r="A24" s="151" t="str">
        <f t="shared" si="1"/>
        <v>47WA.1862.20477</v>
      </c>
      <c r="B24" s="151" t="str">
        <f t="shared" si="1"/>
        <v>Rule 21 Decoupling Mechanism &amp; Amort.</v>
      </c>
      <c r="C24" s="233">
        <v>511</v>
      </c>
      <c r="G24" s="181">
        <f>+G$19*(SUM($F13:F13))</f>
        <v>6885.8752470809659</v>
      </c>
      <c r="H24" s="181">
        <f>+H$19*(SUM($F13:G13)+G24)</f>
        <v>6473.2455671617918</v>
      </c>
      <c r="I24" s="181">
        <f>+I$19*(SUM($F13:H13)+H24+G24)</f>
        <v>5515.4707956777838</v>
      </c>
      <c r="J24" s="181">
        <f>+J$19*(SUM($F13:I13)+I24+H24+G24)</f>
        <v>4145.5779870277893</v>
      </c>
      <c r="K24" s="181">
        <f>+K$19*(SUM($F13:J13)+J24+G24+H24+I24)</f>
        <v>3729.2230938230323</v>
      </c>
      <c r="L24" s="181">
        <f>+L$19*(SUM($F13:K13)+K24+G24+H24+I24+J24)</f>
        <v>2976.1414306283314</v>
      </c>
      <c r="M24" s="181">
        <f>+M$19*(SUM($F13:L13)+L24+G24+H24+I24+J24+K24)</f>
        <v>2572.6537962341508</v>
      </c>
      <c r="N24" s="181">
        <f>+N$19*(SUM($F13:M13)+M24+G24+H24+I24+J24+K24+L24)</f>
        <v>2167.7306374431696</v>
      </c>
      <c r="O24" s="181">
        <f>+O$19*(SUM($F13:N13)+N24+G24+H24+I24+J24+K24+L24+M24)</f>
        <v>1847.380886589352</v>
      </c>
      <c r="P24" s="181">
        <f>+P$19*(SUM($F13:O13)+O24+G24+H24+I24+J24+K24+L24+M24+N24)</f>
        <v>1538.8045264256655</v>
      </c>
      <c r="Q24" s="181">
        <f>+Q$19*(SUM($F13:P13)+P24+G24+H24+I24+J24+K24+L24+M24+N24+O24)</f>
        <v>1106.9723331862167</v>
      </c>
      <c r="R24" s="181">
        <f>+R$19*(SUM($F13:Q13)+Q24+P24+O24+N24+M24+L24+K24+J24+I24+H24+G24)</f>
        <v>912.86955912234725</v>
      </c>
      <c r="S24" s="241">
        <f>SUM(G24:R24)</f>
        <v>39871.945860400592</v>
      </c>
    </row>
    <row r="25" spans="1:19">
      <c r="A25" s="151" t="str">
        <f t="shared" si="1"/>
        <v>47WA.1862.20477</v>
      </c>
      <c r="B25" s="151" t="str">
        <f t="shared" si="1"/>
        <v>Rule 21 Decoupling Mechanism &amp; Amort.</v>
      </c>
      <c r="C25" s="233">
        <v>570</v>
      </c>
      <c r="G25" s="181">
        <f>+G$19*(SUM($F14:F14))</f>
        <v>-40.83330477664925</v>
      </c>
      <c r="H25" s="181">
        <f>+H$19*(SUM($F14:G14)+G25)</f>
        <v>-38.053706960243083</v>
      </c>
      <c r="I25" s="181">
        <f>+I$19*(SUM($F14:H14)+H25+G25)</f>
        <v>-31.779881101092009</v>
      </c>
      <c r="J25" s="181">
        <f>+J$19*(SUM($F14:I14)+I25+H25+G25)</f>
        <v>-24.542970708568273</v>
      </c>
      <c r="K25" s="181">
        <f>+K$19*(SUM($F14:J14)+J25+G25+H25+I25)</f>
        <v>-22.105011228446319</v>
      </c>
      <c r="L25" s="181">
        <f>+L$19*(SUM($F14:K14)+K25+G25+H25+I25+J25)</f>
        <v>-16.950214495478576</v>
      </c>
      <c r="M25" s="181">
        <f>+M$19*(SUM($F14:L14)+L25+G25+H25+I25+J25+K25)</f>
        <v>-14.02780446812886</v>
      </c>
      <c r="N25" s="181">
        <f>+N$19*(SUM($F14:M14)+M25+G25+H25+I25+J25+K25+L25)</f>
        <v>-11.054522198027701</v>
      </c>
      <c r="O25" s="181">
        <f>+O$19*(SUM($F14:N14)+N25+G25+H25+I25+J25+K25+L25+M25)</f>
        <v>-9.2503921293829698</v>
      </c>
      <c r="P25" s="181">
        <f>+P$19*(SUM($F14:O14)+O25+G25+H25+I25+J25+K25+L25+M25+N25)</f>
        <v>-8.4998216622847114</v>
      </c>
      <c r="Q25" s="181">
        <f>+Q$19*(SUM($F14:P14)+P25+G25+H25+I25+J25+K25+L25+M25+N25+O25)</f>
        <v>-6.8404342381260737</v>
      </c>
      <c r="R25" s="181">
        <f>+R$19*(SUM($F14:Q14)+Q25+P25+O25+N25+M25+L25+K25+J25+I25+H25+G25)</f>
        <v>-5.3774512716119078</v>
      </c>
      <c r="S25" s="241">
        <f>SUM(G25:R25)</f>
        <v>-229.31551523803975</v>
      </c>
    </row>
    <row r="26" spans="1:19"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241"/>
    </row>
    <row r="27" spans="1:19">
      <c r="A27" s="151" t="str">
        <f>+A16</f>
        <v>CORE Decoupling</v>
      </c>
      <c r="B27" s="151" t="s">
        <v>182</v>
      </c>
      <c r="G27" s="181">
        <f t="shared" ref="G27:R27" si="2">SUM(G20:G26)</f>
        <v>15161.961964981834</v>
      </c>
      <c r="H27" s="181">
        <f t="shared" si="2"/>
        <v>13898.531760897677</v>
      </c>
      <c r="I27" s="181">
        <f t="shared" si="2"/>
        <v>11325.892978481354</v>
      </c>
      <c r="J27" s="181">
        <f t="shared" si="2"/>
        <v>8078.375069413677</v>
      </c>
      <c r="K27" s="181">
        <f t="shared" si="2"/>
        <v>6986.564998062252</v>
      </c>
      <c r="L27" s="181">
        <f t="shared" si="2"/>
        <v>5092.2355590985117</v>
      </c>
      <c r="M27" s="181">
        <f t="shared" si="2"/>
        <v>4255.8224670399904</v>
      </c>
      <c r="N27" s="181">
        <f t="shared" si="2"/>
        <v>3478.9154809727138</v>
      </c>
      <c r="O27" s="181">
        <f t="shared" si="2"/>
        <v>3198.3404339956442</v>
      </c>
      <c r="P27" s="181">
        <f t="shared" si="2"/>
        <v>2626.1438771007338</v>
      </c>
      <c r="Q27" s="181">
        <f t="shared" si="2"/>
        <v>2078.1364061871109</v>
      </c>
      <c r="R27" s="181">
        <f t="shared" si="2"/>
        <v>1764.0602683308837</v>
      </c>
      <c r="S27" s="181">
        <f>SUM(S20:S26)</f>
        <v>77944.981264562361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H35"/>
  <sheetViews>
    <sheetView workbookViewId="0">
      <selection activeCell="L32" sqref="L32"/>
    </sheetView>
  </sheetViews>
  <sheetFormatPr defaultRowHeight="10.5"/>
  <cols>
    <col min="1" max="1" width="12.5" bestFit="1" customWidth="1"/>
    <col min="3" max="4" width="14.83203125" bestFit="1" customWidth="1"/>
    <col min="5" max="5" width="13.6640625" bestFit="1" customWidth="1"/>
    <col min="6" max="6" width="17" bestFit="1" customWidth="1"/>
    <col min="7" max="7" width="13.6640625" bestFit="1" customWidth="1"/>
    <col min="8" max="8" width="14.83203125" bestFit="1" customWidth="1"/>
    <col min="9" max="10" width="13.6640625" bestFit="1" customWidth="1"/>
    <col min="12" max="12" width="12.33203125" bestFit="1" customWidth="1"/>
    <col min="13" max="13" width="10.5" bestFit="1" customWidth="1"/>
    <col min="14" max="15" width="14.83203125" bestFit="1" customWidth="1"/>
    <col min="20" max="20" width="8.6640625" bestFit="1" customWidth="1"/>
    <col min="21" max="21" width="13.6640625" bestFit="1" customWidth="1"/>
    <col min="22" max="22" width="18" bestFit="1" customWidth="1"/>
    <col min="23" max="25" width="16.6640625" bestFit="1" customWidth="1"/>
    <col min="26" max="27" width="12.33203125" customWidth="1"/>
    <col min="28" max="28" width="13.6640625" bestFit="1" customWidth="1"/>
    <col min="29" max="30" width="18" bestFit="1" customWidth="1"/>
  </cols>
  <sheetData>
    <row r="1" spans="1:8" ht="15">
      <c r="B1" s="552" t="s">
        <v>33</v>
      </c>
      <c r="C1" s="552"/>
      <c r="D1" s="552"/>
      <c r="E1" s="552"/>
      <c r="F1" s="552"/>
      <c r="G1" s="552"/>
      <c r="H1" s="552"/>
    </row>
    <row r="2" spans="1:8" ht="15">
      <c r="B2" s="578" t="s">
        <v>213</v>
      </c>
      <c r="C2" s="578"/>
      <c r="D2" s="578"/>
      <c r="E2" s="578"/>
      <c r="F2" s="578"/>
      <c r="G2" s="578"/>
      <c r="H2" s="578"/>
    </row>
    <row r="3" spans="1:8" ht="15">
      <c r="B3" s="552" t="s">
        <v>35</v>
      </c>
      <c r="C3" s="552"/>
      <c r="D3" s="552"/>
      <c r="E3" s="552"/>
      <c r="F3" s="552"/>
      <c r="G3" s="552"/>
      <c r="H3" s="552"/>
    </row>
    <row r="4" spans="1:8" ht="15">
      <c r="F4" s="70"/>
      <c r="G4" s="70"/>
      <c r="H4" s="70"/>
    </row>
    <row r="5" spans="1:8" ht="15">
      <c r="B5" s="232"/>
      <c r="C5" s="254">
        <v>503</v>
      </c>
      <c r="D5" s="254">
        <v>504</v>
      </c>
      <c r="E5" s="253">
        <v>505</v>
      </c>
      <c r="F5" s="253">
        <v>511</v>
      </c>
      <c r="G5" s="253">
        <v>570</v>
      </c>
      <c r="H5" s="68" t="s">
        <v>142</v>
      </c>
    </row>
    <row r="6" spans="1:8" ht="15">
      <c r="A6" s="366" t="s">
        <v>255</v>
      </c>
      <c r="B6" s="257">
        <v>45139</v>
      </c>
      <c r="C6" s="522">
        <v>2530851</v>
      </c>
      <c r="D6" s="522">
        <v>2602457</v>
      </c>
      <c r="E6" s="522">
        <v>485379</v>
      </c>
      <c r="F6" s="522">
        <v>968498</v>
      </c>
      <c r="G6" s="522">
        <v>85131</v>
      </c>
      <c r="H6" s="258">
        <f t="shared" ref="H6:H17" si="0">+C6+D6+E6+F6+G6</f>
        <v>6672316</v>
      </c>
    </row>
    <row r="7" spans="1:8" ht="15">
      <c r="A7" s="366" t="s">
        <v>255</v>
      </c>
      <c r="B7" s="257">
        <v>45170</v>
      </c>
      <c r="C7" s="523">
        <v>3984080</v>
      </c>
      <c r="D7" s="523">
        <v>3809259</v>
      </c>
      <c r="E7" s="523">
        <v>534789</v>
      </c>
      <c r="F7" s="523">
        <v>616105</v>
      </c>
      <c r="G7" s="523">
        <v>107273</v>
      </c>
      <c r="H7" s="258">
        <f t="shared" si="0"/>
        <v>9051506</v>
      </c>
    </row>
    <row r="8" spans="1:8" ht="15">
      <c r="A8" s="366" t="s">
        <v>255</v>
      </c>
      <c r="B8" s="257">
        <v>45200</v>
      </c>
      <c r="C8" s="522">
        <v>8301482</v>
      </c>
      <c r="D8" s="522">
        <v>6570526</v>
      </c>
      <c r="E8" s="522">
        <v>919554</v>
      </c>
      <c r="F8" s="522">
        <v>1191358</v>
      </c>
      <c r="G8" s="522">
        <v>169608</v>
      </c>
      <c r="H8" s="258">
        <f t="shared" si="0"/>
        <v>17152528</v>
      </c>
    </row>
    <row r="9" spans="1:8" ht="15">
      <c r="A9" s="366" t="s">
        <v>255</v>
      </c>
      <c r="B9" s="257">
        <v>45231</v>
      </c>
      <c r="C9" s="523">
        <v>16563910</v>
      </c>
      <c r="D9" s="523">
        <v>10761463</v>
      </c>
      <c r="E9" s="523">
        <v>989405</v>
      </c>
      <c r="F9" s="523">
        <v>1545484</v>
      </c>
      <c r="G9" s="523">
        <v>236897</v>
      </c>
      <c r="H9" s="258">
        <f t="shared" si="0"/>
        <v>30097159</v>
      </c>
    </row>
    <row r="10" spans="1:8" ht="15">
      <c r="A10" s="366" t="s">
        <v>255</v>
      </c>
      <c r="B10" s="257">
        <v>45261</v>
      </c>
      <c r="C10" s="522">
        <v>17765095</v>
      </c>
      <c r="D10" s="522">
        <v>12514189</v>
      </c>
      <c r="E10" s="522">
        <v>1357607</v>
      </c>
      <c r="F10" s="522">
        <v>1600841</v>
      </c>
      <c r="G10" s="522">
        <v>249527</v>
      </c>
      <c r="H10" s="258">
        <f t="shared" si="0"/>
        <v>33487259</v>
      </c>
    </row>
    <row r="11" spans="1:8" ht="15">
      <c r="A11" s="366" t="s">
        <v>255</v>
      </c>
      <c r="B11" s="257">
        <v>45292</v>
      </c>
      <c r="C11" s="522">
        <v>22656500</v>
      </c>
      <c r="D11" s="522">
        <v>15736158</v>
      </c>
      <c r="E11" s="522">
        <v>1696449</v>
      </c>
      <c r="F11" s="523">
        <v>2212395</v>
      </c>
      <c r="G11" s="523">
        <v>264985</v>
      </c>
      <c r="H11" s="258">
        <f t="shared" si="0"/>
        <v>42566487</v>
      </c>
    </row>
    <row r="12" spans="1:8" ht="15">
      <c r="A12" s="366" t="s">
        <v>255</v>
      </c>
      <c r="B12" s="257">
        <v>45323</v>
      </c>
      <c r="C12" s="524">
        <v>15847810</v>
      </c>
      <c r="D12" s="524">
        <v>12440097</v>
      </c>
      <c r="E12" s="524">
        <v>1501675</v>
      </c>
      <c r="F12" s="522">
        <v>1692041</v>
      </c>
      <c r="G12" s="522">
        <v>238288</v>
      </c>
      <c r="H12" s="258">
        <f t="shared" si="0"/>
        <v>31719911</v>
      </c>
    </row>
    <row r="13" spans="1:8" ht="15">
      <c r="A13" s="366" t="s">
        <v>255</v>
      </c>
      <c r="B13" s="257">
        <v>45352</v>
      </c>
      <c r="C13" s="523">
        <v>14304551</v>
      </c>
      <c r="D13" s="523">
        <v>9572614</v>
      </c>
      <c r="E13" s="523">
        <v>1333223</v>
      </c>
      <c r="F13" s="523">
        <v>1371096</v>
      </c>
      <c r="G13" s="523">
        <v>228698</v>
      </c>
      <c r="H13" s="258">
        <f t="shared" si="0"/>
        <v>26810182</v>
      </c>
    </row>
    <row r="14" spans="1:8" ht="15">
      <c r="A14" s="366" t="s">
        <v>255</v>
      </c>
      <c r="B14" s="257">
        <v>45383</v>
      </c>
      <c r="C14" s="522">
        <v>8696083</v>
      </c>
      <c r="D14" s="522">
        <v>6697941</v>
      </c>
      <c r="E14" s="522">
        <v>1053452</v>
      </c>
      <c r="F14" s="522">
        <v>1185738</v>
      </c>
      <c r="G14" s="522">
        <v>195240</v>
      </c>
      <c r="H14" s="258">
        <f t="shared" si="0"/>
        <v>17828454</v>
      </c>
    </row>
    <row r="15" spans="1:8" ht="15">
      <c r="A15" s="366" t="s">
        <v>255</v>
      </c>
      <c r="B15" s="257">
        <v>45413</v>
      </c>
      <c r="C15" s="523">
        <v>6252809</v>
      </c>
      <c r="D15" s="523">
        <v>4637605</v>
      </c>
      <c r="E15" s="523">
        <v>922926</v>
      </c>
      <c r="F15" s="523">
        <v>886290</v>
      </c>
      <c r="G15" s="523">
        <v>163264</v>
      </c>
      <c r="H15" s="258">
        <f t="shared" si="0"/>
        <v>12862894</v>
      </c>
    </row>
    <row r="16" spans="1:8" ht="15">
      <c r="A16" s="366" t="s">
        <v>255</v>
      </c>
      <c r="B16" s="257">
        <v>45444</v>
      </c>
      <c r="C16" s="522">
        <v>2458689</v>
      </c>
      <c r="D16" s="522">
        <v>3582147</v>
      </c>
      <c r="E16" s="522">
        <v>588410</v>
      </c>
      <c r="F16" s="522">
        <v>862944</v>
      </c>
      <c r="G16" s="522">
        <v>113835</v>
      </c>
      <c r="H16" s="258">
        <f t="shared" si="0"/>
        <v>7606025</v>
      </c>
    </row>
    <row r="17" spans="1:8" ht="15">
      <c r="A17" s="366" t="s">
        <v>255</v>
      </c>
      <c r="B17" s="257">
        <v>45474</v>
      </c>
      <c r="C17" s="525">
        <v>3131406</v>
      </c>
      <c r="D17" s="526">
        <v>1892047</v>
      </c>
      <c r="E17" s="526">
        <v>498355</v>
      </c>
      <c r="F17" s="525">
        <v>588899</v>
      </c>
      <c r="G17" s="525">
        <v>35751</v>
      </c>
      <c r="H17" s="258">
        <f t="shared" si="0"/>
        <v>6146458</v>
      </c>
    </row>
    <row r="18" spans="1:8" ht="15">
      <c r="A18" s="366"/>
      <c r="B18" s="259"/>
      <c r="C18" s="260"/>
      <c r="D18" s="261"/>
      <c r="E18" s="261"/>
      <c r="F18" s="261"/>
      <c r="G18" s="261"/>
      <c r="H18" s="262"/>
    </row>
    <row r="19" spans="1:8" ht="15">
      <c r="A19" s="366" t="s">
        <v>212</v>
      </c>
      <c r="B19" s="466">
        <v>45139</v>
      </c>
      <c r="C19" s="4">
        <f t="shared" ref="C19:C30" si="1">(+C6/H6)*H19</f>
        <v>2403018.7329706806</v>
      </c>
      <c r="D19" s="4">
        <f t="shared" ref="D19:D30" si="2">(+D6/H6)*H19</f>
        <v>2471007.9426843692</v>
      </c>
      <c r="E19" s="4">
        <f t="shared" ref="E19:E30" si="3">(+E6/H6)*H19</f>
        <v>460862.70175153576</v>
      </c>
      <c r="F19" s="4">
        <f t="shared" ref="F19:F30" si="4">(+F6/H6)*H19</f>
        <v>919579.55519492773</v>
      </c>
      <c r="G19" s="4">
        <f t="shared" ref="G19:G30" si="5">(+G6/H6)*H19</f>
        <v>80831.067398486528</v>
      </c>
      <c r="H19" s="467">
        <v>6335300</v>
      </c>
    </row>
    <row r="20" spans="1:8" ht="15">
      <c r="A20" s="366" t="s">
        <v>212</v>
      </c>
      <c r="B20" s="466">
        <v>45170</v>
      </c>
      <c r="C20" s="4">
        <f t="shared" si="1"/>
        <v>3500213.2215346266</v>
      </c>
      <c r="D20" s="4">
        <f t="shared" si="2"/>
        <v>3346624.2435015789</v>
      </c>
      <c r="E20" s="4">
        <f t="shared" si="3"/>
        <v>469838.84071888146</v>
      </c>
      <c r="F20" s="4">
        <f t="shared" si="4"/>
        <v>541279.00716190215</v>
      </c>
      <c r="G20" s="4">
        <f t="shared" si="5"/>
        <v>94244.687083011377</v>
      </c>
      <c r="H20" s="467">
        <v>7952200</v>
      </c>
    </row>
    <row r="21" spans="1:8" ht="15">
      <c r="A21" s="366" t="s">
        <v>212</v>
      </c>
      <c r="B21" s="466">
        <v>45200</v>
      </c>
      <c r="C21" s="4">
        <f t="shared" si="1"/>
        <v>10181634.291959763</v>
      </c>
      <c r="D21" s="4">
        <f t="shared" si="2"/>
        <v>8058644.5694652125</v>
      </c>
      <c r="E21" s="4">
        <f t="shared" si="3"/>
        <v>1127818.2064008291</v>
      </c>
      <c r="F21" s="4">
        <f t="shared" si="4"/>
        <v>1461181.4452889976</v>
      </c>
      <c r="G21" s="4">
        <f t="shared" si="5"/>
        <v>208021.48688519851</v>
      </c>
      <c r="H21" s="467">
        <v>21037300</v>
      </c>
    </row>
    <row r="22" spans="1:8" ht="15">
      <c r="A22" s="366" t="s">
        <v>212</v>
      </c>
      <c r="B22" s="466">
        <v>45231</v>
      </c>
      <c r="C22" s="4">
        <f t="shared" si="1"/>
        <v>17300573.306171525</v>
      </c>
      <c r="D22" s="4">
        <f t="shared" si="2"/>
        <v>11240068.287810821</v>
      </c>
      <c r="E22" s="4">
        <f t="shared" si="3"/>
        <v>1033407.7963471569</v>
      </c>
      <c r="F22" s="4">
        <f t="shared" si="4"/>
        <v>1614217.8528810644</v>
      </c>
      <c r="G22" s="4">
        <f t="shared" si="5"/>
        <v>247432.75678943651</v>
      </c>
      <c r="H22" s="467">
        <v>31435700</v>
      </c>
    </row>
    <row r="23" spans="1:8" ht="15">
      <c r="A23" s="366" t="s">
        <v>212</v>
      </c>
      <c r="B23" s="466">
        <v>45261</v>
      </c>
      <c r="C23" s="4">
        <f t="shared" si="1"/>
        <v>26008190.233166143</v>
      </c>
      <c r="D23" s="4">
        <f t="shared" si="2"/>
        <v>18320836.906630401</v>
      </c>
      <c r="E23" s="4">
        <f t="shared" si="3"/>
        <v>1987543.6139169526</v>
      </c>
      <c r="F23" s="4">
        <f t="shared" si="4"/>
        <v>2343639.4379569553</v>
      </c>
      <c r="G23" s="4">
        <f t="shared" si="5"/>
        <v>365308.80832955008</v>
      </c>
      <c r="H23" s="467">
        <v>49025519</v>
      </c>
    </row>
    <row r="24" spans="1:8" ht="15">
      <c r="A24" s="366" t="s">
        <v>212</v>
      </c>
      <c r="B24" s="466">
        <v>45292</v>
      </c>
      <c r="C24" s="4">
        <f t="shared" si="1"/>
        <v>23069541.802921157</v>
      </c>
      <c r="D24" s="4">
        <f t="shared" si="2"/>
        <v>16023037.750684006</v>
      </c>
      <c r="E24" s="4">
        <f t="shared" si="3"/>
        <v>1727376.2991646456</v>
      </c>
      <c r="F24" s="4">
        <f t="shared" si="4"/>
        <v>2252728.3091860507</v>
      </c>
      <c r="G24" s="4">
        <f t="shared" si="5"/>
        <v>269815.8380441402</v>
      </c>
      <c r="H24" s="467">
        <v>43342500</v>
      </c>
    </row>
    <row r="25" spans="1:8" ht="15">
      <c r="A25" s="366" t="s">
        <v>212</v>
      </c>
      <c r="B25" s="466">
        <v>45323</v>
      </c>
      <c r="C25" s="4">
        <f t="shared" si="1"/>
        <v>19458387.413066827</v>
      </c>
      <c r="D25" s="4">
        <f t="shared" si="2"/>
        <v>15274301.426009677</v>
      </c>
      <c r="E25" s="4">
        <f t="shared" si="3"/>
        <v>1843798.8541329766</v>
      </c>
      <c r="F25" s="4">
        <f t="shared" si="4"/>
        <v>2077535.5898886351</v>
      </c>
      <c r="G25" s="4">
        <f t="shared" si="5"/>
        <v>292576.71690188535</v>
      </c>
      <c r="H25" s="467">
        <v>38946600</v>
      </c>
    </row>
    <row r="26" spans="1:8" ht="15">
      <c r="A26" s="366" t="s">
        <v>212</v>
      </c>
      <c r="B26" s="466">
        <v>45352</v>
      </c>
      <c r="C26" s="4">
        <f t="shared" si="1"/>
        <v>16571557.77473275</v>
      </c>
      <c r="D26" s="4">
        <f t="shared" si="2"/>
        <v>11089696.276116291</v>
      </c>
      <c r="E26" s="4">
        <f t="shared" si="3"/>
        <v>1544514.1879044313</v>
      </c>
      <c r="F26" s="4">
        <f t="shared" si="4"/>
        <v>1588389.3579536311</v>
      </c>
      <c r="G26" s="4">
        <f t="shared" si="5"/>
        <v>264942.40329289821</v>
      </c>
      <c r="H26" s="467">
        <v>31059100</v>
      </c>
    </row>
    <row r="27" spans="1:8" ht="15">
      <c r="A27" s="366" t="s">
        <v>212</v>
      </c>
      <c r="B27" s="466">
        <v>45383</v>
      </c>
      <c r="C27" s="4">
        <f t="shared" si="1"/>
        <v>8969155.8801957816</v>
      </c>
      <c r="D27" s="4">
        <f t="shared" si="2"/>
        <v>6908268.5739492616</v>
      </c>
      <c r="E27" s="4">
        <f t="shared" si="3"/>
        <v>1086532.3157913748</v>
      </c>
      <c r="F27" s="4">
        <f t="shared" si="4"/>
        <v>1222972.3376687625</v>
      </c>
      <c r="G27" s="4">
        <f t="shared" si="5"/>
        <v>201370.89239482011</v>
      </c>
      <c r="H27" s="467">
        <v>18388300</v>
      </c>
    </row>
    <row r="28" spans="1:8" ht="15">
      <c r="A28" s="366" t="s">
        <v>212</v>
      </c>
      <c r="B28" s="466">
        <v>45413</v>
      </c>
      <c r="C28" s="4">
        <f t="shared" si="1"/>
        <v>5781477.5803718818</v>
      </c>
      <c r="D28" s="4">
        <f t="shared" si="2"/>
        <v>4288026.282926688</v>
      </c>
      <c r="E28" s="4">
        <f t="shared" si="3"/>
        <v>853356.62377377902</v>
      </c>
      <c r="F28" s="4">
        <f t="shared" si="4"/>
        <v>819482.21426686714</v>
      </c>
      <c r="G28" s="4">
        <f t="shared" si="5"/>
        <v>150957.29866078348</v>
      </c>
      <c r="H28" s="467">
        <v>11893300</v>
      </c>
    </row>
    <row r="29" spans="1:8" ht="15">
      <c r="A29" s="366" t="s">
        <v>212</v>
      </c>
      <c r="B29" s="466">
        <v>45444</v>
      </c>
      <c r="C29" s="4">
        <f t="shared" si="1"/>
        <v>2713891.0928507335</v>
      </c>
      <c r="D29" s="4">
        <f t="shared" si="2"/>
        <v>3953959.5437169876</v>
      </c>
      <c r="E29" s="4">
        <f t="shared" si="3"/>
        <v>649484.60661120631</v>
      </c>
      <c r="F29" s="4">
        <f t="shared" si="4"/>
        <v>952514.1387255498</v>
      </c>
      <c r="G29" s="4">
        <f t="shared" si="5"/>
        <v>125650.61809552295</v>
      </c>
      <c r="H29" s="467">
        <v>8395500</v>
      </c>
    </row>
    <row r="30" spans="1:8" ht="15">
      <c r="A30" s="366" t="s">
        <v>212</v>
      </c>
      <c r="B30" s="466">
        <v>45474</v>
      </c>
      <c r="C30" s="4">
        <f t="shared" si="1"/>
        <v>3993697.1234489852</v>
      </c>
      <c r="D30" s="4">
        <f t="shared" si="2"/>
        <v>2413057.4768427606</v>
      </c>
      <c r="E30" s="4">
        <f t="shared" si="3"/>
        <v>635586.35640233767</v>
      </c>
      <c r="F30" s="4">
        <f t="shared" si="4"/>
        <v>751063.3377792543</v>
      </c>
      <c r="G30" s="4">
        <f t="shared" si="5"/>
        <v>45595.70552666267</v>
      </c>
      <c r="H30" s="467">
        <v>7839000</v>
      </c>
    </row>
    <row r="31" spans="1:8" ht="15">
      <c r="A31" s="366" t="s">
        <v>212</v>
      </c>
      <c r="B31" s="466">
        <v>45505</v>
      </c>
      <c r="C31" s="4">
        <f>(+C19/H19)*H31</f>
        <v>2475580.0139861479</v>
      </c>
      <c r="D31" s="4">
        <f>(+D19/H19)*H31</f>
        <v>2545622.2181623294</v>
      </c>
      <c r="E31" s="4">
        <f>(+E19/H19)*H31</f>
        <v>474778.85960437125</v>
      </c>
      <c r="F31" s="4">
        <f>(+F19/H19)*H31</f>
        <v>947347.07510855293</v>
      </c>
      <c r="G31" s="4">
        <f>(+G19/H19)*H31</f>
        <v>83271.833138598362</v>
      </c>
      <c r="H31" s="467">
        <v>6526600</v>
      </c>
    </row>
    <row r="32" spans="1:8" ht="15">
      <c r="A32" s="366" t="s">
        <v>212</v>
      </c>
      <c r="B32" s="466">
        <v>45536</v>
      </c>
      <c r="C32" s="4">
        <f>(+C20/H20)*H32</f>
        <v>3605762.7714106361</v>
      </c>
      <c r="D32" s="4">
        <f>(+D20/H20)*H32</f>
        <v>3447542.2905315426</v>
      </c>
      <c r="E32" s="4">
        <f>(+E20/H20)*H32</f>
        <v>484006.91420853056</v>
      </c>
      <c r="F32" s="4">
        <f>(+F20/H20)*H32</f>
        <v>557601.37152867159</v>
      </c>
      <c r="G32" s="4">
        <f>(+G20/H20)*H32</f>
        <v>97086.652320619352</v>
      </c>
      <c r="H32" s="467">
        <v>8192000</v>
      </c>
    </row>
    <row r="33" spans="1:8" ht="15">
      <c r="A33" s="366" t="s">
        <v>212</v>
      </c>
      <c r="B33" s="466">
        <v>45566</v>
      </c>
      <c r="C33" s="4">
        <f>(+C21/H21)*H33</f>
        <v>10268460.319633352</v>
      </c>
      <c r="D33" s="4">
        <f>(+D21/H21)*H33</f>
        <v>8127366.3558048122</v>
      </c>
      <c r="E33" s="4">
        <f>(+E21/H21)*H33</f>
        <v>1137435.9133417534</v>
      </c>
      <c r="F33" s="4">
        <f>(+F21/H21)*H33</f>
        <v>1473641.9773575068</v>
      </c>
      <c r="G33" s="4">
        <f>(+G21/H21)*H33</f>
        <v>209795.43386257702</v>
      </c>
      <c r="H33" s="467">
        <v>21216700</v>
      </c>
    </row>
    <row r="34" spans="1:8" ht="15">
      <c r="B34" s="151" t="s">
        <v>184</v>
      </c>
      <c r="C34" s="4">
        <f>SUM(C22:C33)</f>
        <v>140216275.3119559</v>
      </c>
      <c r="D34" s="4">
        <f t="shared" ref="D34:G34" si="6">SUM(D22:D33)</f>
        <v>103631783.38918559</v>
      </c>
      <c r="E34" s="4">
        <f t="shared" si="6"/>
        <v>13457822.341199517</v>
      </c>
      <c r="F34" s="4">
        <f t="shared" si="6"/>
        <v>16601133.000301499</v>
      </c>
      <c r="G34" s="4">
        <f t="shared" si="6"/>
        <v>2353804.9573574951</v>
      </c>
      <c r="H34" s="4">
        <f>SUM(H22:H33)</f>
        <v>276260819</v>
      </c>
    </row>
    <row r="35" spans="1:8" ht="15">
      <c r="C35" s="468">
        <v>1</v>
      </c>
      <c r="D35" s="468">
        <v>2</v>
      </c>
      <c r="E35" s="468">
        <v>3</v>
      </c>
      <c r="F35" s="468">
        <v>4</v>
      </c>
      <c r="G35" s="468">
        <v>5</v>
      </c>
      <c r="H35" s="333">
        <v>7</v>
      </c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76FB-A53E-4C73-8A2B-EE76E2065147}">
  <sheetPr>
    <pageSetUpPr fitToPage="1"/>
  </sheetPr>
  <dimension ref="A1:K106"/>
  <sheetViews>
    <sheetView view="pageBreakPreview" zoomScale="96" zoomScaleNormal="75" zoomScaleSheetLayoutView="96" workbookViewId="0">
      <pane xSplit="1" ySplit="10" topLeftCell="B77" activePane="bottomRight" state="frozen"/>
      <selection activeCell="G39" sqref="G39"/>
      <selection pane="topRight" activeCell="G39" sqref="G39"/>
      <selection pane="bottomLeft" activeCell="G39" sqref="G39"/>
      <selection pane="bottomRight" activeCell="H64" sqref="H64"/>
    </sheetView>
  </sheetViews>
  <sheetFormatPr defaultColWidth="13.33203125" defaultRowHeight="12.75"/>
  <cols>
    <col min="1" max="1" width="14.1640625" style="332" customWidth="1"/>
    <col min="2" max="2" width="10.5" style="332" bestFit="1" customWidth="1"/>
    <col min="3" max="3" width="16.1640625" style="332" customWidth="1"/>
    <col min="4" max="4" width="22" style="332" bestFit="1" customWidth="1"/>
    <col min="5" max="5" width="14.6640625" style="332" bestFit="1" customWidth="1"/>
    <col min="6" max="6" width="13.33203125" style="332" bestFit="1" customWidth="1"/>
    <col min="7" max="7" width="15.33203125" style="332" bestFit="1" customWidth="1"/>
    <col min="8" max="8" width="22.1640625" style="332" bestFit="1" customWidth="1"/>
    <col min="9" max="9" width="15.33203125" style="332" bestFit="1" customWidth="1"/>
    <col min="10" max="10" width="14.5" style="332" bestFit="1" customWidth="1"/>
    <col min="11" max="16384" width="13.33203125" style="332"/>
  </cols>
  <sheetData>
    <row r="1" spans="1:11">
      <c r="A1" s="583" t="s">
        <v>220</v>
      </c>
      <c r="B1" s="584"/>
      <c r="C1" s="585" t="s">
        <v>221</v>
      </c>
      <c r="D1" s="585"/>
      <c r="E1" s="585"/>
      <c r="F1" s="585"/>
      <c r="G1" s="585"/>
      <c r="H1" s="586"/>
    </row>
    <row r="2" spans="1:11">
      <c r="A2" s="579" t="s">
        <v>222</v>
      </c>
      <c r="B2" s="580"/>
      <c r="C2" s="581" t="s">
        <v>176</v>
      </c>
      <c r="D2" s="581"/>
      <c r="E2" s="581"/>
      <c r="F2" s="581"/>
      <c r="G2" s="581"/>
      <c r="H2" s="582"/>
    </row>
    <row r="3" spans="1:11">
      <c r="A3" s="579" t="s">
        <v>223</v>
      </c>
      <c r="B3" s="580"/>
      <c r="C3" s="581" t="s">
        <v>224</v>
      </c>
      <c r="D3" s="581"/>
      <c r="E3" s="581"/>
      <c r="F3" s="581"/>
      <c r="G3" s="581"/>
      <c r="H3" s="582"/>
    </row>
    <row r="4" spans="1:11">
      <c r="A4" s="579" t="s">
        <v>225</v>
      </c>
      <c r="B4" s="580"/>
      <c r="C4" s="581" t="s">
        <v>23</v>
      </c>
      <c r="D4" s="581"/>
      <c r="E4" s="581"/>
      <c r="F4" s="581"/>
      <c r="G4" s="581"/>
      <c r="H4" s="582"/>
    </row>
    <row r="5" spans="1:11">
      <c r="A5" s="579" t="s">
        <v>226</v>
      </c>
      <c r="B5" s="580"/>
      <c r="C5" s="581" t="s">
        <v>351</v>
      </c>
      <c r="D5" s="581"/>
      <c r="E5" s="581"/>
      <c r="F5" s="581"/>
      <c r="G5" s="581"/>
      <c r="H5" s="582"/>
    </row>
    <row r="6" spans="1:11">
      <c r="A6" s="579" t="s">
        <v>227</v>
      </c>
      <c r="B6" s="580"/>
      <c r="C6" s="581" t="s">
        <v>228</v>
      </c>
      <c r="D6" s="581"/>
      <c r="E6" s="581"/>
      <c r="F6" s="581"/>
      <c r="G6" s="581"/>
      <c r="H6" s="582"/>
    </row>
    <row r="7" spans="1:11" ht="13.5" thickBot="1">
      <c r="A7" s="593" t="s">
        <v>229</v>
      </c>
      <c r="B7" s="594"/>
      <c r="C7" s="589" t="s">
        <v>230</v>
      </c>
      <c r="D7" s="589"/>
      <c r="E7" s="589"/>
      <c r="F7" s="589"/>
      <c r="G7" s="589"/>
      <c r="H7" s="590"/>
    </row>
    <row r="8" spans="1:11">
      <c r="A8" s="379"/>
      <c r="B8" s="379"/>
      <c r="C8" s="380"/>
      <c r="D8" s="380"/>
      <c r="E8" s="380"/>
      <c r="F8" s="380"/>
      <c r="G8" s="380"/>
      <c r="H8" s="380"/>
    </row>
    <row r="9" spans="1:11">
      <c r="A9" s="381"/>
      <c r="D9" s="591" t="s">
        <v>231</v>
      </c>
      <c r="E9" s="591"/>
      <c r="F9" s="591"/>
    </row>
    <row r="10" spans="1:11" s="375" customFormat="1">
      <c r="A10" s="375" t="s">
        <v>232</v>
      </c>
      <c r="B10" s="375" t="s">
        <v>32</v>
      </c>
      <c r="C10" s="375" t="s">
        <v>233</v>
      </c>
      <c r="D10" s="375" t="s">
        <v>4</v>
      </c>
      <c r="E10" s="375" t="s">
        <v>218</v>
      </c>
      <c r="F10" s="375" t="s">
        <v>1</v>
      </c>
      <c r="G10" s="375" t="s">
        <v>234</v>
      </c>
      <c r="H10" s="375" t="s">
        <v>235</v>
      </c>
    </row>
    <row r="11" spans="1:11">
      <c r="A11" s="588" t="s">
        <v>236</v>
      </c>
      <c r="B11" s="588"/>
      <c r="C11" s="588"/>
      <c r="D11" s="588"/>
      <c r="E11" s="588"/>
      <c r="F11" s="588"/>
      <c r="G11" s="588"/>
      <c r="H11" s="332">
        <v>0</v>
      </c>
    </row>
    <row r="12" spans="1:11">
      <c r="A12" s="334">
        <f>'[2]FERC Interest Rates'!A54</f>
        <v>42643</v>
      </c>
      <c r="D12" s="332">
        <v>11987.21</v>
      </c>
      <c r="F12" s="332">
        <v>0</v>
      </c>
      <c r="H12" s="332">
        <f>+SUM(D12:G12)+H11</f>
        <v>11987.21</v>
      </c>
      <c r="K12" s="403"/>
    </row>
    <row r="13" spans="1:11">
      <c r="A13" s="334">
        <f>'[2]FERC Interest Rates'!A55</f>
        <v>42674</v>
      </c>
      <c r="D13" s="332">
        <v>106762.45</v>
      </c>
      <c r="F13" s="332">
        <f>+H12*(0.035/(365/31))</f>
        <v>35.633213287671232</v>
      </c>
      <c r="H13" s="332">
        <f t="shared" ref="H13:H60" si="0">+SUM(D13:G13)+H12</f>
        <v>118785.29321328766</v>
      </c>
      <c r="K13" s="403"/>
    </row>
    <row r="14" spans="1:11">
      <c r="A14" s="334">
        <v>42704</v>
      </c>
      <c r="D14" s="332">
        <v>1565078.06</v>
      </c>
      <c r="F14" s="332">
        <f>+H13*(0.035/(365/30))</f>
        <v>341.71111746288238</v>
      </c>
      <c r="H14" s="332">
        <f t="shared" si="0"/>
        <v>1684205.0643307506</v>
      </c>
      <c r="K14" s="403"/>
    </row>
    <row r="15" spans="1:11">
      <c r="A15" s="334">
        <v>42735</v>
      </c>
      <c r="D15" s="332">
        <v>-1878222.42</v>
      </c>
      <c r="F15" s="332">
        <f>+H14*(0.035/(365/31))</f>
        <v>5006.4725884900399</v>
      </c>
      <c r="H15" s="332">
        <f t="shared" si="0"/>
        <v>-189010.88308075932</v>
      </c>
      <c r="K15" s="403"/>
    </row>
    <row r="16" spans="1:11">
      <c r="A16" s="334">
        <v>42766</v>
      </c>
      <c r="D16" s="332">
        <v>-3172497.17</v>
      </c>
      <c r="F16" s="332">
        <f>+H15*(0.035/(365/31))</f>
        <v>-561.85426888390111</v>
      </c>
      <c r="H16" s="332">
        <f t="shared" si="0"/>
        <v>-3362069.9073496433</v>
      </c>
      <c r="K16" s="403"/>
    </row>
    <row r="17" spans="1:11">
      <c r="A17" s="334">
        <v>42794</v>
      </c>
      <c r="D17" s="332">
        <v>-1296785.68</v>
      </c>
      <c r="F17" s="332">
        <f>+H16*(0.035/(365/28))</f>
        <v>-9026.9274224730161</v>
      </c>
      <c r="H17" s="332">
        <f t="shared" si="0"/>
        <v>-4667882.5147721162</v>
      </c>
      <c r="K17" s="403"/>
    </row>
    <row r="18" spans="1:11">
      <c r="A18" s="334">
        <v>42825</v>
      </c>
      <c r="D18" s="332">
        <v>-644163.9</v>
      </c>
      <c r="F18" s="332">
        <f>+H17*(0.035/(365/31))</f>
        <v>-13875.760352130814</v>
      </c>
      <c r="H18" s="332">
        <f t="shared" si="0"/>
        <v>-5325922.1751242466</v>
      </c>
      <c r="K18" s="403"/>
    </row>
    <row r="19" spans="1:11">
      <c r="A19" s="334">
        <v>42855</v>
      </c>
      <c r="D19" s="332">
        <v>-800040.13</v>
      </c>
      <c r="F19" s="332">
        <f>+H18*(0.0371/(365/30))</f>
        <v>-16240.414742228182</v>
      </c>
      <c r="H19" s="332">
        <f t="shared" si="0"/>
        <v>-6142202.7198664751</v>
      </c>
      <c r="K19" s="403"/>
    </row>
    <row r="20" spans="1:11">
      <c r="A20" s="334">
        <v>42886</v>
      </c>
      <c r="D20" s="332">
        <v>-358834.1</v>
      </c>
      <c r="F20" s="332">
        <f>+H19*(0.0371/(365/31))</f>
        <v>-19353.828351009408</v>
      </c>
      <c r="H20" s="332">
        <f t="shared" si="0"/>
        <v>-6520390.6482174844</v>
      </c>
      <c r="K20" s="403"/>
    </row>
    <row r="21" spans="1:11">
      <c r="A21" s="334">
        <v>42916</v>
      </c>
      <c r="D21" s="332">
        <v>736242.69</v>
      </c>
      <c r="F21" s="332">
        <f>+H20*(0.0371/(365/30))</f>
        <v>-19882.725456071399</v>
      </c>
      <c r="H21" s="332">
        <f t="shared" si="0"/>
        <v>-5804030.683673556</v>
      </c>
      <c r="K21" s="403"/>
    </row>
    <row r="22" spans="1:11">
      <c r="A22" s="334">
        <v>42947</v>
      </c>
      <c r="D22" s="332">
        <v>133175.96</v>
      </c>
      <c r="F22" s="332">
        <f>+H21*(0.0396/(365/31))</f>
        <v>-19520.624841856599</v>
      </c>
      <c r="H22" s="332">
        <f t="shared" si="0"/>
        <v>-5690375.3485154128</v>
      </c>
      <c r="K22" s="403"/>
    </row>
    <row r="23" spans="1:11">
      <c r="A23" s="334">
        <v>42978</v>
      </c>
      <c r="D23" s="332">
        <v>493325.73</v>
      </c>
      <c r="F23" s="332">
        <f>+H22*(0.0396/(365/31))</f>
        <v>-19138.369254349374</v>
      </c>
      <c r="H23" s="332">
        <f t="shared" si="0"/>
        <v>-5216187.9877697621</v>
      </c>
      <c r="K23" s="403"/>
    </row>
    <row r="24" spans="1:11">
      <c r="A24" s="334">
        <v>43008</v>
      </c>
      <c r="D24" s="332">
        <v>-32838.199999999997</v>
      </c>
      <c r="F24" s="332">
        <f>+H23*(0.0396/(365/30))</f>
        <v>-16977.620080741035</v>
      </c>
      <c r="H24" s="332">
        <f t="shared" si="0"/>
        <v>-5266003.8078505034</v>
      </c>
      <c r="K24" s="403"/>
    </row>
    <row r="25" spans="1:11">
      <c r="A25" s="334">
        <v>43039</v>
      </c>
      <c r="D25" s="332">
        <v>-89282.54</v>
      </c>
      <c r="F25" s="332">
        <f>+H24*(0.0421/(365/31))</f>
        <v>-18829.209779796416</v>
      </c>
      <c r="H25" s="332">
        <f t="shared" si="0"/>
        <v>-5374115.5576302996</v>
      </c>
      <c r="K25" s="403"/>
    </row>
    <row r="26" spans="1:11">
      <c r="A26" s="592" t="s">
        <v>237</v>
      </c>
      <c r="B26" s="592"/>
      <c r="C26" s="592"/>
      <c r="D26" s="592"/>
      <c r="E26" s="592"/>
      <c r="F26" s="592"/>
      <c r="G26" s="332">
        <v>195037.47</v>
      </c>
      <c r="H26" s="332">
        <f t="shared" si="0"/>
        <v>-5179078.0876302999</v>
      </c>
      <c r="K26" s="403"/>
    </row>
    <row r="27" spans="1:11">
      <c r="A27" s="334">
        <v>43069</v>
      </c>
      <c r="D27" s="332">
        <v>-64892.24</v>
      </c>
      <c r="F27" s="332">
        <v>-17921.03</v>
      </c>
      <c r="H27" s="332">
        <f t="shared" si="0"/>
        <v>-5261891.3576302994</v>
      </c>
    </row>
    <row r="28" spans="1:11">
      <c r="A28" s="334">
        <v>43100</v>
      </c>
      <c r="D28" s="332">
        <v>-618556.96</v>
      </c>
      <c r="E28" s="332">
        <v>-680.9</v>
      </c>
      <c r="F28" s="332">
        <v>-18814.509999999998</v>
      </c>
      <c r="H28" s="332">
        <f t="shared" si="0"/>
        <v>-5899943.7276302995</v>
      </c>
    </row>
    <row r="29" spans="1:11">
      <c r="A29" s="334">
        <v>43131</v>
      </c>
      <c r="D29" s="332">
        <v>254921.14</v>
      </c>
      <c r="F29" s="332">
        <v>-21296.37</v>
      </c>
      <c r="H29" s="332">
        <f t="shared" si="0"/>
        <v>-5666318.957630299</v>
      </c>
    </row>
    <row r="30" spans="1:11">
      <c r="A30" s="334">
        <v>43159</v>
      </c>
      <c r="D30" s="332">
        <v>-811118.47</v>
      </c>
      <c r="F30" s="332">
        <v>-18473.75</v>
      </c>
      <c r="H30" s="332">
        <f t="shared" si="0"/>
        <v>-6495911.1776302988</v>
      </c>
    </row>
    <row r="31" spans="1:11">
      <c r="A31" s="334">
        <v>43190</v>
      </c>
      <c r="D31" s="332">
        <v>-448352.57</v>
      </c>
      <c r="F31" s="332">
        <v>-23447.57</v>
      </c>
      <c r="H31" s="332">
        <f t="shared" si="0"/>
        <v>-6967711.3176302984</v>
      </c>
    </row>
    <row r="32" spans="1:11">
      <c r="A32" s="334">
        <v>43220</v>
      </c>
      <c r="D32" s="332">
        <v>-552354.38</v>
      </c>
      <c r="F32" s="332">
        <v>-25599.18</v>
      </c>
      <c r="H32" s="332">
        <f t="shared" si="0"/>
        <v>-7545664.877630299</v>
      </c>
    </row>
    <row r="33" spans="1:8">
      <c r="A33" s="334">
        <v>43251</v>
      </c>
      <c r="D33" s="332">
        <v>546739.6</v>
      </c>
      <c r="F33" s="332">
        <v>-28646.65</v>
      </c>
      <c r="H33" s="332">
        <f t="shared" si="0"/>
        <v>-7027571.9276302988</v>
      </c>
    </row>
    <row r="34" spans="1:8">
      <c r="A34" s="334">
        <v>43281</v>
      </c>
      <c r="D34" s="332">
        <v>-92773.67</v>
      </c>
      <c r="F34" s="332">
        <v>-25819.11</v>
      </c>
      <c r="H34" s="332">
        <f t="shared" si="0"/>
        <v>-7146164.707630299</v>
      </c>
    </row>
    <row r="35" spans="1:8">
      <c r="A35" s="334">
        <v>43312</v>
      </c>
      <c r="D35" s="332">
        <v>23270.85</v>
      </c>
      <c r="F35" s="332">
        <v>-28465.23</v>
      </c>
      <c r="H35" s="332">
        <f t="shared" si="0"/>
        <v>-7151359.0876302989</v>
      </c>
    </row>
    <row r="36" spans="1:8">
      <c r="A36" s="334">
        <v>43343</v>
      </c>
      <c r="D36" s="404">
        <v>450457.18</v>
      </c>
      <c r="F36" s="332">
        <f>+H35*(0.0469/(365/31))</f>
        <v>-28485.920486316965</v>
      </c>
      <c r="H36" s="332">
        <f t="shared" si="0"/>
        <v>-6729387.8281166162</v>
      </c>
    </row>
    <row r="37" spans="1:8">
      <c r="A37" s="334">
        <v>43373</v>
      </c>
      <c r="D37" s="404">
        <v>-83303.360000000001</v>
      </c>
      <c r="F37" s="332">
        <f>+H36*(0.0469/(365/30))</f>
        <v>-25940.407326465967</v>
      </c>
      <c r="H37" s="332">
        <f t="shared" si="0"/>
        <v>-6838631.595443082</v>
      </c>
    </row>
    <row r="38" spans="1:8">
      <c r="A38" s="334">
        <v>43404</v>
      </c>
      <c r="D38" s="404">
        <v>302039.75</v>
      </c>
      <c r="F38" s="332">
        <f>+H37*(0.0496/(365/31))</f>
        <v>-28808.4381949405</v>
      </c>
      <c r="H38" s="332">
        <f>+SUM(D38:G38)+H37-0.01</f>
        <v>-6565400.2936380226</v>
      </c>
    </row>
    <row r="39" spans="1:8">
      <c r="A39" s="334"/>
      <c r="B39" s="592" t="s">
        <v>237</v>
      </c>
      <c r="C39" s="592"/>
      <c r="D39" s="592"/>
      <c r="E39" s="592"/>
      <c r="F39" s="592"/>
      <c r="G39" s="332">
        <v>6125923.8899999997</v>
      </c>
      <c r="H39" s="332">
        <f>+G39+H38</f>
        <v>-439476.40363802295</v>
      </c>
    </row>
    <row r="40" spans="1:8">
      <c r="A40" s="334">
        <v>43434</v>
      </c>
      <c r="D40" s="488">
        <v>347558.7</v>
      </c>
      <c r="F40" s="332">
        <f>(+H39*0.0496)/365*30</f>
        <v>-1791.6188729133648</v>
      </c>
      <c r="H40" s="332">
        <f>+SUM(D40:G40)+H39</f>
        <v>-93709.322510936297</v>
      </c>
    </row>
    <row r="41" spans="1:8">
      <c r="A41" s="334">
        <v>43465</v>
      </c>
      <c r="D41" s="488">
        <f>1003283.44+104523.81</f>
        <v>1107807.25</v>
      </c>
      <c r="F41" s="332">
        <f>(+H40*0.0496)/365*31</f>
        <v>-394.7601487474401</v>
      </c>
      <c r="H41" s="332">
        <f t="shared" si="0"/>
        <v>1013703.1673403163</v>
      </c>
    </row>
    <row r="42" spans="1:8">
      <c r="A42" s="334">
        <v>43496</v>
      </c>
      <c r="D42" s="488">
        <v>843959.23</v>
      </c>
      <c r="F42" s="332">
        <f>(+H41*0.0518)/365*31</f>
        <v>4459.7384825070685</v>
      </c>
      <c r="H42" s="332">
        <f t="shared" si="0"/>
        <v>1862122.1358228233</v>
      </c>
    </row>
    <row r="43" spans="1:8">
      <c r="A43" s="334">
        <v>43524</v>
      </c>
      <c r="D43" s="488">
        <v>-3745264.02</v>
      </c>
      <c r="F43" s="332">
        <f>(+H42*0.0518)/365*28</f>
        <v>7399.5121802669109</v>
      </c>
      <c r="H43" s="332">
        <f t="shared" si="0"/>
        <v>-1875742.3719969098</v>
      </c>
    </row>
    <row r="44" spans="1:8">
      <c r="A44" s="334">
        <v>43555</v>
      </c>
      <c r="D44" s="488">
        <v>-1400603.7</v>
      </c>
      <c r="F44" s="332">
        <f>(+H43*0.0518)/365*31</f>
        <v>-8252.2386327469521</v>
      </c>
      <c r="H44" s="332">
        <f t="shared" si="0"/>
        <v>-3284598.3106296565</v>
      </c>
    </row>
    <row r="45" spans="1:8">
      <c r="A45" s="334">
        <v>43585</v>
      </c>
      <c r="D45" s="488">
        <v>412427.72</v>
      </c>
      <c r="F45" s="332">
        <f>(+H44*0.0545)/365*30</f>
        <v>-14713.200651724626</v>
      </c>
      <c r="H45" s="332">
        <f t="shared" si="0"/>
        <v>-2886883.7912813812</v>
      </c>
    </row>
    <row r="46" spans="1:8">
      <c r="A46" s="334">
        <v>43616</v>
      </c>
      <c r="D46" s="488">
        <v>-54642.65</v>
      </c>
      <c r="F46" s="332">
        <f>(+H45*0.0545)/365*31</f>
        <v>-13362.712781835326</v>
      </c>
      <c r="H46" s="332">
        <f t="shared" si="0"/>
        <v>-2954889.1540632164</v>
      </c>
    </row>
    <row r="47" spans="1:8">
      <c r="A47" s="334">
        <v>43646</v>
      </c>
      <c r="D47" s="488">
        <v>42807.88</v>
      </c>
      <c r="F47" s="332">
        <f>(+H46*0.0545)/365*30</f>
        <v>-13236.284292858516</v>
      </c>
      <c r="H47" s="332">
        <f>+SUM(D47:G47)+H46+0.01</f>
        <v>-2925317.5483560753</v>
      </c>
    </row>
    <row r="48" spans="1:8">
      <c r="A48" s="334">
        <v>43677</v>
      </c>
      <c r="D48" s="488">
        <v>-172084.6</v>
      </c>
      <c r="F48" s="332">
        <f>(+H47*0.055)/365*31</f>
        <v>-13664.839506704408</v>
      </c>
      <c r="H48" s="332">
        <f t="shared" si="0"/>
        <v>-3111066.9878627798</v>
      </c>
    </row>
    <row r="49" spans="1:8">
      <c r="A49" s="334">
        <v>43708</v>
      </c>
      <c r="D49" s="332">
        <v>273699.83</v>
      </c>
      <c r="F49" s="332">
        <f>(+H48*0.055)/365*31</f>
        <v>-14532.518395359011</v>
      </c>
      <c r="H49" s="332">
        <f t="shared" si="0"/>
        <v>-2851899.6762581388</v>
      </c>
    </row>
    <row r="50" spans="1:8">
      <c r="A50" s="334">
        <v>43738</v>
      </c>
      <c r="D50" s="332">
        <v>-344893.05</v>
      </c>
      <c r="F50" s="332">
        <f>(+H49*0.055)/365*30</f>
        <v>-12892.149221440901</v>
      </c>
      <c r="H50" s="332">
        <f t="shared" si="0"/>
        <v>-3209684.8754795799</v>
      </c>
    </row>
    <row r="51" spans="1:8">
      <c r="A51" s="334">
        <v>43769</v>
      </c>
      <c r="D51" s="332">
        <v>-959061.62</v>
      </c>
      <c r="F51" s="332">
        <f>(+H50*0.0542)/365*31</f>
        <v>-14775.102815837781</v>
      </c>
      <c r="H51" s="332">
        <f t="shared" si="0"/>
        <v>-4183521.5982954176</v>
      </c>
    </row>
    <row r="52" spans="1:8">
      <c r="A52" s="588" t="s">
        <v>237</v>
      </c>
      <c r="B52" s="588"/>
      <c r="C52" s="588"/>
      <c r="D52" s="588"/>
      <c r="E52" s="588"/>
      <c r="F52" s="588"/>
      <c r="G52" s="332">
        <v>-1060071.47</v>
      </c>
      <c r="H52" s="332">
        <f t="shared" si="0"/>
        <v>-5243593.0682954174</v>
      </c>
    </row>
    <row r="53" spans="1:8">
      <c r="A53" s="334">
        <v>43799</v>
      </c>
      <c r="D53" s="332">
        <v>-153107.62</v>
      </c>
      <c r="F53" s="332">
        <f>+(H52*0.0542)/365*30</f>
        <v>-23359.12966862561</v>
      </c>
      <c r="H53" s="332">
        <f t="shared" si="0"/>
        <v>-5420059.8179640425</v>
      </c>
    </row>
    <row r="54" spans="1:8">
      <c r="A54" s="334">
        <v>43830</v>
      </c>
      <c r="D54" s="332">
        <v>1034787.49</v>
      </c>
      <c r="F54" s="332">
        <f>+(H53*0.0542)/365*31</f>
        <v>-24950.094537378587</v>
      </c>
      <c r="H54" s="332">
        <f t="shared" si="0"/>
        <v>-4410222.4225014215</v>
      </c>
    </row>
    <row r="55" spans="1:8">
      <c r="A55" s="334">
        <v>43861</v>
      </c>
      <c r="D55" s="332">
        <v>500433.38</v>
      </c>
      <c r="F55" s="332">
        <f>+(H54*0.0496)/365*31</f>
        <v>-18578.515059830646</v>
      </c>
      <c r="H55" s="332">
        <f t="shared" si="0"/>
        <v>-3928367.5575612523</v>
      </c>
    </row>
    <row r="56" spans="1:8">
      <c r="A56" s="334">
        <v>43890</v>
      </c>
      <c r="D56" s="332">
        <v>-569740.23</v>
      </c>
      <c r="F56" s="332">
        <f>+(H55*0.0496)/365*29</f>
        <v>-15480.996972044124</v>
      </c>
      <c r="H56" s="332">
        <f>+SUM(D56:G56)+H55-0.01</f>
        <v>-4513588.7945332965</v>
      </c>
    </row>
    <row r="57" spans="1:8">
      <c r="A57" s="334">
        <v>43921</v>
      </c>
      <c r="D57" s="332">
        <v>-482236.64</v>
      </c>
      <c r="F57" s="332">
        <f>+(H56*0.0496)/365*31</f>
        <v>-19013.95652184766</v>
      </c>
      <c r="H57" s="332">
        <f t="shared" si="0"/>
        <v>-5014839.3910551444</v>
      </c>
    </row>
    <row r="58" spans="1:8">
      <c r="A58" s="334">
        <v>43951</v>
      </c>
      <c r="D58" s="332">
        <v>1019179.98</v>
      </c>
      <c r="F58" s="332">
        <f>+(H57*0.0475)/365*30</f>
        <v>-19578.4825541194</v>
      </c>
      <c r="H58" s="332">
        <f t="shared" si="0"/>
        <v>-4015237.8936092639</v>
      </c>
    </row>
    <row r="59" spans="1:8">
      <c r="A59" s="334">
        <v>43982</v>
      </c>
      <c r="D59" s="332">
        <v>375263.28</v>
      </c>
      <c r="F59" s="332">
        <f>+(H58*0.0475)/365*31</f>
        <v>-16198.459721478468</v>
      </c>
      <c r="H59" s="332">
        <f t="shared" si="0"/>
        <v>-3656173.0733307423</v>
      </c>
    </row>
    <row r="60" spans="1:8">
      <c r="A60" s="334">
        <v>44012</v>
      </c>
      <c r="D60" s="332">
        <v>182095.13</v>
      </c>
      <c r="F60" s="332">
        <f>+(H59*0.0475)/365*30</f>
        <v>-14274.100354784405</v>
      </c>
      <c r="H60" s="332">
        <f t="shared" si="0"/>
        <v>-3488352.0436855266</v>
      </c>
    </row>
    <row r="61" spans="1:8">
      <c r="A61" s="334">
        <v>44043</v>
      </c>
      <c r="D61" s="332">
        <v>-205920.71</v>
      </c>
      <c r="F61" s="332">
        <f>+(H60*0.0343)/365*31</f>
        <v>-10162.095145344712</v>
      </c>
      <c r="H61" s="332">
        <f>+SUM(D61:G61)+H60</f>
        <v>-3704434.8488308713</v>
      </c>
    </row>
    <row r="62" spans="1:8">
      <c r="A62" s="334">
        <v>44074</v>
      </c>
      <c r="D62" s="332">
        <v>-906718.23</v>
      </c>
      <c r="F62" s="332">
        <f>+(H61*0.0343)/365*31</f>
        <v>-10791.576917155797</v>
      </c>
      <c r="H62" s="332">
        <f t="shared" ref="H62:H79" si="1">+SUM(D62:G62)+H61</f>
        <v>-4621944.6557480274</v>
      </c>
    </row>
    <row r="63" spans="1:8">
      <c r="A63" s="334">
        <v>44104</v>
      </c>
      <c r="D63" s="332">
        <v>430261.08</v>
      </c>
      <c r="F63" s="332">
        <f>+(H62*0.0343)/365*30</f>
        <v>-13030.085070588275</v>
      </c>
      <c r="H63" s="332">
        <f>+SUM(D63:G63)+H62-0.01</f>
        <v>-4204713.6708186157</v>
      </c>
    </row>
    <row r="64" spans="1:8">
      <c r="A64" s="334">
        <v>44135</v>
      </c>
      <c r="D64" s="332">
        <v>329062.48</v>
      </c>
      <c r="F64" s="332">
        <f>+(H63*0.0325)/365*31</f>
        <v>-11606.161707807551</v>
      </c>
      <c r="H64" s="332">
        <f t="shared" si="1"/>
        <v>-3887257.3525264235</v>
      </c>
    </row>
    <row r="65" spans="1:8">
      <c r="A65" s="334"/>
      <c r="E65" s="332" t="s">
        <v>237</v>
      </c>
      <c r="G65" s="332">
        <v>4569822.54</v>
      </c>
      <c r="H65" s="332">
        <f t="shared" si="1"/>
        <v>682565.18747357652</v>
      </c>
    </row>
    <row r="66" spans="1:8">
      <c r="A66" s="334">
        <v>44165</v>
      </c>
      <c r="D66" s="332">
        <v>951120.65</v>
      </c>
      <c r="F66" s="332">
        <f>+(H65*0.0325)/365*30</f>
        <v>1823.2905692787319</v>
      </c>
      <c r="H66" s="332">
        <f t="shared" si="1"/>
        <v>1635509.1280428553</v>
      </c>
    </row>
    <row r="67" spans="1:8">
      <c r="A67" s="334">
        <v>44196</v>
      </c>
      <c r="D67" s="332">
        <v>1681193.77</v>
      </c>
      <c r="F67" s="332">
        <f t="shared" ref="F67:F72" si="2">+(H66*0.0325)/365*31</f>
        <v>4514.4532780908958</v>
      </c>
      <c r="H67" s="332">
        <f t="shared" si="1"/>
        <v>3321217.3513209461</v>
      </c>
    </row>
    <row r="68" spans="1:8">
      <c r="A68" s="334">
        <v>44227</v>
      </c>
      <c r="D68" s="332">
        <v>2111092.09</v>
      </c>
      <c r="F68" s="332">
        <f t="shared" si="2"/>
        <v>9167.4698122078171</v>
      </c>
      <c r="H68" s="332">
        <f t="shared" si="1"/>
        <v>5441476.9111331534</v>
      </c>
    </row>
    <row r="69" spans="1:8">
      <c r="A69" s="334">
        <v>44255</v>
      </c>
      <c r="D69" s="332">
        <v>-427092.64</v>
      </c>
      <c r="F69" s="332">
        <f>+(H68*0.0325)/365*28</f>
        <v>13566.421888030602</v>
      </c>
      <c r="H69" s="332">
        <f t="shared" si="1"/>
        <v>5027950.6930211838</v>
      </c>
    </row>
    <row r="70" spans="1:8">
      <c r="A70" s="334">
        <v>44286</v>
      </c>
      <c r="D70" s="332">
        <v>-162132.76999999999</v>
      </c>
      <c r="F70" s="332">
        <f t="shared" si="2"/>
        <v>13878.52143347628</v>
      </c>
      <c r="H70" s="332">
        <f t="shared" si="1"/>
        <v>4879696.4444546597</v>
      </c>
    </row>
    <row r="71" spans="1:8">
      <c r="A71" s="334">
        <v>44316</v>
      </c>
      <c r="D71" s="332">
        <v>962312.97</v>
      </c>
      <c r="F71" s="332">
        <f>+(H70*0.0325)/365*30</f>
        <v>13034.805570803544</v>
      </c>
      <c r="H71" s="332">
        <f t="shared" si="1"/>
        <v>5855044.220025463</v>
      </c>
    </row>
    <row r="72" spans="1:8">
      <c r="A72" s="334">
        <v>44347</v>
      </c>
      <c r="D72" s="332">
        <v>257692.88</v>
      </c>
      <c r="F72" s="332">
        <f t="shared" si="2"/>
        <v>16161.526168974395</v>
      </c>
      <c r="H72" s="332">
        <f t="shared" si="1"/>
        <v>6128898.626194437</v>
      </c>
    </row>
    <row r="73" spans="1:8">
      <c r="A73" s="334">
        <v>44377</v>
      </c>
      <c r="D73" s="332">
        <v>490428.96</v>
      </c>
      <c r="F73" s="332">
        <f>+(H72*0.0325)/365*30</f>
        <v>16371.715508327608</v>
      </c>
      <c r="H73" s="332">
        <f>+SUM(D73:G73)+H72+0.01</f>
        <v>6635699.3117027646</v>
      </c>
    </row>
    <row r="74" spans="1:8">
      <c r="A74" s="334">
        <v>44408</v>
      </c>
      <c r="D74" s="332">
        <v>-355005.49</v>
      </c>
      <c r="F74" s="332">
        <f>+(H73*0.0325)/365*31</f>
        <v>18316.348100111056</v>
      </c>
      <c r="H74" s="332">
        <f t="shared" si="1"/>
        <v>6299010.1698028753</v>
      </c>
    </row>
    <row r="75" spans="1:8">
      <c r="A75" s="334">
        <v>44439</v>
      </c>
      <c r="D75" s="332">
        <v>264387.98</v>
      </c>
      <c r="F75" s="332">
        <f t="shared" ref="F75:F77" si="3">+(H74*0.0325)/365*31</f>
        <v>17386.99382486684</v>
      </c>
      <c r="H75" s="332">
        <f t="shared" si="1"/>
        <v>6580785.1436277423</v>
      </c>
    </row>
    <row r="76" spans="1:8">
      <c r="A76" s="334">
        <v>44469</v>
      </c>
      <c r="D76" s="332">
        <v>60005.87</v>
      </c>
      <c r="F76" s="332">
        <f>+(H75*0.0325)/365*30</f>
        <v>17578.809630238491</v>
      </c>
      <c r="H76" s="332">
        <f t="shared" si="1"/>
        <v>6658369.8232579809</v>
      </c>
    </row>
    <row r="77" spans="1:8">
      <c r="A77" s="334">
        <v>44500</v>
      </c>
      <c r="D77" s="332">
        <v>302573.07</v>
      </c>
      <c r="F77" s="332">
        <f t="shared" si="3"/>
        <v>18378.924923102513</v>
      </c>
      <c r="H77" s="332">
        <f>+SUM(D77:G77)+H76-0.01</f>
        <v>6979321.8081810838</v>
      </c>
    </row>
    <row r="78" spans="1:8">
      <c r="A78" s="334"/>
      <c r="E78" s="332" t="s">
        <v>237</v>
      </c>
      <c r="G78" s="489">
        <v>-3412220.59</v>
      </c>
      <c r="H78" s="332">
        <f t="shared" si="1"/>
        <v>3567101.2181810839</v>
      </c>
    </row>
    <row r="79" spans="1:8">
      <c r="A79" s="334">
        <v>44530</v>
      </c>
      <c r="D79" s="332">
        <v>1239027.97</v>
      </c>
      <c r="F79" s="332">
        <f>+(H78*0.0325)/365*30</f>
        <v>9528.5580485659084</v>
      </c>
      <c r="H79" s="332">
        <f t="shared" si="1"/>
        <v>4815657.7462296495</v>
      </c>
    </row>
    <row r="80" spans="1:8">
      <c r="A80" s="334">
        <v>44561</v>
      </c>
      <c r="D80" s="332">
        <v>-663358.15</v>
      </c>
      <c r="F80" s="332">
        <f>+(H79*0.0325)/365*31</f>
        <v>13292.534737880469</v>
      </c>
      <c r="H80" s="332">
        <f>+SUM(D80:G80)+H79</f>
        <v>4165592.13096753</v>
      </c>
    </row>
    <row r="81" spans="1:8">
      <c r="A81" s="334">
        <v>44592</v>
      </c>
      <c r="D81" s="332">
        <v>-787241.44</v>
      </c>
      <c r="F81" s="332">
        <f t="shared" ref="F81:F83" si="4">+(H80*0.0325)/365*31</f>
        <v>11498.175539588457</v>
      </c>
      <c r="H81" s="332">
        <f t="shared" ref="H81:H106" si="5">+SUM(D81:G81)+H80</f>
        <v>3389848.8665071186</v>
      </c>
    </row>
    <row r="82" spans="1:8">
      <c r="A82" s="334">
        <v>44620</v>
      </c>
      <c r="D82" s="332">
        <f>-139159.89-39814.65</f>
        <v>-178974.54</v>
      </c>
      <c r="F82" s="332">
        <f>+(H81*0.0325)/365*28</f>
        <v>8451.4040233465148</v>
      </c>
      <c r="H82" s="332">
        <f t="shared" si="5"/>
        <v>3219325.730530465</v>
      </c>
    </row>
    <row r="83" spans="1:8">
      <c r="A83" s="334">
        <v>44651</v>
      </c>
      <c r="D83" s="332">
        <v>780079.05</v>
      </c>
      <c r="F83" s="332">
        <f t="shared" si="4"/>
        <v>8886.2210233135447</v>
      </c>
      <c r="H83" s="332">
        <f t="shared" si="5"/>
        <v>4008291.0015537785</v>
      </c>
    </row>
    <row r="84" spans="1:8">
      <c r="A84" s="334">
        <v>44681</v>
      </c>
      <c r="D84" s="332">
        <f>-1322915.77-461.33</f>
        <v>-1323377.1000000001</v>
      </c>
      <c r="F84" s="332">
        <f>+(H83*0.0325)/365*30</f>
        <v>10707.078702780642</v>
      </c>
      <c r="H84" s="332">
        <f t="shared" si="5"/>
        <v>2695620.9802565593</v>
      </c>
    </row>
    <row r="85" spans="1:8">
      <c r="A85" s="334">
        <v>44712</v>
      </c>
      <c r="D85" s="332">
        <v>-597541.85</v>
      </c>
      <c r="F85" s="332">
        <f>+((H84*0.0325)/365*31)+1.28</f>
        <v>7441.9324318040653</v>
      </c>
      <c r="H85" s="332">
        <f t="shared" si="5"/>
        <v>2105521.0626883633</v>
      </c>
    </row>
    <row r="86" spans="1:8">
      <c r="A86" s="334">
        <v>44742</v>
      </c>
      <c r="D86" s="332">
        <v>35943.75</v>
      </c>
      <c r="F86" s="332">
        <f>+(H85*0.0325)/365*30</f>
        <v>5624.3370852634371</v>
      </c>
      <c r="H86" s="332">
        <f>+SUM(D86:G86)+H85</f>
        <v>2147089.1497736266</v>
      </c>
    </row>
    <row r="87" spans="1:8">
      <c r="A87" s="334">
        <v>44773</v>
      </c>
      <c r="D87" s="332">
        <v>506054.97</v>
      </c>
      <c r="F87" s="332">
        <f>+((H86*0.036)/365*31)-639.54</f>
        <v>5925.2586058831976</v>
      </c>
      <c r="H87" s="332">
        <f t="shared" si="5"/>
        <v>2659069.3783795098</v>
      </c>
    </row>
    <row r="88" spans="1:8">
      <c r="A88" s="334">
        <v>44804</v>
      </c>
      <c r="D88" s="332">
        <f>172505.81+582974.31</f>
        <v>755480.12000000011</v>
      </c>
      <c r="F88" s="332">
        <f>10717.54+53864.44</f>
        <v>64581.98</v>
      </c>
      <c r="H88" s="332">
        <f t="shared" si="5"/>
        <v>3479131.4783795099</v>
      </c>
    </row>
    <row r="89" spans="1:8">
      <c r="A89" s="334">
        <v>44834</v>
      </c>
      <c r="D89" s="332">
        <v>528563.13</v>
      </c>
      <c r="F89" s="332">
        <f>+((H88*0.036)/365*30)+0.01</f>
        <v>10294.426429177727</v>
      </c>
      <c r="H89" s="332">
        <f t="shared" si="5"/>
        <v>4017989.0348086879</v>
      </c>
    </row>
    <row r="90" spans="1:8">
      <c r="A90" s="334">
        <v>44865</v>
      </c>
      <c r="D90" s="332">
        <f>1135987.82+282467.66</f>
        <v>1418455.48</v>
      </c>
      <c r="F90" s="332">
        <f>+(H89*0.0491)/365*31</f>
        <v>16755.564684609049</v>
      </c>
      <c r="H90" s="332">
        <f>+SUM(D90:G90)+H89+-0.01</f>
        <v>5453200.0694932975</v>
      </c>
    </row>
    <row r="91" spans="1:8">
      <c r="A91" s="334"/>
      <c r="E91" s="332" t="s">
        <v>237</v>
      </c>
      <c r="G91" s="332">
        <v>-4289520.6100000003</v>
      </c>
      <c r="H91" s="332">
        <f t="shared" si="5"/>
        <v>1163679.4594932972</v>
      </c>
    </row>
    <row r="92" spans="1:8">
      <c r="A92" s="334">
        <v>44895</v>
      </c>
      <c r="D92" s="332">
        <v>-1917162.17</v>
      </c>
      <c r="F92" s="332">
        <f>+(H91*0.0491)/365*30</f>
        <v>4696.1639557085664</v>
      </c>
      <c r="H92" s="332">
        <f t="shared" si="5"/>
        <v>-748786.54655099427</v>
      </c>
    </row>
    <row r="93" spans="1:8">
      <c r="A93" s="334">
        <v>44926</v>
      </c>
      <c r="D93" s="332">
        <v>-2727270.67</v>
      </c>
      <c r="F93" s="332">
        <f>+((H92*0.0491)/365*31)</f>
        <v>-3122.5424726171732</v>
      </c>
      <c r="H93" s="332">
        <f t="shared" si="5"/>
        <v>-3479179.7590236114</v>
      </c>
    </row>
    <row r="94" spans="1:8">
      <c r="A94" s="518">
        <f>'[3]FERC Interest Rates'!A130</f>
        <v>44957</v>
      </c>
      <c r="D94" s="332">
        <v>-195164.91</v>
      </c>
      <c r="F94" s="332">
        <f>+((H93*0.0631)/365*31)</f>
        <v>-18645.543908564621</v>
      </c>
      <c r="H94" s="332">
        <f t="shared" si="5"/>
        <v>-3692990.212932176</v>
      </c>
    </row>
    <row r="95" spans="1:8">
      <c r="A95" s="518">
        <f>'[3]FERC Interest Rates'!A131</f>
        <v>44985</v>
      </c>
      <c r="D95" s="332">
        <v>-548577.96</v>
      </c>
      <c r="F95" s="332">
        <f>+((H94*0.0631)/365*28)</f>
        <v>-17876.09618687279</v>
      </c>
      <c r="H95" s="332">
        <f t="shared" si="5"/>
        <v>-4259444.2691190485</v>
      </c>
    </row>
    <row r="96" spans="1:8">
      <c r="A96" s="518">
        <f>'[3]FERC Interest Rates'!A132</f>
        <v>45016</v>
      </c>
      <c r="D96" s="332">
        <v>-1118994.46</v>
      </c>
      <c r="F96" s="332">
        <f t="shared" ref="F96" si="6">+((H95*0.0631)/365*31)</f>
        <v>-22827.120369380191</v>
      </c>
      <c r="H96" s="332">
        <f t="shared" si="5"/>
        <v>-5401265.8494884288</v>
      </c>
    </row>
    <row r="97" spans="1:8">
      <c r="A97" s="518">
        <f>'[3]FERC Interest Rates'!A133</f>
        <v>45046</v>
      </c>
      <c r="D97" s="332">
        <v>-426332.23</v>
      </c>
      <c r="F97" s="332">
        <f>+((H96*0.075)/365*30)</f>
        <v>-33295.474414654695</v>
      </c>
      <c r="H97" s="332">
        <f t="shared" si="5"/>
        <v>-5860893.5539030833</v>
      </c>
    </row>
    <row r="98" spans="1:8">
      <c r="A98" s="518">
        <f>'[3]FERC Interest Rates'!A134</f>
        <v>45077</v>
      </c>
      <c r="D98" s="332">
        <v>553733.9</v>
      </c>
      <c r="F98" s="332">
        <f>+((H97*0.075)/365*31)</f>
        <v>-37333.089076231969</v>
      </c>
      <c r="H98" s="332">
        <f t="shared" si="5"/>
        <v>-5344492.7429793151</v>
      </c>
    </row>
    <row r="99" spans="1:8">
      <c r="A99" s="518">
        <f>'[3]FERC Interest Rates'!A135</f>
        <v>45107</v>
      </c>
      <c r="D99" s="332">
        <v>17258.38</v>
      </c>
      <c r="F99" s="332">
        <f>+((H98*0.075)/365*30)</f>
        <v>-32945.50321014646</v>
      </c>
      <c r="H99" s="332">
        <f>+SUM(D99:G99)+H98+0.01</f>
        <v>-5360179.8561894614</v>
      </c>
    </row>
    <row r="100" spans="1:8">
      <c r="A100" s="518">
        <f>'[3]FERC Interest Rates'!A136</f>
        <v>45138</v>
      </c>
      <c r="D100" s="332">
        <v>878974.41</v>
      </c>
      <c r="F100" s="332">
        <f>+((H99*0.0802)/365*31)</f>
        <v>-36510.901803995177</v>
      </c>
      <c r="H100" s="332">
        <f t="shared" si="5"/>
        <v>-4517716.3479934568</v>
      </c>
    </row>
    <row r="101" spans="1:8">
      <c r="A101" s="518">
        <f>'[3]FERC Interest Rates'!A137</f>
        <v>45169</v>
      </c>
      <c r="D101" s="332">
        <v>346997.02</v>
      </c>
      <c r="F101" s="332">
        <f>+((H100*0.0802)/365*31)</f>
        <v>-30772.455847620084</v>
      </c>
      <c r="H101" s="332">
        <f>+SUM(D101:G101)+H100+-0.01</f>
        <v>-4201491.793841077</v>
      </c>
    </row>
    <row r="102" spans="1:8">
      <c r="A102" s="518">
        <f>'[3]FERC Interest Rates'!A138</f>
        <v>45199</v>
      </c>
      <c r="D102" s="332">
        <v>22741.34</v>
      </c>
      <c r="F102" s="332">
        <f>+((H101*0.0802)/365*30)</f>
        <v>-27695.313030086658</v>
      </c>
      <c r="H102" s="332">
        <f>+SUM(D102:G102)+H101+0.01</f>
        <v>-4206445.7568711638</v>
      </c>
    </row>
    <row r="103" spans="1:8">
      <c r="A103" s="518">
        <f>'[3]FERC Interest Rates'!A139</f>
        <v>45230</v>
      </c>
      <c r="D103" s="332">
        <v>334693.05</v>
      </c>
      <c r="F103" s="332">
        <f>+((H102*0.0835)/365*31)</f>
        <v>-29831.191347016462</v>
      </c>
      <c r="H103" s="332">
        <f t="shared" si="5"/>
        <v>-3901583.8982181805</v>
      </c>
    </row>
    <row r="104" spans="1:8">
      <c r="A104" s="587" t="s">
        <v>237</v>
      </c>
      <c r="B104" s="587"/>
      <c r="C104" s="587"/>
      <c r="D104" s="587"/>
      <c r="E104" s="587"/>
      <c r="F104" s="587"/>
      <c r="G104" s="332">
        <v>3699395.7</v>
      </c>
      <c r="H104" s="332">
        <f>SUM(A104:G104)+H103</f>
        <v>-202188.19821818033</v>
      </c>
    </row>
    <row r="105" spans="1:8">
      <c r="A105" s="518">
        <f>'[3]FERC Interest Rates'!A140</f>
        <v>45260</v>
      </c>
      <c r="D105" s="332">
        <v>29255.14</v>
      </c>
      <c r="F105" s="332">
        <f>+((H104*0.0835)/365*30)</f>
        <v>-1387.6203740727171</v>
      </c>
      <c r="H105" s="332">
        <f t="shared" si="5"/>
        <v>-174320.67859225304</v>
      </c>
    </row>
    <row r="106" spans="1:8">
      <c r="A106" s="518">
        <f>'[3]FERC Interest Rates'!A141</f>
        <v>45291</v>
      </c>
      <c r="D106" s="332">
        <v>1829040.06</v>
      </c>
      <c r="F106" s="332">
        <f>+((H105*0.0835)/365*31)</f>
        <v>-1236.2440453042384</v>
      </c>
      <c r="H106" s="332">
        <f t="shared" si="5"/>
        <v>1653483.1373624429</v>
      </c>
    </row>
  </sheetData>
  <mergeCells count="20">
    <mergeCell ref="A104:F104"/>
    <mergeCell ref="A52:F52"/>
    <mergeCell ref="C7:H7"/>
    <mergeCell ref="D9:F9"/>
    <mergeCell ref="A11:G11"/>
    <mergeCell ref="A26:F26"/>
    <mergeCell ref="B39:F39"/>
    <mergeCell ref="A7:B7"/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</mergeCells>
  <pageMargins left="0.5" right="0.25" top="0.5" bottom="0.75" header="0.5" footer="0.5"/>
  <pageSetup scale="52" orientation="portrait" r:id="rId1"/>
  <headerFooter alignWithMargins="0">
    <oddFooter>&amp;L&amp;"-,Bold"&amp;10Cascade Natural Gas Corporation&amp;C&amp;"-,Bold"&amp;10Washington Deferral Accounts&amp;R&amp;"-,Bold"&amp;10Rev &amp; Oth Adj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40E2-33D2-4134-ADC4-5976CD900C54}">
  <sheetPr>
    <pageSetUpPr fitToPage="1"/>
  </sheetPr>
  <dimension ref="A1:L92"/>
  <sheetViews>
    <sheetView view="pageBreakPreview" topLeftCell="A60" zoomScale="115" zoomScaleNormal="100" zoomScaleSheetLayoutView="115" workbookViewId="0">
      <selection activeCell="I1" sqref="I1:L1048576"/>
    </sheetView>
  </sheetViews>
  <sheetFormatPr defaultColWidth="13.33203125" defaultRowHeight="12.75"/>
  <cols>
    <col min="1" max="2" width="13.33203125" style="332"/>
    <col min="3" max="3" width="15.1640625" style="332" customWidth="1"/>
    <col min="4" max="4" width="13.33203125" style="332"/>
    <col min="5" max="5" width="15.33203125" style="332" customWidth="1"/>
    <col min="6" max="6" width="13.33203125" style="332"/>
    <col min="7" max="7" width="19.6640625" style="332" customWidth="1"/>
    <col min="8" max="8" width="17.5" style="332" customWidth="1"/>
    <col min="9" max="9" width="22.6640625" style="332" bestFit="1" customWidth="1"/>
    <col min="10" max="10" width="24.33203125" style="332" bestFit="1" customWidth="1"/>
    <col min="11" max="11" width="13.5" style="377" bestFit="1" customWidth="1"/>
    <col min="12" max="12" width="15.5" style="332" bestFit="1" customWidth="1"/>
    <col min="13" max="16384" width="13.33203125" style="332"/>
  </cols>
  <sheetData>
    <row r="1" spans="1:12">
      <c r="A1" s="583" t="s">
        <v>220</v>
      </c>
      <c r="B1" s="584"/>
      <c r="C1" s="597" t="s">
        <v>221</v>
      </c>
      <c r="D1" s="597"/>
      <c r="E1" s="597"/>
      <c r="F1" s="597"/>
      <c r="G1" s="597"/>
      <c r="H1" s="598"/>
      <c r="I1" s="376"/>
    </row>
    <row r="2" spans="1:12">
      <c r="A2" s="579" t="s">
        <v>222</v>
      </c>
      <c r="B2" s="580"/>
      <c r="C2" s="595" t="s">
        <v>176</v>
      </c>
      <c r="D2" s="595"/>
      <c r="E2" s="595"/>
      <c r="F2" s="595"/>
      <c r="G2" s="595"/>
      <c r="H2" s="596"/>
      <c r="I2" s="376"/>
    </row>
    <row r="3" spans="1:12">
      <c r="A3" s="579" t="s">
        <v>223</v>
      </c>
      <c r="B3" s="580"/>
      <c r="C3" s="595" t="s">
        <v>238</v>
      </c>
      <c r="D3" s="595"/>
      <c r="E3" s="595"/>
      <c r="F3" s="595"/>
      <c r="G3" s="595"/>
      <c r="H3" s="596"/>
      <c r="I3" s="376"/>
    </row>
    <row r="4" spans="1:12">
      <c r="A4" s="579" t="s">
        <v>225</v>
      </c>
      <c r="B4" s="580"/>
      <c r="C4" s="595" t="s">
        <v>23</v>
      </c>
      <c r="D4" s="595"/>
      <c r="E4" s="595"/>
      <c r="F4" s="595"/>
      <c r="G4" s="595"/>
      <c r="H4" s="596"/>
      <c r="I4" s="376"/>
    </row>
    <row r="5" spans="1:12">
      <c r="A5" s="579" t="s">
        <v>226</v>
      </c>
      <c r="B5" s="580"/>
      <c r="C5" s="595"/>
      <c r="D5" s="595"/>
      <c r="E5" s="595"/>
      <c r="F5" s="595"/>
      <c r="G5" s="595"/>
      <c r="H5" s="596"/>
      <c r="I5" s="376"/>
    </row>
    <row r="6" spans="1:12">
      <c r="A6" s="579" t="s">
        <v>227</v>
      </c>
      <c r="B6" s="580"/>
      <c r="C6" s="595" t="s">
        <v>350</v>
      </c>
      <c r="D6" s="595"/>
      <c r="E6" s="595"/>
      <c r="F6" s="595"/>
      <c r="G6" s="595"/>
      <c r="H6" s="596"/>
      <c r="I6" s="376"/>
    </row>
    <row r="7" spans="1:12" ht="13.5" thickBot="1">
      <c r="A7" s="593" t="s">
        <v>229</v>
      </c>
      <c r="B7" s="594"/>
      <c r="C7" s="601" t="s">
        <v>249</v>
      </c>
      <c r="D7" s="601"/>
      <c r="E7" s="601"/>
      <c r="F7" s="601"/>
      <c r="G7" s="601"/>
      <c r="H7" s="602"/>
      <c r="I7" s="378"/>
    </row>
    <row r="8" spans="1:12">
      <c r="A8" s="381"/>
      <c r="D8" s="591" t="s">
        <v>231</v>
      </c>
      <c r="E8" s="591"/>
      <c r="F8" s="591"/>
    </row>
    <row r="9" spans="1:12" s="375" customFormat="1">
      <c r="A9" s="375" t="s">
        <v>232</v>
      </c>
      <c r="B9" s="375" t="s">
        <v>32</v>
      </c>
      <c r="C9" s="375" t="s">
        <v>233</v>
      </c>
      <c r="D9" s="375" t="s">
        <v>4</v>
      </c>
      <c r="E9" s="375" t="s">
        <v>218</v>
      </c>
      <c r="F9" s="375" t="s">
        <v>1</v>
      </c>
      <c r="G9" s="375" t="s">
        <v>234</v>
      </c>
      <c r="H9" s="375" t="s">
        <v>235</v>
      </c>
      <c r="I9" s="382"/>
      <c r="J9" s="382"/>
      <c r="K9" s="382"/>
      <c r="L9" s="382"/>
    </row>
    <row r="10" spans="1:12">
      <c r="A10" s="383"/>
      <c r="B10" s="383"/>
      <c r="C10" s="383"/>
      <c r="D10" s="383"/>
      <c r="E10" s="383"/>
      <c r="F10" s="383"/>
      <c r="G10" s="383"/>
      <c r="H10" s="384"/>
      <c r="I10" s="378"/>
    </row>
    <row r="11" spans="1:12">
      <c r="A11" s="603" t="s">
        <v>250</v>
      </c>
      <c r="B11" s="603"/>
      <c r="C11" s="603"/>
      <c r="D11" s="603"/>
      <c r="E11" s="603"/>
      <c r="F11" s="603"/>
      <c r="G11" s="384">
        <v>-195037.47</v>
      </c>
      <c r="H11" s="384"/>
      <c r="I11" s="385"/>
      <c r="J11" s="339"/>
    </row>
    <row r="12" spans="1:12">
      <c r="A12" s="603"/>
      <c r="B12" s="603"/>
      <c r="C12" s="603"/>
      <c r="D12" s="603"/>
      <c r="E12" s="603"/>
      <c r="F12" s="603"/>
      <c r="G12" s="384"/>
      <c r="H12" s="384">
        <f>SUM(G11:G11)</f>
        <v>-195037.47</v>
      </c>
      <c r="I12" s="378"/>
    </row>
    <row r="13" spans="1:12">
      <c r="A13" s="386">
        <v>43069</v>
      </c>
      <c r="B13" s="338" t="s">
        <v>251</v>
      </c>
      <c r="C13" s="387">
        <v>7119326</v>
      </c>
      <c r="D13" s="384"/>
      <c r="E13" s="388">
        <v>9648.1799999999985</v>
      </c>
      <c r="F13" s="389">
        <v>-674.88</v>
      </c>
      <c r="G13" s="384"/>
      <c r="H13" s="384">
        <f>H12+SUM(E13:G13)</f>
        <v>-186064.17</v>
      </c>
      <c r="I13" s="390"/>
      <c r="L13" s="391"/>
    </row>
    <row r="14" spans="1:12">
      <c r="A14" s="386">
        <v>43100</v>
      </c>
      <c r="B14" s="338" t="s">
        <v>251</v>
      </c>
      <c r="C14" s="387">
        <v>29973671</v>
      </c>
      <c r="D14" s="384"/>
      <c r="E14" s="392">
        <v>24422.739999999994</v>
      </c>
      <c r="F14" s="389">
        <v>-665.29</v>
      </c>
      <c r="G14" s="384"/>
      <c r="H14" s="384">
        <f>H13+SUM(D14:G14)</f>
        <v>-162306.72000000003</v>
      </c>
      <c r="I14" s="390"/>
      <c r="J14" s="393"/>
      <c r="L14" s="391"/>
    </row>
    <row r="15" spans="1:12">
      <c r="A15" s="386">
        <v>43131</v>
      </c>
      <c r="B15" s="338" t="s">
        <v>251</v>
      </c>
      <c r="C15" s="387">
        <v>41563527</v>
      </c>
      <c r="D15" s="378"/>
      <c r="E15" s="392">
        <v>36897.270000000004</v>
      </c>
      <c r="F15" s="389">
        <v>-585.86</v>
      </c>
      <c r="G15" s="378"/>
      <c r="H15" s="394">
        <f>H14+SUM(D15:G15)</f>
        <v>-125995.31000000003</v>
      </c>
      <c r="I15" s="385"/>
      <c r="J15" s="339"/>
      <c r="L15" s="391"/>
    </row>
    <row r="16" spans="1:12">
      <c r="A16" s="386">
        <v>43159</v>
      </c>
      <c r="B16" s="338" t="s">
        <v>251</v>
      </c>
      <c r="C16" s="387">
        <v>29732218</v>
      </c>
      <c r="D16" s="378"/>
      <c r="E16" s="392">
        <v>25373.300000000003</v>
      </c>
      <c r="F16" s="389">
        <v>-410.78</v>
      </c>
      <c r="G16" s="378"/>
      <c r="H16" s="394">
        <f t="shared" ref="H16:H24" si="0">H15+SUM(D16:G16)</f>
        <v>-101032.79000000002</v>
      </c>
      <c r="J16" s="339"/>
      <c r="L16" s="391"/>
    </row>
    <row r="17" spans="1:12">
      <c r="A17" s="386">
        <v>43190</v>
      </c>
      <c r="B17" s="338" t="s">
        <v>251</v>
      </c>
      <c r="C17" s="387">
        <v>34772590</v>
      </c>
      <c r="D17" s="378"/>
      <c r="E17" s="392">
        <v>30383.489999999998</v>
      </c>
      <c r="F17" s="389">
        <v>-364.69</v>
      </c>
      <c r="G17" s="378"/>
      <c r="H17" s="394">
        <f t="shared" si="0"/>
        <v>-71013.99000000002</v>
      </c>
      <c r="J17" s="339"/>
      <c r="L17" s="391"/>
    </row>
    <row r="18" spans="1:12">
      <c r="A18" s="386">
        <v>43220</v>
      </c>
      <c r="B18" s="338" t="s">
        <v>251</v>
      </c>
      <c r="C18" s="387">
        <v>23972789</v>
      </c>
      <c r="D18" s="378"/>
      <c r="E18" s="392">
        <v>24119.02</v>
      </c>
      <c r="F18" s="389">
        <v>-260.89999999999998</v>
      </c>
      <c r="G18" s="378"/>
      <c r="H18" s="394">
        <f t="shared" si="0"/>
        <v>-47155.870000000024</v>
      </c>
      <c r="J18" s="339"/>
      <c r="L18" s="391"/>
    </row>
    <row r="19" spans="1:12">
      <c r="A19" s="386">
        <v>43251</v>
      </c>
      <c r="B19" s="338" t="s">
        <v>251</v>
      </c>
      <c r="C19" s="387">
        <v>14908800</v>
      </c>
      <c r="D19" s="378"/>
      <c r="E19" s="392">
        <v>17128.870000000003</v>
      </c>
      <c r="F19" s="389">
        <v>-179.02</v>
      </c>
      <c r="G19" s="378"/>
      <c r="H19" s="394">
        <f t="shared" si="0"/>
        <v>-30206.020000000022</v>
      </c>
      <c r="J19" s="339"/>
      <c r="L19" s="391"/>
    </row>
    <row r="20" spans="1:12">
      <c r="A20" s="386">
        <v>43281</v>
      </c>
      <c r="B20" s="338" t="s">
        <v>251</v>
      </c>
      <c r="C20" s="387">
        <v>8932302</v>
      </c>
      <c r="D20" s="378"/>
      <c r="E20" s="392">
        <v>10890.98</v>
      </c>
      <c r="F20" s="389">
        <v>-110.98</v>
      </c>
      <c r="G20" s="378"/>
      <c r="H20" s="394">
        <f t="shared" si="0"/>
        <v>-19426.020000000022</v>
      </c>
      <c r="J20" s="339"/>
      <c r="L20" s="391"/>
    </row>
    <row r="21" spans="1:12">
      <c r="A21" s="386">
        <v>43312</v>
      </c>
      <c r="B21" s="338" t="s">
        <v>251</v>
      </c>
      <c r="C21" s="387">
        <v>7315304</v>
      </c>
      <c r="E21" s="392">
        <v>8881.7200000000012</v>
      </c>
      <c r="F21" s="389">
        <v>-77.38</v>
      </c>
      <c r="H21" s="394">
        <f t="shared" si="0"/>
        <v>-10621.68000000002</v>
      </c>
      <c r="J21" s="339"/>
      <c r="L21" s="391"/>
    </row>
    <row r="22" spans="1:12">
      <c r="A22" s="386">
        <v>43343</v>
      </c>
      <c r="B22" s="338" t="s">
        <v>251</v>
      </c>
      <c r="C22" s="387">
        <v>6809893</v>
      </c>
      <c r="E22" s="392">
        <v>8075.5700000000006</v>
      </c>
      <c r="F22" s="389">
        <v>-42.31</v>
      </c>
      <c r="H22" s="394">
        <f t="shared" si="0"/>
        <v>-2588.4200000000201</v>
      </c>
      <c r="J22" s="339"/>
      <c r="L22" s="391"/>
    </row>
    <row r="23" spans="1:12">
      <c r="A23" s="386">
        <v>43373</v>
      </c>
      <c r="B23" s="338" t="s">
        <v>251</v>
      </c>
      <c r="C23" s="387">
        <v>6985938</v>
      </c>
      <c r="E23" s="392">
        <v>6998.26</v>
      </c>
      <c r="F23" s="389">
        <v>-9.98</v>
      </c>
      <c r="H23" s="394">
        <f t="shared" si="0"/>
        <v>4399.8599999999806</v>
      </c>
      <c r="J23" s="339"/>
      <c r="L23" s="391"/>
    </row>
    <row r="24" spans="1:12">
      <c r="A24" s="386">
        <v>43404</v>
      </c>
      <c r="B24" s="338" t="s">
        <v>251</v>
      </c>
      <c r="C24" s="387">
        <v>11920068</v>
      </c>
      <c r="E24" s="392">
        <v>14859.29</v>
      </c>
      <c r="F24" s="389">
        <v>18.53</v>
      </c>
      <c r="H24" s="394">
        <f t="shared" si="0"/>
        <v>19277.679999999982</v>
      </c>
      <c r="J24" s="339"/>
      <c r="L24" s="391"/>
    </row>
    <row r="25" spans="1:12">
      <c r="A25" s="386"/>
      <c r="B25" s="338"/>
      <c r="C25" s="387"/>
      <c r="D25" s="604" t="s">
        <v>250</v>
      </c>
      <c r="E25" s="604"/>
      <c r="F25" s="604"/>
      <c r="G25" s="332">
        <v>-6125923.8899999997</v>
      </c>
      <c r="H25" s="394">
        <f>+G25+H24</f>
        <v>-6106646.21</v>
      </c>
      <c r="J25" s="339"/>
      <c r="L25" s="391"/>
    </row>
    <row r="26" spans="1:12">
      <c r="A26" s="386">
        <v>43434</v>
      </c>
      <c r="B26" s="338" t="s">
        <v>251</v>
      </c>
      <c r="C26" s="405">
        <v>17302158</v>
      </c>
      <c r="E26" s="339">
        <v>174187.14846999999</v>
      </c>
      <c r="F26" s="406">
        <v>78.59</v>
      </c>
      <c r="H26" s="394">
        <f>H25+SUM(D26:G26)</f>
        <v>-5932380.4715299997</v>
      </c>
      <c r="J26" s="339"/>
      <c r="L26" s="391"/>
    </row>
    <row r="27" spans="1:12">
      <c r="A27" s="386">
        <v>43465</v>
      </c>
      <c r="B27" s="338" t="s">
        <v>251</v>
      </c>
      <c r="C27" s="405">
        <v>31921099</v>
      </c>
      <c r="E27" s="339">
        <v>868272.24000000011</v>
      </c>
      <c r="F27" s="406">
        <v>-24990.76</v>
      </c>
      <c r="H27" s="394">
        <f t="shared" ref="H27:H90" si="1">H26+SUM(D27:G27)</f>
        <v>-5089098.9915299993</v>
      </c>
      <c r="J27" s="339"/>
      <c r="L27" s="391"/>
    </row>
    <row r="28" spans="1:12">
      <c r="A28" s="386">
        <v>43496</v>
      </c>
      <c r="B28" s="338" t="s">
        <v>251</v>
      </c>
      <c r="C28" s="407">
        <v>36049301</v>
      </c>
      <c r="E28" s="332">
        <v>986847.90999999992</v>
      </c>
      <c r="F28" s="406">
        <v>-22389.25</v>
      </c>
      <c r="H28" s="394">
        <f t="shared" si="1"/>
        <v>-4124640.3315299992</v>
      </c>
    </row>
    <row r="29" spans="1:12">
      <c r="A29" s="386">
        <v>43524</v>
      </c>
      <c r="B29" s="338" t="s">
        <v>251</v>
      </c>
      <c r="C29" s="407">
        <v>38560000</v>
      </c>
      <c r="E29" s="332">
        <v>1051189.8899999999</v>
      </c>
      <c r="F29" s="406">
        <v>-16390.080000000002</v>
      </c>
      <c r="H29" s="394">
        <f t="shared" si="1"/>
        <v>-3089840.5215299991</v>
      </c>
    </row>
    <row r="30" spans="1:12">
      <c r="A30" s="386">
        <v>43555</v>
      </c>
      <c r="B30" s="338" t="s">
        <v>251</v>
      </c>
      <c r="C30" s="407">
        <v>42389457</v>
      </c>
      <c r="E30" s="332">
        <v>1158207.93</v>
      </c>
      <c r="F30" s="406">
        <v>-13593.61</v>
      </c>
      <c r="H30" s="394">
        <f t="shared" si="1"/>
        <v>-1945226.2015299993</v>
      </c>
    </row>
    <row r="31" spans="1:12">
      <c r="A31" s="386">
        <v>43585</v>
      </c>
      <c r="B31" s="338" t="s">
        <v>251</v>
      </c>
      <c r="C31" s="407">
        <v>24251956</v>
      </c>
      <c r="E31" s="332">
        <v>657653.28999999992</v>
      </c>
      <c r="F31" s="406">
        <v>-8713.5499999999993</v>
      </c>
      <c r="H31" s="394">
        <f t="shared" si="1"/>
        <v>-1296286.4615299995</v>
      </c>
    </row>
    <row r="32" spans="1:12">
      <c r="A32" s="386">
        <v>43616</v>
      </c>
      <c r="B32" s="338" t="s">
        <v>251</v>
      </c>
      <c r="C32" s="407">
        <v>14672895</v>
      </c>
      <c r="E32" s="332">
        <v>400131.27</v>
      </c>
      <c r="F32" s="406">
        <v>-6000.21</v>
      </c>
      <c r="H32" s="394">
        <f t="shared" si="1"/>
        <v>-902155.40152999945</v>
      </c>
    </row>
    <row r="33" spans="1:8">
      <c r="A33" s="386">
        <v>43646</v>
      </c>
      <c r="B33" s="338" t="s">
        <v>251</v>
      </c>
      <c r="C33" s="407">
        <v>8957567</v>
      </c>
      <c r="E33" s="332">
        <v>245712.96</v>
      </c>
      <c r="F33" s="406">
        <v>-4041.16</v>
      </c>
      <c r="H33" s="394">
        <f t="shared" si="1"/>
        <v>-660483.6015299994</v>
      </c>
    </row>
    <row r="34" spans="1:8">
      <c r="A34" s="386">
        <v>43677</v>
      </c>
      <c r="B34" s="338" t="s">
        <v>251</v>
      </c>
      <c r="C34" s="407">
        <v>7650859</v>
      </c>
      <c r="E34" s="332">
        <v>210116.90000000002</v>
      </c>
      <c r="F34" s="406">
        <v>-3085.27</v>
      </c>
      <c r="H34" s="394">
        <f t="shared" si="1"/>
        <v>-453451.9715299994</v>
      </c>
    </row>
    <row r="35" spans="1:8">
      <c r="A35" s="386">
        <v>43708</v>
      </c>
      <c r="B35" s="338" t="s">
        <v>251</v>
      </c>
      <c r="C35" s="407">
        <f>+'Test Period Volumes'!H6</f>
        <v>6672316</v>
      </c>
      <c r="E35" s="332">
        <v>192333.09000000003</v>
      </c>
      <c r="F35" s="332">
        <v>-2118.1799999999998</v>
      </c>
      <c r="H35" s="394">
        <f t="shared" si="1"/>
        <v>-263237.06152999937</v>
      </c>
    </row>
    <row r="36" spans="1:8">
      <c r="A36" s="386">
        <v>43738</v>
      </c>
      <c r="B36" s="338" t="s">
        <v>251</v>
      </c>
      <c r="C36" s="407">
        <f>+'Test Period Volumes'!H7</f>
        <v>9051506</v>
      </c>
      <c r="E36" s="332">
        <v>181374.92000000004</v>
      </c>
      <c r="F36" s="332">
        <v>-1189.98</v>
      </c>
      <c r="H36" s="394">
        <f t="shared" si="1"/>
        <v>-83052.121529999335</v>
      </c>
    </row>
    <row r="37" spans="1:8">
      <c r="A37" s="386">
        <v>43769</v>
      </c>
      <c r="B37" s="338" t="s">
        <v>251</v>
      </c>
      <c r="C37" s="407">
        <f>+'Test Period Volumes'!H8</f>
        <v>17152528</v>
      </c>
      <c r="E37" s="332">
        <v>430320.21</v>
      </c>
      <c r="F37" s="332">
        <v>-382.31</v>
      </c>
      <c r="H37" s="394">
        <f t="shared" si="1"/>
        <v>346885.77847000072</v>
      </c>
    </row>
    <row r="38" spans="1:8">
      <c r="A38" s="600" t="s">
        <v>250</v>
      </c>
      <c r="B38" s="600"/>
      <c r="C38" s="600"/>
      <c r="D38" s="600"/>
      <c r="E38" s="600"/>
      <c r="F38" s="600"/>
      <c r="G38" s="332">
        <v>1060071.47</v>
      </c>
      <c r="H38" s="394">
        <f t="shared" si="1"/>
        <v>1406957.2484700007</v>
      </c>
    </row>
    <row r="39" spans="1:8">
      <c r="A39" s="386">
        <v>43799</v>
      </c>
      <c r="B39" s="338" t="s">
        <v>251</v>
      </c>
      <c r="C39" s="407">
        <v>23951630</v>
      </c>
      <c r="E39" s="332">
        <v>383936.54182000004</v>
      </c>
      <c r="F39" s="332">
        <v>6267.71</v>
      </c>
      <c r="H39" s="394">
        <f t="shared" si="1"/>
        <v>1797161.5002900008</v>
      </c>
    </row>
    <row r="40" spans="1:8">
      <c r="A40" s="386">
        <v>43830</v>
      </c>
      <c r="B40" s="338" t="s">
        <v>251</v>
      </c>
      <c r="C40" s="407">
        <v>34636501</v>
      </c>
      <c r="E40" s="332">
        <v>-186539.13160999998</v>
      </c>
      <c r="F40" s="332">
        <f>(+H39*0.0542)/365*31</f>
        <v>8272.8513774993407</v>
      </c>
      <c r="H40" s="394">
        <f t="shared" si="1"/>
        <v>1618895.2200575001</v>
      </c>
    </row>
    <row r="41" spans="1:8">
      <c r="A41" s="386">
        <v>43861</v>
      </c>
      <c r="B41" s="338" t="s">
        <v>251</v>
      </c>
      <c r="C41" s="407">
        <v>41447011</v>
      </c>
      <c r="E41" s="332">
        <v>-232677.94760999994</v>
      </c>
      <c r="F41" s="332">
        <f>(+H40*0.0496)/365*31</f>
        <v>6819.7624393435945</v>
      </c>
      <c r="H41" s="394">
        <f t="shared" si="1"/>
        <v>1393037.0348868438</v>
      </c>
    </row>
    <row r="42" spans="1:8">
      <c r="A42" s="386">
        <v>43890</v>
      </c>
      <c r="B42" s="338" t="s">
        <v>251</v>
      </c>
      <c r="C42" s="407">
        <v>34316998</v>
      </c>
      <c r="E42" s="332">
        <v>-185523.55536999999</v>
      </c>
      <c r="F42" s="332">
        <f>(+H41*0.0496)/365*29</f>
        <v>5489.7108794006463</v>
      </c>
      <c r="H42" s="394">
        <f t="shared" si="1"/>
        <v>1213003.1903962444</v>
      </c>
    </row>
    <row r="43" spans="1:8">
      <c r="A43" s="386">
        <v>43921</v>
      </c>
      <c r="B43" s="338" t="s">
        <v>251</v>
      </c>
      <c r="C43" s="407">
        <v>34370665</v>
      </c>
      <c r="E43" s="332">
        <v>-186051.78346999999</v>
      </c>
      <c r="F43" s="332">
        <f>(+H42*0.0496)/365*31</f>
        <v>5109.900563159631</v>
      </c>
      <c r="H43" s="394">
        <f>H42+SUM(D43:G43)-0.01</f>
        <v>1032061.297489404</v>
      </c>
    </row>
    <row r="44" spans="1:8">
      <c r="A44" s="386">
        <v>43951</v>
      </c>
      <c r="B44" s="338" t="s">
        <v>251</v>
      </c>
      <c r="C44" s="407">
        <v>26722621</v>
      </c>
      <c r="E44" s="332">
        <v>-140599.89796</v>
      </c>
      <c r="F44" s="332">
        <f>(+H43*0.0475)/365*30</f>
        <v>4029.2804080065771</v>
      </c>
      <c r="H44" s="394">
        <f>H43+SUM(D44:G44)</f>
        <v>895490.67993741052</v>
      </c>
    </row>
    <row r="45" spans="1:8">
      <c r="A45" s="386">
        <v>43982</v>
      </c>
      <c r="B45" s="338" t="s">
        <v>251</v>
      </c>
      <c r="C45" s="407">
        <v>13504949</v>
      </c>
      <c r="E45" s="332">
        <v>-63018.858980000012</v>
      </c>
      <c r="F45" s="332">
        <f>(+H44*0.0475)/365*31</f>
        <v>3612.6302087885947</v>
      </c>
      <c r="H45" s="394">
        <f>H44+SUM(D45:G45)+0.01</f>
        <v>836084.46116619906</v>
      </c>
    </row>
    <row r="46" spans="1:8">
      <c r="A46" s="386">
        <v>44012</v>
      </c>
      <c r="B46" s="338" t="s">
        <v>251</v>
      </c>
      <c r="C46" s="407">
        <v>10562993</v>
      </c>
      <c r="E46" s="332">
        <v>-38258.960389999986</v>
      </c>
      <c r="F46" s="332">
        <f>(+H45*0.0475)/365*30</f>
        <v>3264.1653620872157</v>
      </c>
      <c r="H46" s="394">
        <f>H45+SUM(D46:G46)-0.01</f>
        <v>801089.65613828623</v>
      </c>
    </row>
    <row r="47" spans="1:8">
      <c r="A47" s="386">
        <v>44043</v>
      </c>
      <c r="B47" s="338" t="s">
        <v>251</v>
      </c>
      <c r="C47" s="407">
        <v>9083808</v>
      </c>
      <c r="E47" s="332">
        <v>-26641.79</v>
      </c>
      <c r="F47" s="332">
        <f>(+H46*0.0343)/365*31</f>
        <v>2333.6948804707936</v>
      </c>
      <c r="H47" s="394">
        <f>H46+SUM(D47:G47)+0.01</f>
        <v>776781.57101875707</v>
      </c>
    </row>
    <row r="48" spans="1:8">
      <c r="A48" s="386">
        <v>44074</v>
      </c>
      <c r="B48" s="338" t="s">
        <v>251</v>
      </c>
      <c r="C48" s="407">
        <v>6752494</v>
      </c>
      <c r="E48" s="332">
        <v>-14204.911440000002</v>
      </c>
      <c r="F48" s="332">
        <f t="shared" ref="F48" si="2">(+H47*0.0343)/365*31</f>
        <v>2262.8817656554638</v>
      </c>
      <c r="H48" s="394">
        <f t="shared" si="1"/>
        <v>764839.54134441249</v>
      </c>
    </row>
    <row r="49" spans="1:8">
      <c r="A49" s="386">
        <v>44104</v>
      </c>
      <c r="B49" s="338" t="s">
        <v>251</v>
      </c>
      <c r="C49" s="407">
        <v>7390192</v>
      </c>
      <c r="E49" s="332">
        <v>-16219.958349999997</v>
      </c>
      <c r="F49" s="332">
        <f>(+H48*0.0343)/365*30</f>
        <v>2156.2188713517821</v>
      </c>
      <c r="H49" s="394">
        <f t="shared" si="1"/>
        <v>750775.80186576431</v>
      </c>
    </row>
    <row r="50" spans="1:8">
      <c r="A50" s="386">
        <v>44135</v>
      </c>
      <c r="B50" s="338" t="s">
        <v>251</v>
      </c>
      <c r="C50" s="407">
        <v>9479391</v>
      </c>
      <c r="E50" s="332">
        <v>-41762.727760000002</v>
      </c>
      <c r="F50" s="332">
        <f>(+H49*0.0325)/365*31</f>
        <v>2072.3469051500206</v>
      </c>
      <c r="H50" s="394">
        <f t="shared" si="1"/>
        <v>711085.42101091438</v>
      </c>
    </row>
    <row r="51" spans="1:8">
      <c r="A51" s="386"/>
      <c r="B51" s="338"/>
      <c r="E51" s="332" t="s">
        <v>250</v>
      </c>
      <c r="G51" s="332">
        <v>-4569822.54</v>
      </c>
      <c r="H51" s="394">
        <f t="shared" si="1"/>
        <v>-3858737.1189890858</v>
      </c>
    </row>
    <row r="52" spans="1:8">
      <c r="A52" s="386">
        <v>44165</v>
      </c>
      <c r="B52" s="338" t="s">
        <v>251</v>
      </c>
      <c r="C52" s="407">
        <v>19280891</v>
      </c>
      <c r="E52" s="332">
        <v>11668.787340000024</v>
      </c>
      <c r="F52" s="332">
        <f>(+H51*0.0325)/365*30</f>
        <v>-10307.585454833859</v>
      </c>
      <c r="H52" s="394">
        <f t="shared" si="1"/>
        <v>-3857375.9171039197</v>
      </c>
    </row>
    <row r="53" spans="1:8">
      <c r="A53" s="386">
        <v>44196</v>
      </c>
      <c r="B53" s="338" t="s">
        <v>251</v>
      </c>
      <c r="C53" s="407">
        <v>34057490</v>
      </c>
      <c r="E53" s="332">
        <v>512196.88659000007</v>
      </c>
      <c r="F53" s="332">
        <f>(+H52*0.0325)/365*31</f>
        <v>-10647.414346526573</v>
      </c>
      <c r="H53" s="394">
        <f t="shared" si="1"/>
        <v>-3355826.4448604463</v>
      </c>
    </row>
    <row r="54" spans="1:8">
      <c r="A54" s="386">
        <v>44227</v>
      </c>
      <c r="B54" s="338" t="s">
        <v>251</v>
      </c>
      <c r="C54" s="407">
        <v>35952500</v>
      </c>
      <c r="E54" s="332">
        <v>540665.47662000009</v>
      </c>
      <c r="F54" s="332">
        <f>(+H53*0.0325)/365*31</f>
        <v>-9263.000392320273</v>
      </c>
      <c r="H54" s="394">
        <f t="shared" si="1"/>
        <v>-2824423.9686327665</v>
      </c>
    </row>
    <row r="55" spans="1:8">
      <c r="A55" s="386">
        <v>44255</v>
      </c>
      <c r="B55" s="338" t="s">
        <v>251</v>
      </c>
      <c r="C55" s="407">
        <v>33909523</v>
      </c>
      <c r="E55" s="332">
        <v>508910.32601999998</v>
      </c>
      <c r="F55" s="332">
        <f>(+H54*0.0325)/365*28</f>
        <v>-7041.7145519337464</v>
      </c>
      <c r="H55" s="394">
        <f t="shared" si="1"/>
        <v>-2322555.3571647005</v>
      </c>
    </row>
    <row r="56" spans="1:8">
      <c r="A56" s="386">
        <v>44286</v>
      </c>
      <c r="B56" s="338" t="s">
        <v>251</v>
      </c>
      <c r="C56" s="407">
        <v>36377608</v>
      </c>
      <c r="E56" s="332">
        <v>550335.86378999997</v>
      </c>
      <c r="F56" s="332">
        <f t="shared" ref="F56" si="3">(+H55*0.0325)/365*31</f>
        <v>-6410.8891023107835</v>
      </c>
      <c r="H56" s="394">
        <f t="shared" si="1"/>
        <v>-1778630.3824770113</v>
      </c>
    </row>
    <row r="57" spans="1:8">
      <c r="A57" s="386">
        <v>44316</v>
      </c>
      <c r="B57" s="338" t="s">
        <v>251</v>
      </c>
      <c r="C57" s="407">
        <v>25532431</v>
      </c>
      <c r="E57" s="332">
        <v>387233.80443000002</v>
      </c>
      <c r="F57" s="332">
        <f>(+H56*0.0325)/365*30</f>
        <v>-4751.135953192017</v>
      </c>
      <c r="H57" s="394">
        <f t="shared" si="1"/>
        <v>-1396147.7140002032</v>
      </c>
    </row>
    <row r="58" spans="1:8">
      <c r="A58" s="386">
        <v>44347</v>
      </c>
      <c r="B58" s="338" t="s">
        <v>251</v>
      </c>
      <c r="C58" s="407">
        <v>13309390</v>
      </c>
      <c r="E58" s="332">
        <v>205004.10041000001</v>
      </c>
      <c r="F58" s="332">
        <f>(+H57*0.0325)/365*31</f>
        <v>-3853.7501968635747</v>
      </c>
      <c r="H58" s="394">
        <f t="shared" si="1"/>
        <v>-1194997.3637870667</v>
      </c>
    </row>
    <row r="59" spans="1:8">
      <c r="A59" s="386">
        <v>44377</v>
      </c>
      <c r="B59" s="338" t="s">
        <v>251</v>
      </c>
      <c r="C59" s="407">
        <v>10832413</v>
      </c>
      <c r="E59" s="332">
        <v>169347.11</v>
      </c>
      <c r="F59" s="332">
        <f>(+H58*0.0325)/365*30</f>
        <v>-3192.1162457325754</v>
      </c>
      <c r="H59" s="394">
        <f>H58+SUM(D59:G59)-0.01</f>
        <v>-1028842.3800327992</v>
      </c>
    </row>
    <row r="60" spans="1:8">
      <c r="A60" s="386">
        <v>44408</v>
      </c>
      <c r="B60" s="338" t="s">
        <v>251</v>
      </c>
      <c r="C60" s="407">
        <v>6955024</v>
      </c>
      <c r="E60" s="332">
        <v>110956.32797</v>
      </c>
      <c r="F60" s="332">
        <f>(+H59*0.0325)/365*31</f>
        <v>-2839.8868435151921</v>
      </c>
      <c r="H60" s="394">
        <f t="shared" si="1"/>
        <v>-920725.93890631443</v>
      </c>
    </row>
    <row r="61" spans="1:8">
      <c r="A61" s="386">
        <v>44439</v>
      </c>
      <c r="B61" s="338" t="s">
        <v>251</v>
      </c>
      <c r="C61" s="407">
        <v>6421769</v>
      </c>
      <c r="E61" s="464">
        <v>103534.84290000002</v>
      </c>
      <c r="F61" s="332">
        <f t="shared" ref="F61:F63" si="4">(+H60*0.0325)/365*31</f>
        <v>-2541.4558450633199</v>
      </c>
      <c r="H61" s="394">
        <f t="shared" si="1"/>
        <v>-819732.55185137771</v>
      </c>
    </row>
    <row r="62" spans="1:8">
      <c r="A62" s="386">
        <v>44469</v>
      </c>
      <c r="B62" s="338" t="s">
        <v>251</v>
      </c>
      <c r="C62" s="407">
        <v>7139967</v>
      </c>
      <c r="E62" s="464">
        <v>113310.60581000001</v>
      </c>
      <c r="F62" s="332">
        <f>(+H61*0.0325)/365*30</f>
        <v>-2189.6965426166939</v>
      </c>
      <c r="H62" s="394">
        <f t="shared" si="1"/>
        <v>-708611.64258399443</v>
      </c>
    </row>
    <row r="63" spans="1:8">
      <c r="A63" s="386">
        <v>44500</v>
      </c>
      <c r="B63" s="338" t="s">
        <v>251</v>
      </c>
      <c r="C63" s="407">
        <v>11546479</v>
      </c>
      <c r="E63" s="464">
        <v>175646.34134000001</v>
      </c>
      <c r="F63" s="332">
        <f t="shared" si="4"/>
        <v>-1955.9622737078753</v>
      </c>
      <c r="H63" s="394">
        <f>H62+SUM(D63:G63)-0.01</f>
        <v>-534921.27351770224</v>
      </c>
    </row>
    <row r="64" spans="1:8">
      <c r="A64" s="386"/>
      <c r="C64" s="407"/>
      <c r="E64" s="332" t="s">
        <v>250</v>
      </c>
      <c r="G64" s="465">
        <v>3412220.59</v>
      </c>
      <c r="H64" s="394">
        <f t="shared" si="1"/>
        <v>2877299.3164822976</v>
      </c>
    </row>
    <row r="65" spans="1:8">
      <c r="A65" s="386">
        <v>44530</v>
      </c>
      <c r="B65" s="338" t="s">
        <v>251</v>
      </c>
      <c r="C65" s="407">
        <v>18804046</v>
      </c>
      <c r="E65" s="464">
        <v>181431.84000000003</v>
      </c>
      <c r="F65" s="332">
        <f>(+H64*0.0325)/365*30</f>
        <v>7685.9365303294262</v>
      </c>
      <c r="H65" s="394">
        <f>H64+SUM(D65:G65)+0.01</f>
        <v>3066417.103012627</v>
      </c>
    </row>
    <row r="66" spans="1:8">
      <c r="A66" s="386">
        <v>44561</v>
      </c>
      <c r="B66" s="338" t="s">
        <v>251</v>
      </c>
      <c r="C66" s="407">
        <v>30532105</v>
      </c>
      <c r="E66" s="464">
        <v>-129628.83</v>
      </c>
      <c r="F66" s="332">
        <f t="shared" ref="F66:F71" si="5">(+H65*0.0325)/365*31</f>
        <v>8464.1513185896492</v>
      </c>
      <c r="H66" s="394">
        <f t="shared" si="1"/>
        <v>2945252.4243312166</v>
      </c>
    </row>
    <row r="67" spans="1:8">
      <c r="A67" s="386">
        <v>44592</v>
      </c>
      <c r="B67" s="338" t="s">
        <v>251</v>
      </c>
      <c r="C67" s="407">
        <v>47579519</v>
      </c>
      <c r="E67" s="332">
        <v>-214232.73999999996</v>
      </c>
      <c r="F67" s="332">
        <f t="shared" si="5"/>
        <v>8129.7036096265774</v>
      </c>
      <c r="H67" s="394">
        <f>H66+SUM(D67:G67)-0.01</f>
        <v>2739149.3779408433</v>
      </c>
    </row>
    <row r="68" spans="1:8">
      <c r="A68" s="386">
        <v>44620</v>
      </c>
      <c r="B68" s="338" t="s">
        <v>251</v>
      </c>
      <c r="C68" s="407">
        <v>36808310</v>
      </c>
      <c r="E68" s="332">
        <v>-166666.88</v>
      </c>
      <c r="F68" s="332">
        <f>(+H67*0.0325)/365*28</f>
        <v>6829.1121477429251</v>
      </c>
      <c r="H68" s="394">
        <f t="shared" si="1"/>
        <v>2579311.6100885863</v>
      </c>
    </row>
    <row r="69" spans="1:8">
      <c r="A69" s="386">
        <v>44651</v>
      </c>
      <c r="B69" s="338" t="s">
        <v>251</v>
      </c>
      <c r="C69" s="407">
        <v>35883551</v>
      </c>
      <c r="E69" s="332">
        <v>-155240.75999999998</v>
      </c>
      <c r="F69" s="332">
        <f t="shared" si="5"/>
        <v>7119.606704559591</v>
      </c>
      <c r="H69" s="394">
        <f t="shared" si="1"/>
        <v>2431190.4567931457</v>
      </c>
    </row>
    <row r="70" spans="1:8">
      <c r="A70" s="386">
        <v>44681</v>
      </c>
      <c r="B70" s="338" t="s">
        <v>251</v>
      </c>
      <c r="C70" s="407">
        <v>23698655</v>
      </c>
      <c r="E70" s="332">
        <v>-96193.49</v>
      </c>
      <c r="F70" s="332">
        <f>(+H69*0.0325)/365*30</f>
        <v>6494.2758777351155</v>
      </c>
      <c r="H70" s="394">
        <f>H69+SUM(D70:G70)+0.01</f>
        <v>2341491.2526708804</v>
      </c>
    </row>
    <row r="71" spans="1:8">
      <c r="A71" s="386">
        <v>44712</v>
      </c>
      <c r="B71" s="338" t="s">
        <v>251</v>
      </c>
      <c r="C71" s="407">
        <v>20452192</v>
      </c>
      <c r="E71" s="332">
        <v>-80869.359999999971</v>
      </c>
      <c r="F71" s="332">
        <f t="shared" si="5"/>
        <v>6463.1573618244165</v>
      </c>
      <c r="H71" s="394">
        <f t="shared" si="1"/>
        <v>2267085.0500327051</v>
      </c>
    </row>
    <row r="72" spans="1:8">
      <c r="A72" s="386">
        <v>44742</v>
      </c>
      <c r="B72" s="338" t="s">
        <v>251</v>
      </c>
      <c r="C72" s="407">
        <v>13138561</v>
      </c>
      <c r="E72" s="332">
        <v>-37061.56</v>
      </c>
      <c r="F72" s="332">
        <f>(+H71*0.0325)/365*30</f>
        <v>6055.912119950377</v>
      </c>
      <c r="H72" s="394">
        <f t="shared" si="1"/>
        <v>2236079.4021526556</v>
      </c>
    </row>
    <row r="73" spans="1:8">
      <c r="A73" s="386">
        <v>44773</v>
      </c>
      <c r="B73" s="338" t="s">
        <v>251</v>
      </c>
      <c r="C73" s="407">
        <v>10329831</v>
      </c>
      <c r="E73" s="332">
        <v>-28335.100000000006</v>
      </c>
      <c r="F73" s="332">
        <f>(+H72*0.036)/365*31</f>
        <v>6836.8893501434613</v>
      </c>
      <c r="H73" s="394">
        <f t="shared" si="1"/>
        <v>2214581.1915027993</v>
      </c>
    </row>
    <row r="74" spans="1:8">
      <c r="A74" s="386">
        <v>44804</v>
      </c>
      <c r="B74" s="338" t="s">
        <v>251</v>
      </c>
      <c r="C74" s="407">
        <v>7161100</v>
      </c>
      <c r="E74" s="332">
        <v>-7749.5499999999993</v>
      </c>
      <c r="F74" s="332">
        <f>(+H73*0.036)/365*31</f>
        <v>6771.1578348414359</v>
      </c>
      <c r="H74" s="394">
        <f t="shared" si="1"/>
        <v>2213602.7993376409</v>
      </c>
    </row>
    <row r="75" spans="1:8">
      <c r="A75" s="386">
        <v>44834</v>
      </c>
      <c r="B75" s="338" t="s">
        <v>251</v>
      </c>
      <c r="C75" s="407">
        <v>7578691</v>
      </c>
      <c r="E75" s="332">
        <v>-12048.32</v>
      </c>
      <c r="F75" s="332">
        <f>(+H74*0.036)/365*30</f>
        <v>6549.8384199579505</v>
      </c>
      <c r="H75" s="394">
        <f t="shared" si="1"/>
        <v>2208104.3177575986</v>
      </c>
    </row>
    <row r="76" spans="1:8">
      <c r="A76" s="386">
        <v>44865</v>
      </c>
      <c r="B76" s="338" t="s">
        <v>251</v>
      </c>
      <c r="C76" s="407">
        <v>13727036</v>
      </c>
      <c r="E76" s="332">
        <v>-46519.299999999996</v>
      </c>
      <c r="F76" s="332">
        <f>(+H75*0.0491)/365*31</f>
        <v>9208.0974850927141</v>
      </c>
      <c r="H76" s="394">
        <f t="shared" si="1"/>
        <v>2170793.1152426912</v>
      </c>
    </row>
    <row r="77" spans="1:8">
      <c r="A77" s="386"/>
      <c r="B77" s="338"/>
      <c r="E77" s="332" t="s">
        <v>250</v>
      </c>
      <c r="G77" s="332">
        <v>4289520.6100000003</v>
      </c>
      <c r="H77" s="394">
        <f t="shared" si="1"/>
        <v>6460313.7252426911</v>
      </c>
    </row>
    <row r="78" spans="1:8">
      <c r="A78" s="386">
        <v>44895</v>
      </c>
      <c r="B78" s="338" t="s">
        <v>251</v>
      </c>
      <c r="C78" s="407">
        <v>36139852</v>
      </c>
      <c r="E78" s="332">
        <v>-815720.94999999984</v>
      </c>
      <c r="F78" s="332">
        <f>(+H77*0.0491)/365*30</f>
        <v>26071.348266527351</v>
      </c>
      <c r="H78" s="394">
        <f>H77+SUM(D78:G78)+0.01</f>
        <v>5670664.1335092187</v>
      </c>
    </row>
    <row r="79" spans="1:8">
      <c r="A79" s="386">
        <v>44926</v>
      </c>
      <c r="B79" s="338" t="s">
        <v>251</v>
      </c>
      <c r="C79" s="407">
        <v>48196275</v>
      </c>
      <c r="E79" s="332">
        <v>-1112765.76</v>
      </c>
      <c r="F79" s="332">
        <f>(+H78*0.0491)/365*31</f>
        <v>23647.4462400394</v>
      </c>
      <c r="H79" s="394">
        <f t="shared" si="1"/>
        <v>4581545.8197492585</v>
      </c>
    </row>
    <row r="80" spans="1:8">
      <c r="A80" s="519">
        <f>'[3]FERC Interest Rates'!A130</f>
        <v>44957</v>
      </c>
      <c r="B80" s="520" t="s">
        <v>251</v>
      </c>
      <c r="C80" s="407">
        <v>40776960</v>
      </c>
      <c r="E80" s="332">
        <v>-919300.30999999994</v>
      </c>
      <c r="F80" s="332">
        <f>(+H79*0.0631)/365*31</f>
        <v>24553.319939757603</v>
      </c>
      <c r="H80" s="394">
        <f>H79+SUM(D80:G80)</f>
        <v>3686798.8296890161</v>
      </c>
    </row>
    <row r="81" spans="1:8">
      <c r="A81" s="519">
        <f>'[3]FERC Interest Rates'!A131</f>
        <v>44985</v>
      </c>
      <c r="B81" s="520" t="s">
        <v>251</v>
      </c>
      <c r="C81" s="407">
        <v>34828586</v>
      </c>
      <c r="E81" s="332">
        <v>-781779.24000000011</v>
      </c>
      <c r="F81" s="332">
        <f>(+H80*0.0631)/365*28</f>
        <v>17846.126499437134</v>
      </c>
      <c r="H81" s="394">
        <f t="shared" si="1"/>
        <v>2922865.7161884531</v>
      </c>
    </row>
    <row r="82" spans="1:8">
      <c r="A82" s="519">
        <f>'[3]FERC Interest Rates'!A132</f>
        <v>45016</v>
      </c>
      <c r="B82" s="520" t="s">
        <v>251</v>
      </c>
      <c r="C82" s="407">
        <v>31399405</v>
      </c>
      <c r="E82" s="332">
        <v>-635123.70999999985</v>
      </c>
      <c r="F82" s="332">
        <f>(+H81*0.0631)/365*31</f>
        <v>15664.157883386941</v>
      </c>
      <c r="H82" s="394">
        <f>H81+SUM(D82:G82)+0.01</f>
        <v>2303406.17407184</v>
      </c>
    </row>
    <row r="83" spans="1:8">
      <c r="A83" s="519">
        <f>'[3]FERC Interest Rates'!A133</f>
        <v>45046</v>
      </c>
      <c r="B83" s="520" t="s">
        <v>251</v>
      </c>
      <c r="C83" s="407">
        <v>20012227</v>
      </c>
      <c r="E83" s="332">
        <v>-444857.10000000003</v>
      </c>
      <c r="F83" s="332">
        <f>(+H82*0.075)/365*30</f>
        <v>14199.079155237368</v>
      </c>
      <c r="H83" s="394">
        <f t="shared" si="1"/>
        <v>1872748.1532270773</v>
      </c>
    </row>
    <row r="84" spans="1:8">
      <c r="A84" s="519">
        <f>'[3]FERC Interest Rates'!A134</f>
        <v>45077</v>
      </c>
      <c r="B84" s="520" t="s">
        <v>251</v>
      </c>
      <c r="C84" s="407">
        <v>10577875</v>
      </c>
      <c r="E84" s="332">
        <v>-218355.11</v>
      </c>
      <c r="F84" s="332">
        <f>(+H83*0.075)/365*31</f>
        <v>11929.149195213575</v>
      </c>
      <c r="H84" s="394">
        <f t="shared" si="1"/>
        <v>1666322.1924222908</v>
      </c>
    </row>
    <row r="85" spans="1:8">
      <c r="A85" s="519">
        <f>'[3]FERC Interest Rates'!A135</f>
        <v>45107</v>
      </c>
      <c r="B85" s="520" t="s">
        <v>251</v>
      </c>
      <c r="C85" s="407">
        <v>8466269</v>
      </c>
      <c r="E85" s="332">
        <v>-183196.17</v>
      </c>
      <c r="F85" s="332">
        <f>(+H84*0.075)/365*30</f>
        <v>10271.849131370285</v>
      </c>
      <c r="H85" s="394">
        <f t="shared" si="1"/>
        <v>1493397.8715536611</v>
      </c>
    </row>
    <row r="86" spans="1:8">
      <c r="A86" s="519">
        <f>'[3]FERC Interest Rates'!A136</f>
        <v>45138</v>
      </c>
      <c r="B86" s="520" t="s">
        <v>251</v>
      </c>
      <c r="C86" s="407">
        <v>4994343</v>
      </c>
      <c r="E86" s="332">
        <v>-82388.399999999994</v>
      </c>
      <c r="F86" s="332">
        <f>(+H85*0.0802)/365*31</f>
        <v>10172.289830840306</v>
      </c>
      <c r="H86" s="394">
        <f t="shared" si="1"/>
        <v>1421181.7613845014</v>
      </c>
    </row>
    <row r="87" spans="1:8">
      <c r="A87" s="519">
        <f>'[3]FERC Interest Rates'!A137</f>
        <v>45169</v>
      </c>
      <c r="B87" s="520" t="s">
        <v>251</v>
      </c>
      <c r="C87" s="407">
        <v>6672317</v>
      </c>
      <c r="E87" s="332">
        <v>-122283.62999999999</v>
      </c>
      <c r="F87" s="332">
        <f>(+H86*0.0802)/365*31</f>
        <v>9680.3893017921837</v>
      </c>
      <c r="H87" s="394">
        <f t="shared" si="1"/>
        <v>1308578.5206862935</v>
      </c>
    </row>
    <row r="88" spans="1:8">
      <c r="A88" s="519">
        <f>'[3]FERC Interest Rates'!A138</f>
        <v>45199</v>
      </c>
      <c r="B88" s="520" t="s">
        <v>251</v>
      </c>
      <c r="C88" s="407">
        <v>9051506</v>
      </c>
      <c r="E88" s="332">
        <v>-204825.40999999997</v>
      </c>
      <c r="F88" s="332">
        <f>(+H87*0.0802)/365*30</f>
        <v>8625.8627966334843</v>
      </c>
      <c r="H88" s="394">
        <f t="shared" si="1"/>
        <v>1112378.9734829271</v>
      </c>
    </row>
    <row r="89" spans="1:8">
      <c r="A89" s="519">
        <f>'[3]FERC Interest Rates'!A139</f>
        <v>45230</v>
      </c>
      <c r="B89" s="520" t="s">
        <v>251</v>
      </c>
      <c r="C89" s="407">
        <v>17152528</v>
      </c>
      <c r="E89" s="332">
        <v>-376863.52999999997</v>
      </c>
      <c r="F89" s="332">
        <f>(+H88*0.0835)/365*31</f>
        <v>7888.7478708508397</v>
      </c>
      <c r="H89" s="394">
        <f t="shared" si="1"/>
        <v>743404.19135377789</v>
      </c>
    </row>
    <row r="90" spans="1:8">
      <c r="A90" s="599" t="s">
        <v>250</v>
      </c>
      <c r="B90" s="599"/>
      <c r="C90" s="599"/>
      <c r="D90" s="599"/>
      <c r="E90" s="599"/>
      <c r="F90" s="599"/>
      <c r="G90" s="332">
        <v>-3699395.7</v>
      </c>
      <c r="H90" s="394">
        <f t="shared" si="1"/>
        <v>-2955991.5086462223</v>
      </c>
    </row>
    <row r="91" spans="1:8">
      <c r="A91" s="519">
        <f>'[3]FERC Interest Rates'!A140</f>
        <v>45260</v>
      </c>
      <c r="B91" s="520" t="s">
        <v>251</v>
      </c>
      <c r="C91" s="407">
        <v>30097159</v>
      </c>
      <c r="E91" s="332">
        <v>463727.24000000005</v>
      </c>
      <c r="F91" s="332">
        <f>(+H90*0.0835)/365*30</f>
        <v>-20287.010216873387</v>
      </c>
      <c r="H91" s="394">
        <f t="shared" ref="H91:H92" si="6">H90+SUM(D91:G91)</f>
        <v>-2512551.2788630957</v>
      </c>
    </row>
    <row r="92" spans="1:8">
      <c r="A92" s="519">
        <f>'[3]FERC Interest Rates'!A141</f>
        <v>45291</v>
      </c>
      <c r="B92" s="520" t="s">
        <v>251</v>
      </c>
      <c r="C92" s="407">
        <v>33487259</v>
      </c>
      <c r="E92" s="332">
        <v>473666.98000000004</v>
      </c>
      <c r="F92" s="332">
        <f>(+H91*0.0835)/365*31</f>
        <v>-17818.462973526366</v>
      </c>
      <c r="H92" s="394">
        <f t="shared" si="6"/>
        <v>-2056702.7618366219</v>
      </c>
    </row>
  </sheetData>
  <mergeCells count="20">
    <mergeCell ref="A90:F90"/>
    <mergeCell ref="A38:F38"/>
    <mergeCell ref="C7:H7"/>
    <mergeCell ref="D8:F8"/>
    <mergeCell ref="A11:F11"/>
    <mergeCell ref="A12:F12"/>
    <mergeCell ref="D25:F25"/>
    <mergeCell ref="A7:B7"/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O69"/>
  <sheetViews>
    <sheetView zoomScaleNormal="100" workbookViewId="0">
      <pane xSplit="5" ySplit="4" topLeftCell="F20" activePane="bottomRight" state="frozen"/>
      <selection activeCell="G39" sqref="G39"/>
      <selection pane="topRight" activeCell="G39" sqref="G39"/>
      <selection pane="bottomLeft" activeCell="G39" sqref="G39"/>
      <selection pane="bottomRight" activeCell="I26" sqref="I26"/>
    </sheetView>
  </sheetViews>
  <sheetFormatPr defaultColWidth="12" defaultRowHeight="15" outlineLevelRow="1"/>
  <cols>
    <col min="1" max="1" width="1.6640625" style="35" customWidth="1"/>
    <col min="2" max="2" width="5.83203125" style="37" customWidth="1"/>
    <col min="3" max="3" width="15.5" style="35" customWidth="1"/>
    <col min="4" max="4" width="20" style="35" customWidth="1"/>
    <col min="5" max="5" width="10.6640625" style="37" bestFit="1" customWidth="1"/>
    <col min="6" max="6" width="13.6640625" style="35" bestFit="1" customWidth="1"/>
    <col min="7" max="7" width="16.5" style="35" customWidth="1"/>
    <col min="8" max="8" width="2.33203125" style="35" customWidth="1"/>
    <col min="9" max="9" width="19.1640625" style="35" bestFit="1" customWidth="1"/>
    <col min="10" max="11" width="2.33203125" style="35" customWidth="1"/>
    <col min="12" max="12" width="4" style="35" customWidth="1"/>
    <col min="13" max="13" width="16.6640625" style="35" bestFit="1" customWidth="1"/>
    <col min="14" max="15" width="15" style="35" bestFit="1" customWidth="1"/>
    <col min="16" max="16" width="5.6640625" style="35" customWidth="1"/>
    <col min="17" max="16384" width="12" style="35"/>
  </cols>
  <sheetData>
    <row r="1" spans="1:15" ht="18" customHeight="1">
      <c r="A1" s="43"/>
      <c r="C1" s="552" t="s">
        <v>33</v>
      </c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>
      <c r="C2" s="493"/>
      <c r="D2" s="493"/>
      <c r="E2" s="493"/>
      <c r="F2" s="573" t="s">
        <v>336</v>
      </c>
      <c r="G2" s="573"/>
      <c r="H2" s="573"/>
      <c r="I2" s="573"/>
      <c r="J2" s="493"/>
      <c r="K2" s="493"/>
      <c r="L2" s="493"/>
      <c r="M2" s="493"/>
      <c r="N2" s="493"/>
      <c r="O2" s="493"/>
    </row>
    <row r="3" spans="1:15">
      <c r="C3" s="573" t="s">
        <v>356</v>
      </c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1:15">
      <c r="C4" s="552" t="s">
        <v>35</v>
      </c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</row>
    <row r="5" spans="1:15" ht="6" customHeight="1"/>
    <row r="6" spans="1:15">
      <c r="B6" s="106"/>
      <c r="C6" s="107"/>
      <c r="D6" s="107"/>
      <c r="E6" s="106"/>
      <c r="F6" s="106"/>
      <c r="G6" s="106"/>
      <c r="I6" s="106"/>
      <c r="M6" s="109" t="s">
        <v>37</v>
      </c>
      <c r="N6" s="108"/>
      <c r="O6" s="108"/>
    </row>
    <row r="7" spans="1:15">
      <c r="B7" s="36" t="s">
        <v>3</v>
      </c>
      <c r="C7" s="37"/>
      <c r="D7" s="37"/>
      <c r="E7" s="36" t="s">
        <v>32</v>
      </c>
      <c r="F7" s="36" t="s">
        <v>38</v>
      </c>
      <c r="G7" s="36" t="s">
        <v>39</v>
      </c>
      <c r="H7" s="37"/>
      <c r="I7" s="36" t="s">
        <v>40</v>
      </c>
      <c r="J7" s="37"/>
      <c r="K7" s="37"/>
      <c r="M7" s="110" t="s">
        <v>256</v>
      </c>
      <c r="N7" s="36" t="s">
        <v>41</v>
      </c>
      <c r="O7" s="36" t="s">
        <v>42</v>
      </c>
    </row>
    <row r="8" spans="1:15">
      <c r="B8" s="36" t="s">
        <v>6</v>
      </c>
      <c r="C8" s="42"/>
      <c r="D8" s="37" t="s">
        <v>0</v>
      </c>
      <c r="E8" s="36" t="s">
        <v>43</v>
      </c>
      <c r="F8" s="36" t="s">
        <v>44</v>
      </c>
      <c r="G8" s="36" t="s">
        <v>45</v>
      </c>
      <c r="H8" s="37"/>
      <c r="I8" s="36" t="s">
        <v>46</v>
      </c>
      <c r="J8" s="37"/>
      <c r="K8" s="37"/>
      <c r="M8" s="110" t="s">
        <v>47</v>
      </c>
      <c r="N8" s="36" t="s">
        <v>47</v>
      </c>
      <c r="O8" s="36" t="s">
        <v>47</v>
      </c>
    </row>
    <row r="9" spans="1:15">
      <c r="B9" s="36"/>
      <c r="C9" s="42"/>
      <c r="D9" s="37" t="s">
        <v>9</v>
      </c>
      <c r="E9" s="111" t="s">
        <v>10</v>
      </c>
      <c r="F9" s="111" t="s">
        <v>11</v>
      </c>
      <c r="G9" s="111" t="s">
        <v>12</v>
      </c>
      <c r="H9" s="37"/>
      <c r="I9" s="111" t="s">
        <v>48</v>
      </c>
      <c r="J9" s="37"/>
      <c r="K9" s="37"/>
      <c r="M9" s="112" t="s">
        <v>87</v>
      </c>
      <c r="N9" s="111" t="s">
        <v>49</v>
      </c>
      <c r="O9" s="111" t="s">
        <v>50</v>
      </c>
    </row>
    <row r="10" spans="1:15">
      <c r="B10" s="113"/>
      <c r="C10" s="114" t="s">
        <v>52</v>
      </c>
      <c r="D10" s="115"/>
      <c r="E10" s="113"/>
      <c r="F10" s="115"/>
      <c r="G10" s="115"/>
      <c r="I10" s="133"/>
      <c r="M10" s="116"/>
      <c r="N10" s="115"/>
      <c r="O10" s="115"/>
    </row>
    <row r="11" spans="1:15">
      <c r="B11" s="106">
        <v>1</v>
      </c>
      <c r="C11" s="86" t="s">
        <v>53</v>
      </c>
      <c r="D11" s="117"/>
      <c r="E11" s="367"/>
      <c r="F11" s="107"/>
      <c r="G11" s="108"/>
      <c r="I11" s="108"/>
      <c r="M11" s="249"/>
      <c r="N11" s="108"/>
      <c r="O11" s="108"/>
    </row>
    <row r="12" spans="1:15">
      <c r="B12" s="36">
        <v>2</v>
      </c>
      <c r="C12" s="118" t="s">
        <v>117</v>
      </c>
      <c r="D12" s="38"/>
      <c r="E12" s="368" t="s">
        <v>56</v>
      </c>
      <c r="F12" s="527">
        <v>204189</v>
      </c>
      <c r="G12" s="119">
        <v>122238548</v>
      </c>
      <c r="I12" s="528">
        <f>180894056.86+2819119</f>
        <v>183713175.86000001</v>
      </c>
      <c r="K12" s="41"/>
      <c r="M12" s="137">
        <f>+'DMA Proposed Rate 594'!F12</f>
        <v>2.8106000000000003E-2</v>
      </c>
      <c r="N12" s="119">
        <f>+G12*M12</f>
        <v>3435636.6300880001</v>
      </c>
      <c r="O12" s="321">
        <f>N12/I12</f>
        <v>1.8701089968125924E-2</v>
      </c>
    </row>
    <row r="13" spans="1:15">
      <c r="B13" s="36">
        <v>3</v>
      </c>
      <c r="C13" s="118"/>
      <c r="D13" s="38"/>
      <c r="E13" s="368"/>
      <c r="F13" s="527"/>
      <c r="G13" s="119"/>
      <c r="I13" s="528"/>
      <c r="M13" s="137"/>
      <c r="N13" s="119"/>
      <c r="O13" s="244"/>
    </row>
    <row r="14" spans="1:15">
      <c r="B14" s="36">
        <v>5</v>
      </c>
      <c r="C14" s="247" t="s">
        <v>171</v>
      </c>
      <c r="D14" s="38"/>
      <c r="E14" s="368">
        <v>503</v>
      </c>
      <c r="F14" s="527"/>
      <c r="G14" s="119">
        <v>1709750</v>
      </c>
      <c r="H14" s="41"/>
      <c r="I14" s="528">
        <v>2892288.17</v>
      </c>
      <c r="J14" s="41"/>
      <c r="K14" s="41"/>
      <c r="M14" s="137">
        <f>+M12</f>
        <v>2.8106000000000003E-2</v>
      </c>
      <c r="N14" s="119">
        <f>+G14*M14</f>
        <v>48054.233500000002</v>
      </c>
      <c r="O14" s="244"/>
    </row>
    <row r="15" spans="1:15">
      <c r="B15" s="36">
        <v>6</v>
      </c>
      <c r="C15" s="248" t="s">
        <v>172</v>
      </c>
      <c r="D15" s="120"/>
      <c r="E15" s="401">
        <v>503</v>
      </c>
      <c r="F15" s="529"/>
      <c r="G15" s="530">
        <v>-1455032</v>
      </c>
      <c r="H15" s="41"/>
      <c r="I15" s="531">
        <v>-2335339.27</v>
      </c>
      <c r="J15" s="41"/>
      <c r="K15" s="41"/>
      <c r="M15" s="137">
        <f>M12</f>
        <v>2.8106000000000003E-2</v>
      </c>
      <c r="N15" s="119">
        <f>+G15*M15</f>
        <v>-40895.129392000003</v>
      </c>
      <c r="O15" s="244"/>
    </row>
    <row r="16" spans="1:15" s="46" customFormat="1">
      <c r="B16" s="36">
        <v>7</v>
      </c>
      <c r="C16" s="121" t="s">
        <v>125</v>
      </c>
      <c r="D16" s="139"/>
      <c r="E16" s="369"/>
      <c r="F16" s="370">
        <f>SUM(F12:F15)</f>
        <v>204189</v>
      </c>
      <c r="G16" s="123">
        <f>SUM(G12:G15)</f>
        <v>122493266</v>
      </c>
      <c r="H16" s="124"/>
      <c r="I16" s="216">
        <f>SUM(I12:I15)</f>
        <v>184270124.75999999</v>
      </c>
      <c r="J16" s="124"/>
      <c r="K16" s="124"/>
      <c r="M16" s="125"/>
      <c r="N16" s="126">
        <f>SUM(N12:N15)</f>
        <v>3442795.7341960003</v>
      </c>
      <c r="O16" s="127">
        <f>+N16/I16</f>
        <v>1.8683417828473395E-2</v>
      </c>
    </row>
    <row r="17" spans="2:15">
      <c r="B17" s="36">
        <v>8</v>
      </c>
      <c r="C17" s="86" t="s">
        <v>61</v>
      </c>
      <c r="D17" s="38"/>
      <c r="E17" s="368"/>
      <c r="F17" s="41"/>
      <c r="G17" s="119"/>
      <c r="H17" s="41"/>
      <c r="I17" s="528"/>
      <c r="K17" s="41"/>
      <c r="M17" s="136"/>
      <c r="N17" s="39"/>
      <c r="O17" s="128"/>
    </row>
    <row r="18" spans="2:15">
      <c r="B18" s="36">
        <v>9</v>
      </c>
      <c r="C18" s="47" t="s">
        <v>117</v>
      </c>
      <c r="D18" s="38"/>
      <c r="E18" s="368" t="s">
        <v>62</v>
      </c>
      <c r="F18" s="41">
        <v>27579</v>
      </c>
      <c r="G18" s="119">
        <v>90523524</v>
      </c>
      <c r="H18" s="41"/>
      <c r="I18" s="540">
        <v>123747537.20999999</v>
      </c>
      <c r="K18" s="41"/>
      <c r="M18" s="137">
        <f>'DMA Proposed Rate 594'!$F$13</f>
        <v>1.1846000000000001E-2</v>
      </c>
      <c r="N18" s="39">
        <f>+G18*M18</f>
        <v>1072341.665304</v>
      </c>
      <c r="O18" s="321">
        <f>+N18/I18</f>
        <v>8.6655596505668848E-3</v>
      </c>
    </row>
    <row r="19" spans="2:15">
      <c r="B19" s="36">
        <v>10</v>
      </c>
      <c r="C19" s="47" t="s">
        <v>118</v>
      </c>
      <c r="D19" s="38"/>
      <c r="E19" s="368" t="s">
        <v>64</v>
      </c>
      <c r="F19" s="41">
        <f>69+3</f>
        <v>72</v>
      </c>
      <c r="G19" s="119">
        <v>10097271</v>
      </c>
      <c r="I19" s="540">
        <v>12165842.199999999</v>
      </c>
      <c r="M19" s="137">
        <f>+'DMA Proposed Rate 594'!F15</f>
        <v>3.1643000000000004E-2</v>
      </c>
      <c r="N19" s="39">
        <f>+G19*M19</f>
        <v>319507.94625300006</v>
      </c>
      <c r="O19" s="321">
        <f>+N19/I19</f>
        <v>2.6262706765422295E-2</v>
      </c>
    </row>
    <row r="20" spans="2:15">
      <c r="B20" s="36">
        <v>11</v>
      </c>
      <c r="C20" s="47"/>
      <c r="D20" s="38"/>
      <c r="E20" s="368"/>
      <c r="F20" s="41"/>
      <c r="G20" s="119"/>
      <c r="I20" s="528"/>
      <c r="K20" s="41"/>
      <c r="M20" s="137"/>
      <c r="N20" s="39"/>
      <c r="O20" s="321"/>
    </row>
    <row r="21" spans="2:15">
      <c r="B21" s="36">
        <v>13</v>
      </c>
      <c r="C21" s="35" t="s">
        <v>171</v>
      </c>
      <c r="D21" s="38"/>
      <c r="E21" s="368">
        <v>504</v>
      </c>
      <c r="G21" s="119">
        <v>1592933</v>
      </c>
      <c r="H21" s="41"/>
      <c r="I21" s="541">
        <v>2374361.67</v>
      </c>
      <c r="J21" s="41"/>
      <c r="K21" s="41"/>
      <c r="M21" s="137">
        <f>M18</f>
        <v>1.1846000000000001E-2</v>
      </c>
      <c r="N21" s="39">
        <f>+G22*M21</f>
        <v>-15399.255084</v>
      </c>
      <c r="O21" s="244"/>
    </row>
    <row r="22" spans="2:15">
      <c r="B22" s="36">
        <v>14</v>
      </c>
      <c r="C22" s="35" t="s">
        <v>172</v>
      </c>
      <c r="D22" s="38"/>
      <c r="E22" s="368">
        <v>504</v>
      </c>
      <c r="G22" s="119">
        <v>-1299954</v>
      </c>
      <c r="H22" s="41"/>
      <c r="I22" s="541">
        <v>-1788760.89</v>
      </c>
      <c r="J22" s="41"/>
      <c r="K22" s="41"/>
      <c r="M22" s="137">
        <f>M18</f>
        <v>1.1846000000000001E-2</v>
      </c>
      <c r="N22" s="39">
        <f>+G23*M22</f>
        <v>2310.5741459999999</v>
      </c>
      <c r="O22" s="244"/>
    </row>
    <row r="23" spans="2:15">
      <c r="B23" s="36"/>
      <c r="C23" s="35" t="s">
        <v>171</v>
      </c>
      <c r="D23" s="38"/>
      <c r="E23" s="368">
        <v>511</v>
      </c>
      <c r="G23" s="119">
        <v>195051</v>
      </c>
      <c r="H23" s="41"/>
      <c r="I23" s="541">
        <v>250281.57</v>
      </c>
      <c r="J23" s="41"/>
      <c r="K23" s="41"/>
      <c r="M23" s="137"/>
      <c r="N23" s="39"/>
      <c r="O23" s="244"/>
    </row>
    <row r="24" spans="2:15">
      <c r="B24" s="36"/>
      <c r="C24" s="35" t="s">
        <v>172</v>
      </c>
      <c r="D24" s="38"/>
      <c r="E24" s="368">
        <v>511</v>
      </c>
      <c r="G24" s="119">
        <v>-167353</v>
      </c>
      <c r="H24" s="41"/>
      <c r="I24" s="541">
        <v>-176241.16</v>
      </c>
      <c r="J24" s="41"/>
      <c r="K24" s="41"/>
      <c r="M24" s="137"/>
      <c r="N24" s="39"/>
      <c r="O24" s="244"/>
    </row>
    <row r="25" spans="2:15">
      <c r="B25" s="36">
        <v>15</v>
      </c>
      <c r="C25" s="47" t="s">
        <v>119</v>
      </c>
      <c r="D25" s="38"/>
      <c r="E25" s="368"/>
      <c r="F25" s="41"/>
      <c r="G25" s="119">
        <v>0</v>
      </c>
      <c r="H25" s="41"/>
      <c r="I25" s="531"/>
      <c r="K25" s="41"/>
      <c r="M25" s="137">
        <v>0</v>
      </c>
      <c r="N25" s="39"/>
      <c r="O25" s="69"/>
    </row>
    <row r="26" spans="2:15" s="46" customFormat="1">
      <c r="B26" s="36">
        <v>16</v>
      </c>
      <c r="C26" s="121" t="s">
        <v>124</v>
      </c>
      <c r="D26" s="122"/>
      <c r="E26" s="369"/>
      <c r="F26" s="370">
        <f>SUM(F18:F25)</f>
        <v>27651</v>
      </c>
      <c r="G26" s="123">
        <f>SUM(G18:G25)</f>
        <v>100941472</v>
      </c>
      <c r="H26" s="124"/>
      <c r="I26" s="216">
        <f>SUM(I18:I25)</f>
        <v>136573020.59999999</v>
      </c>
      <c r="J26" s="124"/>
      <c r="K26" s="124"/>
      <c r="M26" s="129"/>
      <c r="N26" s="126">
        <f>SUM(N18:N25)</f>
        <v>1378760.930619</v>
      </c>
      <c r="O26" s="127">
        <f>N26/I26</f>
        <v>1.0095412143348319E-2</v>
      </c>
    </row>
    <row r="27" spans="2:15">
      <c r="B27" s="36">
        <v>17</v>
      </c>
      <c r="C27" s="86" t="s">
        <v>65</v>
      </c>
      <c r="D27" s="38"/>
      <c r="E27" s="368"/>
      <c r="F27" s="41"/>
      <c r="G27" s="119"/>
      <c r="H27" s="41"/>
      <c r="I27" s="528"/>
      <c r="K27" s="41"/>
      <c r="M27" s="137"/>
      <c r="N27" s="39"/>
      <c r="O27" s="69"/>
    </row>
    <row r="28" spans="2:15">
      <c r="B28" s="36">
        <v>18</v>
      </c>
      <c r="C28" s="47" t="s">
        <v>117</v>
      </c>
      <c r="D28" s="38"/>
      <c r="E28" s="368" t="s">
        <v>66</v>
      </c>
      <c r="F28" s="41">
        <v>495</v>
      </c>
      <c r="G28" s="119">
        <v>11881224</v>
      </c>
      <c r="H28" s="41"/>
      <c r="I28" s="540">
        <v>14347313.25</v>
      </c>
      <c r="K28" s="41"/>
      <c r="M28" s="137">
        <f>+'DMA Proposed Rate 594'!F14</f>
        <v>-4.3070000000000001E-3</v>
      </c>
      <c r="N28" s="39">
        <f>+G28*M28</f>
        <v>-51172.431768000002</v>
      </c>
      <c r="O28" s="69">
        <f>+N28/I28</f>
        <v>-3.5666909111362714E-3</v>
      </c>
    </row>
    <row r="29" spans="2:15">
      <c r="B29" s="36">
        <v>19</v>
      </c>
      <c r="C29" s="47" t="s">
        <v>118</v>
      </c>
      <c r="D29" s="38"/>
      <c r="E29" s="368" t="s">
        <v>64</v>
      </c>
      <c r="F29" s="41">
        <v>27</v>
      </c>
      <c r="G29" s="119">
        <v>4596720</v>
      </c>
      <c r="I29" s="540">
        <v>5272343.55</v>
      </c>
      <c r="M29" s="137">
        <f>+M19</f>
        <v>3.1643000000000004E-2</v>
      </c>
      <c r="N29" s="39">
        <f>+G29*M29</f>
        <v>145454.01096000001</v>
      </c>
      <c r="O29" s="69">
        <f>+N29/I29</f>
        <v>2.7588113251838457E-2</v>
      </c>
    </row>
    <row r="30" spans="2:15">
      <c r="B30" s="36"/>
      <c r="C30" s="47" t="s">
        <v>171</v>
      </c>
      <c r="D30" s="38"/>
      <c r="E30" s="368" t="s">
        <v>66</v>
      </c>
      <c r="F30" s="41"/>
      <c r="G30" s="119"/>
      <c r="I30" s="540">
        <v>12936</v>
      </c>
      <c r="M30" s="137"/>
      <c r="N30" s="39"/>
      <c r="O30" s="69"/>
    </row>
    <row r="31" spans="2:15">
      <c r="B31" s="36"/>
      <c r="C31" s="47" t="s">
        <v>172</v>
      </c>
      <c r="D31" s="38"/>
      <c r="E31" s="368" t="s">
        <v>66</v>
      </c>
      <c r="F31" s="41"/>
      <c r="G31" s="532">
        <v>0</v>
      </c>
      <c r="I31" s="540">
        <v>-12936</v>
      </c>
      <c r="M31" s="137"/>
      <c r="N31" s="39"/>
      <c r="O31" s="69"/>
    </row>
    <row r="32" spans="2:15">
      <c r="B32" s="36"/>
      <c r="C32" s="47"/>
      <c r="D32" s="38"/>
      <c r="E32" s="368"/>
      <c r="F32" s="41"/>
      <c r="G32" s="119"/>
      <c r="I32" s="119"/>
      <c r="M32" s="137"/>
      <c r="N32" s="39"/>
      <c r="O32" s="69"/>
    </row>
    <row r="33" spans="2:15" s="46" customFormat="1">
      <c r="B33" s="36">
        <v>22</v>
      </c>
      <c r="C33" s="121" t="s">
        <v>123</v>
      </c>
      <c r="D33" s="122"/>
      <c r="E33" s="369"/>
      <c r="F33" s="123">
        <f>SUM(F28:F29)</f>
        <v>522</v>
      </c>
      <c r="G33" s="123">
        <f>SUM(G28:G31)</f>
        <v>16477944</v>
      </c>
      <c r="H33" s="124"/>
      <c r="I33" s="123">
        <f>SUM(I28:I31)</f>
        <v>19619656.800000001</v>
      </c>
      <c r="J33" s="124"/>
      <c r="K33" s="124"/>
      <c r="M33" s="129"/>
      <c r="N33" s="123">
        <f>SUM(N28:N29)</f>
        <v>94281.579192000005</v>
      </c>
      <c r="O33" s="127">
        <f>+N33/I33</f>
        <v>4.8054652613495254E-3</v>
      </c>
    </row>
    <row r="34" spans="2:15">
      <c r="B34" s="36">
        <v>23</v>
      </c>
      <c r="C34" s="86" t="s">
        <v>8</v>
      </c>
      <c r="D34" s="38"/>
      <c r="E34" s="368"/>
      <c r="F34" s="41"/>
      <c r="G34" s="119"/>
      <c r="H34" s="41"/>
      <c r="I34" s="119"/>
      <c r="K34" s="41"/>
      <c r="M34" s="137"/>
      <c r="N34" s="39"/>
      <c r="O34" s="69"/>
    </row>
    <row r="35" spans="2:15">
      <c r="B35" s="36">
        <v>24</v>
      </c>
      <c r="C35" s="47" t="s">
        <v>114</v>
      </c>
      <c r="D35" s="38"/>
      <c r="E35" s="368" t="s">
        <v>67</v>
      </c>
      <c r="F35" s="41">
        <v>7</v>
      </c>
      <c r="G35" s="119">
        <v>2138948</v>
      </c>
      <c r="H35" s="41"/>
      <c r="I35" s="540">
        <v>2156758</v>
      </c>
      <c r="K35" s="41"/>
      <c r="M35" s="137">
        <f>+'DMA Proposed Rate 594'!F16</f>
        <v>1.4190000000000001E-3</v>
      </c>
      <c r="N35" s="39">
        <f>+G35*M35</f>
        <v>3035.1672120000003</v>
      </c>
      <c r="O35" s="69">
        <f>+N35/I35</f>
        <v>1.4072822319425732E-3</v>
      </c>
    </row>
    <row r="36" spans="2:15">
      <c r="B36" s="36">
        <v>26</v>
      </c>
      <c r="C36" s="47" t="s">
        <v>171</v>
      </c>
      <c r="D36" s="38"/>
      <c r="E36" s="368">
        <v>570</v>
      </c>
      <c r="F36" s="41"/>
      <c r="G36" s="119">
        <v>35751</v>
      </c>
      <c r="I36" s="540">
        <v>39723.18</v>
      </c>
      <c r="M36" s="137"/>
      <c r="N36" s="39"/>
      <c r="O36" s="69"/>
    </row>
    <row r="37" spans="2:15">
      <c r="B37" s="36">
        <v>27</v>
      </c>
      <c r="C37" s="47" t="s">
        <v>172</v>
      </c>
      <c r="D37" s="38"/>
      <c r="E37" s="368">
        <v>570</v>
      </c>
      <c r="F37" s="41"/>
      <c r="G37" s="119">
        <v>-86202</v>
      </c>
      <c r="I37" s="540">
        <v>-86675.02</v>
      </c>
      <c r="M37" s="137"/>
      <c r="N37" s="39"/>
      <c r="O37" s="69"/>
    </row>
    <row r="38" spans="2:15">
      <c r="B38" s="36"/>
      <c r="C38" s="47"/>
      <c r="D38" s="38"/>
      <c r="E38" s="368"/>
      <c r="F38" s="41"/>
      <c r="G38" s="119"/>
      <c r="I38" s="119"/>
      <c r="M38" s="137"/>
      <c r="N38" s="39"/>
      <c r="O38" s="69"/>
    </row>
    <row r="39" spans="2:15" s="46" customFormat="1">
      <c r="B39" s="131">
        <v>28</v>
      </c>
      <c r="C39" s="114" t="s">
        <v>120</v>
      </c>
      <c r="D39" s="122"/>
      <c r="E39" s="369"/>
      <c r="F39" s="370">
        <f>SUM(F35:F35)</f>
        <v>7</v>
      </c>
      <c r="G39" s="123">
        <f>SUM(G35:G37)</f>
        <v>2088497</v>
      </c>
      <c r="H39" s="124"/>
      <c r="I39" s="123">
        <f>+I35+I36+I37</f>
        <v>2109806.16</v>
      </c>
      <c r="J39" s="124"/>
      <c r="K39" s="124"/>
      <c r="M39" s="125"/>
      <c r="N39" s="126">
        <f>SUM(N35:N35)</f>
        <v>3035.1672120000003</v>
      </c>
      <c r="O39" s="127">
        <f>N39/I39</f>
        <v>1.4386000332845745E-3</v>
      </c>
    </row>
    <row r="40" spans="2:15" s="46" customFormat="1">
      <c r="B40" s="111">
        <v>29</v>
      </c>
      <c r="C40" s="132" t="s">
        <v>121</v>
      </c>
      <c r="E40" s="371"/>
      <c r="F40" s="124">
        <f>+F39+F33+F26+F16</f>
        <v>232369</v>
      </c>
      <c r="G40" s="123">
        <f>G16+G26+G33+G39</f>
        <v>242001179</v>
      </c>
      <c r="H40" s="124"/>
      <c r="I40" s="123">
        <f>I16+I26+I33+I39</f>
        <v>342572608.32000005</v>
      </c>
      <c r="J40" s="124"/>
      <c r="K40" s="124"/>
      <c r="M40" s="252"/>
      <c r="N40" s="82">
        <f>N16+N26+N33+N39</f>
        <v>4918873.4112190008</v>
      </c>
      <c r="O40" s="127">
        <f>N40/I40</f>
        <v>1.4358630234161158E-2</v>
      </c>
    </row>
    <row r="41" spans="2:15">
      <c r="B41" s="113"/>
      <c r="C41" s="114" t="s">
        <v>71</v>
      </c>
      <c r="D41" s="115"/>
      <c r="E41" s="113"/>
      <c r="F41" s="133"/>
      <c r="G41" s="133"/>
      <c r="H41" s="41"/>
      <c r="I41" s="41"/>
      <c r="K41" s="41"/>
      <c r="M41" s="133"/>
      <c r="N41" s="133"/>
      <c r="O41" s="134"/>
    </row>
    <row r="42" spans="2:15">
      <c r="B42" s="106">
        <v>30</v>
      </c>
      <c r="C42" s="42" t="s">
        <v>5</v>
      </c>
      <c r="D42" s="38"/>
      <c r="E42" s="368"/>
      <c r="F42" s="41"/>
      <c r="G42" s="119"/>
      <c r="H42" s="372"/>
      <c r="I42" s="402"/>
      <c r="J42" s="42"/>
      <c r="K42" s="42"/>
      <c r="M42" s="137"/>
      <c r="N42" s="39"/>
      <c r="O42" s="135">
        <v>0</v>
      </c>
    </row>
    <row r="43" spans="2:15">
      <c r="B43" s="36">
        <v>31</v>
      </c>
      <c r="C43" s="130" t="s">
        <v>116</v>
      </c>
      <c r="D43" s="38"/>
      <c r="E43" s="368"/>
      <c r="F43" s="41"/>
      <c r="G43" s="119"/>
      <c r="H43" s="372"/>
      <c r="I43" s="119"/>
      <c r="K43" s="41"/>
      <c r="M43" s="136"/>
      <c r="N43" s="39"/>
      <c r="O43" s="135"/>
    </row>
    <row r="44" spans="2:15">
      <c r="B44" s="36">
        <v>32</v>
      </c>
      <c r="C44" s="47" t="s">
        <v>114</v>
      </c>
      <c r="D44" s="38"/>
      <c r="E44" s="368" t="s">
        <v>72</v>
      </c>
      <c r="F44" s="41">
        <v>192</v>
      </c>
      <c r="G44" s="119">
        <v>940213064</v>
      </c>
      <c r="H44" s="41"/>
      <c r="I44" s="528">
        <v>30374009</v>
      </c>
      <c r="J44" s="42"/>
      <c r="K44" s="41"/>
      <c r="M44" s="137"/>
      <c r="N44" s="39"/>
      <c r="O44" s="135"/>
    </row>
    <row r="45" spans="2:15">
      <c r="B45" s="36">
        <v>33</v>
      </c>
      <c r="C45" s="47" t="s">
        <v>115</v>
      </c>
      <c r="D45" s="38"/>
      <c r="E45" s="368" t="s">
        <v>153</v>
      </c>
      <c r="F45" s="533">
        <v>7</v>
      </c>
      <c r="G45" s="530">
        <v>193605986</v>
      </c>
      <c r="I45" s="531">
        <v>3641422.7</v>
      </c>
      <c r="M45" s="83"/>
      <c r="N45" s="39"/>
      <c r="O45" s="135"/>
    </row>
    <row r="46" spans="2:15" s="46" customFormat="1">
      <c r="B46" s="36">
        <v>34</v>
      </c>
      <c r="C46" s="138" t="s">
        <v>122</v>
      </c>
      <c r="D46" s="122"/>
      <c r="E46" s="371"/>
      <c r="F46" s="373">
        <f>SUM(F42:F45)</f>
        <v>199</v>
      </c>
      <c r="G46" s="374">
        <f>SUM(G42:G45)</f>
        <v>1133819050</v>
      </c>
      <c r="I46" s="374">
        <f>SUM(I42:I45)</f>
        <v>34015431.700000003</v>
      </c>
      <c r="M46" s="250"/>
      <c r="N46" s="140"/>
      <c r="O46" s="141"/>
    </row>
    <row r="47" spans="2:15" s="46" customFormat="1">
      <c r="B47" s="111">
        <v>35</v>
      </c>
      <c r="C47" s="138" t="s">
        <v>73</v>
      </c>
      <c r="D47" s="142"/>
      <c r="E47" s="371"/>
      <c r="F47" s="373">
        <f>+F46+F40</f>
        <v>232568</v>
      </c>
      <c r="G47" s="374">
        <f>G40+G46</f>
        <v>1375820229</v>
      </c>
      <c r="H47" s="124"/>
      <c r="I47" s="123">
        <f>I40+I46</f>
        <v>376588040.02000004</v>
      </c>
      <c r="J47" s="124"/>
      <c r="K47" s="124"/>
      <c r="M47" s="251"/>
      <c r="N47" s="143">
        <f>N40+SUM(N42:N46)</f>
        <v>4918873.4112190008</v>
      </c>
      <c r="O47" s="127">
        <f>N47/I47</f>
        <v>1.3061682497823794E-2</v>
      </c>
    </row>
    <row r="48" spans="2:15" outlineLevel="1">
      <c r="B48" s="481"/>
      <c r="C48" s="482"/>
      <c r="F48" s="41"/>
      <c r="G48" s="41"/>
      <c r="H48" s="41"/>
      <c r="I48" s="41"/>
      <c r="K48" s="41"/>
      <c r="M48" s="84"/>
    </row>
    <row r="49" spans="2:11">
      <c r="B49" s="45"/>
      <c r="F49" s="70"/>
      <c r="G49" s="70"/>
      <c r="H49" s="70"/>
      <c r="I49" s="70"/>
      <c r="J49" s="70"/>
    </row>
    <row r="50" spans="2:11">
      <c r="F50" s="71" t="s">
        <v>131</v>
      </c>
      <c r="G50" s="71" t="s">
        <v>132</v>
      </c>
      <c r="H50" s="71"/>
      <c r="I50" s="71" t="s">
        <v>133</v>
      </c>
      <c r="J50" s="71"/>
    </row>
    <row r="51" spans="2:11">
      <c r="F51" s="4"/>
      <c r="G51" s="4"/>
      <c r="H51" s="1"/>
      <c r="I51" s="4"/>
      <c r="J51" s="1"/>
      <c r="K51" s="1"/>
    </row>
    <row r="52" spans="2:11">
      <c r="E52" s="37">
        <v>503</v>
      </c>
      <c r="F52" s="4">
        <f>F12</f>
        <v>204189</v>
      </c>
      <c r="G52" s="4">
        <f>G16</f>
        <v>122493266</v>
      </c>
      <c r="H52" s="1"/>
      <c r="I52" s="4">
        <f>I16</f>
        <v>184270124.75999999</v>
      </c>
      <c r="J52" s="1"/>
      <c r="K52" s="1"/>
    </row>
    <row r="53" spans="2:11">
      <c r="E53" s="37">
        <v>504</v>
      </c>
      <c r="F53" s="4">
        <f>F18</f>
        <v>27579</v>
      </c>
      <c r="G53" s="4">
        <f>G18+G21+G22</f>
        <v>90816503</v>
      </c>
      <c r="H53" s="1"/>
      <c r="I53" s="4">
        <f>+I18+I21+I22</f>
        <v>124333137.98999999</v>
      </c>
      <c r="J53" s="1"/>
      <c r="K53" s="1"/>
    </row>
    <row r="54" spans="2:11">
      <c r="F54" s="4"/>
      <c r="G54" s="4"/>
      <c r="H54" s="1"/>
      <c r="I54" s="4"/>
      <c r="J54" s="1"/>
      <c r="K54" s="1"/>
    </row>
    <row r="55" spans="2:11">
      <c r="F55" s="4"/>
      <c r="G55" s="4"/>
      <c r="H55" s="1"/>
      <c r="I55" s="4"/>
      <c r="J55" s="1"/>
      <c r="K55" s="1"/>
    </row>
    <row r="56" spans="2:11">
      <c r="E56" s="37">
        <v>511</v>
      </c>
      <c r="F56" s="4">
        <f>F19+F29</f>
        <v>99</v>
      </c>
      <c r="G56" s="4">
        <f>+G19+G23+G24+G29</f>
        <v>14721689</v>
      </c>
      <c r="H56" s="1"/>
      <c r="I56" s="4">
        <f>+I19+I23+I24+I29</f>
        <v>17512226.16</v>
      </c>
      <c r="J56" s="1"/>
      <c r="K56" s="1"/>
    </row>
    <row r="57" spans="2:11">
      <c r="E57" s="37">
        <v>505</v>
      </c>
      <c r="F57" s="4">
        <f>F28</f>
        <v>495</v>
      </c>
      <c r="G57" s="4">
        <f>G28</f>
        <v>11881224</v>
      </c>
      <c r="H57" s="1"/>
      <c r="I57" s="4">
        <f>I28+I30+I31</f>
        <v>14347313.25</v>
      </c>
      <c r="J57" s="1"/>
      <c r="K57" s="1"/>
    </row>
    <row r="58" spans="2:11">
      <c r="E58" s="37">
        <v>570</v>
      </c>
      <c r="F58" s="4">
        <f>F35</f>
        <v>7</v>
      </c>
      <c r="G58" s="4">
        <f>G39</f>
        <v>2088497</v>
      </c>
      <c r="H58" s="1"/>
      <c r="I58" s="4">
        <f>+I39</f>
        <v>2109806.16</v>
      </c>
      <c r="J58" s="1"/>
      <c r="K58" s="1"/>
    </row>
    <row r="59" spans="2:11">
      <c r="F59" s="4"/>
      <c r="G59" s="4"/>
      <c r="H59" s="1"/>
      <c r="I59" s="4"/>
      <c r="J59" s="1"/>
      <c r="K59" s="1"/>
    </row>
    <row r="60" spans="2:11">
      <c r="F60" s="4"/>
      <c r="G60" s="4"/>
      <c r="H60" s="1"/>
      <c r="I60" s="4"/>
      <c r="J60" s="1"/>
      <c r="K60" s="1"/>
    </row>
    <row r="61" spans="2:11">
      <c r="E61" s="37">
        <v>663</v>
      </c>
      <c r="F61" s="4">
        <f>F44</f>
        <v>192</v>
      </c>
      <c r="G61" s="4">
        <f>G44</f>
        <v>940213064</v>
      </c>
      <c r="H61" s="1"/>
      <c r="I61" s="4">
        <f>I44</f>
        <v>30374009</v>
      </c>
      <c r="J61" s="1"/>
      <c r="K61" s="1"/>
    </row>
    <row r="62" spans="2:11">
      <c r="E62" s="37" t="s">
        <v>153</v>
      </c>
      <c r="F62" s="5">
        <f>F45</f>
        <v>7</v>
      </c>
      <c r="G62" s="5">
        <f>G45</f>
        <v>193605986</v>
      </c>
      <c r="H62" s="5"/>
      <c r="I62" s="5">
        <f>I45</f>
        <v>3641422.7</v>
      </c>
      <c r="J62" s="5"/>
      <c r="K62" s="1"/>
    </row>
    <row r="63" spans="2:11" s="46" customFormat="1">
      <c r="B63" s="70"/>
      <c r="E63" s="70"/>
      <c r="F63" s="64">
        <f>SUM(F51:F62)</f>
        <v>232568</v>
      </c>
      <c r="G63" s="64">
        <f>SUM(G51:G62)</f>
        <v>1375820229</v>
      </c>
      <c r="H63" s="51"/>
      <c r="I63" s="64">
        <f>SUM(I51:I62)</f>
        <v>376588040.02000004</v>
      </c>
      <c r="J63" s="51"/>
      <c r="K63" s="51"/>
    </row>
    <row r="69" spans="6:10">
      <c r="F69" s="46"/>
      <c r="G69" s="46"/>
      <c r="H69" s="46"/>
      <c r="I69" s="46"/>
      <c r="J69" s="46"/>
    </row>
  </sheetData>
  <mergeCells count="4">
    <mergeCell ref="C1:O1"/>
    <mergeCell ref="C3:O3"/>
    <mergeCell ref="C4:O4"/>
    <mergeCell ref="F2:I2"/>
  </mergeCells>
  <phoneticPr fontId="22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4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dimension ref="A1:D33"/>
  <sheetViews>
    <sheetView workbookViewId="0">
      <selection activeCell="C8" sqref="C8"/>
    </sheetView>
  </sheetViews>
  <sheetFormatPr defaultColWidth="10.6640625" defaultRowHeight="15.75"/>
  <cols>
    <col min="1" max="1" width="39.6640625" style="430" bestFit="1" customWidth="1"/>
    <col min="2" max="2" width="10.6640625" style="430"/>
    <col min="3" max="3" width="24.83203125" style="437" customWidth="1"/>
    <col min="4" max="16384" width="10.6640625" style="430"/>
  </cols>
  <sheetData>
    <row r="1" spans="1:4">
      <c r="A1" s="605" t="s">
        <v>253</v>
      </c>
      <c r="B1" s="605"/>
      <c r="C1" s="605"/>
    </row>
    <row r="2" spans="1:4">
      <c r="A2" s="605" t="s">
        <v>279</v>
      </c>
      <c r="B2" s="605"/>
      <c r="C2" s="605"/>
    </row>
    <row r="3" spans="1:4">
      <c r="A3" s="606" t="s">
        <v>326</v>
      </c>
      <c r="B3" s="606"/>
      <c r="C3" s="606"/>
    </row>
    <row r="4" spans="1:4">
      <c r="A4" s="607" t="s">
        <v>280</v>
      </c>
      <c r="B4" s="608"/>
      <c r="C4" s="609"/>
    </row>
    <row r="5" spans="1:4">
      <c r="A5" s="431"/>
      <c r="B5" s="432"/>
      <c r="C5" s="433"/>
    </row>
    <row r="6" spans="1:4">
      <c r="A6" s="431" t="s">
        <v>281</v>
      </c>
      <c r="B6" s="432"/>
      <c r="C6" s="433">
        <v>1</v>
      </c>
    </row>
    <row r="7" spans="1:4">
      <c r="A7" s="434" t="s">
        <v>282</v>
      </c>
      <c r="B7" s="432"/>
      <c r="C7" s="433"/>
    </row>
    <row r="8" spans="1:4">
      <c r="A8" s="435" t="s">
        <v>283</v>
      </c>
      <c r="B8" s="432"/>
      <c r="C8" s="436">
        <v>3.7100000000000002E-3</v>
      </c>
    </row>
    <row r="9" spans="1:4">
      <c r="A9" s="435" t="s">
        <v>284</v>
      </c>
      <c r="B9" s="432"/>
      <c r="C9" s="436">
        <v>3.8519999999999999E-2</v>
      </c>
    </row>
    <row r="10" spans="1:4">
      <c r="A10" s="435" t="s">
        <v>285</v>
      </c>
      <c r="B10" s="432"/>
      <c r="C10" s="436">
        <v>2E-3</v>
      </c>
      <c r="D10" s="437">
        <f>+C8+C9+C10</f>
        <v>4.4229999999999998E-2</v>
      </c>
    </row>
    <row r="11" spans="1:4">
      <c r="A11" s="434" t="s">
        <v>286</v>
      </c>
      <c r="B11" s="432"/>
      <c r="C11" s="438"/>
    </row>
    <row r="12" spans="1:4" ht="16.5" thickBot="1">
      <c r="A12" s="434" t="s">
        <v>287</v>
      </c>
      <c r="B12" s="432"/>
      <c r="C12" s="439">
        <f>+C6-SUM(C8:C11)</f>
        <v>0.95577000000000001</v>
      </c>
    </row>
    <row r="13" spans="1:4">
      <c r="A13" s="440"/>
      <c r="B13" s="432"/>
      <c r="C13" s="433"/>
    </row>
    <row r="14" spans="1:4" ht="16.5" thickBot="1">
      <c r="A14" s="434" t="s">
        <v>288</v>
      </c>
      <c r="B14" s="432"/>
      <c r="C14" s="441">
        <v>0</v>
      </c>
    </row>
    <row r="15" spans="1:4">
      <c r="A15" s="440"/>
      <c r="B15" s="432"/>
      <c r="C15" s="433"/>
    </row>
    <row r="16" spans="1:4" ht="16.5" thickBot="1">
      <c r="A16" s="440" t="s">
        <v>289</v>
      </c>
      <c r="B16" s="432"/>
      <c r="C16" s="441">
        <f>+C12-C14</f>
        <v>0.95577000000000001</v>
      </c>
    </row>
    <row r="17" spans="1:3">
      <c r="A17" s="440"/>
      <c r="B17" s="432"/>
      <c r="C17" s="433"/>
    </row>
    <row r="18" spans="1:3" ht="16.5" thickBot="1">
      <c r="A18" s="440" t="s">
        <v>290</v>
      </c>
      <c r="B18" s="432"/>
      <c r="C18" s="441">
        <f>+C16*0.21</f>
        <v>0.20071169999999999</v>
      </c>
    </row>
    <row r="19" spans="1:3">
      <c r="A19" s="440"/>
      <c r="B19" s="432"/>
      <c r="C19" s="438"/>
    </row>
    <row r="20" spans="1:3" ht="16.5" thickBot="1">
      <c r="A20" s="440" t="s">
        <v>291</v>
      </c>
      <c r="B20" s="432"/>
      <c r="C20" s="439">
        <f>+C14+C18</f>
        <v>0.20071169999999999</v>
      </c>
    </row>
    <row r="21" spans="1:3">
      <c r="A21" s="440"/>
      <c r="B21" s="432"/>
      <c r="C21" s="433"/>
    </row>
    <row r="22" spans="1:3" ht="16.5" thickBot="1">
      <c r="A22" s="440" t="s">
        <v>292</v>
      </c>
      <c r="B22" s="432"/>
      <c r="C22" s="441">
        <f>SUM(C8:C11)+C20</f>
        <v>0.24494169999999998</v>
      </c>
    </row>
    <row r="23" spans="1:3">
      <c r="A23" s="440"/>
      <c r="B23" s="432"/>
      <c r="C23" s="433"/>
    </row>
    <row r="24" spans="1:3">
      <c r="A24" s="440" t="s">
        <v>293</v>
      </c>
      <c r="B24" s="432"/>
      <c r="C24" s="433"/>
    </row>
    <row r="25" spans="1:3" ht="16.5" thickBot="1">
      <c r="A25" s="440" t="s">
        <v>294</v>
      </c>
      <c r="B25" s="432"/>
      <c r="C25" s="442">
        <f>+C6-C22</f>
        <v>0.75505829999999996</v>
      </c>
    </row>
    <row r="26" spans="1:3">
      <c r="A26" s="443"/>
      <c r="B26" s="444"/>
      <c r="C26" s="438"/>
    </row>
    <row r="27" spans="1:3">
      <c r="A27" s="431"/>
      <c r="B27" s="432"/>
      <c r="C27" s="433"/>
    </row>
    <row r="28" spans="1:3">
      <c r="A28" s="431"/>
      <c r="B28" s="432"/>
      <c r="C28" s="433"/>
    </row>
    <row r="29" spans="1:3">
      <c r="A29" s="445" t="s">
        <v>295</v>
      </c>
      <c r="B29" s="446"/>
      <c r="C29" s="447"/>
    </row>
    <row r="30" spans="1:3">
      <c r="A30" s="445" t="s">
        <v>296</v>
      </c>
      <c r="B30" s="446"/>
      <c r="C30" s="447">
        <v>0</v>
      </c>
    </row>
    <row r="31" spans="1:3">
      <c r="A31" s="445" t="s">
        <v>297</v>
      </c>
      <c r="B31" s="446"/>
      <c r="C31" s="447">
        <v>0.21</v>
      </c>
    </row>
    <row r="32" spans="1:3">
      <c r="A32" s="448"/>
      <c r="B32" s="446"/>
      <c r="C32" s="449"/>
    </row>
    <row r="33" spans="1:3">
      <c r="A33" s="450" t="s">
        <v>298</v>
      </c>
      <c r="B33" s="451"/>
      <c r="C33" s="452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UG-19___
Exhibit _____ (MCP-4)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ABDD01B2B8F64E88467A833E03EAB1" ma:contentTypeVersion="16" ma:contentTypeDescription="" ma:contentTypeScope="" ma:versionID="e1fb7f68631d3fc81dc6177288928f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www.w3.org/XML/1998/namespace"/>
    <ds:schemaRef ds:uri="http://purl.org/dc/dcmitype/"/>
    <ds:schemaRef ds:uri="9f5829b0-3c83-407a-9888-15708671f8c2"/>
    <ds:schemaRef ds:uri="6a7949fb-eacc-49ff-8531-d4b1ca318f69"/>
  </ds:schemaRefs>
</ds:datastoreItem>
</file>

<file path=customXml/itemProps3.xml><?xml version="1.0" encoding="utf-8"?>
<ds:datastoreItem xmlns:ds="http://schemas.openxmlformats.org/officeDocument/2006/customXml" ds:itemID="{881F8C7F-C323-4A95-B0BC-D44BBA2B0B37}"/>
</file>

<file path=customXml/itemProps4.xml><?xml version="1.0" encoding="utf-8"?>
<ds:datastoreItem xmlns:ds="http://schemas.openxmlformats.org/officeDocument/2006/customXml" ds:itemID="{D4C92F67-AB4E-4A11-B059-8C10EC95F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Table of Content</vt:lpstr>
      <vt:lpstr>DMA Summary of Def. Accts.</vt:lpstr>
      <vt:lpstr>DMA Proposed Rate 594</vt:lpstr>
      <vt:lpstr>DMA Amount of Change</vt:lpstr>
      <vt:lpstr>Effects of DMA Avg. Bill</vt:lpstr>
      <vt:lpstr>Pipeline Workpapers---&gt;</vt:lpstr>
      <vt:lpstr>Ex-1</vt:lpstr>
      <vt:lpstr>Ex-2</vt:lpstr>
      <vt:lpstr>Ex-3</vt:lpstr>
      <vt:lpstr>Ex-4</vt:lpstr>
      <vt:lpstr>Earnings Test and 3% Test</vt:lpstr>
      <vt:lpstr>Workpapers---&gt;</vt:lpstr>
      <vt:lpstr>Balances at 12-31-2023</vt:lpstr>
      <vt:lpstr>Int calc thru 10-31-2024</vt:lpstr>
      <vt:lpstr>Amort Calc thru 10-31-2024</vt:lpstr>
      <vt:lpstr>EstimatedBalances</vt:lpstr>
      <vt:lpstr>Int during Amort</vt:lpstr>
      <vt:lpstr>Test Period Volumes</vt:lpstr>
      <vt:lpstr>Deferral RA 20477</vt:lpstr>
      <vt:lpstr>Amort 1862.20480</vt:lpstr>
      <vt:lpstr>Bills-Therms-Revs</vt:lpstr>
      <vt:lpstr> Conversion Factor</vt:lpstr>
      <vt:lpstr>'Balances at 12-31-2023'!BalancesJuly</vt:lpstr>
      <vt:lpstr>'Amort 1862.20480'!Print_Area</vt:lpstr>
      <vt:lpstr>'Bills-Therms-Revs'!Print_Area</vt:lpstr>
      <vt:lpstr>'Deferral RA 20477'!Print_Area</vt:lpstr>
      <vt:lpstr>'DMA Amount of Change'!Print_Area</vt:lpstr>
      <vt:lpstr>'DMA Proposed Rate 594'!Print_Area</vt:lpstr>
      <vt:lpstr>'Earnings Test and 3% Test'!Print_Area</vt:lpstr>
      <vt:lpstr>'Effects of DMA Avg. Bill'!Print_Area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2024-09-13T16:07:59Z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0x0101006E56B4D1795A2E4DB2F0B01679ED314A0008ABDD01B2B8F64E88467A833E03EAB1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2024-07-03T17:50:51Z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e4af4d7a-2cf8-4bc5-921b-6507fe4edf10</vt:lpwstr>
  </property>
  <property fmtid="{D5CDD505-2E9C-101B-9397-08002B2CF9AE}" pid="9" name="MSIP_Label_1da8032d-c4fe-48b8-9054-92634c9ea061_ContentBits">
    <vt:lpwstr>0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