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15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Low Income\2024\Eff. 10-01-24\DRAFT Filing\"/>
    </mc:Choice>
  </mc:AlternateContent>
  <bookViews>
    <workbookView xWindow="-60" yWindow="15" windowWidth="14970" windowHeight="14430" tabRatio="945"/>
  </bookViews>
  <sheets>
    <sheet name="Rates" sheetId="7" r:id="rId1"/>
    <sheet name="Rate Impacts--&gt;" sheetId="16" r:id="rId2"/>
    <sheet name="Rate Impacts Sch 129" sheetId="94" r:id="rId3"/>
    <sheet name="Typical Res Bill Sch 129" sheetId="95" r:id="rId4"/>
    <sheet name="Avg. Per Therm Combined" sheetId="96" r:id="rId5"/>
    <sheet name="Sch. 129" sheetId="97" r:id="rId6"/>
    <sheet name="Work Papers--&gt;" sheetId="25" r:id="rId7"/>
    <sheet name="Sch 85 87 Rate Calc" sheetId="9" r:id="rId8"/>
    <sheet name="Margin Revenue" sheetId="8" r:id="rId9"/>
    <sheet name="Forecast Therms" sheetId="90" r:id="rId10"/>
    <sheet name="Revenue Requirement" sheetId="93" r:id="rId11"/>
    <sheet name="2022 GRC Rates--&gt;" sheetId="42" r:id="rId12"/>
    <sheet name="Exh JDT-5 (JDT-RES_RD)" sheetId="74" r:id="rId13"/>
    <sheet name="Exh JDT-5 (JDT-C&amp;I-RD)" sheetId="75" r:id="rId14"/>
    <sheet name="Exh JDT-5 (JDT-INTRPL-RD)" sheetId="76" r:id="rId15"/>
  </sheets>
  <definedNames>
    <definedName name="_xlnm.Print_Area" localSheetId="4">'Avg. Per Therm Combined'!$A$1:$L$38</definedName>
    <definedName name="_xlnm.Print_Area" localSheetId="9">'Forecast Therms'!$A$1:$N$25</definedName>
    <definedName name="_xlnm.Print_Area" localSheetId="8">'Margin Revenue'!$A$1:$H$32</definedName>
    <definedName name="_xlnm.Print_Area" localSheetId="2">'Rate Impacts Sch 129'!$A$1:$Y$39</definedName>
    <definedName name="_xlnm.Print_Area" localSheetId="0">Rates!$A$1:$J$50</definedName>
    <definedName name="_xlnm.Print_Area" localSheetId="10">'Revenue Requirement'!$A$1:$I$100</definedName>
    <definedName name="_xlnm.Print_Area" localSheetId="7">'Sch 85 87 Rate Calc'!$A$1:$M$53</definedName>
    <definedName name="_xlnm.Print_Area" localSheetId="5">'Sch. 129'!$A$1:$I$59</definedName>
    <definedName name="_xlnm.Print_Area" localSheetId="3">'Typical Res Bill Sch 129'!$B$1:$H$44</definedName>
    <definedName name="_xlnm.Print_Titles" localSheetId="13">'Exh JDT-5 (JDT-C&amp;I-RD)'!$1:$8</definedName>
    <definedName name="_xlnm.Print_Titles" localSheetId="14">'Exh JDT-5 (JDT-INTRPL-RD)'!$1:$8</definedName>
  </definedNames>
  <calcPr calcId="162913"/>
</workbook>
</file>

<file path=xl/calcChain.xml><?xml version="1.0" encoding="utf-8"?>
<calcChain xmlns="http://schemas.openxmlformats.org/spreadsheetml/2006/main">
  <c r="A4" i="90" l="1"/>
  <c r="D59" i="97" l="1"/>
  <c r="D8" i="97"/>
  <c r="G56" i="97"/>
  <c r="F56" i="97"/>
  <c r="H56" i="97"/>
  <c r="G55" i="97"/>
  <c r="F55" i="97"/>
  <c r="H55" i="97"/>
  <c r="I55" i="97" s="1"/>
  <c r="J55" i="97" s="1"/>
  <c r="F54" i="97"/>
  <c r="H54" i="97"/>
  <c r="J53" i="97"/>
  <c r="G53" i="97"/>
  <c r="F53" i="97"/>
  <c r="H53" i="97"/>
  <c r="I53" i="97" s="1"/>
  <c r="G52" i="97"/>
  <c r="F52" i="97"/>
  <c r="G51" i="97"/>
  <c r="F51" i="97"/>
  <c r="H51" i="97"/>
  <c r="F47" i="97"/>
  <c r="H47" i="97"/>
  <c r="F46" i="97"/>
  <c r="F45" i="97"/>
  <c r="H45" i="97"/>
  <c r="F44" i="97"/>
  <c r="D48" i="97"/>
  <c r="F43" i="97"/>
  <c r="H43" i="97"/>
  <c r="F42" i="97"/>
  <c r="F38" i="97"/>
  <c r="H37" i="97"/>
  <c r="I37" i="97" s="1"/>
  <c r="J37" i="97" s="1"/>
  <c r="F37" i="97"/>
  <c r="G37" i="97"/>
  <c r="F36" i="97"/>
  <c r="H32" i="97"/>
  <c r="F32" i="97"/>
  <c r="G32" i="97"/>
  <c r="I31" i="97"/>
  <c r="J31" i="97" s="1"/>
  <c r="H31" i="97"/>
  <c r="G31" i="97"/>
  <c r="F31" i="97"/>
  <c r="H30" i="97"/>
  <c r="F30" i="97"/>
  <c r="G30" i="97"/>
  <c r="H29" i="97"/>
  <c r="I29" i="97" s="1"/>
  <c r="G29" i="97"/>
  <c r="J29" i="97" s="1"/>
  <c r="F29" i="97"/>
  <c r="H28" i="97"/>
  <c r="F28" i="97"/>
  <c r="G28" i="97"/>
  <c r="I27" i="97"/>
  <c r="H27" i="97"/>
  <c r="H33" i="97" s="1"/>
  <c r="G27" i="97"/>
  <c r="F27" i="97"/>
  <c r="D33" i="97"/>
  <c r="H24" i="97"/>
  <c r="F24" i="97"/>
  <c r="G24" i="97"/>
  <c r="H23" i="97"/>
  <c r="I23" i="97" s="1"/>
  <c r="W16" i="94" s="1"/>
  <c r="G23" i="97"/>
  <c r="F23" i="97"/>
  <c r="G20" i="97"/>
  <c r="F20" i="97"/>
  <c r="H20" i="97" s="1"/>
  <c r="I20" i="97" s="1"/>
  <c r="H19" i="97"/>
  <c r="I19" i="97" s="1"/>
  <c r="G19" i="97"/>
  <c r="F19" i="97"/>
  <c r="H18" i="97"/>
  <c r="G18" i="97"/>
  <c r="F18" i="97"/>
  <c r="D21" i="97"/>
  <c r="H15" i="97"/>
  <c r="I15" i="97" s="1"/>
  <c r="W19" i="94" s="1"/>
  <c r="G15" i="97"/>
  <c r="J15" i="97" s="1"/>
  <c r="F15" i="97"/>
  <c r="H14" i="97"/>
  <c r="I14" i="97" s="1"/>
  <c r="W14" i="94" s="1"/>
  <c r="G14" i="97"/>
  <c r="F14" i="97"/>
  <c r="H12" i="97"/>
  <c r="I12" i="97" s="1"/>
  <c r="G12" i="97"/>
  <c r="J12" i="97" s="1"/>
  <c r="F12" i="97"/>
  <c r="H11" i="97"/>
  <c r="G11" i="97"/>
  <c r="F11" i="97"/>
  <c r="I9" i="97"/>
  <c r="H9" i="97"/>
  <c r="G9" i="97"/>
  <c r="J9" i="97" s="1"/>
  <c r="F9" i="97"/>
  <c r="D21" i="96"/>
  <c r="H21" i="96" s="1"/>
  <c r="D16" i="96"/>
  <c r="H16" i="96" s="1"/>
  <c r="H32" i="96" s="1"/>
  <c r="A16" i="96"/>
  <c r="A17" i="96" s="1"/>
  <c r="A18" i="96" s="1"/>
  <c r="A19" i="96" s="1"/>
  <c r="A20" i="96" s="1"/>
  <c r="A21" i="96" s="1"/>
  <c r="A22" i="96" s="1"/>
  <c r="A23" i="96" s="1"/>
  <c r="A24" i="96" s="1"/>
  <c r="A25" i="96" s="1"/>
  <c r="A28" i="96" s="1"/>
  <c r="A29" i="96" s="1"/>
  <c r="A30" i="96" s="1"/>
  <c r="A31" i="96" s="1"/>
  <c r="A32" i="96" s="1"/>
  <c r="A33" i="96" s="1"/>
  <c r="A34" i="96" s="1"/>
  <c r="A35" i="96" s="1"/>
  <c r="A36" i="96" s="1"/>
  <c r="D14" i="96"/>
  <c r="H14" i="96" s="1"/>
  <c r="H30" i="96" s="1"/>
  <c r="H13" i="96"/>
  <c r="H29" i="96" s="1"/>
  <c r="D13" i="96"/>
  <c r="A12" i="96"/>
  <c r="A13" i="96" s="1"/>
  <c r="A14" i="96" s="1"/>
  <c r="A15" i="96" s="1"/>
  <c r="H11" i="96"/>
  <c r="I9" i="96"/>
  <c r="H9" i="96"/>
  <c r="E9" i="96"/>
  <c r="A4" i="96"/>
  <c r="A2" i="96"/>
  <c r="D35" i="95"/>
  <c r="E35" i="95" s="1"/>
  <c r="G33" i="95"/>
  <c r="G31" i="95"/>
  <c r="H31" i="95" s="1"/>
  <c r="G28" i="95"/>
  <c r="G27" i="95"/>
  <c r="G26" i="95"/>
  <c r="G25" i="95"/>
  <c r="G24" i="95"/>
  <c r="G23" i="95"/>
  <c r="G22" i="95"/>
  <c r="G21" i="95"/>
  <c r="G20" i="95"/>
  <c r="D20" i="95"/>
  <c r="G19" i="95"/>
  <c r="G15" i="95"/>
  <c r="H15" i="95" s="1"/>
  <c r="H12" i="95"/>
  <c r="H13" i="95" s="1"/>
  <c r="G12" i="95"/>
  <c r="G13" i="95" s="1"/>
  <c r="D13" i="95"/>
  <c r="B4" i="95"/>
  <c r="B2" i="95"/>
  <c r="W35" i="94"/>
  <c r="U35" i="94"/>
  <c r="Q35" i="94"/>
  <c r="P35" i="94"/>
  <c r="O35" i="94"/>
  <c r="N35" i="94"/>
  <c r="M35" i="94"/>
  <c r="L35" i="94"/>
  <c r="J35" i="94"/>
  <c r="I35" i="94"/>
  <c r="G35" i="94"/>
  <c r="E35" i="94"/>
  <c r="F35" i="94" s="1"/>
  <c r="D35" i="94"/>
  <c r="U34" i="94"/>
  <c r="Q34" i="94"/>
  <c r="O34" i="94"/>
  <c r="N34" i="94"/>
  <c r="L34" i="94"/>
  <c r="K34" i="94"/>
  <c r="J34" i="94"/>
  <c r="I34" i="94"/>
  <c r="E34" i="94"/>
  <c r="U33" i="94"/>
  <c r="L33" i="94"/>
  <c r="K33" i="94"/>
  <c r="D33" i="94"/>
  <c r="P32" i="94"/>
  <c r="L32" i="94"/>
  <c r="K32" i="94"/>
  <c r="J32" i="94"/>
  <c r="U31" i="94"/>
  <c r="T31" i="94"/>
  <c r="O31" i="94"/>
  <c r="L31" i="94"/>
  <c r="J31" i="94"/>
  <c r="I31" i="94"/>
  <c r="U30" i="94"/>
  <c r="T30" i="94"/>
  <c r="S30" i="94"/>
  <c r="J30" i="94"/>
  <c r="G30" i="94"/>
  <c r="S29" i="94"/>
  <c r="R29" i="94"/>
  <c r="I29" i="94"/>
  <c r="M28" i="94"/>
  <c r="L28" i="94"/>
  <c r="K28" i="94"/>
  <c r="J28" i="94"/>
  <c r="Q25" i="94"/>
  <c r="T35" i="94"/>
  <c r="S35" i="94"/>
  <c r="R35" i="94"/>
  <c r="K35" i="94"/>
  <c r="D24" i="96"/>
  <c r="F24" i="94"/>
  <c r="H24" i="94" s="1"/>
  <c r="T34" i="94"/>
  <c r="S34" i="94"/>
  <c r="R34" i="94"/>
  <c r="P34" i="94"/>
  <c r="F23" i="94"/>
  <c r="H23" i="94" s="1"/>
  <c r="D22" i="96"/>
  <c r="H22" i="96" s="1"/>
  <c r="F22" i="94"/>
  <c r="H22" i="94" s="1"/>
  <c r="N32" i="94"/>
  <c r="F21" i="94"/>
  <c r="H21" i="94" s="1"/>
  <c r="N31" i="94"/>
  <c r="D20" i="96"/>
  <c r="H20" i="96" s="1"/>
  <c r="F20" i="94"/>
  <c r="H20" i="94" s="1"/>
  <c r="S25" i="94"/>
  <c r="R25" i="94"/>
  <c r="M19" i="94"/>
  <c r="D19" i="96"/>
  <c r="H19" i="96" s="1"/>
  <c r="F19" i="94"/>
  <c r="H19" i="94" s="1"/>
  <c r="V19" i="94" s="1"/>
  <c r="W18" i="94"/>
  <c r="M18" i="94"/>
  <c r="K29" i="94"/>
  <c r="D18" i="96"/>
  <c r="H18" i="96" s="1"/>
  <c r="F18" i="94"/>
  <c r="H18" i="94" s="1"/>
  <c r="V18" i="94" s="1"/>
  <c r="T33" i="94"/>
  <c r="S33" i="94"/>
  <c r="R33" i="94"/>
  <c r="Q33" i="94"/>
  <c r="P33" i="94"/>
  <c r="O33" i="94"/>
  <c r="N33" i="94"/>
  <c r="J33" i="94"/>
  <c r="I33" i="94"/>
  <c r="D17" i="96"/>
  <c r="E33" i="94"/>
  <c r="F33" i="94" s="1"/>
  <c r="U32" i="94"/>
  <c r="T32" i="94"/>
  <c r="S32" i="94"/>
  <c r="Q32" i="94"/>
  <c r="O32" i="94"/>
  <c r="M16" i="94"/>
  <c r="I32" i="94"/>
  <c r="H16" i="94"/>
  <c r="G32" i="94"/>
  <c r="F16" i="94"/>
  <c r="E32" i="94"/>
  <c r="D32" i="94"/>
  <c r="S31" i="94"/>
  <c r="R31" i="94"/>
  <c r="Q31" i="94"/>
  <c r="P31" i="94"/>
  <c r="K31" i="94"/>
  <c r="E31" i="94"/>
  <c r="D31" i="94"/>
  <c r="Q30" i="94"/>
  <c r="P30" i="94"/>
  <c r="O30" i="94"/>
  <c r="N30" i="94"/>
  <c r="M14" i="94"/>
  <c r="M30" i="94" s="1"/>
  <c r="L30" i="94"/>
  <c r="K30" i="94"/>
  <c r="I30" i="94"/>
  <c r="D30" i="94"/>
  <c r="U29" i="94"/>
  <c r="T29" i="94"/>
  <c r="Q29" i="94"/>
  <c r="P29" i="94"/>
  <c r="O29" i="94"/>
  <c r="N29" i="94"/>
  <c r="M13" i="94"/>
  <c r="M29" i="94" s="1"/>
  <c r="L29" i="94"/>
  <c r="J29" i="94"/>
  <c r="D29" i="94"/>
  <c r="D12" i="96"/>
  <c r="F12" i="94"/>
  <c r="H12" i="94" s="1"/>
  <c r="V12" i="94" s="1"/>
  <c r="A12" i="94"/>
  <c r="A13" i="94" s="1"/>
  <c r="A14" i="94" s="1"/>
  <c r="A15" i="94" s="1"/>
  <c r="A16" i="94" s="1"/>
  <c r="A17" i="94" s="1"/>
  <c r="A18" i="94" s="1"/>
  <c r="A19" i="94" s="1"/>
  <c r="A20" i="94" s="1"/>
  <c r="A21" i="94" s="1"/>
  <c r="A22" i="94" s="1"/>
  <c r="A23" i="94" s="1"/>
  <c r="A24" i="94" s="1"/>
  <c r="A25" i="94" s="1"/>
  <c r="A28" i="94" s="1"/>
  <c r="A29" i="94" s="1"/>
  <c r="A30" i="94" s="1"/>
  <c r="A31" i="94" s="1"/>
  <c r="A32" i="94" s="1"/>
  <c r="A33" i="94" s="1"/>
  <c r="A34" i="94" s="1"/>
  <c r="A35" i="94" s="1"/>
  <c r="A36" i="94" s="1"/>
  <c r="W11" i="94"/>
  <c r="U25" i="94"/>
  <c r="T25" i="94"/>
  <c r="S28" i="94"/>
  <c r="S36" i="94" s="1"/>
  <c r="R28" i="94"/>
  <c r="Q28" i="94"/>
  <c r="P28" i="94"/>
  <c r="P36" i="94" s="1"/>
  <c r="M11" i="94"/>
  <c r="K25" i="94"/>
  <c r="J25" i="94"/>
  <c r="I28" i="94"/>
  <c r="D11" i="96"/>
  <c r="E25" i="94"/>
  <c r="D28" i="94"/>
  <c r="E7" i="94"/>
  <c r="X6" i="94"/>
  <c r="W30" i="94" l="1"/>
  <c r="Q36" i="94"/>
  <c r="D33" i="96"/>
  <c r="H17" i="96"/>
  <c r="H33" i="96" s="1"/>
  <c r="E19" i="96"/>
  <c r="F19" i="96" s="1"/>
  <c r="X19" i="94"/>
  <c r="I19" i="96" s="1"/>
  <c r="J23" i="97"/>
  <c r="I36" i="94"/>
  <c r="E18" i="96"/>
  <c r="X18" i="94"/>
  <c r="I18" i="96" s="1"/>
  <c r="Y16" i="94"/>
  <c r="H34" i="94"/>
  <c r="H35" i="94"/>
  <c r="V24" i="94"/>
  <c r="X12" i="94"/>
  <c r="I12" i="96" s="1"/>
  <c r="Y12" i="94"/>
  <c r="E12" i="96"/>
  <c r="F12" i="96" s="1"/>
  <c r="D35" i="96"/>
  <c r="H24" i="96"/>
  <c r="H35" i="96" s="1"/>
  <c r="H12" i="96"/>
  <c r="D25" i="96"/>
  <c r="D28" i="96"/>
  <c r="O25" i="94"/>
  <c r="O28" i="94"/>
  <c r="O36" i="94" s="1"/>
  <c r="H32" i="94"/>
  <c r="V16" i="94"/>
  <c r="G29" i="94"/>
  <c r="D29" i="95"/>
  <c r="D30" i="96"/>
  <c r="G33" i="97"/>
  <c r="G54" i="97"/>
  <c r="L25" i="94"/>
  <c r="E29" i="94"/>
  <c r="F29" i="94" s="1"/>
  <c r="F13" i="94"/>
  <c r="H13" i="94" s="1"/>
  <c r="F17" i="94"/>
  <c r="H17" i="94" s="1"/>
  <c r="D23" i="96"/>
  <c r="G34" i="94"/>
  <c r="G25" i="94"/>
  <c r="D34" i="94"/>
  <c r="D36" i="94" s="1"/>
  <c r="G18" i="95"/>
  <c r="G29" i="95" s="1"/>
  <c r="E31" i="95"/>
  <c r="J18" i="97"/>
  <c r="G21" i="97"/>
  <c r="I30" i="97"/>
  <c r="J30" i="97" s="1"/>
  <c r="G57" i="97"/>
  <c r="H28" i="96"/>
  <c r="H21" i="97"/>
  <c r="I11" i="97"/>
  <c r="W13" i="94" s="1"/>
  <c r="G33" i="94"/>
  <c r="E28" i="94"/>
  <c r="I25" i="94"/>
  <c r="U28" i="94"/>
  <c r="U36" i="94" s="1"/>
  <c r="I18" i="97"/>
  <c r="I21" i="97" s="1"/>
  <c r="W15" i="94" s="1"/>
  <c r="J27" i="97"/>
  <c r="G42" i="97"/>
  <c r="H42" i="97"/>
  <c r="G46" i="97"/>
  <c r="H46" i="97"/>
  <c r="H52" i="97"/>
  <c r="I52" i="97" s="1"/>
  <c r="F15" i="94"/>
  <c r="H15" i="94" s="1"/>
  <c r="F14" i="94"/>
  <c r="H14" i="94" s="1"/>
  <c r="F32" i="94"/>
  <c r="G28" i="94"/>
  <c r="G36" i="94" s="1"/>
  <c r="D29" i="96"/>
  <c r="J14" i="97"/>
  <c r="I28" i="97"/>
  <c r="I33" i="97" s="1"/>
  <c r="D39" i="97"/>
  <c r="H36" i="97"/>
  <c r="G36" i="97"/>
  <c r="K36" i="94"/>
  <c r="G44" i="97"/>
  <c r="H44" i="97"/>
  <c r="F11" i="94"/>
  <c r="H11" i="94" s="1"/>
  <c r="T28" i="94"/>
  <c r="T36" i="94" s="1"/>
  <c r="R32" i="94"/>
  <c r="W28" i="94"/>
  <c r="G34" i="95"/>
  <c r="G35" i="95" s="1"/>
  <c r="H35" i="95" s="1"/>
  <c r="J52" i="97"/>
  <c r="I56" i="97"/>
  <c r="N25" i="94"/>
  <c r="N28" i="94"/>
  <c r="N36" i="94" s="1"/>
  <c r="P25" i="94"/>
  <c r="E12" i="95"/>
  <c r="E13" i="95" s="1"/>
  <c r="J19" i="97"/>
  <c r="J11" i="97"/>
  <c r="J24" i="97"/>
  <c r="I24" i="97"/>
  <c r="W21" i="94" s="1"/>
  <c r="W32" i="94" s="1"/>
  <c r="M21" i="94"/>
  <c r="V21" i="94" s="1"/>
  <c r="J56" i="97"/>
  <c r="J36" i="94"/>
  <c r="F31" i="94"/>
  <c r="L36" i="94"/>
  <c r="D32" i="96"/>
  <c r="D25" i="94"/>
  <c r="F25" i="94" s="1"/>
  <c r="E15" i="95"/>
  <c r="Y19" i="94"/>
  <c r="J20" i="97"/>
  <c r="I32" i="97"/>
  <c r="J32" i="97" s="1"/>
  <c r="I54" i="97"/>
  <c r="E30" i="94"/>
  <c r="F30" i="94" s="1"/>
  <c r="R30" i="94"/>
  <c r="R36" i="94" s="1"/>
  <c r="G31" i="94"/>
  <c r="D15" i="96"/>
  <c r="H38" i="97"/>
  <c r="I38" i="97" s="1"/>
  <c r="G38" i="97"/>
  <c r="I51" i="97"/>
  <c r="H57" i="97"/>
  <c r="D57" i="97"/>
  <c r="G43" i="97"/>
  <c r="G45" i="97"/>
  <c r="G47" i="97"/>
  <c r="X21" i="94" l="1"/>
  <c r="I21" i="96" s="1"/>
  <c r="E21" i="96"/>
  <c r="F21" i="96" s="1"/>
  <c r="W17" i="94"/>
  <c r="Y32" i="94"/>
  <c r="J28" i="97"/>
  <c r="I57" i="97"/>
  <c r="W23" i="94" s="1"/>
  <c r="J51" i="97"/>
  <c r="H28" i="94"/>
  <c r="V11" i="94"/>
  <c r="H25" i="94"/>
  <c r="G36" i="95"/>
  <c r="H29" i="95"/>
  <c r="H36" i="95" s="1"/>
  <c r="H38" i="95" s="1"/>
  <c r="G42" i="95"/>
  <c r="D42" i="95"/>
  <c r="E29" i="95"/>
  <c r="E36" i="95" s="1"/>
  <c r="E38" i="95" s="1"/>
  <c r="D36" i="95"/>
  <c r="I47" i="97"/>
  <c r="J47" i="97"/>
  <c r="G48" i="97"/>
  <c r="M32" i="94"/>
  <c r="J38" i="97"/>
  <c r="I44" i="97"/>
  <c r="V14" i="94"/>
  <c r="H30" i="94"/>
  <c r="E36" i="94"/>
  <c r="F36" i="94" s="1"/>
  <c r="F28" i="94"/>
  <c r="J12" i="96"/>
  <c r="L12" i="96"/>
  <c r="N12" i="96" s="1"/>
  <c r="J44" i="97"/>
  <c r="H31" i="94"/>
  <c r="X16" i="94"/>
  <c r="E16" i="96"/>
  <c r="V32" i="94"/>
  <c r="V35" i="94"/>
  <c r="Y35" i="94" s="1"/>
  <c r="Y24" i="94"/>
  <c r="X24" i="94"/>
  <c r="E24" i="96"/>
  <c r="M17" i="94"/>
  <c r="J33" i="97"/>
  <c r="D31" i="96"/>
  <c r="H15" i="96"/>
  <c r="H31" i="96" s="1"/>
  <c r="W29" i="94"/>
  <c r="Y13" i="94"/>
  <c r="Y18" i="94" s="1"/>
  <c r="F34" i="94"/>
  <c r="G39" i="97"/>
  <c r="I46" i="97"/>
  <c r="H23" i="96"/>
  <c r="H34" i="96" s="1"/>
  <c r="D34" i="96"/>
  <c r="J19" i="96"/>
  <c r="L19" i="96"/>
  <c r="N19" i="96" s="1"/>
  <c r="H39" i="97"/>
  <c r="H59" i="97" s="1"/>
  <c r="I36" i="97"/>
  <c r="I39" i="97" s="1"/>
  <c r="W20" i="94" s="1"/>
  <c r="J46" i="97"/>
  <c r="H36" i="96"/>
  <c r="H33" i="94"/>
  <c r="H48" i="97"/>
  <c r="I42" i="97"/>
  <c r="I48" i="97" s="1"/>
  <c r="W22" i="94" s="1"/>
  <c r="M23" i="94"/>
  <c r="V13" i="94"/>
  <c r="H29" i="94"/>
  <c r="D36" i="96"/>
  <c r="J45" i="97"/>
  <c r="I45" i="97"/>
  <c r="I43" i="97"/>
  <c r="J43" i="97" s="1"/>
  <c r="Y21" i="94"/>
  <c r="J21" i="97"/>
  <c r="M15" i="94"/>
  <c r="J54" i="97"/>
  <c r="I16" i="96" l="1"/>
  <c r="X32" i="94"/>
  <c r="E11" i="96"/>
  <c r="X11" i="94"/>
  <c r="V28" i="94"/>
  <c r="Y11" i="94"/>
  <c r="Y20" i="94"/>
  <c r="H36" i="94"/>
  <c r="Y29" i="94"/>
  <c r="M31" i="94"/>
  <c r="M36" i="94" s="1"/>
  <c r="M25" i="94"/>
  <c r="V15" i="94"/>
  <c r="J48" i="97"/>
  <c r="M22" i="94"/>
  <c r="V22" i="94" s="1"/>
  <c r="J42" i="97"/>
  <c r="W34" i="94"/>
  <c r="W31" i="94"/>
  <c r="M34" i="94"/>
  <c r="V23" i="94"/>
  <c r="M33" i="94"/>
  <c r="J57" i="97"/>
  <c r="F24" i="96"/>
  <c r="E35" i="96"/>
  <c r="F35" i="96" s="1"/>
  <c r="I59" i="97"/>
  <c r="Y17" i="94"/>
  <c r="W33" i="94"/>
  <c r="W25" i="94"/>
  <c r="X13" i="94"/>
  <c r="V29" i="94"/>
  <c r="E13" i="96"/>
  <c r="W36" i="94"/>
  <c r="I24" i="96"/>
  <c r="X35" i="94"/>
  <c r="V17" i="94"/>
  <c r="M20" i="94"/>
  <c r="V20" i="94" s="1"/>
  <c r="J39" i="97"/>
  <c r="G59" i="97"/>
  <c r="J59" i="97" s="1"/>
  <c r="H39" i="95"/>
  <c r="H40" i="95" s="1"/>
  <c r="L21" i="96"/>
  <c r="N21" i="96" s="1"/>
  <c r="J21" i="96"/>
  <c r="J36" i="97"/>
  <c r="E14" i="96"/>
  <c r="V30" i="94"/>
  <c r="Y30" i="94" s="1"/>
  <c r="X14" i="94"/>
  <c r="Y14" i="94"/>
  <c r="F16" i="96"/>
  <c r="E32" i="96"/>
  <c r="F32" i="96" s="1"/>
  <c r="H25" i="96"/>
  <c r="J24" i="96" l="1"/>
  <c r="L24" i="96"/>
  <c r="N24" i="96" s="1"/>
  <c r="I35" i="96"/>
  <c r="V34" i="94"/>
  <c r="E23" i="96"/>
  <c r="X23" i="94"/>
  <c r="Y31" i="94"/>
  <c r="I14" i="96"/>
  <c r="X30" i="94"/>
  <c r="Y34" i="94"/>
  <c r="V25" i="94"/>
  <c r="E29" i="96"/>
  <c r="F29" i="96" s="1"/>
  <c r="F13" i="96"/>
  <c r="F18" i="96" s="1"/>
  <c r="Y33" i="94"/>
  <c r="Y23" i="94"/>
  <c r="Y28" i="94"/>
  <c r="X28" i="94"/>
  <c r="I11" i="96"/>
  <c r="F14" i="96"/>
  <c r="E30" i="96"/>
  <c r="F30" i="96" s="1"/>
  <c r="I13" i="96"/>
  <c r="X29" i="94"/>
  <c r="Y25" i="94"/>
  <c r="E22" i="96"/>
  <c r="F22" i="96" s="1"/>
  <c r="X22" i="94"/>
  <c r="I22" i="96" s="1"/>
  <c r="F11" i="96"/>
  <c r="E28" i="96"/>
  <c r="E20" i="96"/>
  <c r="F20" i="96" s="1"/>
  <c r="X20" i="94"/>
  <c r="I20" i="96" s="1"/>
  <c r="Y22" i="94"/>
  <c r="X17" i="94"/>
  <c r="E17" i="96"/>
  <c r="V33" i="94"/>
  <c r="E15" i="96"/>
  <c r="E25" i="96" s="1"/>
  <c r="F25" i="96" s="1"/>
  <c r="X15" i="94"/>
  <c r="X25" i="94" s="1"/>
  <c r="V31" i="94"/>
  <c r="V36" i="94" s="1"/>
  <c r="Y36" i="94" s="1"/>
  <c r="Y15" i="94"/>
  <c r="J16" i="96"/>
  <c r="L16" i="96"/>
  <c r="N16" i="96" s="1"/>
  <c r="I32" i="96"/>
  <c r="E33" i="96" l="1"/>
  <c r="F33" i="96" s="1"/>
  <c r="F17" i="96"/>
  <c r="J20" i="96"/>
  <c r="L20" i="96"/>
  <c r="N20" i="96" s="1"/>
  <c r="L32" i="96"/>
  <c r="N32" i="96" s="1"/>
  <c r="J32" i="96"/>
  <c r="J11" i="96"/>
  <c r="L11" i="96"/>
  <c r="N11" i="96" s="1"/>
  <c r="I28" i="96"/>
  <c r="I30" i="96"/>
  <c r="L14" i="96"/>
  <c r="N14" i="96" s="1"/>
  <c r="J14" i="96"/>
  <c r="L13" i="96"/>
  <c r="N13" i="96" s="1"/>
  <c r="J13" i="96"/>
  <c r="J18" i="96" s="1"/>
  <c r="L18" i="96" s="1"/>
  <c r="N18" i="96" s="1"/>
  <c r="I29" i="96"/>
  <c r="X33" i="94"/>
  <c r="I17" i="96"/>
  <c r="F28" i="96"/>
  <c r="I23" i="96"/>
  <c r="I25" i="96" s="1"/>
  <c r="X34" i="94"/>
  <c r="X36" i="94" s="1"/>
  <c r="F23" i="96"/>
  <c r="E34" i="96"/>
  <c r="F34" i="96" s="1"/>
  <c r="J22" i="96"/>
  <c r="L22" i="96"/>
  <c r="N22" i="96" s="1"/>
  <c r="I15" i="96"/>
  <c r="X31" i="94"/>
  <c r="J35" i="96"/>
  <c r="L35" i="96"/>
  <c r="N35" i="96" s="1"/>
  <c r="F15" i="96"/>
  <c r="E31" i="96"/>
  <c r="F31" i="96" s="1"/>
  <c r="J25" i="96" l="1"/>
  <c r="L25" i="96"/>
  <c r="N25" i="96" s="1"/>
  <c r="L28" i="96"/>
  <c r="N28" i="96" s="1"/>
  <c r="J28" i="96"/>
  <c r="J17" i="96"/>
  <c r="L17" i="96"/>
  <c r="N17" i="96" s="1"/>
  <c r="I33" i="96"/>
  <c r="E36" i="96"/>
  <c r="F36" i="96" s="1"/>
  <c r="J15" i="96"/>
  <c r="L15" i="96"/>
  <c r="N15" i="96" s="1"/>
  <c r="I31" i="96"/>
  <c r="J29" i="96"/>
  <c r="L29" i="96"/>
  <c r="N29" i="96" s="1"/>
  <c r="J30" i="96"/>
  <c r="L30" i="96"/>
  <c r="N30" i="96" s="1"/>
  <c r="J23" i="96"/>
  <c r="I34" i="96"/>
  <c r="L23" i="96"/>
  <c r="N23" i="96" s="1"/>
  <c r="L31" i="96" l="1"/>
  <c r="N31" i="96" s="1"/>
  <c r="J31" i="96"/>
  <c r="J34" i="96"/>
  <c r="L34" i="96"/>
  <c r="N34" i="96" s="1"/>
  <c r="J33" i="96"/>
  <c r="L33" i="96"/>
  <c r="N33" i="96" s="1"/>
  <c r="I36" i="96"/>
  <c r="J36" i="96" l="1"/>
  <c r="L36" i="96"/>
  <c r="N36" i="96" s="1"/>
  <c r="H50" i="7" l="1"/>
  <c r="G56" i="93"/>
  <c r="F56" i="93"/>
  <c r="H54" i="93"/>
  <c r="H53" i="93"/>
  <c r="H52" i="93"/>
  <c r="H51" i="93"/>
  <c r="H50" i="93"/>
  <c r="H49" i="93"/>
  <c r="H48" i="93"/>
  <c r="H47" i="93"/>
  <c r="H56" i="93" s="1"/>
  <c r="H46" i="93"/>
  <c r="A41" i="93"/>
  <c r="A40" i="93"/>
  <c r="H39" i="93"/>
  <c r="A39" i="93"/>
  <c r="H38" i="93"/>
  <c r="A38" i="93"/>
  <c r="H37" i="93"/>
  <c r="A37" i="93"/>
  <c r="A36" i="93"/>
  <c r="A35" i="93"/>
  <c r="A34" i="93"/>
  <c r="A33" i="93"/>
  <c r="H32" i="93"/>
  <c r="A32" i="93"/>
  <c r="A31" i="93"/>
  <c r="A30" i="93"/>
  <c r="A29" i="93"/>
  <c r="G28" i="93"/>
  <c r="F28" i="93"/>
  <c r="A28" i="93"/>
  <c r="A27" i="93"/>
  <c r="A26" i="93"/>
  <c r="A25" i="93"/>
  <c r="A24" i="93"/>
  <c r="A23" i="93"/>
  <c r="A22" i="93"/>
  <c r="A21" i="93"/>
  <c r="A20" i="93"/>
  <c r="G19" i="93"/>
  <c r="F19" i="93"/>
  <c r="E19" i="93"/>
  <c r="D19" i="93"/>
  <c r="A19" i="93"/>
  <c r="H18" i="93"/>
  <c r="A18" i="93"/>
  <c r="H17" i="93"/>
  <c r="A17" i="93"/>
  <c r="H16" i="93"/>
  <c r="A16" i="93"/>
  <c r="A15" i="93"/>
  <c r="A14" i="93"/>
  <c r="A13" i="93"/>
  <c r="H12" i="93"/>
  <c r="A12" i="93"/>
  <c r="G11" i="93"/>
  <c r="F11" i="93"/>
  <c r="H11" i="93" s="1"/>
  <c r="A11" i="93"/>
  <c r="H10" i="93"/>
  <c r="H14" i="93" s="1"/>
  <c r="G10" i="93"/>
  <c r="F10" i="93"/>
  <c r="A10" i="93"/>
  <c r="A9" i="93"/>
  <c r="H41" i="93" l="1"/>
  <c r="F14" i="93"/>
  <c r="H21" i="93"/>
  <c r="G14" i="93"/>
  <c r="G41" i="93" l="1"/>
  <c r="G15" i="93"/>
  <c r="G21" i="93"/>
  <c r="G30" i="93" s="1"/>
  <c r="G34" i="93" s="1"/>
  <c r="G57" i="93" s="1"/>
  <c r="G13" i="93"/>
  <c r="F41" i="93"/>
  <c r="F15" i="93"/>
  <c r="F21" i="93"/>
  <c r="F30" i="93" s="1"/>
  <c r="F13" i="93"/>
  <c r="H30" i="93" l="1"/>
  <c r="H34" i="93" s="1"/>
  <c r="H57" i="93" s="1"/>
  <c r="F34" i="93"/>
  <c r="F57" i="93" s="1"/>
  <c r="H13" i="93"/>
  <c r="F48" i="9" l="1"/>
  <c r="D48" i="9"/>
  <c r="D18" i="9" l="1"/>
  <c r="G26" i="8" l="1"/>
  <c r="A27" i="8"/>
  <c r="A28" i="8"/>
  <c r="G41" i="9" l="1"/>
  <c r="G42" i="9"/>
  <c r="G43" i="9"/>
  <c r="G44" i="9"/>
  <c r="G45" i="9"/>
  <c r="G40" i="9"/>
  <c r="G25" i="8" l="1"/>
  <c r="G21" i="8"/>
  <c r="G20" i="8"/>
  <c r="G17" i="8"/>
  <c r="G15" i="8"/>
  <c r="G13" i="8"/>
  <c r="G10" i="8"/>
  <c r="N21" i="90"/>
  <c r="A2" i="90" l="1"/>
  <c r="M23" i="90"/>
  <c r="L23" i="90"/>
  <c r="K23" i="90"/>
  <c r="J23" i="90"/>
  <c r="I23" i="90"/>
  <c r="H23" i="90"/>
  <c r="G23" i="90"/>
  <c r="F23" i="90"/>
  <c r="E23" i="90"/>
  <c r="D23" i="90"/>
  <c r="C23" i="90"/>
  <c r="B23" i="90"/>
  <c r="N22" i="90"/>
  <c r="N20" i="90"/>
  <c r="N19" i="90"/>
  <c r="N18" i="90"/>
  <c r="N17" i="90"/>
  <c r="N16" i="90"/>
  <c r="N15" i="90"/>
  <c r="N14" i="90"/>
  <c r="N13" i="90"/>
  <c r="N12" i="90"/>
  <c r="N11" i="90"/>
  <c r="N10" i="90"/>
  <c r="N9" i="90"/>
  <c r="N8" i="90"/>
  <c r="C7" i="90"/>
  <c r="D7" i="90" s="1"/>
  <c r="E7" i="90" s="1"/>
  <c r="F7" i="90" s="1"/>
  <c r="G7" i="90" s="1"/>
  <c r="H7" i="90" s="1"/>
  <c r="I7" i="90" s="1"/>
  <c r="J7" i="90" s="1"/>
  <c r="K7" i="90" s="1"/>
  <c r="L7" i="90" s="1"/>
  <c r="M7" i="90" s="1"/>
  <c r="N23" i="90" l="1"/>
  <c r="E26" i="8" l="1"/>
  <c r="D26" i="8"/>
  <c r="E25" i="8"/>
  <c r="D25" i="8"/>
  <c r="E21" i="8"/>
  <c r="D21" i="8"/>
  <c r="E20" i="8"/>
  <c r="D20" i="8"/>
  <c r="E17" i="8"/>
  <c r="D17" i="8"/>
  <c r="E15" i="8"/>
  <c r="D15" i="8"/>
  <c r="E13" i="8"/>
  <c r="D13" i="8"/>
  <c r="E10" i="8"/>
  <c r="D10" i="8"/>
  <c r="D149" i="76"/>
  <c r="D148" i="76"/>
  <c r="D141" i="76"/>
  <c r="F132" i="76"/>
  <c r="D151" i="76"/>
  <c r="F131" i="76"/>
  <c r="F129" i="76"/>
  <c r="F128" i="76"/>
  <c r="F147" i="76" s="1"/>
  <c r="D147" i="76"/>
  <c r="L125" i="76"/>
  <c r="I125" i="76"/>
  <c r="I144" i="76" s="1"/>
  <c r="I123" i="76"/>
  <c r="F123" i="76"/>
  <c r="H115" i="76"/>
  <c r="F115" i="76"/>
  <c r="F111" i="76"/>
  <c r="F148" i="76" s="1"/>
  <c r="O110" i="76"/>
  <c r="F110" i="76"/>
  <c r="I107" i="76"/>
  <c r="K107" i="76" s="1"/>
  <c r="L107" i="76" s="1"/>
  <c r="H106" i="76"/>
  <c r="H105" i="76"/>
  <c r="F105" i="76"/>
  <c r="I104" i="76"/>
  <c r="F104" i="76"/>
  <c r="D88" i="76"/>
  <c r="I76" i="76"/>
  <c r="K76" i="76" s="1"/>
  <c r="L76" i="76" s="1"/>
  <c r="H75" i="76"/>
  <c r="F75" i="76"/>
  <c r="D67" i="76"/>
  <c r="F66" i="76"/>
  <c r="F65" i="76"/>
  <c r="H61" i="76"/>
  <c r="D61" i="76"/>
  <c r="H60" i="76"/>
  <c r="F60" i="76"/>
  <c r="F89" i="76" s="1"/>
  <c r="D89" i="76"/>
  <c r="H59" i="76"/>
  <c r="F59" i="76"/>
  <c r="D51" i="76"/>
  <c r="D44" i="76"/>
  <c r="F35" i="76"/>
  <c r="I30" i="76"/>
  <c r="K30" i="76" s="1"/>
  <c r="L30" i="76" s="1"/>
  <c r="F29" i="76"/>
  <c r="F28" i="76"/>
  <c r="H28" i="76"/>
  <c r="D43" i="76"/>
  <c r="F19" i="76"/>
  <c r="H13" i="76"/>
  <c r="F13" i="76"/>
  <c r="F44" i="76" s="1"/>
  <c r="I12" i="76"/>
  <c r="K12" i="76" s="1"/>
  <c r="L12" i="76" s="1"/>
  <c r="F12" i="76"/>
  <c r="D79" i="75"/>
  <c r="D74" i="75"/>
  <c r="D75" i="75" s="1"/>
  <c r="H64" i="75"/>
  <c r="F64" i="75"/>
  <c r="H63" i="75"/>
  <c r="D59" i="75"/>
  <c r="F59" i="75" s="1"/>
  <c r="H58" i="75"/>
  <c r="F58" i="75"/>
  <c r="F48" i="75"/>
  <c r="F47" i="75"/>
  <c r="H46" i="75"/>
  <c r="H43" i="75"/>
  <c r="F43" i="75"/>
  <c r="H42" i="75"/>
  <c r="F42" i="75"/>
  <c r="D42" i="75"/>
  <c r="I41" i="75"/>
  <c r="D31" i="75"/>
  <c r="F23" i="75"/>
  <c r="F24" i="75" s="1"/>
  <c r="F26" i="75" s="1"/>
  <c r="H22" i="75"/>
  <c r="F22" i="75"/>
  <c r="I14" i="75"/>
  <c r="I33" i="75" s="1"/>
  <c r="D14" i="75"/>
  <c r="F13" i="75"/>
  <c r="I12" i="75"/>
  <c r="F12" i="75"/>
  <c r="F31" i="75" s="1"/>
  <c r="F21" i="74"/>
  <c r="H20" i="74"/>
  <c r="F20" i="74"/>
  <c r="F22" i="74" s="1"/>
  <c r="F24" i="74" s="1"/>
  <c r="D37" i="74"/>
  <c r="I12" i="74"/>
  <c r="F12" i="74"/>
  <c r="F50" i="76" l="1"/>
  <c r="F34" i="75"/>
  <c r="F36" i="75" s="1"/>
  <c r="H60" i="75"/>
  <c r="I43" i="75"/>
  <c r="K43" i="75" s="1"/>
  <c r="L43" i="75" s="1"/>
  <c r="K33" i="75"/>
  <c r="L33" i="75" s="1"/>
  <c r="H28" i="74"/>
  <c r="I48" i="75"/>
  <c r="K48" i="75" s="1"/>
  <c r="L48" i="75" s="1"/>
  <c r="D80" i="75"/>
  <c r="F36" i="76"/>
  <c r="F38" i="76" s="1"/>
  <c r="D90" i="76"/>
  <c r="F61" i="76"/>
  <c r="F90" i="76" s="1"/>
  <c r="H59" i="75"/>
  <c r="I59" i="76"/>
  <c r="F91" i="76"/>
  <c r="I62" i="76"/>
  <c r="I75" i="76"/>
  <c r="K75" i="76" s="1"/>
  <c r="L75" i="76" s="1"/>
  <c r="F113" i="76"/>
  <c r="K168" i="76"/>
  <c r="L168" i="76" s="1"/>
  <c r="K12" i="74"/>
  <c r="I20" i="74"/>
  <c r="F32" i="75"/>
  <c r="F15" i="75"/>
  <c r="F41" i="75"/>
  <c r="K41" i="75" s="1"/>
  <c r="I42" i="75"/>
  <c r="K42" i="75" s="1"/>
  <c r="L42" i="75" s="1"/>
  <c r="I47" i="75"/>
  <c r="K47" i="75" s="1"/>
  <c r="L47" i="75" s="1"/>
  <c r="I58" i="75"/>
  <c r="F46" i="76"/>
  <c r="H19" i="76"/>
  <c r="H20" i="76"/>
  <c r="H29" i="76"/>
  <c r="F33" i="76"/>
  <c r="D49" i="76"/>
  <c r="D36" i="76"/>
  <c r="D50" i="76"/>
  <c r="F34" i="76"/>
  <c r="F74" i="76"/>
  <c r="I115" i="76"/>
  <c r="K115" i="76" s="1"/>
  <c r="L115" i="76" s="1"/>
  <c r="F13" i="74"/>
  <c r="F14" i="74" s="1"/>
  <c r="K14" i="75"/>
  <c r="L14" i="75" s="1"/>
  <c r="F80" i="75"/>
  <c r="F114" i="76"/>
  <c r="F151" i="76" s="1"/>
  <c r="F133" i="76"/>
  <c r="F152" i="76" s="1"/>
  <c r="D152" i="76"/>
  <c r="K12" i="75"/>
  <c r="F14" i="75"/>
  <c r="F33" i="75" s="1"/>
  <c r="D33" i="75"/>
  <c r="D49" i="75"/>
  <c r="D50" i="75" s="1"/>
  <c r="H48" i="75"/>
  <c r="I64" i="75"/>
  <c r="I13" i="76"/>
  <c r="F18" i="76"/>
  <c r="F49" i="76" s="1"/>
  <c r="D21" i="76"/>
  <c r="D14" i="76" s="1"/>
  <c r="F14" i="76" s="1"/>
  <c r="I20" i="76"/>
  <c r="F80" i="76"/>
  <c r="F95" i="76" s="1"/>
  <c r="H133" i="76"/>
  <c r="F28" i="74"/>
  <c r="F32" i="74" s="1"/>
  <c r="I22" i="75"/>
  <c r="I31" i="75" s="1"/>
  <c r="D32" i="75"/>
  <c r="D93" i="75" s="1"/>
  <c r="F75" i="75"/>
  <c r="D76" i="75"/>
  <c r="F60" i="75"/>
  <c r="F76" i="75" s="1"/>
  <c r="F65" i="75"/>
  <c r="F81" i="75" s="1"/>
  <c r="D81" i="75"/>
  <c r="D82" i="75" s="1"/>
  <c r="D66" i="75"/>
  <c r="D94" i="75" s="1"/>
  <c r="H14" i="76"/>
  <c r="I15" i="76"/>
  <c r="I19" i="76"/>
  <c r="F20" i="76"/>
  <c r="F51" i="76" s="1"/>
  <c r="F43" i="76"/>
  <c r="F67" i="76"/>
  <c r="I61" i="76"/>
  <c r="H74" i="76"/>
  <c r="D81" i="76"/>
  <c r="F79" i="76"/>
  <c r="F94" i="76" s="1"/>
  <c r="D95" i="76"/>
  <c r="I105" i="76"/>
  <c r="K105" i="76" s="1"/>
  <c r="L105" i="76" s="1"/>
  <c r="F112" i="76"/>
  <c r="D116" i="76"/>
  <c r="D106" i="76" s="1"/>
  <c r="F141" i="76"/>
  <c r="F150" i="76"/>
  <c r="D134" i="76"/>
  <c r="I60" i="76"/>
  <c r="D94" i="76"/>
  <c r="D96" i="76" s="1"/>
  <c r="D162" i="76" s="1"/>
  <c r="I141" i="76"/>
  <c r="K123" i="76"/>
  <c r="I28" i="76"/>
  <c r="K104" i="76"/>
  <c r="L104" i="76" s="1"/>
  <c r="H124" i="76"/>
  <c r="D142" i="76"/>
  <c r="F124" i="76"/>
  <c r="F142" i="76" s="1"/>
  <c r="F144" i="76"/>
  <c r="K144" i="76" s="1"/>
  <c r="L144" i="76" s="1"/>
  <c r="F130" i="76"/>
  <c r="D150" i="76"/>
  <c r="D153" i="76" s="1"/>
  <c r="D163" i="76" s="1"/>
  <c r="L41" i="75" l="1"/>
  <c r="F45" i="76"/>
  <c r="F21" i="76"/>
  <c r="K31" i="75"/>
  <c r="K28" i="76"/>
  <c r="I90" i="76"/>
  <c r="K90" i="76" s="1"/>
  <c r="L90" i="76" s="1"/>
  <c r="K61" i="76"/>
  <c r="L61" i="76" s="1"/>
  <c r="L123" i="76"/>
  <c r="I89" i="76"/>
  <c r="K89" i="76" s="1"/>
  <c r="L89" i="76" s="1"/>
  <c r="K60" i="76"/>
  <c r="L60" i="76" s="1"/>
  <c r="F67" i="75"/>
  <c r="F69" i="75" s="1"/>
  <c r="I74" i="75"/>
  <c r="K58" i="75"/>
  <c r="F93" i="75"/>
  <c r="F17" i="75"/>
  <c r="L12" i="74"/>
  <c r="K62" i="76"/>
  <c r="L62" i="76" s="1"/>
  <c r="I91" i="76"/>
  <c r="K91" i="76" s="1"/>
  <c r="L91" i="76" s="1"/>
  <c r="I28" i="74"/>
  <c r="I133" i="76"/>
  <c r="F149" i="76"/>
  <c r="F106" i="76"/>
  <c r="I106" i="76"/>
  <c r="F52" i="76"/>
  <c r="F54" i="76" s="1"/>
  <c r="H65" i="75"/>
  <c r="D167" i="76"/>
  <c r="D169" i="76" s="1"/>
  <c r="F81" i="76"/>
  <c r="F83" i="76" s="1"/>
  <c r="F88" i="76"/>
  <c r="F96" i="76" s="1"/>
  <c r="F98" i="76" s="1"/>
  <c r="D52" i="76"/>
  <c r="D161" i="76" s="1"/>
  <c r="D164" i="76" s="1"/>
  <c r="H35" i="76"/>
  <c r="K19" i="76"/>
  <c r="L19" i="76" s="1"/>
  <c r="K20" i="76"/>
  <c r="L20" i="76" s="1"/>
  <c r="I80" i="75"/>
  <c r="K64" i="75"/>
  <c r="I50" i="75"/>
  <c r="F50" i="75"/>
  <c r="F83" i="75" s="1"/>
  <c r="D83" i="75"/>
  <c r="I43" i="76"/>
  <c r="H34" i="76"/>
  <c r="F51" i="75"/>
  <c r="K20" i="74"/>
  <c r="I59" i="75"/>
  <c r="F162" i="76"/>
  <c r="F69" i="76"/>
  <c r="I46" i="76"/>
  <c r="K46" i="76" s="1"/>
  <c r="L46" i="76" s="1"/>
  <c r="K15" i="76"/>
  <c r="L15" i="76" s="1"/>
  <c r="K22" i="75"/>
  <c r="D45" i="76"/>
  <c r="I14" i="76"/>
  <c r="F37" i="74"/>
  <c r="F39" i="74" s="1"/>
  <c r="F16" i="74"/>
  <c r="I124" i="76"/>
  <c r="K141" i="76"/>
  <c r="F134" i="76"/>
  <c r="F136" i="76" s="1"/>
  <c r="I29" i="76"/>
  <c r="K29" i="76" s="1"/>
  <c r="L29" i="76" s="1"/>
  <c r="D95" i="75"/>
  <c r="I44" i="76"/>
  <c r="K44" i="76" s="1"/>
  <c r="L44" i="76" s="1"/>
  <c r="K13" i="76"/>
  <c r="L12" i="75"/>
  <c r="I74" i="76"/>
  <c r="I88" i="76"/>
  <c r="K59" i="76"/>
  <c r="F74" i="75"/>
  <c r="F84" i="75" s="1"/>
  <c r="F86" i="75" s="1"/>
  <c r="I60" i="75"/>
  <c r="H13" i="75"/>
  <c r="I34" i="76" l="1"/>
  <c r="H23" i="75"/>
  <c r="I13" i="75"/>
  <c r="L59" i="76"/>
  <c r="K43" i="76"/>
  <c r="I83" i="75"/>
  <c r="K83" i="75" s="1"/>
  <c r="L83" i="75" s="1"/>
  <c r="K50" i="75"/>
  <c r="I143" i="76"/>
  <c r="K143" i="76" s="1"/>
  <c r="L143" i="76" s="1"/>
  <c r="K106" i="76"/>
  <c r="L106" i="76" s="1"/>
  <c r="K28" i="74"/>
  <c r="I32" i="74"/>
  <c r="H13" i="74" s="1"/>
  <c r="L28" i="76"/>
  <c r="F161" i="76"/>
  <c r="F23" i="76"/>
  <c r="I76" i="75"/>
  <c r="K60" i="75"/>
  <c r="L13" i="76"/>
  <c r="K124" i="76"/>
  <c r="I142" i="76"/>
  <c r="L22" i="75"/>
  <c r="L20" i="74"/>
  <c r="K80" i="75"/>
  <c r="L80" i="75" s="1"/>
  <c r="L64" i="75"/>
  <c r="I51" i="75"/>
  <c r="F143" i="76"/>
  <c r="F153" i="76" s="1"/>
  <c r="F155" i="76" s="1"/>
  <c r="F167" i="76" s="1"/>
  <c r="F169" i="76" s="1"/>
  <c r="F174" i="76" s="1"/>
  <c r="F116" i="76"/>
  <c r="F95" i="75"/>
  <c r="F97" i="75" s="1"/>
  <c r="L141" i="76"/>
  <c r="K88" i="76"/>
  <c r="O65" i="76"/>
  <c r="K74" i="76"/>
  <c r="I45" i="76"/>
  <c r="K45" i="76" s="1"/>
  <c r="L45" i="76" s="1"/>
  <c r="K14" i="76"/>
  <c r="L14" i="76" s="1"/>
  <c r="K59" i="75"/>
  <c r="I75" i="75"/>
  <c r="F94" i="75"/>
  <c r="F53" i="75"/>
  <c r="I65" i="75"/>
  <c r="I67" i="75" s="1"/>
  <c r="I69" i="75" s="1"/>
  <c r="L31" i="75"/>
  <c r="I35" i="76"/>
  <c r="I152" i="76"/>
  <c r="K152" i="76" s="1"/>
  <c r="L152" i="76" s="1"/>
  <c r="K133" i="76"/>
  <c r="L133" i="76" s="1"/>
  <c r="L58" i="75"/>
  <c r="K74" i="75"/>
  <c r="I84" i="75" l="1"/>
  <c r="I86" i="75" s="1"/>
  <c r="O43" i="75" s="1"/>
  <c r="H65" i="76"/>
  <c r="H66" i="76"/>
  <c r="L43" i="76"/>
  <c r="K34" i="76"/>
  <c r="L34" i="76" s="1"/>
  <c r="I50" i="76"/>
  <c r="K50" i="76" s="1"/>
  <c r="L50" i="76" s="1"/>
  <c r="L74" i="75"/>
  <c r="H18" i="76"/>
  <c r="L88" i="76"/>
  <c r="H21" i="74"/>
  <c r="I21" i="74" s="1"/>
  <c r="I13" i="74"/>
  <c r="I32" i="75"/>
  <c r="K13" i="75"/>
  <c r="I15" i="75"/>
  <c r="I53" i="75"/>
  <c r="I94" i="75"/>
  <c r="K94" i="75" s="1"/>
  <c r="L94" i="75" s="1"/>
  <c r="K142" i="76"/>
  <c r="O109" i="76"/>
  <c r="K76" i="75"/>
  <c r="L76" i="75" s="1"/>
  <c r="L60" i="75"/>
  <c r="K32" i="74"/>
  <c r="L32" i="74" s="1"/>
  <c r="L28" i="74"/>
  <c r="L50" i="75"/>
  <c r="K51" i="75"/>
  <c r="I23" i="75"/>
  <c r="K35" i="76"/>
  <c r="L35" i="76" s="1"/>
  <c r="I51" i="76"/>
  <c r="K51" i="76" s="1"/>
  <c r="L51" i="76" s="1"/>
  <c r="L59" i="75"/>
  <c r="K75" i="75"/>
  <c r="L75" i="75" s="1"/>
  <c r="F118" i="76"/>
  <c r="F163" i="76"/>
  <c r="K65" i="75"/>
  <c r="I81" i="75"/>
  <c r="L74" i="76"/>
  <c r="L124" i="76"/>
  <c r="F164" i="76"/>
  <c r="F173" i="76" s="1"/>
  <c r="L65" i="75" l="1"/>
  <c r="K81" i="75"/>
  <c r="H112" i="76"/>
  <c r="H111" i="76"/>
  <c r="H110" i="76"/>
  <c r="H113" i="76"/>
  <c r="H114" i="76"/>
  <c r="L13" i="75"/>
  <c r="K15" i="75"/>
  <c r="K21" i="74"/>
  <c r="I22" i="74"/>
  <c r="I24" i="74" s="1"/>
  <c r="H33" i="76"/>
  <c r="I18" i="76"/>
  <c r="K67" i="75"/>
  <c r="L51" i="75"/>
  <c r="K53" i="75"/>
  <c r="L53" i="75" s="1"/>
  <c r="L142" i="76"/>
  <c r="K32" i="75"/>
  <c r="I34" i="75"/>
  <c r="I36" i="75" s="1"/>
  <c r="O14" i="75" s="1"/>
  <c r="H80" i="76"/>
  <c r="I66" i="76"/>
  <c r="K23" i="75"/>
  <c r="I24" i="75"/>
  <c r="I26" i="75" s="1"/>
  <c r="I93" i="75"/>
  <c r="I17" i="75"/>
  <c r="K13" i="74"/>
  <c r="I14" i="74"/>
  <c r="H79" i="76"/>
  <c r="I65" i="76"/>
  <c r="I79" i="76" l="1"/>
  <c r="I94" i="76"/>
  <c r="K65" i="76"/>
  <c r="I67" i="76"/>
  <c r="L13" i="74"/>
  <c r="K14" i="74"/>
  <c r="L23" i="75"/>
  <c r="K24" i="75"/>
  <c r="I80" i="76"/>
  <c r="K80" i="76" s="1"/>
  <c r="L80" i="76" s="1"/>
  <c r="L32" i="75"/>
  <c r="K34" i="75"/>
  <c r="K18" i="76"/>
  <c r="I21" i="76"/>
  <c r="L21" i="74"/>
  <c r="K22" i="74"/>
  <c r="H131" i="76"/>
  <c r="I113" i="76"/>
  <c r="K113" i="76" s="1"/>
  <c r="L113" i="76" s="1"/>
  <c r="I33" i="76"/>
  <c r="L15" i="75"/>
  <c r="K17" i="75"/>
  <c r="L17" i="75" s="1"/>
  <c r="H128" i="76"/>
  <c r="I110" i="76"/>
  <c r="K93" i="75"/>
  <c r="I95" i="75"/>
  <c r="H129" i="76"/>
  <c r="I111" i="76"/>
  <c r="K111" i="76" s="1"/>
  <c r="L111" i="76" s="1"/>
  <c r="L81" i="75"/>
  <c r="K84" i="75"/>
  <c r="I16" i="74"/>
  <c r="I37" i="74"/>
  <c r="I95" i="76"/>
  <c r="K95" i="76" s="1"/>
  <c r="L95" i="76" s="1"/>
  <c r="K66" i="76"/>
  <c r="L66" i="76" s="1"/>
  <c r="K69" i="75"/>
  <c r="L69" i="75" s="1"/>
  <c r="L67" i="75"/>
  <c r="H132" i="76"/>
  <c r="I114" i="76"/>
  <c r="K114" i="76" s="1"/>
  <c r="L114" i="76" s="1"/>
  <c r="H130" i="76"/>
  <c r="I112" i="76"/>
  <c r="K112" i="76" s="1"/>
  <c r="L112" i="76" s="1"/>
  <c r="L65" i="76" l="1"/>
  <c r="K67" i="76"/>
  <c r="I130" i="76"/>
  <c r="L34" i="75"/>
  <c r="K36" i="75"/>
  <c r="L36" i="75" s="1"/>
  <c r="K16" i="74"/>
  <c r="L16" i="74" s="1"/>
  <c r="L14" i="74"/>
  <c r="K94" i="76"/>
  <c r="I96" i="76"/>
  <c r="I98" i="76" s="1"/>
  <c r="O61" i="76" s="1"/>
  <c r="L18" i="76"/>
  <c r="K21" i="76"/>
  <c r="K37" i="74"/>
  <c r="L37" i="74" s="1"/>
  <c r="N14" i="74"/>
  <c r="K110" i="76"/>
  <c r="L110" i="76" s="1"/>
  <c r="I116" i="76"/>
  <c r="I131" i="76"/>
  <c r="I23" i="76"/>
  <c r="K79" i="76"/>
  <c r="I81" i="76"/>
  <c r="I83" i="76" s="1"/>
  <c r="I132" i="76"/>
  <c r="K86" i="75"/>
  <c r="L86" i="75" s="1"/>
  <c r="L84" i="75"/>
  <c r="L22" i="74"/>
  <c r="K24" i="74"/>
  <c r="L24" i="74" s="1"/>
  <c r="I129" i="76"/>
  <c r="K95" i="75"/>
  <c r="L95" i="75" s="1"/>
  <c r="L93" i="75"/>
  <c r="I128" i="76"/>
  <c r="K33" i="76"/>
  <c r="I36" i="76"/>
  <c r="I38" i="76" s="1"/>
  <c r="I49" i="76"/>
  <c r="L24" i="75"/>
  <c r="L26" i="75"/>
  <c r="I162" i="76"/>
  <c r="K162" i="76" s="1"/>
  <c r="L162" i="76" s="1"/>
  <c r="I69" i="76"/>
  <c r="L67" i="76" l="1"/>
  <c r="K69" i="76"/>
  <c r="L69" i="76" s="1"/>
  <c r="K132" i="76"/>
  <c r="L132" i="76" s="1"/>
  <c r="I151" i="76"/>
  <c r="K151" i="76" s="1"/>
  <c r="L151" i="76" s="1"/>
  <c r="I150" i="76"/>
  <c r="K150" i="76" s="1"/>
  <c r="L150" i="76" s="1"/>
  <c r="K131" i="76"/>
  <c r="L131" i="76" s="1"/>
  <c r="L94" i="76"/>
  <c r="K96" i="76"/>
  <c r="K49" i="76"/>
  <c r="I52" i="76"/>
  <c r="I54" i="76" s="1"/>
  <c r="L33" i="76"/>
  <c r="K36" i="76"/>
  <c r="K128" i="76"/>
  <c r="I147" i="76"/>
  <c r="I134" i="76"/>
  <c r="I136" i="76" s="1"/>
  <c r="I148" i="76"/>
  <c r="K148" i="76" s="1"/>
  <c r="L148" i="76" s="1"/>
  <c r="K129" i="76"/>
  <c r="L129" i="76" s="1"/>
  <c r="L79" i="76"/>
  <c r="K81" i="76"/>
  <c r="I161" i="76"/>
  <c r="I118" i="76"/>
  <c r="I163" i="76"/>
  <c r="K163" i="76" s="1"/>
  <c r="L163" i="76" s="1"/>
  <c r="K116" i="76"/>
  <c r="L21" i="76"/>
  <c r="K23" i="76"/>
  <c r="L23" i="76" s="1"/>
  <c r="I149" i="76"/>
  <c r="K149" i="76" s="1"/>
  <c r="L149" i="76" s="1"/>
  <c r="K130" i="76"/>
  <c r="L130" i="76" s="1"/>
  <c r="L36" i="76" l="1"/>
  <c r="K38" i="76"/>
  <c r="L38" i="76" s="1"/>
  <c r="K98" i="76"/>
  <c r="L98" i="76" s="1"/>
  <c r="L96" i="76"/>
  <c r="I164" i="76"/>
  <c r="K161" i="76"/>
  <c r="L128" i="76"/>
  <c r="K134" i="76"/>
  <c r="L116" i="76"/>
  <c r="K118" i="76"/>
  <c r="L118" i="76" s="1"/>
  <c r="L81" i="76"/>
  <c r="K83" i="76"/>
  <c r="L83" i="76" s="1"/>
  <c r="O14" i="76"/>
  <c r="K147" i="76"/>
  <c r="I153" i="76"/>
  <c r="I155" i="76" s="1"/>
  <c r="O106" i="76" s="1"/>
  <c r="L49" i="76"/>
  <c r="K52" i="76"/>
  <c r="K54" i="76" l="1"/>
  <c r="L54" i="76" s="1"/>
  <c r="L52" i="76"/>
  <c r="L161" i="76"/>
  <c r="K164" i="76"/>
  <c r="L164" i="76" s="1"/>
  <c r="I167" i="76"/>
  <c r="K136" i="76"/>
  <c r="L136" i="76" s="1"/>
  <c r="L134" i="76"/>
  <c r="L147" i="76"/>
  <c r="K153" i="76"/>
  <c r="L153" i="76" l="1"/>
  <c r="K155" i="76"/>
  <c r="L155" i="76" s="1"/>
  <c r="I169" i="76"/>
  <c r="I174" i="76" s="1"/>
  <c r="K167" i="76"/>
  <c r="K169" i="76" l="1"/>
  <c r="L167" i="76"/>
  <c r="K174" i="76" l="1"/>
  <c r="L169" i="76"/>
  <c r="E10" i="7" l="1"/>
  <c r="A4" i="9" l="1"/>
  <c r="A2" i="8" l="1"/>
  <c r="A2" i="9" l="1"/>
  <c r="D37" i="9" l="1"/>
  <c r="E11" i="9" l="1"/>
  <c r="F46" i="9"/>
  <c r="F37" i="9"/>
  <c r="F27" i="9"/>
  <c r="F18" i="9"/>
  <c r="G11" i="9" l="1"/>
  <c r="A12" i="8" l="1"/>
  <c r="A13" i="8" s="1"/>
  <c r="A15" i="8" l="1"/>
  <c r="A17" i="8" s="1"/>
  <c r="A19" i="8" s="1"/>
  <c r="A20" i="8" s="1"/>
  <c r="A21" i="8" s="1"/>
  <c r="A22" i="8" s="1"/>
  <c r="F6" i="8"/>
  <c r="F26" i="8"/>
  <c r="H26" i="8" s="1"/>
  <c r="F25" i="8"/>
  <c r="H25" i="8" s="1"/>
  <c r="F21" i="8"/>
  <c r="H21" i="8" s="1"/>
  <c r="F20" i="8"/>
  <c r="H20" i="8" s="1"/>
  <c r="F17" i="8"/>
  <c r="H17" i="8" s="1"/>
  <c r="F15" i="8"/>
  <c r="H15" i="8" s="1"/>
  <c r="F13" i="8"/>
  <c r="H13" i="8" s="1"/>
  <c r="F10" i="8"/>
  <c r="H10" i="8" s="1"/>
  <c r="A24" i="8" l="1"/>
  <c r="A25" i="8" s="1"/>
  <c r="A26" i="8" s="1"/>
  <c r="E22" i="7"/>
  <c r="E14" i="7"/>
  <c r="E12" i="7"/>
  <c r="G13" i="9" l="1"/>
  <c r="G15" i="9"/>
  <c r="D17" i="9"/>
  <c r="E12" i="9" s="1"/>
  <c r="F12" i="9" s="1"/>
  <c r="G21" i="9"/>
  <c r="G23" i="9"/>
  <c r="G25" i="9"/>
  <c r="D27" i="9"/>
  <c r="A29" i="9"/>
  <c r="A30" i="9" s="1"/>
  <c r="A31" i="9" s="1"/>
  <c r="A32" i="9" s="1"/>
  <c r="A33" i="9" s="1"/>
  <c r="A34" i="9" s="1"/>
  <c r="A35" i="9" s="1"/>
  <c r="A36" i="9" s="1"/>
  <c r="A37" i="9" s="1"/>
  <c r="A39" i="9" s="1"/>
  <c r="A40" i="9" s="1"/>
  <c r="A41" i="9" s="1"/>
  <c r="A42" i="9" s="1"/>
  <c r="A43" i="9" s="1"/>
  <c r="A44" i="9" s="1"/>
  <c r="A45" i="9" s="1"/>
  <c r="A46" i="9" s="1"/>
  <c r="G30" i="9"/>
  <c r="G31" i="9"/>
  <c r="G32" i="9"/>
  <c r="G33" i="9"/>
  <c r="G34" i="9"/>
  <c r="G35" i="9"/>
  <c r="D36" i="9"/>
  <c r="E30" i="9" s="1"/>
  <c r="G22" i="9"/>
  <c r="G14" i="9"/>
  <c r="G16" i="9"/>
  <c r="D46" i="9"/>
  <c r="E6" i="8"/>
  <c r="H6" i="8"/>
  <c r="D22" i="8"/>
  <c r="E22" i="8"/>
  <c r="D27" i="8"/>
  <c r="E27" i="8"/>
  <c r="F6" i="7"/>
  <c r="A33" i="7"/>
  <c r="A34" i="7" s="1"/>
  <c r="A35" i="7" s="1"/>
  <c r="A36" i="7" s="1"/>
  <c r="A37" i="7" s="1"/>
  <c r="A39" i="7" s="1"/>
  <c r="A40" i="7" s="1"/>
  <c r="A41" i="7" s="1"/>
  <c r="A42" i="7" s="1"/>
  <c r="A43" i="7" s="1"/>
  <c r="A44" i="7" s="1"/>
  <c r="A45" i="7" s="1"/>
  <c r="A46" i="7" s="1"/>
  <c r="A48" i="7" s="1"/>
  <c r="A50" i="7" s="1"/>
  <c r="E23" i="9" l="1"/>
  <c r="F23" i="9" s="1"/>
  <c r="H23" i="9" s="1"/>
  <c r="E40" i="9"/>
  <c r="F40" i="9" s="1"/>
  <c r="E40" i="7" s="1"/>
  <c r="F30" i="9"/>
  <c r="H30" i="9" s="1"/>
  <c r="E28" i="8"/>
  <c r="E31" i="9"/>
  <c r="F31" i="9" s="1"/>
  <c r="E35" i="7" s="1"/>
  <c r="D28" i="8"/>
  <c r="E24" i="9"/>
  <c r="F24" i="9" s="1"/>
  <c r="E22" i="9"/>
  <c r="F22" i="9" s="1"/>
  <c r="E26" i="9"/>
  <c r="F26" i="9" s="1"/>
  <c r="E21" i="9"/>
  <c r="E25" i="9"/>
  <c r="F25" i="9" s="1"/>
  <c r="E18" i="7"/>
  <c r="E33" i="9"/>
  <c r="F33" i="9" s="1"/>
  <c r="H33" i="9" s="1"/>
  <c r="E35" i="9"/>
  <c r="F35" i="9" s="1"/>
  <c r="H35" i="9" s="1"/>
  <c r="E34" i="9"/>
  <c r="F34" i="9" s="1"/>
  <c r="H34" i="9" s="1"/>
  <c r="E32" i="9"/>
  <c r="F32" i="9" s="1"/>
  <c r="E27" i="7"/>
  <c r="E13" i="9"/>
  <c r="F13" i="9" s="1"/>
  <c r="G24" i="9"/>
  <c r="E16" i="9"/>
  <c r="F16" i="9" s="1"/>
  <c r="H16" i="9" s="1"/>
  <c r="G12" i="9"/>
  <c r="H12" i="9" s="1"/>
  <c r="E15" i="9"/>
  <c r="F15" i="9" s="1"/>
  <c r="H15" i="9" s="1"/>
  <c r="E45" i="9"/>
  <c r="F45" i="9" s="1"/>
  <c r="E44" i="9"/>
  <c r="F44" i="9" s="1"/>
  <c r="E43" i="9"/>
  <c r="F43" i="9" s="1"/>
  <c r="E42" i="9"/>
  <c r="F42" i="9" s="1"/>
  <c r="E41" i="9"/>
  <c r="F41" i="9" s="1"/>
  <c r="G26" i="9"/>
  <c r="E14" i="9"/>
  <c r="F14" i="9" s="1"/>
  <c r="H14" i="9" s="1"/>
  <c r="E37" i="9" l="1"/>
  <c r="H40" i="9"/>
  <c r="E34" i="7"/>
  <c r="E46" i="9"/>
  <c r="F21" i="9"/>
  <c r="H21" i="9" s="1"/>
  <c r="E27" i="9"/>
  <c r="F11" i="9"/>
  <c r="H11" i="9" s="1"/>
  <c r="E18" i="9"/>
  <c r="H31" i="9"/>
  <c r="H42" i="9"/>
  <c r="E42" i="7"/>
  <c r="F17" i="9"/>
  <c r="H13" i="9"/>
  <c r="F59" i="9"/>
  <c r="H24" i="9"/>
  <c r="E28" i="7"/>
  <c r="E43" i="7"/>
  <c r="H43" i="9"/>
  <c r="H44" i="9"/>
  <c r="E44" i="7"/>
  <c r="H26" i="9"/>
  <c r="E30" i="7"/>
  <c r="E41" i="7"/>
  <c r="H41" i="9"/>
  <c r="E45" i="7"/>
  <c r="H45" i="9"/>
  <c r="H22" i="9"/>
  <c r="E26" i="7"/>
  <c r="H25" i="9"/>
  <c r="E29" i="7"/>
  <c r="H32" i="9"/>
  <c r="F36" i="9"/>
  <c r="F58" i="9"/>
  <c r="F56" i="9" l="1"/>
  <c r="F57" i="9"/>
  <c r="E25" i="7"/>
  <c r="E31" i="7" s="1"/>
  <c r="E17" i="7"/>
  <c r="E46" i="7"/>
  <c r="H36" i="9"/>
  <c r="H46" i="9"/>
  <c r="H18" i="9"/>
  <c r="H17" i="9"/>
  <c r="H27" i="9"/>
  <c r="E19" i="7"/>
  <c r="E36" i="7"/>
  <c r="E37" i="7" s="1"/>
  <c r="G27" i="8" s="1"/>
  <c r="H37" i="9"/>
  <c r="E20" i="7" l="1"/>
  <c r="E48" i="7" s="1"/>
  <c r="H48" i="9"/>
  <c r="G22" i="8" l="1"/>
  <c r="G28" i="8" s="1"/>
  <c r="F46" i="7"/>
  <c r="F31" i="7"/>
  <c r="F14" i="7"/>
  <c r="F22" i="7"/>
  <c r="F12" i="7"/>
  <c r="F20" i="7" l="1"/>
  <c r="H27" i="8"/>
  <c r="F37" i="7"/>
  <c r="H22" i="8" l="1"/>
  <c r="H28" i="8" s="1"/>
  <c r="F10" i="7"/>
  <c r="F48" i="7" l="1"/>
  <c r="G10" i="7" s="1"/>
  <c r="G22" i="7" l="1"/>
  <c r="H22" i="7" s="1"/>
  <c r="I22" i="7" s="1"/>
  <c r="G12" i="7"/>
  <c r="H12" i="7" s="1"/>
  <c r="I12" i="7" s="1"/>
  <c r="G31" i="7"/>
  <c r="H31" i="7" s="1"/>
  <c r="I27" i="9" s="1"/>
  <c r="G14" i="7"/>
  <c r="H14" i="7" s="1"/>
  <c r="I14" i="7" s="1"/>
  <c r="G20" i="7"/>
  <c r="H20" i="7" s="1"/>
  <c r="I18" i="9" s="1"/>
  <c r="G46" i="7"/>
  <c r="H46" i="7" s="1"/>
  <c r="I46" i="9" s="1"/>
  <c r="G37" i="7"/>
  <c r="H37" i="7" s="1"/>
  <c r="I37" i="9" s="1"/>
  <c r="H10" i="7"/>
  <c r="I10" i="7" s="1"/>
  <c r="J14" i="7" l="1"/>
  <c r="J12" i="7"/>
  <c r="J22" i="7"/>
  <c r="G48" i="7"/>
  <c r="I48" i="9"/>
  <c r="H48" i="7"/>
  <c r="I49" i="9" l="1"/>
  <c r="J12" i="9" s="1"/>
  <c r="J10" i="7"/>
  <c r="J23" i="9" l="1"/>
  <c r="J32" i="9"/>
  <c r="J26" i="9"/>
  <c r="J40" i="9"/>
  <c r="K40" i="9" s="1"/>
  <c r="K30" i="9" s="1"/>
  <c r="J30" i="9"/>
  <c r="J43" i="9"/>
  <c r="K43" i="9" s="1"/>
  <c r="K24" i="9" s="1"/>
  <c r="I28" i="7" s="1"/>
  <c r="J11" i="9"/>
  <c r="J25" i="9"/>
  <c r="J22" i="9"/>
  <c r="J44" i="9"/>
  <c r="K44" i="9" s="1"/>
  <c r="L44" i="9" s="1"/>
  <c r="J35" i="9"/>
  <c r="J13" i="9"/>
  <c r="J41" i="9"/>
  <c r="K41" i="9" s="1"/>
  <c r="K31" i="9" s="1"/>
  <c r="K12" i="9" s="1"/>
  <c r="J21" i="9"/>
  <c r="J31" i="9"/>
  <c r="J42" i="9"/>
  <c r="K42" i="9" s="1"/>
  <c r="L42" i="9" s="1"/>
  <c r="J45" i="9"/>
  <c r="K45" i="9" s="1"/>
  <c r="K26" i="9" s="1"/>
  <c r="I30" i="7" s="1"/>
  <c r="J34" i="9"/>
  <c r="J14" i="9"/>
  <c r="J16" i="9"/>
  <c r="J24" i="9"/>
  <c r="J33" i="9"/>
  <c r="J15" i="9"/>
  <c r="L26" i="9" l="1"/>
  <c r="I45" i="7"/>
  <c r="I43" i="7"/>
  <c r="K21" i="9"/>
  <c r="L21" i="9" s="1"/>
  <c r="L31" i="9"/>
  <c r="K25" i="9"/>
  <c r="I29" i="7" s="1"/>
  <c r="L40" i="9"/>
  <c r="I40" i="7"/>
  <c r="L24" i="9"/>
  <c r="K22" i="9"/>
  <c r="I26" i="7" s="1"/>
  <c r="I35" i="7"/>
  <c r="I41" i="7"/>
  <c r="L43" i="9"/>
  <c r="J46" i="9"/>
  <c r="K23" i="9"/>
  <c r="L23" i="9" s="1"/>
  <c r="I42" i="7"/>
  <c r="J36" i="9"/>
  <c r="J27" i="9"/>
  <c r="I44" i="7"/>
  <c r="L41" i="9"/>
  <c r="L45" i="9"/>
  <c r="J37" i="9"/>
  <c r="J17" i="9"/>
  <c r="J18" i="9"/>
  <c r="I34" i="7"/>
  <c r="L30" i="9"/>
  <c r="K11" i="9"/>
  <c r="L12" i="9"/>
  <c r="I18" i="7"/>
  <c r="K36" i="9" l="1"/>
  <c r="K17" i="9" s="1"/>
  <c r="I25" i="7"/>
  <c r="L22" i="9"/>
  <c r="L25" i="9"/>
  <c r="L46" i="9"/>
  <c r="M46" i="9" s="1"/>
  <c r="I19" i="7"/>
  <c r="I27" i="7"/>
  <c r="J48" i="9"/>
  <c r="L11" i="9"/>
  <c r="I17" i="7"/>
  <c r="L27" i="9" l="1"/>
  <c r="M27" i="9" s="1"/>
  <c r="J46" i="7"/>
  <c r="L17" i="9"/>
  <c r="L18" i="9" s="1"/>
  <c r="M18" i="9" s="1"/>
  <c r="I36" i="7"/>
  <c r="L36" i="9"/>
  <c r="L37" i="9" s="1"/>
  <c r="J37" i="7" s="1"/>
  <c r="J31" i="7" l="1"/>
  <c r="M37" i="9"/>
  <c r="L48" i="9"/>
  <c r="J20" i="7"/>
  <c r="J48" i="7" s="1"/>
  <c r="M48" i="9" l="1"/>
  <c r="M49" i="9" s="1"/>
  <c r="I48" i="7"/>
  <c r="K48" i="7"/>
  <c r="K49" i="7" s="1"/>
</calcChain>
</file>

<file path=xl/sharedStrings.xml><?xml version="1.0" encoding="utf-8"?>
<sst xmlns="http://schemas.openxmlformats.org/spreadsheetml/2006/main" count="965" uniqueCount="357">
  <si>
    <t>Total</t>
  </si>
  <si>
    <t>Subtotal</t>
  </si>
  <si>
    <t>87T</t>
  </si>
  <si>
    <t>85T</t>
  </si>
  <si>
    <t>Interruptible</t>
  </si>
  <si>
    <t>Residential</t>
  </si>
  <si>
    <t>Revenue</t>
  </si>
  <si>
    <t>Schedule</t>
  </si>
  <si>
    <t>Rate Class</t>
  </si>
  <si>
    <t>Margin</t>
  </si>
  <si>
    <t>Volume</t>
  </si>
  <si>
    <t>Rate</t>
  </si>
  <si>
    <t>Puget Sound Energy</t>
  </si>
  <si>
    <t>Check</t>
  </si>
  <si>
    <t>Next 300,000 therms</t>
  </si>
  <si>
    <t>Next 100,000 therms</t>
  </si>
  <si>
    <t>Next 50,000 therms</t>
  </si>
  <si>
    <t>Next 25,000 therms</t>
  </si>
  <si>
    <t>First 25,000 therms</t>
  </si>
  <si>
    <t>Over 500,000 therms</t>
  </si>
  <si>
    <t>Transportation</t>
  </si>
  <si>
    <t>Over 50,000 therms</t>
  </si>
  <si>
    <t>Large volume</t>
  </si>
  <si>
    <t>Commercial &amp; industrial</t>
  </si>
  <si>
    <t>23/53</t>
  </si>
  <si>
    <t>Customer Class</t>
  </si>
  <si>
    <t>Proposed</t>
  </si>
  <si>
    <t>Estimated</t>
  </si>
  <si>
    <t>(2)</t>
  </si>
  <si>
    <t>(1)</t>
  </si>
  <si>
    <t>86/86T</t>
  </si>
  <si>
    <t>41/41T</t>
  </si>
  <si>
    <t>31/31T</t>
  </si>
  <si>
    <t>Requirement</t>
  </si>
  <si>
    <t>Spread</t>
  </si>
  <si>
    <t>Line</t>
  </si>
  <si>
    <t>Margin at</t>
  </si>
  <si>
    <t>Low Income</t>
  </si>
  <si>
    <t xml:space="preserve">   Subtotal</t>
  </si>
  <si>
    <t>Non exclusive interruptible</t>
  </si>
  <si>
    <t>Limited interruptible</t>
  </si>
  <si>
    <t>General service</t>
  </si>
  <si>
    <t>Revenue at</t>
  </si>
  <si>
    <t>Percent of revenue at Schedule 87T base rates</t>
  </si>
  <si>
    <t>Subtotal over 50,000 therms</t>
  </si>
  <si>
    <t>Transportation Schedule 85T</t>
  </si>
  <si>
    <t>Interruptible Schedule 87</t>
  </si>
  <si>
    <t>Interruptible Schedule 85</t>
  </si>
  <si>
    <t>Therm</t>
  </si>
  <si>
    <t>Base Rates</t>
  </si>
  <si>
    <t>(Therms)</t>
  </si>
  <si>
    <t>% to Total</t>
  </si>
  <si>
    <t>Rate Schedule</t>
  </si>
  <si>
    <t>Rate per</t>
  </si>
  <si>
    <t>Allocated</t>
  </si>
  <si>
    <t>Gas</t>
  </si>
  <si>
    <t>Electric</t>
  </si>
  <si>
    <r>
      <t>Volume</t>
    </r>
    <r>
      <rPr>
        <vertAlign val="superscript"/>
        <sz val="10"/>
        <rFont val="Arial"/>
        <family val="2"/>
      </rPr>
      <t xml:space="preserve"> (1)</t>
    </r>
  </si>
  <si>
    <r>
      <t xml:space="preserve">(Therms) </t>
    </r>
    <r>
      <rPr>
        <vertAlign val="superscript"/>
        <sz val="10"/>
        <rFont val="Arial"/>
        <family val="2"/>
      </rPr>
      <t>(1)</t>
    </r>
  </si>
  <si>
    <t>Base</t>
  </si>
  <si>
    <r>
      <t>Revenue</t>
    </r>
    <r>
      <rPr>
        <vertAlign val="superscript"/>
        <sz val="10"/>
        <rFont val="Arial"/>
        <family val="2"/>
      </rPr>
      <t xml:space="preserve"> (2)</t>
    </r>
  </si>
  <si>
    <t>Percent</t>
  </si>
  <si>
    <t>Change</t>
  </si>
  <si>
    <t>A</t>
  </si>
  <si>
    <t>B</t>
  </si>
  <si>
    <t>C</t>
  </si>
  <si>
    <t>D</t>
  </si>
  <si>
    <t>H</t>
  </si>
  <si>
    <t>I</t>
  </si>
  <si>
    <t>J</t>
  </si>
  <si>
    <t>Charges</t>
  </si>
  <si>
    <t>Rates</t>
  </si>
  <si>
    <t>Sch. 140</t>
  </si>
  <si>
    <t xml:space="preserve">Billing </t>
  </si>
  <si>
    <t>Current</t>
  </si>
  <si>
    <t>Target</t>
  </si>
  <si>
    <t>Description</t>
  </si>
  <si>
    <t>Units</t>
  </si>
  <si>
    <t>Determinants</t>
  </si>
  <si>
    <t>Revenues</t>
  </si>
  <si>
    <t>Basic Charge</t>
  </si>
  <si>
    <t>Bills</t>
  </si>
  <si>
    <t>Delivery Charge</t>
  </si>
  <si>
    <t>Therms</t>
  </si>
  <si>
    <t>Mantles</t>
  </si>
  <si>
    <t>Procurement Charge</t>
  </si>
  <si>
    <t>Demand</t>
  </si>
  <si>
    <t>Minimum Bill</t>
  </si>
  <si>
    <t>Demand Charge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</si>
  <si>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</si>
  <si>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</si>
  <si>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</si>
  <si>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</si>
  <si>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</si>
  <si>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</si>
  <si>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Minimum Bills</t>
  </si>
  <si>
    <t>First 25,000 Therms</t>
  </si>
  <si>
    <t>Next 25,000 Therms</t>
  </si>
  <si>
    <t>All over 50,000 Therms</t>
  </si>
  <si>
    <t>Next 50,000 Therms</t>
  </si>
  <si>
    <t>First 1,000 therms</t>
  </si>
  <si>
    <t>All over 1,000 therms</t>
  </si>
  <si>
    <t xml:space="preserve"> </t>
  </si>
  <si>
    <t>All over 500,000 therms</t>
  </si>
  <si>
    <t>Sch. 129</t>
  </si>
  <si>
    <t>Proposed Rates</t>
  </si>
  <si>
    <t>Current and Proposed Rates by Rate Schedule (Schedules 16, 23 &amp; 53)</t>
  </si>
  <si>
    <t xml:space="preserve">Difference </t>
  </si>
  <si>
    <t>$</t>
  </si>
  <si>
    <t>%</t>
  </si>
  <si>
    <t>Increase</t>
  </si>
  <si>
    <t>Schedule 23</t>
  </si>
  <si>
    <t>over (under)</t>
  </si>
  <si>
    <t>Schedule 53</t>
  </si>
  <si>
    <t>Total Delivery Charges</t>
  </si>
  <si>
    <t>Schedule 16</t>
  </si>
  <si>
    <t>Total Delivery Charge</t>
  </si>
  <si>
    <t>Calculated Total Therms</t>
  </si>
  <si>
    <t>Residential Summary</t>
  </si>
  <si>
    <t>(1) Schedule 101 rates in effective November 1, 2018</t>
  </si>
  <si>
    <t>Current and Proposed Rates by Rate Schedule (Schedules 31, 31T, 41 &amp; 41T)</t>
  </si>
  <si>
    <t>Schedule 31 - Sales</t>
  </si>
  <si>
    <t>TARGET 31/31T</t>
  </si>
  <si>
    <t>Schedule 31 - Transportation</t>
  </si>
  <si>
    <t>Schedule 31 - Total</t>
  </si>
  <si>
    <t>Schedule 41 - Sales</t>
  </si>
  <si>
    <t>TARGET 41/41T</t>
  </si>
  <si>
    <t>Schedule 41 - Transportation</t>
  </si>
  <si>
    <t>Schedule 41 - Total</t>
  </si>
  <si>
    <t>Commercial &amp; Industrial Summary</t>
  </si>
  <si>
    <t>Schedule 41, 41T</t>
  </si>
  <si>
    <t>Schedules 31, 31T</t>
  </si>
  <si>
    <t>Current and Proposed Rates by Rate Schedule (Schedules 85, 85T, 86, 86T, 87 &amp; 87T)</t>
  </si>
  <si>
    <t>Schedule 85 - Sales</t>
  </si>
  <si>
    <t>TARGET 85/85T</t>
  </si>
  <si>
    <t>Schedule 85 - Transportation</t>
  </si>
  <si>
    <t>Schedule 85 - Total</t>
  </si>
  <si>
    <t>Schedule 86 - Sales</t>
  </si>
  <si>
    <t>TARGET 86/86T</t>
  </si>
  <si>
    <t>Schedule 86 - Transportation</t>
  </si>
  <si>
    <t>Schedule 86 - Total</t>
  </si>
  <si>
    <t>Schedule 87 - Sales</t>
  </si>
  <si>
    <t>TARGET 87/87T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</si>
  <si>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</si>
  <si>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</si>
  <si>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</si>
  <si>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</si>
  <si>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</si>
  <si>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</si>
  <si>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</si>
  <si>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</si>
  <si>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Grand Total</t>
  </si>
  <si>
    <t>Rate Change Impacts by Rate Schedule</t>
  </si>
  <si>
    <t>Forecasted</t>
  </si>
  <si>
    <t>Total Forecasted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</si>
  <si>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</si>
  <si>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</si>
  <si>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</si>
  <si>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E=D/C</t>
  </si>
  <si>
    <t xml:space="preserve">F </t>
  </si>
  <si>
    <t xml:space="preserve">G=E*F </t>
  </si>
  <si>
    <t>K</t>
  </si>
  <si>
    <t>L</t>
  </si>
  <si>
    <t>M</t>
  </si>
  <si>
    <t>N</t>
  </si>
  <si>
    <t>O</t>
  </si>
  <si>
    <t>P</t>
  </si>
  <si>
    <t>23,53</t>
  </si>
  <si>
    <t>Residential Gas Lights</t>
  </si>
  <si>
    <t>Commercial &amp; Industrial</t>
  </si>
  <si>
    <t>Large Volume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</si>
  <si>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</si>
  <si>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</si>
  <si>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</si>
  <si>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</si>
  <si>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</si>
  <si>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</si>
  <si>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</si>
  <si>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Limited Interruptible Transportation</t>
  </si>
  <si>
    <t>86T</t>
  </si>
  <si>
    <t>Non-exclusive Interruptible Transportation</t>
  </si>
  <si>
    <t>Contracts</t>
  </si>
  <si>
    <t>By Customer Class:</t>
  </si>
  <si>
    <t>Typical Residential Bill Impacts</t>
  </si>
  <si>
    <t>Current Rates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</si>
  <si>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</si>
  <si>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Volume (therms)</t>
  </si>
  <si>
    <t>Customer charge ($/month)</t>
  </si>
  <si>
    <t>Volumetric charges ($/therm)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</si>
  <si>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</si>
  <si>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</si>
  <si>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</si>
  <si>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</si>
  <si>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</si>
  <si>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Volume (Therms)</t>
  </si>
  <si>
    <t xml:space="preserve">Rate </t>
  </si>
  <si>
    <t>Base Sch.</t>
  </si>
  <si>
    <t>Base Schedule</t>
  </si>
  <si>
    <t>Sch. 101</t>
  </si>
  <si>
    <t>Sch. 106</t>
  </si>
  <si>
    <t>Sch. 120</t>
  </si>
  <si>
    <t>Sch. 142</t>
  </si>
  <si>
    <t>16,23,53</t>
  </si>
  <si>
    <t>31,31T</t>
  </si>
  <si>
    <t>41,41T</t>
  </si>
  <si>
    <t>85,85T</t>
  </si>
  <si>
    <t>86,86T</t>
  </si>
  <si>
    <t>Non-exclusive interruptible</t>
  </si>
  <si>
    <t>87,87T</t>
  </si>
  <si>
    <t>Rate Change</t>
  </si>
  <si>
    <t>Basic charge (Sch. 23)</t>
  </si>
  <si>
    <t>Delivery charge (Sch. 23)</t>
  </si>
  <si>
    <t>Decoupling charge (Sch. 142)</t>
  </si>
  <si>
    <t>Conservation charge (Sch. 120)</t>
  </si>
  <si>
    <t>Gas cost charge (Sch. 101)</t>
  </si>
  <si>
    <t>Gas cost amort. charge (Sch. 106)</t>
  </si>
  <si>
    <t>Sch. 129D</t>
  </si>
  <si>
    <t>Current Base Rates</t>
  </si>
  <si>
    <t>Proposed Base Rates</t>
  </si>
  <si>
    <t>TARGET</t>
  </si>
  <si>
    <t>Total Base Revenues</t>
  </si>
  <si>
    <t>Total Residential Base Revenues</t>
  </si>
  <si>
    <t>Backup</t>
  </si>
  <si>
    <t>Delta</t>
  </si>
  <si>
    <t>UG-220067</t>
  </si>
  <si>
    <t>Weather normalized volume for the 12 months ended June 2021 from the 2022 General Rate Case Filing (UG-220067).</t>
  </si>
  <si>
    <t>Base schedule revenue for the 12 months ended June 2021 from the 2022 General Rate Case Filing (UG-220067).</t>
  </si>
  <si>
    <t>Average Base</t>
  </si>
  <si>
    <t>2022 Gas General Rate Case Filing</t>
  </si>
  <si>
    <t>Gas Rate Spread &amp; Design Work Paper</t>
  </si>
  <si>
    <t>Rate Spread and Schedule 141R and 141N Allocation</t>
  </si>
  <si>
    <t>Sch. 141N</t>
  </si>
  <si>
    <t>Sch. 141R</t>
  </si>
  <si>
    <t>Sch. 141D</t>
  </si>
  <si>
    <t>Q</t>
  </si>
  <si>
    <t>R</t>
  </si>
  <si>
    <t>T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</si>
  <si>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</si>
  <si>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t>Low Income charge (Sch. 129)</t>
  </si>
  <si>
    <t>Low Income Discount charge (Sch. 129D)</t>
  </si>
  <si>
    <t>Property Tax charge (Sch. 140)</t>
  </si>
  <si>
    <t>Dist. Pipeline Provisional (Sch. 141D)</t>
  </si>
  <si>
    <t>Rates Not Subject to Refund (Sch. 141N)</t>
  </si>
  <si>
    <t>Rates Subject to Refund (Sch. 141R)</t>
  </si>
  <si>
    <t>Calculation of Schedule 129 Rates</t>
  </si>
  <si>
    <t>Total revenue requirement for low income program</t>
  </si>
  <si>
    <t>PUGET SOUND ENERGY</t>
  </si>
  <si>
    <t>LOW INCOME PROGRAM</t>
  </si>
  <si>
    <t xml:space="preserve">REVENUE REQUIREMENTS </t>
  </si>
  <si>
    <t>LINE 
NO.</t>
  </si>
  <si>
    <t>ELECTRIC</t>
  </si>
  <si>
    <t>GAS</t>
  </si>
  <si>
    <t>TOTAL</t>
  </si>
  <si>
    <t>Notes</t>
  </si>
  <si>
    <t>(a)</t>
  </si>
  <si>
    <t>(b)</t>
  </si>
  <si>
    <t xml:space="preserve">(c) </t>
  </si>
  <si>
    <t>(d)</t>
  </si>
  <si>
    <t>(e)</t>
  </si>
  <si>
    <t>(f)</t>
  </si>
  <si>
    <t>(g)</t>
  </si>
  <si>
    <t>(h)</t>
  </si>
  <si>
    <t>(i)</t>
  </si>
  <si>
    <t>Increase pursuant to GRC Final Order 24/10 UE-220066 &amp; UG-220067</t>
  </si>
  <si>
    <t xml:space="preserve">Note (A) </t>
  </si>
  <si>
    <t>Public Utility Tax Credits Received from Department of Revenue under RCW 82.16.0497</t>
  </si>
  <si>
    <t>Revenue Sensitive Items:</t>
  </si>
  <si>
    <t>Current Annual Filing Fee</t>
  </si>
  <si>
    <t xml:space="preserve">Current State Utility Tax </t>
  </si>
  <si>
    <t>Conversion Factor</t>
  </si>
  <si>
    <t>Low income revenue requirement to be recovered in rates</t>
  </si>
  <si>
    <t>Change in Revenue Requirement</t>
  </si>
  <si>
    <t>Components of Whole Dollar Increase/(Decrease) in Low Income Requirement</t>
  </si>
  <si>
    <t xml:space="preserve">Total Whole Dollar Increase/(Decrease) </t>
  </si>
  <si>
    <t>Schedule 129 Low Income</t>
  </si>
  <si>
    <t>Gas Schedule 129</t>
  </si>
  <si>
    <t>Low Income Program</t>
  </si>
  <si>
    <t>Sched 129</t>
  </si>
  <si>
    <t>(A) Twice the residential base rates increase under UE-220066 and UG-220067 - Order No. 24/10 and the Compliance Filing and RCW 80.28.425 (2)</t>
  </si>
  <si>
    <t>Bad Debts Conversion Factor used in 2022 GRC UE-220066, et al</t>
  </si>
  <si>
    <t>Settlement Agreement</t>
  </si>
  <si>
    <t>2024 Gas Schedule 129 Low Income Program Rate Filing</t>
  </si>
  <si>
    <t>Proposed Effective October 1, 2024</t>
  </si>
  <si>
    <t>10/1/24 - 9/30/25</t>
  </si>
  <si>
    <t>No.</t>
  </si>
  <si>
    <t>(c)</t>
  </si>
  <si>
    <t>Forecasted Margin Revenue at Current Rates</t>
  </si>
  <si>
    <t>Forecasted Therm Volumes</t>
  </si>
  <si>
    <t>88T</t>
  </si>
  <si>
    <t xml:space="preserve">Source: F2024 Load Forecast Calendar Month Therms (5-30-2024)  </t>
  </si>
  <si>
    <t>Calculation of Low Income Program Rates by Block for Schedules 85, 85T, 87, 87T and 88T</t>
  </si>
  <si>
    <t>87T/88T</t>
  </si>
  <si>
    <t>Transportation Schedule 87T/88T</t>
  </si>
  <si>
    <t>Calendar volume for year ending December 31, 2023 from Customer Information System (CIS).</t>
  </si>
  <si>
    <r>
      <t xml:space="preserve">Base Rates </t>
    </r>
    <r>
      <rPr>
        <vertAlign val="superscript"/>
        <sz val="10"/>
        <rFont val="Arial"/>
        <family val="2"/>
      </rPr>
      <t>(2)</t>
    </r>
  </si>
  <si>
    <t>Current Schedule 87T Base Rates effective January 7, 2023</t>
  </si>
  <si>
    <t>(j)</t>
  </si>
  <si>
    <t>OCTOBER 2024 THROUGH SEPTEMBER 2025</t>
  </si>
  <si>
    <t>Prior Low Income Cap UE-230694 /UG-230695  &amp; Additional Funding in UE-240194/UG-240195</t>
  </si>
  <si>
    <t>Decoupling Residential Bill Impact UE-2402221 and UG-240222</t>
  </si>
  <si>
    <t xml:space="preserve">Arrearages Management Plan Funding </t>
  </si>
  <si>
    <t>Maintain Split at 85% electric and 15% gas</t>
  </si>
  <si>
    <t>Current Year Low Income Cap (prior to the inclusion of SQI Penalty)</t>
  </si>
  <si>
    <t>Read Me</t>
  </si>
  <si>
    <t>True-up the estimates used in last year's filing</t>
  </si>
  <si>
    <t>Under / (Over) Collection through September 2024 (Excludes Revenue Sensitive Items)</t>
  </si>
  <si>
    <t xml:space="preserve">Remove the 2022 SQI Penalty applied to RR 2023-2024 </t>
  </si>
  <si>
    <t>Amount to be recovered October 2024 through September 2025</t>
  </si>
  <si>
    <t>Revenue Requirement from Original UE-230694 and UG-230695 &amp; Additional Funding in UE-240194/UG-240195</t>
  </si>
  <si>
    <t xml:space="preserve">Adding SQI Penalty (from prior periods) to the Low Income cap (not part of the Revenue Requirement set in rates) </t>
  </si>
  <si>
    <t xml:space="preserve">    2021 SQI #4 SAIFI</t>
  </si>
  <si>
    <t xml:space="preserve">    2021 SQI #11 Electric Safety Response Time</t>
  </si>
  <si>
    <t xml:space="preserve">    2022 SQI #5</t>
  </si>
  <si>
    <t>Proposed Current Year Available Funds to be Distributed to Agencies</t>
  </si>
  <si>
    <t>Difference between Original and Subsequent 2023-2024 Filing (Subs not in rates)</t>
  </si>
  <si>
    <t xml:space="preserve">Arrearage Management Plan Funding </t>
  </si>
  <si>
    <t>Change in the true-up ($2.5M payable last year vs. $1.3M payable this year)</t>
  </si>
  <si>
    <t>Remove SQI Penalty reduction erroneously included in last year's revenue requirement</t>
  </si>
  <si>
    <t>Change in LIHEAP credits</t>
  </si>
  <si>
    <t>Change in Conversion Factor</t>
  </si>
  <si>
    <t>2024 Gas Schedule 129 Low Income Filing</t>
  </si>
  <si>
    <t>Proposed Rates Effective October 1, 2024</t>
  </si>
  <si>
    <t>12ME Sept. 2025</t>
  </si>
  <si>
    <t>Oct. 2024 -</t>
  </si>
  <si>
    <t>Sch. 111</t>
  </si>
  <si>
    <t>Sch. 141LNG</t>
  </si>
  <si>
    <t>Sch. 141PFG</t>
  </si>
  <si>
    <t xml:space="preserve">Revenue at </t>
  </si>
  <si>
    <t>Sept. 2025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</si>
  <si>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</si>
  <si>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S</t>
  </si>
  <si>
    <t>U=sum(G:T)</t>
  </si>
  <si>
    <t>V</t>
  </si>
  <si>
    <t>W=U+V</t>
  </si>
  <si>
    <t>X=V/U</t>
  </si>
  <si>
    <t>Exclusive Interruptible Transportation</t>
  </si>
  <si>
    <t>Exclusive interruptible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</si>
  <si>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May 11, 2024.</t>
    </r>
  </si>
  <si>
    <t>check</t>
  </si>
  <si>
    <t>Cap &amp; Invest Non-Vol Credit (Sch. 111)</t>
  </si>
  <si>
    <t>LNG charge (Sch. 141LNG)</t>
  </si>
  <si>
    <t>Participatory Funding (Sch. 141PFG)</t>
  </si>
  <si>
    <t>Cap &amp; Invest charge (Sch. 111)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</si>
  <si>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May 11, 2024.</t>
    </r>
  </si>
  <si>
    <t>Average Rate Per Therm Impacts by Rate Schedule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</si>
  <si>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</si>
  <si>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t>Average Rate</t>
  </si>
  <si>
    <t>Oct. 2024 - Sept. 2025</t>
  </si>
  <si>
    <t>Per Therm</t>
  </si>
  <si>
    <t>% Change</t>
  </si>
  <si>
    <t>E = D/C</t>
  </si>
  <si>
    <t>F</t>
  </si>
  <si>
    <t>G</t>
  </si>
  <si>
    <t>H = G/F</t>
  </si>
  <si>
    <t>I = (G-D)/D</t>
  </si>
  <si>
    <t>Exclusive Interruptible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</si>
  <si>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Rates effective May 11,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</si>
</sst>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_(&quot;$&quot;* #,##0.00000_);_(&quot;$&quot;* \(#,##0.00000\);_(&quot;$&quot;* &quot;-&quot;??_);_(@_)"/>
    <numFmt numFmtId="169" formatCode="_(* #,##0.00000_);_(* \(#,##0.00000\);_(* &quot;-&quot;??_);_(@_)"/>
    <numFmt numFmtId="170" formatCode="_(&quot;$&quot;* #,##0.0000_);_(&quot;$&quot;* \(#,##0.0000\);_(&quot;$&quot;* &quot;-&quot;??_);_(@_)"/>
    <numFmt numFmtId="171" formatCode="0.0000%"/>
    <numFmt numFmtId="172" formatCode="&quot;$&quot;#,##0\ ;\(&quot;$&quot;#,##0\)"/>
    <numFmt numFmtId="173" formatCode="0.000%"/>
    <numFmt numFmtId="174" formatCode="&quot;$&quot;#,##0.00\ ;\(&quot;$&quot;#,##0.00\)"/>
    <numFmt numFmtId="175" formatCode="&quot;$&quot;#,##0.00000\ ;\(&quot;$&quot;#,##0.00000\)"/>
    <numFmt numFmtId="176" formatCode="&quot;$&quot;#,##0.0000\ ;\(&quot;$&quot;#,##0.0000\)"/>
    <numFmt numFmtId="177" formatCode="#,##0.0"/>
    <numFmt numFmtId="178" formatCode="&quot;$&quot;#,##0"/>
    <numFmt numFmtId="179" formatCode="_(&quot;$&quot;* #,##0.00_);_(&quot;$&quot;* \(#,##0.00\);_(&quot;$&quot;* &quot;-&quot;_);_(@_)"/>
    <numFmt numFmtId="180" formatCode="&quot;$&quot;#,##0.00000000_);\(&quot;$&quot;#,##0.00000000\)"/>
    <numFmt numFmtId="181" formatCode="#,##0.000000_);\(#,##0.000000\)"/>
    <numFmt numFmtId="182" formatCode="0.0000000"/>
    <numFmt numFmtId="183" formatCode="_(* #,##0.0000000_);_(* \(#,##0.0000000\);_(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0"/>
      <color indexed="21"/>
      <name val="Arial"/>
      <family val="2"/>
    </font>
    <font>
      <sz val="10"/>
      <color theme="1"/>
      <name val="Arial"/>
      <family val="2"/>
    </font>
    <font>
      <sz val="10"/>
      <color rgb="FF009999"/>
      <name val="Arial"/>
      <family val="2"/>
    </font>
    <font>
      <vertAlign val="superscript"/>
      <sz val="10"/>
      <name val="Arial"/>
      <family val="2"/>
    </font>
    <font>
      <sz val="10"/>
      <color rgb="FF006666"/>
      <name val="Arial"/>
      <family val="2"/>
    </font>
    <font>
      <sz val="10"/>
      <color rgb="FF00808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b/>
      <i/>
      <sz val="10"/>
      <color rgb="FF0000FF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u/>
      <sz val="10"/>
      <name val="Arial"/>
      <family val="2"/>
    </font>
    <font>
      <sz val="10"/>
      <color theme="0" tint="-0.249977111117893"/>
      <name val="Arial"/>
      <family val="2"/>
    </font>
    <font>
      <sz val="9"/>
      <color rgb="FFFF0000"/>
      <name val="Arial"/>
      <family val="2"/>
    </font>
    <font>
      <b/>
      <sz val="18"/>
      <color theme="0"/>
      <name val="Arial"/>
      <family val="2"/>
    </font>
    <font>
      <b/>
      <i/>
      <sz val="10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36" fillId="0" borderId="0" applyFont="0" applyFill="0" applyBorder="0" applyAlignment="0" applyProtection="0"/>
  </cellStyleXfs>
  <cellXfs count="611">
    <xf numFmtId="0" fontId="0" fillId="0" borderId="0" xfId="0"/>
    <xf numFmtId="3" fontId="7" fillId="0" borderId="0" xfId="0" applyNumberFormat="1" applyFont="1" applyFill="1"/>
    <xf numFmtId="3" fontId="3" fillId="0" borderId="0" xfId="0" applyNumberFormat="1" applyFont="1" applyFill="1"/>
    <xf numFmtId="166" fontId="1" fillId="0" borderId="0" xfId="0" applyNumberFormat="1" applyFont="1" applyFill="1"/>
    <xf numFmtId="166" fontId="1" fillId="0" borderId="0" xfId="0" applyNumberFormat="1" applyFont="1" applyFill="1" applyBorder="1"/>
    <xf numFmtId="164" fontId="1" fillId="0" borderId="0" xfId="0" applyNumberFormat="1" applyFont="1" applyFill="1" applyBorder="1"/>
    <xf numFmtId="42" fontId="1" fillId="0" borderId="0" xfId="0" applyNumberFormat="1" applyFont="1" applyFill="1" applyBorder="1"/>
    <xf numFmtId="42" fontId="3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42" fontId="1" fillId="0" borderId="1" xfId="0" applyNumberFormat="1" applyFont="1" applyFill="1" applyBorder="1"/>
    <xf numFmtId="3" fontId="4" fillId="0" borderId="3" xfId="0" applyNumberFormat="1" applyFont="1" applyFill="1" applyBorder="1"/>
    <xf numFmtId="3" fontId="1" fillId="0" borderId="1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/>
    </xf>
    <xf numFmtId="3" fontId="1" fillId="0" borderId="7" xfId="0" applyNumberFormat="1" applyFont="1" applyFill="1" applyBorder="1"/>
    <xf numFmtId="3" fontId="1" fillId="0" borderId="8" xfId="0" applyNumberFormat="1" applyFont="1" applyFill="1" applyBorder="1"/>
    <xf numFmtId="0" fontId="1" fillId="0" borderId="9" xfId="0" applyFont="1" applyFill="1" applyBorder="1" applyAlignment="1">
      <alignment horizontal="center"/>
    </xf>
    <xf numFmtId="42" fontId="5" fillId="0" borderId="4" xfId="0" applyNumberFormat="1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/>
    <xf numFmtId="3" fontId="8" fillId="0" borderId="0" xfId="0" applyNumberFormat="1" applyFont="1" applyFill="1" applyAlignment="1">
      <alignment horizontal="right"/>
    </xf>
    <xf numFmtId="164" fontId="1" fillId="0" borderId="3" xfId="0" applyNumberFormat="1" applyFont="1" applyFill="1" applyBorder="1"/>
    <xf numFmtId="167" fontId="1" fillId="0" borderId="0" xfId="0" applyNumberFormat="1" applyFont="1" applyFill="1"/>
    <xf numFmtId="164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10" fontId="1" fillId="0" borderId="1" xfId="0" applyNumberFormat="1" applyFont="1" applyFill="1" applyBorder="1" applyAlignment="1">
      <alignment horizontal="right"/>
    </xf>
    <xf numFmtId="10" fontId="8" fillId="0" borderId="0" xfId="0" applyNumberFormat="1" applyFont="1" applyFill="1"/>
    <xf numFmtId="10" fontId="8" fillId="0" borderId="2" xfId="0" applyNumberFormat="1" applyFont="1" applyFill="1" applyBorder="1"/>
    <xf numFmtId="0" fontId="1" fillId="0" borderId="0" xfId="0" applyFont="1" applyAlignment="1">
      <alignment horizontal="centerContinuous"/>
    </xf>
    <xf numFmtId="3" fontId="1" fillId="0" borderId="0" xfId="0" applyNumberFormat="1" applyFont="1" applyFill="1"/>
    <xf numFmtId="0" fontId="1" fillId="0" borderId="0" xfId="0" applyFont="1" applyBorder="1"/>
    <xf numFmtId="0" fontId="1" fillId="0" borderId="0" xfId="0" quotePrefix="1" applyFont="1" applyAlignment="1">
      <alignment vertical="top"/>
    </xf>
    <xf numFmtId="0" fontId="5" fillId="0" borderId="0" xfId="0" applyFont="1"/>
    <xf numFmtId="41" fontId="1" fillId="0" borderId="0" xfId="0" quotePrefix="1" applyNumberFormat="1" applyFont="1" applyAlignment="1">
      <alignment horizontal="right"/>
    </xf>
    <xf numFmtId="3" fontId="1" fillId="0" borderId="0" xfId="0" applyNumberFormat="1" applyFont="1" applyFill="1" applyBorder="1"/>
    <xf numFmtId="168" fontId="8" fillId="0" borderId="2" xfId="0" applyNumberFormat="1" applyFont="1" applyFill="1" applyBorder="1"/>
    <xf numFmtId="168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44" fontId="1" fillId="0" borderId="0" xfId="0" applyNumberFormat="1" applyFont="1" applyFill="1"/>
    <xf numFmtId="165" fontId="8" fillId="0" borderId="0" xfId="0" applyNumberFormat="1" applyFont="1" applyFill="1"/>
    <xf numFmtId="164" fontId="7" fillId="0" borderId="0" xfId="0" applyNumberFormat="1" applyFont="1" applyFill="1"/>
    <xf numFmtId="164" fontId="12" fillId="0" borderId="0" xfId="0" applyNumberFormat="1" applyFont="1" applyFill="1"/>
    <xf numFmtId="3" fontId="7" fillId="0" borderId="0" xfId="0" applyNumberFormat="1" applyFont="1" applyFill="1" applyBorder="1"/>
    <xf numFmtId="10" fontId="1" fillId="0" borderId="0" xfId="0" applyNumberFormat="1" applyFont="1" applyFill="1"/>
    <xf numFmtId="8" fontId="1" fillId="0" borderId="0" xfId="0" applyNumberFormat="1" applyFont="1" applyFill="1"/>
    <xf numFmtId="3" fontId="8" fillId="0" borderId="0" xfId="0" applyNumberFormat="1" applyFont="1" applyFill="1"/>
    <xf numFmtId="3" fontId="8" fillId="0" borderId="3" xfId="0" applyNumberFormat="1" applyFont="1" applyFill="1" applyBorder="1"/>
    <xf numFmtId="0" fontId="1" fillId="0" borderId="0" xfId="0" applyFont="1" applyFill="1" applyAlignment="1">
      <alignment horizontal="centerContinuous"/>
    </xf>
    <xf numFmtId="10" fontId="8" fillId="0" borderId="3" xfId="0" applyNumberFormat="1" applyFont="1" applyFill="1" applyBorder="1"/>
    <xf numFmtId="0" fontId="2" fillId="0" borderId="0" xfId="0" applyFont="1" applyFill="1" applyAlignment="1">
      <alignment horizontal="centerContinuous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Continuous"/>
    </xf>
    <xf numFmtId="0" fontId="1" fillId="0" borderId="2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72" fontId="7" fillId="0" borderId="10" xfId="0" applyNumberFormat="1" applyFont="1" applyFill="1" applyBorder="1" applyAlignment="1">
      <alignment horizontal="center"/>
    </xf>
    <xf numFmtId="175" fontId="1" fillId="0" borderId="0" xfId="0" applyNumberFormat="1" applyFont="1" applyFill="1" applyBorder="1"/>
    <xf numFmtId="0" fontId="1" fillId="0" borderId="16" xfId="0" applyFont="1" applyFill="1" applyBorder="1"/>
    <xf numFmtId="0" fontId="1" fillId="0" borderId="2" xfId="0" applyFont="1" applyFill="1" applyBorder="1"/>
    <xf numFmtId="172" fontId="1" fillId="0" borderId="2" xfId="0" applyNumberFormat="1" applyFont="1" applyFill="1" applyBorder="1"/>
    <xf numFmtId="3" fontId="1" fillId="0" borderId="2" xfId="0" applyNumberFormat="1" applyFont="1" applyFill="1" applyBorder="1"/>
    <xf numFmtId="165" fontId="1" fillId="0" borderId="17" xfId="0" applyNumberFormat="1" applyFont="1" applyFill="1" applyBorder="1"/>
    <xf numFmtId="172" fontId="1" fillId="0" borderId="0" xfId="0" applyNumberFormat="1" applyFont="1" applyFill="1" applyBorder="1"/>
    <xf numFmtId="165" fontId="1" fillId="0" borderId="0" xfId="0" applyNumberFormat="1" applyFont="1" applyFill="1" applyBorder="1"/>
    <xf numFmtId="0" fontId="2" fillId="0" borderId="18" xfId="0" applyFont="1" applyFill="1" applyBorder="1" applyProtection="1">
      <protection locked="0"/>
    </xf>
    <xf numFmtId="0" fontId="1" fillId="0" borderId="20" xfId="0" applyFont="1" applyFill="1" applyBorder="1"/>
    <xf numFmtId="3" fontId="1" fillId="0" borderId="0" xfId="0" applyNumberFormat="1" applyFont="1" applyFill="1" applyBorder="1" applyProtection="1">
      <protection locked="0"/>
    </xf>
    <xf numFmtId="165" fontId="1" fillId="0" borderId="21" xfId="0" applyNumberFormat="1" applyFont="1" applyFill="1" applyBorder="1" applyAlignment="1">
      <alignment horizontal="right"/>
    </xf>
    <xf numFmtId="172" fontId="1" fillId="0" borderId="0" xfId="0" applyNumberFormat="1" applyFont="1" applyFill="1" applyBorder="1" applyAlignment="1">
      <alignment horizontal="right"/>
    </xf>
    <xf numFmtId="174" fontId="1" fillId="0" borderId="0" xfId="0" applyNumberFormat="1" applyFont="1" applyFill="1" applyBorder="1"/>
    <xf numFmtId="165" fontId="1" fillId="0" borderId="21" xfId="0" applyNumberFormat="1" applyFont="1" applyFill="1" applyBorder="1"/>
    <xf numFmtId="0" fontId="2" fillId="0" borderId="20" xfId="0" applyFont="1" applyFill="1" applyBorder="1"/>
    <xf numFmtId="172" fontId="2" fillId="0" borderId="0" xfId="0" applyNumberFormat="1" applyFont="1" applyFill="1" applyBorder="1"/>
    <xf numFmtId="175" fontId="3" fillId="0" borderId="0" xfId="0" applyNumberFormat="1" applyFont="1" applyFill="1" applyBorder="1"/>
    <xf numFmtId="173" fontId="1" fillId="0" borderId="0" xfId="0" applyNumberFormat="1" applyFont="1" applyFill="1" applyBorder="1"/>
    <xf numFmtId="175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>
      <alignment horizontal="center"/>
    </xf>
    <xf numFmtId="0" fontId="1" fillId="0" borderId="12" xfId="0" applyFont="1" applyFill="1" applyBorder="1"/>
    <xf numFmtId="3" fontId="1" fillId="0" borderId="0" xfId="0" applyNumberFormat="1" applyFont="1" applyFill="1" applyAlignment="1">
      <alignment horizontal="centerContinuous"/>
    </xf>
    <xf numFmtId="3" fontId="1" fillId="0" borderId="2" xfId="0" applyNumberFormat="1" applyFont="1" applyFill="1" applyBorder="1" applyAlignment="1"/>
    <xf numFmtId="172" fontId="1" fillId="0" borderId="5" xfId="0" applyNumberFormat="1" applyFont="1" applyFill="1" applyBorder="1" applyAlignment="1">
      <alignment horizontal="center"/>
    </xf>
    <xf numFmtId="172" fontId="1" fillId="0" borderId="1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/>
    <xf numFmtId="9" fontId="1" fillId="0" borderId="0" xfId="0" applyNumberFormat="1" applyFont="1" applyFill="1" applyBorder="1"/>
    <xf numFmtId="174" fontId="1" fillId="0" borderId="2" xfId="0" applyNumberFormat="1" applyFont="1" applyFill="1" applyBorder="1" applyAlignment="1">
      <alignment horizontal="center"/>
    </xf>
    <xf numFmtId="172" fontId="1" fillId="0" borderId="2" xfId="0" applyNumberFormat="1" applyFont="1" applyFill="1" applyBorder="1" applyAlignment="1">
      <alignment horizontal="center"/>
    </xf>
    <xf numFmtId="9" fontId="1" fillId="0" borderId="2" xfId="0" applyNumberFormat="1" applyFont="1" applyFill="1" applyBorder="1"/>
    <xf numFmtId="175" fontId="6" fillId="0" borderId="0" xfId="0" applyNumberFormat="1" applyFont="1" applyFill="1" applyBorder="1"/>
    <xf numFmtId="174" fontId="3" fillId="0" borderId="0" xfId="0" applyNumberFormat="1" applyFont="1" applyFill="1" applyBorder="1"/>
    <xf numFmtId="0" fontId="8" fillId="0" borderId="6" xfId="0" applyFont="1" applyFill="1" applyBorder="1" applyAlignment="1">
      <alignment horizontal="center"/>
    </xf>
    <xf numFmtId="172" fontId="1" fillId="0" borderId="10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left"/>
    </xf>
    <xf numFmtId="174" fontId="1" fillId="0" borderId="0" xfId="0" applyNumberFormat="1" applyFont="1" applyFill="1" applyAlignment="1">
      <alignment horizontal="center"/>
    </xf>
    <xf numFmtId="172" fontId="1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/>
    <xf numFmtId="3" fontId="1" fillId="0" borderId="0" xfId="0" applyNumberFormat="1" applyFont="1" applyFill="1" applyBorder="1" applyAlignment="1">
      <alignment horizontal="centerContinuous"/>
    </xf>
    <xf numFmtId="174" fontId="1" fillId="0" borderId="0" xfId="0" applyNumberFormat="1" applyFont="1" applyFill="1" applyAlignment="1">
      <alignment horizontal="centerContinuous"/>
    </xf>
    <xf numFmtId="3" fontId="1" fillId="0" borderId="1" xfId="0" applyNumberFormat="1" applyFont="1" applyFill="1" applyBorder="1" applyAlignment="1">
      <alignment horizontal="center"/>
    </xf>
    <xf numFmtId="9" fontId="3" fillId="0" borderId="0" xfId="0" applyNumberFormat="1" applyFont="1" applyFill="1" applyBorder="1"/>
    <xf numFmtId="165" fontId="1" fillId="0" borderId="19" xfId="0" applyNumberFormat="1" applyFont="1" applyFill="1" applyBorder="1" applyAlignment="1">
      <alignment horizontal="right"/>
    </xf>
    <xf numFmtId="174" fontId="1" fillId="0" borderId="2" xfId="0" applyNumberFormat="1" applyFont="1" applyFill="1" applyBorder="1"/>
    <xf numFmtId="174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Protection="1">
      <protection locked="0"/>
    </xf>
    <xf numFmtId="172" fontId="1" fillId="0" borderId="0" xfId="0" applyNumberFormat="1" applyFont="1" applyFill="1" applyBorder="1" applyProtection="1">
      <protection locked="0"/>
    </xf>
    <xf numFmtId="173" fontId="1" fillId="0" borderId="0" xfId="0" applyNumberFormat="1" applyFont="1" applyFill="1" applyBorder="1" applyAlignment="1">
      <alignment horizontal="left"/>
    </xf>
    <xf numFmtId="172" fontId="1" fillId="0" borderId="1" xfId="0" applyNumberFormat="1" applyFont="1" applyFill="1" applyBorder="1" applyAlignment="1">
      <alignment horizontal="right"/>
    </xf>
    <xf numFmtId="175" fontId="1" fillId="0" borderId="2" xfId="0" applyNumberFormat="1" applyFont="1" applyFill="1" applyBorder="1"/>
    <xf numFmtId="172" fontId="1" fillId="0" borderId="2" xfId="0" applyNumberFormat="1" applyFont="1" applyFill="1" applyBorder="1" applyAlignment="1">
      <alignment horizontal="right"/>
    </xf>
    <xf numFmtId="174" fontId="1" fillId="0" borderId="2" xfId="0" applyNumberFormat="1" applyFont="1" applyFill="1" applyBorder="1" applyAlignment="1">
      <alignment horizontal="right"/>
    </xf>
    <xf numFmtId="175" fontId="1" fillId="0" borderId="2" xfId="0" applyNumberFormat="1" applyFont="1" applyFill="1" applyBorder="1" applyAlignment="1">
      <alignment horizontal="right"/>
    </xf>
    <xf numFmtId="17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71" fontId="3" fillId="0" borderId="0" xfId="0" applyNumberFormat="1" applyFont="1" applyFill="1" applyBorder="1"/>
    <xf numFmtId="165" fontId="1" fillId="0" borderId="21" xfId="0" applyNumberFormat="1" applyFont="1" applyFill="1" applyBorder="1" applyAlignment="1">
      <alignment horizontal="center"/>
    </xf>
    <xf numFmtId="172" fontId="3" fillId="0" borderId="0" xfId="0" applyNumberFormat="1" applyFont="1" applyFill="1" applyBorder="1" applyAlignment="1">
      <alignment horizontal="right"/>
    </xf>
    <xf numFmtId="5" fontId="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/>
    <xf numFmtId="174" fontId="1" fillId="0" borderId="0" xfId="0" applyNumberFormat="1" applyFont="1" applyFill="1"/>
    <xf numFmtId="0" fontId="8" fillId="0" borderId="0" xfId="0" applyFont="1" applyFill="1" applyAlignment="1">
      <alignment horizontal="centerContinuous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41" fontId="1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18" fillId="0" borderId="0" xfId="0" applyNumberFormat="1" applyFont="1"/>
    <xf numFmtId="168" fontId="0" fillId="0" borderId="0" xfId="0" applyNumberFormat="1"/>
    <xf numFmtId="42" fontId="0" fillId="0" borderId="0" xfId="0" applyNumberFormat="1"/>
    <xf numFmtId="42" fontId="14" fillId="0" borderId="0" xfId="0" applyNumberFormat="1" applyFont="1"/>
    <xf numFmtId="10" fontId="0" fillId="0" borderId="0" xfId="0" applyNumberFormat="1" applyFont="1"/>
    <xf numFmtId="42" fontId="15" fillId="0" borderId="0" xfId="0" applyNumberFormat="1" applyFont="1"/>
    <xf numFmtId="168" fontId="0" fillId="0" borderId="2" xfId="0" applyNumberFormat="1" applyBorder="1"/>
    <xf numFmtId="3" fontId="0" fillId="0" borderId="1" xfId="0" applyNumberFormat="1" applyBorder="1"/>
    <xf numFmtId="42" fontId="0" fillId="0" borderId="1" xfId="0" applyNumberFormat="1" applyBorder="1"/>
    <xf numFmtId="42" fontId="14" fillId="0" borderId="1" xfId="0" applyNumberFormat="1" applyFont="1" applyBorder="1"/>
    <xf numFmtId="10" fontId="0" fillId="0" borderId="1" xfId="0" applyNumberFormat="1" applyFont="1" applyBorder="1"/>
    <xf numFmtId="3" fontId="0" fillId="0" borderId="0" xfId="0" applyNumberFormat="1"/>
    <xf numFmtId="10" fontId="0" fillId="0" borderId="0" xfId="0" applyNumberFormat="1"/>
    <xf numFmtId="0" fontId="19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3" fontId="21" fillId="0" borderId="0" xfId="0" applyNumberFormat="1" applyFont="1" applyBorder="1"/>
    <xf numFmtId="42" fontId="21" fillId="0" borderId="0" xfId="0" applyNumberFormat="1" applyFont="1" applyBorder="1"/>
    <xf numFmtId="0" fontId="21" fillId="0" borderId="0" xfId="0" applyFont="1"/>
    <xf numFmtId="42" fontId="21" fillId="0" borderId="0" xfId="0" applyNumberFormat="1" applyFont="1"/>
    <xf numFmtId="10" fontId="21" fillId="0" borderId="0" xfId="0" applyNumberFormat="1" applyFont="1"/>
    <xf numFmtId="0" fontId="21" fillId="0" borderId="0" xfId="0" applyFont="1" applyAlignment="1">
      <alignment horizontal="left"/>
    </xf>
    <xf numFmtId="164" fontId="21" fillId="0" borderId="0" xfId="0" applyNumberFormat="1" applyFont="1" applyFill="1"/>
    <xf numFmtId="166" fontId="21" fillId="0" borderId="0" xfId="0" applyNumberFormat="1" applyFont="1" applyFill="1"/>
    <xf numFmtId="0" fontId="21" fillId="0" borderId="0" xfId="0" applyFont="1" applyFill="1" applyBorder="1" applyAlignment="1">
      <alignment horizontal="left" vertical="center" textRotation="180"/>
    </xf>
    <xf numFmtId="0" fontId="21" fillId="0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164" fontId="21" fillId="0" borderId="1" xfId="0" applyNumberFormat="1" applyFont="1" applyFill="1" applyBorder="1"/>
    <xf numFmtId="168" fontId="0" fillId="0" borderId="1" xfId="0" applyNumberFormat="1" applyBorder="1"/>
    <xf numFmtId="166" fontId="21" fillId="0" borderId="1" xfId="0" applyNumberFormat="1" applyFont="1" applyFill="1" applyBorder="1"/>
    <xf numFmtId="0" fontId="21" fillId="0" borderId="0" xfId="0" applyFont="1" applyFill="1"/>
    <xf numFmtId="0" fontId="21" fillId="0" borderId="0" xfId="0" applyFont="1" applyBorder="1"/>
    <xf numFmtId="44" fontId="21" fillId="0" borderId="0" xfId="0" applyNumberFormat="1" applyFont="1"/>
    <xf numFmtId="0" fontId="14" fillId="0" borderId="0" xfId="0" applyFont="1"/>
    <xf numFmtId="0" fontId="14" fillId="0" borderId="2" xfId="0" applyFont="1" applyBorder="1" applyAlignment="1">
      <alignment horizontal="centerContinuous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23" fillId="0" borderId="0" xfId="0" applyFont="1"/>
    <xf numFmtId="179" fontId="14" fillId="0" borderId="0" xfId="0" applyNumberFormat="1" applyFont="1"/>
    <xf numFmtId="0" fontId="23" fillId="0" borderId="0" xfId="0" applyFont="1" applyBorder="1"/>
    <xf numFmtId="44" fontId="23" fillId="0" borderId="0" xfId="0" applyNumberFormat="1" applyFont="1" applyBorder="1"/>
    <xf numFmtId="44" fontId="14" fillId="0" borderId="0" xfId="0" applyNumberFormat="1" applyFont="1"/>
    <xf numFmtId="44" fontId="14" fillId="0" borderId="0" xfId="0" applyNumberFormat="1" applyFont="1" applyBorder="1"/>
    <xf numFmtId="44" fontId="14" fillId="0" borderId="1" xfId="0" applyNumberFormat="1" applyFont="1" applyBorder="1"/>
    <xf numFmtId="0" fontId="14" fillId="0" borderId="0" xfId="0" applyFont="1" applyBorder="1"/>
    <xf numFmtId="167" fontId="18" fillId="0" borderId="0" xfId="0" applyNumberFormat="1" applyFont="1"/>
    <xf numFmtId="167" fontId="23" fillId="0" borderId="0" xfId="0" applyNumberFormat="1" applyFont="1" applyBorder="1"/>
    <xf numFmtId="167" fontId="14" fillId="0" borderId="0" xfId="0" applyNumberFormat="1" applyFont="1"/>
    <xf numFmtId="167" fontId="0" fillId="0" borderId="0" xfId="0" applyNumberFormat="1" applyFont="1"/>
    <xf numFmtId="167" fontId="14" fillId="0" borderId="1" xfId="0" applyNumberFormat="1" applyFont="1" applyBorder="1"/>
    <xf numFmtId="167" fontId="0" fillId="0" borderId="0" xfId="0" applyNumberFormat="1" applyFont="1" applyFill="1"/>
    <xf numFmtId="179" fontId="14" fillId="0" borderId="1" xfId="0" applyNumberFormat="1" applyFont="1" applyBorder="1"/>
    <xf numFmtId="167" fontId="14" fillId="0" borderId="0" xfId="0" applyNumberFormat="1" applyFont="1" applyBorder="1"/>
    <xf numFmtId="165" fontId="14" fillId="0" borderId="0" xfId="0" applyNumberFormat="1" applyFont="1"/>
    <xf numFmtId="165" fontId="14" fillId="0" borderId="0" xfId="0" applyNumberFormat="1" applyFont="1" applyBorder="1"/>
    <xf numFmtId="10" fontId="14" fillId="0" borderId="0" xfId="0" applyNumberFormat="1" applyFont="1"/>
    <xf numFmtId="0" fontId="14" fillId="0" borderId="0" xfId="0" applyFont="1" applyFill="1" applyAlignment="1"/>
    <xf numFmtId="0" fontId="14" fillId="0" borderId="0" xfId="0" applyFont="1" applyAlignment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/>
    <xf numFmtId="164" fontId="0" fillId="0" borderId="0" xfId="0" applyNumberFormat="1" applyFont="1"/>
    <xf numFmtId="0" fontId="14" fillId="0" borderId="2" xfId="0" applyFont="1" applyFill="1" applyBorder="1" applyAlignment="1">
      <alignment horizontal="center"/>
    </xf>
    <xf numFmtId="168" fontId="15" fillId="0" borderId="0" xfId="0" applyNumberFormat="1" applyFont="1"/>
    <xf numFmtId="164" fontId="14" fillId="0" borderId="0" xfId="0" applyNumberFormat="1" applyFont="1"/>
    <xf numFmtId="3" fontId="14" fillId="0" borderId="0" xfId="0" applyNumberFormat="1" applyFont="1"/>
    <xf numFmtId="168" fontId="15" fillId="0" borderId="0" xfId="0" applyNumberFormat="1" applyFont="1" applyBorder="1"/>
    <xf numFmtId="3" fontId="14" fillId="0" borderId="1" xfId="0" applyNumberFormat="1" applyFont="1" applyFill="1" applyBorder="1"/>
    <xf numFmtId="164" fontId="0" fillId="0" borderId="1" xfId="0" applyNumberFormat="1" applyFont="1" applyBorder="1"/>
    <xf numFmtId="165" fontId="14" fillId="0" borderId="1" xfId="0" applyNumberFormat="1" applyFont="1" applyBorder="1"/>
    <xf numFmtId="3" fontId="14" fillId="0" borderId="0" xfId="0" applyNumberFormat="1" applyFont="1" applyFill="1"/>
    <xf numFmtId="8" fontId="14" fillId="0" borderId="0" xfId="0" applyNumberFormat="1" applyFont="1"/>
    <xf numFmtId="168" fontId="15" fillId="0" borderId="0" xfId="0" applyNumberFormat="1" applyFont="1" applyFill="1"/>
    <xf numFmtId="3" fontId="14" fillId="0" borderId="1" xfId="0" applyNumberFormat="1" applyFont="1" applyBorder="1"/>
    <xf numFmtId="0" fontId="14" fillId="0" borderId="0" xfId="0" applyFont="1" applyFill="1" applyBorder="1"/>
    <xf numFmtId="164" fontId="14" fillId="0" borderId="0" xfId="0" applyNumberFormat="1" applyFont="1" applyBorder="1"/>
    <xf numFmtId="0" fontId="14" fillId="0" borderId="0" xfId="0" applyFont="1" applyFill="1"/>
    <xf numFmtId="0" fontId="14" fillId="0" borderId="0" xfId="0" quotePrefix="1" applyFont="1" applyAlignment="1">
      <alignment vertical="top"/>
    </xf>
    <xf numFmtId="0" fontId="24" fillId="0" borderId="0" xfId="0" applyFont="1"/>
    <xf numFmtId="0" fontId="24" fillId="0" borderId="0" xfId="0" applyFont="1" applyFill="1"/>
    <xf numFmtId="41" fontId="14" fillId="0" borderId="0" xfId="0" quotePrefix="1" applyNumberFormat="1" applyFont="1" applyAlignment="1">
      <alignment horizontal="right"/>
    </xf>
    <xf numFmtId="0" fontId="14" fillId="0" borderId="0" xfId="0" applyFont="1" applyFill="1" applyBorder="1" applyAlignment="1">
      <alignment horizontal="left"/>
    </xf>
    <xf numFmtId="3" fontId="14" fillId="0" borderId="0" xfId="0" applyNumberFormat="1" applyFont="1" applyFill="1" applyBorder="1"/>
    <xf numFmtId="168" fontId="18" fillId="0" borderId="0" xfId="0" applyNumberFormat="1" applyFont="1"/>
    <xf numFmtId="168" fontId="18" fillId="0" borderId="0" xfId="0" applyNumberFormat="1" applyFont="1" applyBorder="1"/>
    <xf numFmtId="0" fontId="1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2" xfId="0" quotePrefix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Fill="1" applyAlignment="1">
      <alignment horizontal="centerContinuous"/>
    </xf>
    <xf numFmtId="0" fontId="14" fillId="0" borderId="0" xfId="0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164" fontId="8" fillId="0" borderId="0" xfId="0" applyNumberFormat="1" applyFont="1" applyFill="1"/>
    <xf numFmtId="168" fontId="8" fillId="0" borderId="0" xfId="0" applyNumberFormat="1" applyFont="1" applyFill="1"/>
    <xf numFmtId="166" fontId="8" fillId="0" borderId="0" xfId="0" applyNumberFormat="1" applyFont="1" applyFill="1"/>
    <xf numFmtId="169" fontId="1" fillId="0" borderId="0" xfId="0" applyNumberFormat="1" applyFont="1" applyFill="1"/>
    <xf numFmtId="3" fontId="9" fillId="0" borderId="0" xfId="0" applyNumberFormat="1" applyFont="1" applyFill="1"/>
    <xf numFmtId="164" fontId="3" fillId="0" borderId="0" xfId="0" applyNumberFormat="1" applyFont="1" applyFill="1"/>
    <xf numFmtId="164" fontId="8" fillId="0" borderId="0" xfId="0" applyNumberFormat="1" applyFont="1" applyFill="1" applyBorder="1"/>
    <xf numFmtId="168" fontId="7" fillId="0" borderId="0" xfId="0" applyNumberFormat="1" applyFont="1" applyFill="1" applyBorder="1"/>
    <xf numFmtId="169" fontId="8" fillId="0" borderId="0" xfId="0" applyNumberFormat="1" applyFont="1" applyFill="1"/>
    <xf numFmtId="168" fontId="7" fillId="0" borderId="0" xfId="0" applyNumberFormat="1" applyFont="1" applyFill="1"/>
    <xf numFmtId="165" fontId="8" fillId="0" borderId="2" xfId="0" applyNumberFormat="1" applyFont="1" applyFill="1" applyBorder="1"/>
    <xf numFmtId="164" fontId="8" fillId="0" borderId="2" xfId="0" applyNumberFormat="1" applyFont="1" applyFill="1" applyBorder="1"/>
    <xf numFmtId="168" fontId="1" fillId="0" borderId="0" xfId="0" applyNumberFormat="1" applyFont="1" applyFill="1" applyBorder="1"/>
    <xf numFmtId="164" fontId="5" fillId="0" borderId="6" xfId="0" applyNumberFormat="1" applyFont="1" applyFill="1" applyBorder="1"/>
    <xf numFmtId="10" fontId="5" fillId="0" borderId="5" xfId="0" applyNumberFormat="1" applyFont="1" applyFill="1" applyBorder="1"/>
    <xf numFmtId="0" fontId="10" fillId="0" borderId="0" xfId="0" quotePrefix="1" applyFont="1" applyFill="1" applyAlignment="1">
      <alignment horizontal="center" vertical="top"/>
    </xf>
    <xf numFmtId="0" fontId="1" fillId="0" borderId="0" xfId="0" quotePrefix="1" applyFont="1" applyFill="1" applyAlignment="1">
      <alignment horizontal="left"/>
    </xf>
    <xf numFmtId="0" fontId="1" fillId="0" borderId="3" xfId="0" applyFont="1" applyFill="1" applyBorder="1"/>
    <xf numFmtId="3" fontId="8" fillId="0" borderId="1" xfId="0" applyNumberFormat="1" applyFont="1" applyFill="1" applyBorder="1"/>
    <xf numFmtId="0" fontId="10" fillId="0" borderId="0" xfId="0" quotePrefix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8" fillId="0" borderId="0" xfId="0" applyFont="1" applyFill="1" applyAlignment="1"/>
    <xf numFmtId="42" fontId="1" fillId="0" borderId="0" xfId="0" applyNumberFormat="1" applyFont="1" applyFill="1"/>
    <xf numFmtId="9" fontId="8" fillId="0" borderId="0" xfId="0" applyNumberFormat="1" applyFont="1" applyFill="1"/>
    <xf numFmtId="0" fontId="1" fillId="0" borderId="0" xfId="0" applyFont="1" applyFill="1" applyAlignment="1">
      <alignment horizontal="left" indent="1"/>
    </xf>
    <xf numFmtId="164" fontId="4" fillId="0" borderId="0" xfId="0" applyNumberFormat="1" applyFont="1" applyFill="1" applyBorder="1"/>
    <xf numFmtId="170" fontId="1" fillId="0" borderId="0" xfId="0" applyNumberFormat="1" applyFont="1" applyFill="1" applyBorder="1"/>
    <xf numFmtId="5" fontId="1" fillId="0" borderId="1" xfId="0" applyNumberFormat="1" applyFont="1" applyFill="1" applyBorder="1"/>
    <xf numFmtId="5" fontId="7" fillId="0" borderId="0" xfId="0" applyNumberFormat="1" applyFont="1" applyFill="1"/>
    <xf numFmtId="41" fontId="7" fillId="0" borderId="0" xfId="0" applyNumberFormat="1" applyFont="1" applyFill="1"/>
    <xf numFmtId="3" fontId="15" fillId="0" borderId="0" xfId="0" applyNumberFormat="1" applyFont="1"/>
    <xf numFmtId="3" fontId="15" fillId="0" borderId="0" xfId="0" applyNumberFormat="1" applyFont="1" applyFill="1"/>
    <xf numFmtId="3" fontId="15" fillId="0" borderId="0" xfId="0" quotePrefix="1" applyNumberFormat="1" applyFont="1" applyFill="1"/>
    <xf numFmtId="167" fontId="15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/>
    <xf numFmtId="172" fontId="1" fillId="0" borderId="0" xfId="0" applyNumberFormat="1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2" fillId="0" borderId="0" xfId="0" applyFont="1"/>
    <xf numFmtId="3" fontId="1" fillId="0" borderId="0" xfId="0" applyNumberFormat="1" applyFont="1" applyBorder="1"/>
    <xf numFmtId="174" fontId="1" fillId="0" borderId="0" xfId="0" applyNumberFormat="1" applyFont="1"/>
    <xf numFmtId="174" fontId="1" fillId="0" borderId="0" xfId="0" applyNumberFormat="1" applyFont="1" applyBorder="1"/>
    <xf numFmtId="172" fontId="1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4" fontId="1" fillId="0" borderId="3" xfId="0" applyNumberFormat="1" applyFont="1" applyBorder="1" applyAlignment="1">
      <alignment horizontal="centerContinuous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Continuous"/>
    </xf>
    <xf numFmtId="174" fontId="1" fillId="0" borderId="1" xfId="0" applyNumberFormat="1" applyFont="1" applyBorder="1" applyAlignment="1">
      <alignment horizontal="left"/>
    </xf>
    <xf numFmtId="174" fontId="1" fillId="0" borderId="15" xfId="0" applyNumberFormat="1" applyFont="1" applyBorder="1" applyAlignment="1">
      <alignment horizontal="centerContinuous"/>
    </xf>
    <xf numFmtId="174" fontId="1" fillId="0" borderId="0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4" fontId="1" fillId="0" borderId="2" xfId="0" applyNumberFormat="1" applyFont="1" applyBorder="1" applyAlignment="1">
      <alignment horizontal="center"/>
    </xf>
    <xf numFmtId="173" fontId="1" fillId="0" borderId="17" xfId="0" applyNumberFormat="1" applyFont="1" applyBorder="1" applyAlignment="1">
      <alignment horizontal="center"/>
    </xf>
    <xf numFmtId="173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72" fontId="1" fillId="0" borderId="0" xfId="0" applyNumberFormat="1" applyFont="1" applyBorder="1" applyAlignment="1">
      <alignment horizontal="right"/>
    </xf>
    <xf numFmtId="0" fontId="2" fillId="0" borderId="18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0" borderId="3" xfId="0" applyFont="1" applyBorder="1"/>
    <xf numFmtId="3" fontId="1" fillId="0" borderId="3" xfId="0" applyNumberFormat="1" applyFont="1" applyBorder="1"/>
    <xf numFmtId="172" fontId="1" fillId="0" borderId="3" xfId="0" applyNumberFormat="1" applyFont="1" applyBorder="1"/>
    <xf numFmtId="165" fontId="1" fillId="0" borderId="15" xfId="0" applyNumberFormat="1" applyFont="1" applyBorder="1" applyAlignment="1">
      <alignment horizontal="right"/>
    </xf>
    <xf numFmtId="0" fontId="1" fillId="0" borderId="20" xfId="0" applyFont="1" applyBorder="1"/>
    <xf numFmtId="3" fontId="1" fillId="0" borderId="0" xfId="0" applyNumberFormat="1" applyFont="1" applyBorder="1" applyProtection="1">
      <protection locked="0"/>
    </xf>
    <xf numFmtId="172" fontId="1" fillId="0" borderId="0" xfId="0" applyNumberFormat="1" applyFont="1" applyBorder="1"/>
    <xf numFmtId="165" fontId="1" fillId="0" borderId="21" xfId="0" applyNumberFormat="1" applyFont="1" applyBorder="1" applyAlignment="1">
      <alignment horizontal="right"/>
    </xf>
    <xf numFmtId="174" fontId="6" fillId="0" borderId="0" xfId="0" applyNumberFormat="1" applyFont="1" applyFill="1" applyBorder="1"/>
    <xf numFmtId="165" fontId="1" fillId="0" borderId="21" xfId="0" applyNumberFormat="1" applyFont="1" applyBorder="1"/>
    <xf numFmtId="172" fontId="12" fillId="0" borderId="10" xfId="0" applyNumberFormat="1" applyFont="1" applyFill="1" applyBorder="1" applyAlignment="1">
      <alignment horizontal="center"/>
    </xf>
    <xf numFmtId="172" fontId="1" fillId="0" borderId="10" xfId="0" applyNumberFormat="1" applyFont="1" applyBorder="1" applyAlignment="1">
      <alignment horizontal="center"/>
    </xf>
    <xf numFmtId="0" fontId="2" fillId="0" borderId="20" xfId="0" applyFont="1" applyBorder="1"/>
    <xf numFmtId="0" fontId="1" fillId="0" borderId="0" xfId="0" applyFont="1" applyBorder="1" applyProtection="1">
      <protection locked="0"/>
    </xf>
    <xf numFmtId="172" fontId="1" fillId="0" borderId="1" xfId="0" applyNumberFormat="1" applyFont="1" applyBorder="1"/>
    <xf numFmtId="165" fontId="1" fillId="0" borderId="19" xfId="0" applyNumberFormat="1" applyFont="1" applyBorder="1"/>
    <xf numFmtId="172" fontId="1" fillId="0" borderId="5" xfId="0" applyNumberFormat="1" applyFont="1" applyBorder="1" applyAlignment="1">
      <alignment horizontal="center"/>
    </xf>
    <xf numFmtId="0" fontId="2" fillId="0" borderId="0" xfId="0" applyFont="1" applyBorder="1"/>
    <xf numFmtId="172" fontId="2" fillId="0" borderId="0" xfId="0" applyNumberFormat="1" applyFont="1" applyBorder="1"/>
    <xf numFmtId="173" fontId="1" fillId="0" borderId="0" xfId="0" applyNumberFormat="1" applyFont="1" applyBorder="1"/>
    <xf numFmtId="0" fontId="1" fillId="0" borderId="20" xfId="0" applyFont="1" applyBorder="1" applyProtection="1">
      <protection locked="0"/>
    </xf>
    <xf numFmtId="10" fontId="12" fillId="0" borderId="0" xfId="0" applyNumberFormat="1" applyFont="1" applyBorder="1" applyAlignment="1">
      <alignment horizontal="center"/>
    </xf>
    <xf numFmtId="0" fontId="2" fillId="0" borderId="3" xfId="0" applyFont="1" applyFill="1" applyBorder="1" applyProtection="1">
      <protection locked="0"/>
    </xf>
    <xf numFmtId="165" fontId="1" fillId="0" borderId="15" xfId="0" applyNumberFormat="1" applyFont="1" applyBorder="1"/>
    <xf numFmtId="0" fontId="1" fillId="0" borderId="0" xfId="0" applyFont="1" applyBorder="1" applyAlignment="1">
      <alignment horizontal="center"/>
    </xf>
    <xf numFmtId="172" fontId="1" fillId="0" borderId="0" xfId="0" applyNumberFormat="1" applyFont="1" applyBorder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180" fontId="1" fillId="0" borderId="0" xfId="0" applyNumberFormat="1" applyFont="1" applyFill="1" applyAlignment="1">
      <alignment horizontal="center"/>
    </xf>
    <xf numFmtId="180" fontId="1" fillId="0" borderId="0" xfId="0" applyNumberFormat="1" applyFont="1" applyFill="1"/>
    <xf numFmtId="3" fontId="1" fillId="0" borderId="0" xfId="0" applyNumberFormat="1" applyFont="1" applyBorder="1" applyAlignment="1" applyProtection="1">
      <alignment horizontal="center"/>
      <protection locked="0"/>
    </xf>
    <xf numFmtId="176" fontId="1" fillId="0" borderId="0" xfId="0" applyNumberFormat="1" applyFont="1" applyBorder="1" applyAlignment="1">
      <alignment horizontal="right"/>
    </xf>
    <xf numFmtId="0" fontId="2" fillId="0" borderId="16" xfId="0" applyFont="1" applyBorder="1"/>
    <xf numFmtId="0" fontId="2" fillId="0" borderId="2" xfId="0" applyFont="1" applyBorder="1"/>
    <xf numFmtId="172" fontId="2" fillId="0" borderId="2" xfId="0" applyNumberFormat="1" applyFont="1" applyBorder="1"/>
    <xf numFmtId="3" fontId="1" fillId="0" borderId="2" xfId="0" applyNumberFormat="1" applyFont="1" applyBorder="1"/>
    <xf numFmtId="0" fontId="1" fillId="0" borderId="2" xfId="0" applyFont="1" applyBorder="1"/>
    <xf numFmtId="174" fontId="1" fillId="0" borderId="2" xfId="0" applyNumberFormat="1" applyFont="1" applyBorder="1"/>
    <xf numFmtId="165" fontId="1" fillId="0" borderId="17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/>
    <xf numFmtId="172" fontId="1" fillId="0" borderId="0" xfId="0" applyNumberFormat="1" applyFont="1"/>
    <xf numFmtId="165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/>
    <xf numFmtId="172" fontId="1" fillId="0" borderId="13" xfId="0" applyNumberFormat="1" applyFont="1" applyFill="1" applyBorder="1"/>
    <xf numFmtId="0" fontId="25" fillId="0" borderId="0" xfId="0" applyFont="1" applyFill="1"/>
    <xf numFmtId="173" fontId="1" fillId="0" borderId="0" xfId="0" applyNumberFormat="1" applyFont="1" applyAlignment="1">
      <alignment horizontal="left"/>
    </xf>
    <xf numFmtId="173" fontId="1" fillId="0" borderId="0" xfId="0" applyNumberFormat="1" applyFont="1"/>
    <xf numFmtId="17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173" fontId="1" fillId="0" borderId="0" xfId="0" applyNumberFormat="1" applyFont="1" applyAlignment="1">
      <alignment horizontal="centerContinuous"/>
    </xf>
    <xf numFmtId="173" fontId="1" fillId="0" borderId="0" xfId="0" applyNumberFormat="1" applyFont="1" applyBorder="1" applyAlignment="1">
      <alignment horizontal="centerContinuous"/>
    </xf>
    <xf numFmtId="0" fontId="1" fillId="0" borderId="0" xfId="0" applyFont="1" applyAlignment="1"/>
    <xf numFmtId="174" fontId="1" fillId="0" borderId="0" xfId="0" applyNumberFormat="1" applyFont="1" applyAlignment="1"/>
    <xf numFmtId="165" fontId="1" fillId="0" borderId="0" xfId="0" applyNumberFormat="1" applyFont="1" applyAlignment="1"/>
    <xf numFmtId="165" fontId="1" fillId="0" borderId="17" xfId="0" applyNumberFormat="1" applyFont="1" applyBorder="1" applyAlignment="1">
      <alignment horizontal="center"/>
    </xf>
    <xf numFmtId="173" fontId="1" fillId="0" borderId="0" xfId="0" applyNumberFormat="1" applyFont="1" applyBorder="1" applyAlignment="1">
      <alignment horizontal="left"/>
    </xf>
    <xf numFmtId="17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3" xfId="0" applyFont="1" applyBorder="1" applyProtection="1">
      <protection locked="0"/>
    </xf>
    <xf numFmtId="3" fontId="1" fillId="0" borderId="3" xfId="0" applyNumberFormat="1" applyFont="1" applyFill="1" applyBorder="1"/>
    <xf numFmtId="165" fontId="1" fillId="0" borderId="0" xfId="0" applyNumberFormat="1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174" fontId="1" fillId="0" borderId="0" xfId="0" applyNumberFormat="1" applyFont="1" applyBorder="1" applyAlignment="1">
      <alignment horizontal="right"/>
    </xf>
    <xf numFmtId="10" fontId="12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2" xfId="0" applyFont="1" applyBorder="1" applyProtection="1">
      <protection locked="0"/>
    </xf>
    <xf numFmtId="172" fontId="1" fillId="0" borderId="2" xfId="0" applyNumberFormat="1" applyFont="1" applyBorder="1"/>
    <xf numFmtId="165" fontId="1" fillId="0" borderId="17" xfId="0" applyNumberFormat="1" applyFont="1" applyBorder="1"/>
    <xf numFmtId="165" fontId="1" fillId="0" borderId="0" xfId="0" applyNumberFormat="1" applyFont="1" applyBorder="1"/>
    <xf numFmtId="165" fontId="1" fillId="0" borderId="21" xfId="0" applyNumberFormat="1" applyFont="1" applyBorder="1" applyAlignment="1">
      <alignment horizontal="center"/>
    </xf>
    <xf numFmtId="168" fontId="1" fillId="0" borderId="0" xfId="0" applyNumberFormat="1" applyFont="1" applyBorder="1"/>
    <xf numFmtId="172" fontId="1" fillId="0" borderId="1" xfId="0" applyNumberFormat="1" applyFont="1" applyBorder="1" applyAlignment="1">
      <alignment horizontal="right"/>
    </xf>
    <xf numFmtId="8" fontId="1" fillId="0" borderId="0" xfId="0" applyNumberFormat="1" applyFont="1" applyBorder="1"/>
    <xf numFmtId="175" fontId="1" fillId="0" borderId="0" xfId="0" applyNumberFormat="1" applyFont="1" applyAlignment="1">
      <alignment horizontal="center"/>
    </xf>
    <xf numFmtId="172" fontId="1" fillId="0" borderId="2" xfId="0" applyNumberFormat="1" applyFont="1" applyBorder="1" applyAlignment="1">
      <alignment horizontal="center"/>
    </xf>
    <xf numFmtId="178" fontId="1" fillId="0" borderId="0" xfId="0" applyNumberFormat="1" applyFont="1"/>
    <xf numFmtId="178" fontId="1" fillId="0" borderId="0" xfId="0" applyNumberFormat="1" applyFont="1" applyBorder="1"/>
    <xf numFmtId="178" fontId="1" fillId="0" borderId="0" xfId="0" applyNumberFormat="1" applyFont="1" applyAlignment="1">
      <alignment horizontal="left"/>
    </xf>
    <xf numFmtId="3" fontId="1" fillId="0" borderId="0" xfId="0" applyNumberFormat="1" applyFont="1"/>
    <xf numFmtId="166" fontId="1" fillId="0" borderId="1" xfId="0" applyNumberFormat="1" applyFont="1" applyBorder="1"/>
    <xf numFmtId="178" fontId="1" fillId="0" borderId="1" xfId="0" applyNumberFormat="1" applyFont="1" applyBorder="1"/>
    <xf numFmtId="172" fontId="1" fillId="0" borderId="13" xfId="0" applyNumberFormat="1" applyFont="1" applyBorder="1"/>
    <xf numFmtId="175" fontId="1" fillId="0" borderId="0" xfId="0" applyNumberFormat="1" applyFont="1" applyAlignment="1">
      <alignment horizontal="centerContinuous"/>
    </xf>
    <xf numFmtId="0" fontId="5" fillId="0" borderId="0" xfId="0" applyFont="1" applyBorder="1" applyAlignment="1">
      <alignment horizontal="left"/>
    </xf>
    <xf numFmtId="175" fontId="1" fillId="0" borderId="0" xfId="0" applyNumberFormat="1" applyFont="1" applyBorder="1"/>
    <xf numFmtId="173" fontId="1" fillId="0" borderId="0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175" fontId="1" fillId="0" borderId="2" xfId="0" applyNumberFormat="1" applyFont="1" applyBorder="1" applyAlignment="1">
      <alignment horizontal="center"/>
    </xf>
    <xf numFmtId="173" fontId="1" fillId="0" borderId="21" xfId="0" applyNumberFormat="1" applyFont="1" applyBorder="1" applyAlignment="1">
      <alignment horizontal="right"/>
    </xf>
    <xf numFmtId="175" fontId="1" fillId="0" borderId="3" xfId="0" applyNumberFormat="1" applyFont="1" applyBorder="1"/>
    <xf numFmtId="3" fontId="1" fillId="0" borderId="3" xfId="0" applyNumberFormat="1" applyFont="1" applyFill="1" applyBorder="1" applyProtection="1">
      <protection locked="0"/>
    </xf>
    <xf numFmtId="174" fontId="1" fillId="0" borderId="3" xfId="0" applyNumberFormat="1" applyFont="1" applyFill="1" applyBorder="1"/>
    <xf numFmtId="174" fontId="1" fillId="0" borderId="3" xfId="0" applyNumberFormat="1" applyFont="1" applyBorder="1" applyAlignment="1">
      <alignment horizontal="right"/>
    </xf>
    <xf numFmtId="10" fontId="1" fillId="0" borderId="0" xfId="0" applyNumberFormat="1" applyFont="1" applyBorder="1" applyAlignment="1">
      <alignment horizontal="center"/>
    </xf>
    <xf numFmtId="7" fontId="1" fillId="0" borderId="0" xfId="0" applyNumberFormat="1" applyFont="1"/>
    <xf numFmtId="17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5" fontId="1" fillId="0" borderId="2" xfId="0" applyNumberFormat="1" applyFont="1" applyBorder="1"/>
    <xf numFmtId="174" fontId="1" fillId="0" borderId="2" xfId="0" applyNumberFormat="1" applyFont="1" applyBorder="1" applyAlignment="1">
      <alignment horizontal="right"/>
    </xf>
    <xf numFmtId="172" fontId="1" fillId="0" borderId="3" xfId="0" applyNumberFormat="1" applyFont="1" applyFill="1" applyBorder="1"/>
    <xf numFmtId="174" fontId="1" fillId="0" borderId="3" xfId="0" applyNumberFormat="1" applyFont="1" applyFill="1" applyBorder="1" applyAlignment="1">
      <alignment horizontal="right"/>
    </xf>
    <xf numFmtId="172" fontId="1" fillId="0" borderId="3" xfId="0" applyNumberFormat="1" applyFont="1" applyFill="1" applyBorder="1" applyAlignment="1">
      <alignment horizontal="right"/>
    </xf>
    <xf numFmtId="174" fontId="3" fillId="0" borderId="0" xfId="0" applyNumberFormat="1" applyFont="1" applyBorder="1" applyAlignment="1">
      <alignment horizontal="right"/>
    </xf>
    <xf numFmtId="175" fontId="1" fillId="0" borderId="0" xfId="0" applyNumberFormat="1" applyFont="1" applyBorder="1" applyAlignment="1">
      <alignment horizontal="center"/>
    </xf>
    <xf numFmtId="10" fontId="8" fillId="0" borderId="4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72" fontId="7" fillId="0" borderId="1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10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Protection="1">
      <protection locked="0"/>
    </xf>
    <xf numFmtId="165" fontId="1" fillId="0" borderId="15" xfId="0" applyNumberFormat="1" applyFont="1" applyFill="1" applyBorder="1" applyAlignment="1">
      <alignment horizontal="right"/>
    </xf>
    <xf numFmtId="5" fontId="1" fillId="0" borderId="0" xfId="0" applyNumberFormat="1" applyFont="1" applyBorder="1"/>
    <xf numFmtId="5" fontId="1" fillId="0" borderId="1" xfId="0" applyNumberFormat="1" applyFont="1" applyBorder="1"/>
    <xf numFmtId="5" fontId="1" fillId="0" borderId="0" xfId="0" applyNumberFormat="1" applyFont="1"/>
    <xf numFmtId="41" fontId="1" fillId="0" borderId="0" xfId="0" applyNumberFormat="1" applyFont="1"/>
    <xf numFmtId="42" fontId="1" fillId="0" borderId="0" xfId="0" applyNumberFormat="1" applyFont="1"/>
    <xf numFmtId="42" fontId="7" fillId="0" borderId="0" xfId="0" applyNumberFormat="1" applyFont="1"/>
    <xf numFmtId="175" fontId="1" fillId="0" borderId="0" xfId="0" applyNumberFormat="1" applyFont="1"/>
    <xf numFmtId="0" fontId="8" fillId="0" borderId="22" xfId="0" applyFont="1" applyBorder="1"/>
    <xf numFmtId="0" fontId="1" fillId="0" borderId="23" xfId="0" applyFont="1" applyBorder="1"/>
    <xf numFmtId="164" fontId="1" fillId="0" borderId="23" xfId="0" applyNumberFormat="1" applyFont="1" applyFill="1" applyBorder="1"/>
    <xf numFmtId="172" fontId="1" fillId="0" borderId="24" xfId="0" applyNumberFormat="1" applyFont="1" applyBorder="1"/>
    <xf numFmtId="0" fontId="8" fillId="0" borderId="25" xfId="0" applyFont="1" applyBorder="1"/>
    <xf numFmtId="0" fontId="1" fillId="0" borderId="26" xfId="0" applyFont="1" applyBorder="1"/>
    <xf numFmtId="164" fontId="1" fillId="0" borderId="26" xfId="0" applyNumberFormat="1" applyFont="1" applyFill="1" applyBorder="1"/>
    <xf numFmtId="172" fontId="1" fillId="0" borderId="27" xfId="0" applyNumberFormat="1" applyFont="1" applyBorder="1"/>
    <xf numFmtId="173" fontId="1" fillId="0" borderId="0" xfId="0" applyNumberFormat="1" applyFont="1" applyAlignment="1">
      <alignment horizontal="right"/>
    </xf>
    <xf numFmtId="3" fontId="6" fillId="0" borderId="0" xfId="0" applyNumberFormat="1" applyFont="1" applyFill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7" fontId="18" fillId="0" borderId="0" xfId="0" applyNumberFormat="1" applyFont="1" applyFill="1"/>
    <xf numFmtId="0" fontId="18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43" fontId="28" fillId="0" borderId="0" xfId="0" applyNumberFormat="1" applyFont="1" applyFill="1"/>
    <xf numFmtId="0" fontId="32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7" fillId="0" borderId="2" xfId="0" applyNumberFormat="1" applyFont="1" applyFill="1" applyBorder="1"/>
    <xf numFmtId="3" fontId="11" fillId="0" borderId="0" xfId="0" applyNumberFormat="1" applyFont="1" applyFill="1"/>
    <xf numFmtId="164" fontId="4" fillId="0" borderId="3" xfId="0" applyNumberFormat="1" applyFont="1" applyFill="1" applyBorder="1"/>
    <xf numFmtId="3" fontId="12" fillId="0" borderId="0" xfId="0" applyNumberFormat="1" applyFont="1" applyFill="1"/>
    <xf numFmtId="42" fontId="12" fillId="0" borderId="0" xfId="0" applyNumberFormat="1" applyFont="1" applyFill="1"/>
    <xf numFmtId="0" fontId="12" fillId="0" borderId="0" xfId="0" applyFont="1" applyFill="1"/>
    <xf numFmtId="42" fontId="12" fillId="0" borderId="0" xfId="0" applyNumberFormat="1" applyFont="1" applyFill="1" applyBorder="1"/>
    <xf numFmtId="3" fontId="3" fillId="0" borderId="0" xfId="0" applyNumberFormat="1" applyFont="1" applyFill="1" applyBorder="1"/>
    <xf numFmtId="3" fontId="12" fillId="0" borderId="1" xfId="0" applyNumberFormat="1" applyFont="1" applyFill="1" applyBorder="1"/>
    <xf numFmtId="167" fontId="12" fillId="0" borderId="0" xfId="0" applyNumberFormat="1" applyFont="1" applyFill="1"/>
    <xf numFmtId="0" fontId="1" fillId="0" borderId="0" xfId="0" applyFont="1" applyFill="1" applyAlignment="1">
      <alignment horizontal="center"/>
    </xf>
    <xf numFmtId="3" fontId="6" fillId="0" borderId="2" xfId="0" applyNumberFormat="1" applyFont="1" applyFill="1" applyBorder="1"/>
    <xf numFmtId="0" fontId="8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2" xfId="0" applyFont="1" applyFill="1" applyBorder="1"/>
    <xf numFmtId="17" fontId="6" fillId="0" borderId="2" xfId="0" applyNumberFormat="1" applyFont="1" applyFill="1" applyBorder="1" applyAlignment="1">
      <alignment horizontal="center"/>
    </xf>
    <xf numFmtId="17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 applyAlignment="1">
      <alignment horizontal="centerContinuous"/>
    </xf>
    <xf numFmtId="0" fontId="27" fillId="0" borderId="0" xfId="0" applyFont="1" applyBorder="1"/>
    <xf numFmtId="0" fontId="27" fillId="0" borderId="0" xfId="0" applyFont="1"/>
    <xf numFmtId="0" fontId="27" fillId="0" borderId="0" xfId="0" applyFont="1" applyFill="1"/>
    <xf numFmtId="0" fontId="2" fillId="0" borderId="29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/>
    </xf>
    <xf numFmtId="0" fontId="1" fillId="0" borderId="31" xfId="0" applyFont="1" applyFill="1" applyBorder="1"/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9" fontId="2" fillId="0" borderId="34" xfId="0" applyNumberFormat="1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left"/>
    </xf>
    <xf numFmtId="9" fontId="1" fillId="0" borderId="0" xfId="0" applyNumberFormat="1" applyFont="1" applyFill="1" applyBorder="1"/>
    <xf numFmtId="41" fontId="1" fillId="0" borderId="37" xfId="0" applyNumberFormat="1" applyFont="1" applyFill="1" applyBorder="1" applyAlignment="1"/>
    <xf numFmtId="10" fontId="1" fillId="0" borderId="0" xfId="0" applyNumberFormat="1" applyFont="1" applyFill="1" applyBorder="1" applyAlignment="1">
      <alignment horizontal="center"/>
    </xf>
    <xf numFmtId="10" fontId="1" fillId="0" borderId="37" xfId="0" applyNumberFormat="1" applyFont="1" applyFill="1" applyBorder="1" applyAlignment="1">
      <alignment horizontal="center"/>
    </xf>
    <xf numFmtId="41" fontId="1" fillId="0" borderId="35" xfId="0" applyNumberFormat="1" applyFont="1" applyFill="1" applyBorder="1" applyAlignment="1"/>
    <xf numFmtId="171" fontId="29" fillId="0" borderId="35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9" fontId="1" fillId="0" borderId="0" xfId="0" applyNumberFormat="1" applyFont="1" applyFill="1"/>
    <xf numFmtId="44" fontId="1" fillId="0" borderId="40" xfId="0" applyNumberFormat="1" applyFont="1" applyFill="1" applyBorder="1" applyAlignment="1"/>
    <xf numFmtId="42" fontId="1" fillId="0" borderId="40" xfId="0" applyNumberFormat="1" applyFont="1" applyFill="1" applyBorder="1" applyAlignment="1"/>
    <xf numFmtId="0" fontId="1" fillId="0" borderId="35" xfId="0" applyFont="1" applyFill="1" applyBorder="1"/>
    <xf numFmtId="0" fontId="28" fillId="0" borderId="0" xfId="0" applyFont="1" applyFill="1"/>
    <xf numFmtId="0" fontId="6" fillId="0" borderId="0" xfId="0" applyFont="1" applyFill="1"/>
    <xf numFmtId="171" fontId="1" fillId="0" borderId="0" xfId="0" applyNumberFormat="1" applyFont="1" applyFill="1" applyBorder="1"/>
    <xf numFmtId="171" fontId="1" fillId="0" borderId="37" xfId="0" applyNumberFormat="1" applyFont="1" applyFill="1" applyBorder="1"/>
    <xf numFmtId="165" fontId="31" fillId="0" borderId="35" xfId="0" applyNumberFormat="1" applyFont="1" applyFill="1" applyBorder="1" applyAlignment="1"/>
    <xf numFmtId="164" fontId="1" fillId="0" borderId="35" xfId="0" applyNumberFormat="1" applyFont="1" applyFill="1" applyBorder="1" applyAlignment="1">
      <alignment horizontal="center"/>
    </xf>
    <xf numFmtId="164" fontId="1" fillId="0" borderId="35" xfId="0" applyNumberFormat="1" applyFont="1" applyFill="1" applyBorder="1" applyAlignment="1"/>
    <xf numFmtId="0" fontId="1" fillId="0" borderId="36" xfId="0" applyFont="1" applyFill="1" applyBorder="1"/>
    <xf numFmtId="0" fontId="1" fillId="0" borderId="37" xfId="0" applyFont="1" applyFill="1" applyBorder="1" applyAlignment="1">
      <alignment horizontal="left"/>
    </xf>
    <xf numFmtId="41" fontId="1" fillId="0" borderId="35" xfId="0" applyNumberFormat="1" applyFont="1" applyFill="1" applyBorder="1" applyAlignment="1">
      <alignment horizontal="center"/>
    </xf>
    <xf numFmtId="0" fontId="1" fillId="0" borderId="36" xfId="0" applyFont="1" applyFill="1" applyBorder="1"/>
    <xf numFmtId="37" fontId="1" fillId="0" borderId="39" xfId="0" applyNumberFormat="1" applyFont="1" applyFill="1" applyBorder="1"/>
    <xf numFmtId="42" fontId="1" fillId="0" borderId="39" xfId="0" applyNumberFormat="1" applyFont="1" applyFill="1" applyBorder="1"/>
    <xf numFmtId="9" fontId="1" fillId="0" borderId="37" xfId="0" applyNumberFormat="1" applyFont="1" applyFill="1" applyBorder="1"/>
    <xf numFmtId="42" fontId="1" fillId="0" borderId="35" xfId="0" applyNumberFormat="1" applyFont="1" applyFill="1" applyBorder="1"/>
    <xf numFmtId="0" fontId="1" fillId="0" borderId="37" xfId="0" applyFont="1" applyFill="1" applyBorder="1"/>
    <xf numFmtId="164" fontId="1" fillId="0" borderId="35" xfId="0" applyNumberFormat="1" applyFont="1" applyFill="1" applyBorder="1"/>
    <xf numFmtId="0" fontId="30" fillId="0" borderId="36" xfId="0" applyFont="1" applyFill="1" applyBorder="1"/>
    <xf numFmtId="181" fontId="1" fillId="0" borderId="35" xfId="0" applyNumberFormat="1" applyFont="1" applyFill="1" applyBorder="1"/>
    <xf numFmtId="182" fontId="1" fillId="0" borderId="35" xfId="0" applyNumberFormat="1" applyFont="1" applyFill="1" applyBorder="1"/>
    <xf numFmtId="181" fontId="1" fillId="0" borderId="39" xfId="0" applyNumberFormat="1" applyFont="1" applyFill="1" applyBorder="1"/>
    <xf numFmtId="183" fontId="1" fillId="0" borderId="39" xfId="0" applyNumberFormat="1" applyFont="1" applyFill="1" applyBorder="1"/>
    <xf numFmtId="9" fontId="1" fillId="0" borderId="35" xfId="0" applyNumberFormat="1" applyFont="1" applyFill="1" applyBorder="1" applyAlignment="1">
      <alignment horizontal="center"/>
    </xf>
    <xf numFmtId="37" fontId="8" fillId="0" borderId="39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40" xfId="0" applyFont="1" applyFill="1" applyBorder="1"/>
    <xf numFmtId="0" fontId="1" fillId="0" borderId="41" xfId="0" applyFont="1" applyFill="1" applyBorder="1"/>
    <xf numFmtId="0" fontId="2" fillId="0" borderId="28" xfId="0" applyFont="1" applyFill="1" applyBorder="1"/>
    <xf numFmtId="0" fontId="2" fillId="0" borderId="42" xfId="0" applyFont="1" applyFill="1" applyBorder="1"/>
    <xf numFmtId="42" fontId="34" fillId="0" borderId="43" xfId="0" applyNumberFormat="1" applyFont="1" applyFill="1" applyBorder="1"/>
    <xf numFmtId="0" fontId="1" fillId="0" borderId="44" xfId="0" applyFont="1" applyFill="1" applyBorder="1"/>
    <xf numFmtId="0" fontId="1" fillId="0" borderId="0" xfId="0" applyFont="1" applyFill="1" applyBorder="1" applyAlignment="1">
      <alignment horizontal="left"/>
    </xf>
    <xf numFmtId="43" fontId="1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6" fontId="1" fillId="0" borderId="0" xfId="0" applyNumberFormat="1" applyFont="1" applyFill="1" applyBorder="1"/>
    <xf numFmtId="10" fontId="0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164" fontId="2" fillId="0" borderId="4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1" fillId="0" borderId="45" xfId="0" applyFont="1" applyFill="1" applyBorder="1" applyAlignment="1">
      <alignment horizontal="center"/>
    </xf>
    <xf numFmtId="43" fontId="1" fillId="0" borderId="45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81" fontId="1" fillId="0" borderId="0" xfId="0" applyNumberFormat="1" applyFont="1" applyFill="1" applyBorder="1"/>
    <xf numFmtId="0" fontId="1" fillId="0" borderId="47" xfId="0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41" fontId="1" fillId="0" borderId="0" xfId="0" applyNumberFormat="1" applyFont="1" applyFill="1" applyBorder="1"/>
    <xf numFmtId="41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/>
    <xf numFmtId="42" fontId="34" fillId="0" borderId="46" xfId="0" applyNumberFormat="1" applyFont="1" applyFill="1" applyBorder="1"/>
    <xf numFmtId="37" fontId="35" fillId="0" borderId="0" xfId="0" applyNumberFormat="1" applyFont="1" applyFill="1" applyBorder="1"/>
    <xf numFmtId="0" fontId="29" fillId="0" borderId="0" xfId="0" quotePrefix="1" applyFont="1" applyFill="1"/>
    <xf numFmtId="44" fontId="1" fillId="0" borderId="0" xfId="0" applyNumberFormat="1" applyFont="1" applyFill="1"/>
    <xf numFmtId="164" fontId="1" fillId="0" borderId="0" xfId="0" applyNumberFormat="1" applyFont="1" applyFill="1"/>
    <xf numFmtId="164" fontId="1" fillId="0" borderId="0" xfId="0" applyNumberFormat="1" applyFont="1"/>
    <xf numFmtId="44" fontId="1" fillId="0" borderId="0" xfId="0" applyNumberFormat="1" applyFont="1"/>
    <xf numFmtId="0" fontId="2" fillId="0" borderId="36" xfId="0" applyFont="1" applyFill="1" applyBorder="1"/>
    <xf numFmtId="42" fontId="2" fillId="0" borderId="43" xfId="0" applyNumberFormat="1" applyFont="1" applyFill="1" applyBorder="1"/>
    <xf numFmtId="42" fontId="0" fillId="0" borderId="0" xfId="0" applyNumberFormat="1" applyFont="1"/>
    <xf numFmtId="0" fontId="37" fillId="0" borderId="0" xfId="0" applyFont="1"/>
    <xf numFmtId="166" fontId="37" fillId="0" borderId="0" xfId="1" applyNumberFormat="1" applyFont="1"/>
    <xf numFmtId="44" fontId="14" fillId="0" borderId="1" xfId="0" applyNumberFormat="1" applyFont="1" applyFill="1" applyBorder="1"/>
    <xf numFmtId="44" fontId="14" fillId="0" borderId="0" xfId="0" applyNumberFormat="1" applyFont="1" applyFill="1" applyBorder="1"/>
    <xf numFmtId="44" fontId="0" fillId="0" borderId="0" xfId="0" applyNumberFormat="1" applyFont="1"/>
    <xf numFmtId="44" fontId="23" fillId="0" borderId="0" xfId="0" applyNumberFormat="1" applyFont="1" applyFill="1"/>
    <xf numFmtId="167" fontId="14" fillId="0" borderId="1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42" fontId="0" fillId="0" borderId="3" xfId="0" applyNumberFormat="1" applyBorder="1" applyAlignment="1">
      <alignment horizontal="center"/>
    </xf>
    <xf numFmtId="166" fontId="18" fillId="0" borderId="0" xfId="0" applyNumberFormat="1" applyFont="1" applyAlignment="1">
      <alignment horizontal="left"/>
    </xf>
    <xf numFmtId="42" fontId="18" fillId="0" borderId="0" xfId="0" applyNumberFormat="1" applyFont="1" applyAlignment="1">
      <alignment horizontal="left"/>
    </xf>
    <xf numFmtId="168" fontId="36" fillId="0" borderId="0" xfId="0" applyNumberFormat="1" applyFont="1"/>
    <xf numFmtId="166" fontId="0" fillId="0" borderId="0" xfId="0" applyNumberFormat="1" applyFont="1" applyAlignment="1">
      <alignment horizontal="left"/>
    </xf>
    <xf numFmtId="164" fontId="18" fillId="0" borderId="0" xfId="0" applyNumberFormat="1" applyFont="1" applyBorder="1"/>
    <xf numFmtId="10" fontId="37" fillId="0" borderId="0" xfId="0" applyNumberFormat="1" applyFont="1"/>
    <xf numFmtId="168" fontId="0" fillId="0" borderId="0" xfId="0" applyNumberFormat="1" applyFont="1"/>
    <xf numFmtId="168" fontId="0" fillId="0" borderId="0" xfId="0" applyNumberFormat="1" applyBorder="1"/>
    <xf numFmtId="0" fontId="0" fillId="0" borderId="0" xfId="0" applyBorder="1"/>
    <xf numFmtId="166" fontId="0" fillId="0" borderId="1" xfId="0" applyNumberFormat="1" applyBorder="1"/>
    <xf numFmtId="168" fontId="0" fillId="0" borderId="1" xfId="0" applyNumberFormat="1" applyFont="1" applyBorder="1"/>
    <xf numFmtId="42" fontId="0" fillId="0" borderId="0" xfId="0" applyNumberFormat="1" applyBorder="1"/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167" fontId="21" fillId="0" borderId="0" xfId="0" applyNumberFormat="1" applyFont="1" applyFill="1" applyBorder="1"/>
    <xf numFmtId="167" fontId="38" fillId="0" borderId="0" xfId="0" applyNumberFormat="1" applyFont="1" applyFill="1" applyBorder="1"/>
    <xf numFmtId="43" fontId="37" fillId="0" borderId="0" xfId="0" applyNumberFormat="1" applyFont="1"/>
    <xf numFmtId="164" fontId="21" fillId="0" borderId="0" xfId="0" applyNumberFormat="1" applyFont="1" applyBorder="1"/>
    <xf numFmtId="42" fontId="38" fillId="0" borderId="0" xfId="0" applyNumberFormat="1" applyFont="1" applyBorder="1"/>
    <xf numFmtId="168" fontId="21" fillId="0" borderId="0" xfId="0" applyNumberFormat="1" applyFont="1" applyFill="1"/>
    <xf numFmtId="0" fontId="21" fillId="0" borderId="0" xfId="0" applyFont="1" applyFill="1" applyBorder="1"/>
    <xf numFmtId="166" fontId="21" fillId="0" borderId="1" xfId="0" applyNumberFormat="1" applyFont="1" applyBorder="1" applyAlignment="1">
      <alignment horizontal="left"/>
    </xf>
    <xf numFmtId="164" fontId="21" fillId="0" borderId="1" xfId="0" applyNumberFormat="1" applyFont="1" applyBorder="1" applyAlignment="1">
      <alignment horizontal="left"/>
    </xf>
    <xf numFmtId="168" fontId="21" fillId="0" borderId="1" xfId="0" applyNumberFormat="1" applyFont="1" applyFill="1" applyBorder="1"/>
    <xf numFmtId="164" fontId="38" fillId="0" borderId="0" xfId="0" applyNumberFormat="1" applyFont="1" applyFill="1"/>
    <xf numFmtId="165" fontId="14" fillId="0" borderId="2" xfId="0" applyNumberFormat="1" applyFont="1" applyBorder="1"/>
    <xf numFmtId="168" fontId="18" fillId="0" borderId="0" xfId="0" applyNumberFormat="1" applyFont="1" applyFill="1"/>
    <xf numFmtId="168" fontId="15" fillId="0" borderId="0" xfId="0" applyNumberFormat="1" applyFont="1" applyFill="1" applyBorder="1"/>
    <xf numFmtId="44" fontId="15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4" fillId="0" borderId="2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7" fontId="8" fillId="0" borderId="0" xfId="0" applyNumberFormat="1" applyFont="1" applyFill="1" applyAlignment="1">
      <alignment horizontal="center"/>
    </xf>
    <xf numFmtId="0" fontId="33" fillId="0" borderId="0" xfId="0" applyFont="1" applyFill="1" applyAlignment="1">
      <alignment horizontal="center" vertical="top"/>
    </xf>
    <xf numFmtId="174" fontId="1" fillId="0" borderId="3" xfId="0" applyNumberFormat="1" applyFont="1" applyBorder="1" applyAlignment="1">
      <alignment horizontal="center"/>
    </xf>
    <xf numFmtId="174" fontId="1" fillId="0" borderId="15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008080"/>
      <color rgb="FFFFCCFF"/>
      <color rgb="FFC9E7A7"/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95</xdr:row>
      <xdr:rowOff>11901</xdr:rowOff>
    </xdr:from>
    <xdr:to>
      <xdr:col>2</xdr:col>
      <xdr:colOff>2531594</xdr:colOff>
      <xdr:row>99</xdr:row>
      <xdr:rowOff>2294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219" y="16318701"/>
          <a:ext cx="5858200" cy="63809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273844</xdr:colOff>
      <xdr:row>84</xdr:row>
      <xdr:rowOff>119063</xdr:rowOff>
    </xdr:from>
    <xdr:to>
      <xdr:col>2</xdr:col>
      <xdr:colOff>2541123</xdr:colOff>
      <xdr:row>93</xdr:row>
      <xdr:rowOff>142685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844" y="14644688"/>
          <a:ext cx="5820104" cy="148094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214312</xdr:colOff>
      <xdr:row>60</xdr:row>
      <xdr:rowOff>71437</xdr:rowOff>
    </xdr:from>
    <xdr:to>
      <xdr:col>7</xdr:col>
      <xdr:colOff>68779</xdr:colOff>
      <xdr:row>83</xdr:row>
      <xdr:rowOff>85243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312" y="10710862"/>
          <a:ext cx="9903342" cy="373808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90" zoomScaleNormal="90" workbookViewId="0">
      <pane ySplit="8" topLeftCell="A9" activePane="bottomLeft" state="frozen"/>
      <selection pane="bottomLeft" activeCell="M26" sqref="M26"/>
    </sheetView>
  </sheetViews>
  <sheetFormatPr defaultColWidth="8.85546875" defaultRowHeight="12.75" x14ac:dyDescent="0.2"/>
  <cols>
    <col min="1" max="1" width="4.5703125" style="39" customWidth="1"/>
    <col min="2" max="2" width="2.85546875" style="39" customWidth="1"/>
    <col min="3" max="3" width="26.7109375" style="39" customWidth="1"/>
    <col min="4" max="4" width="8.85546875" style="39" customWidth="1"/>
    <col min="5" max="5" width="15.85546875" style="39" bestFit="1" customWidth="1"/>
    <col min="6" max="6" width="14.5703125" style="39" bestFit="1" customWidth="1"/>
    <col min="7" max="7" width="8.28515625" style="39" customWidth="1"/>
    <col min="8" max="8" width="13.28515625" style="39" customWidth="1"/>
    <col min="9" max="9" width="12.5703125" style="39" customWidth="1"/>
    <col min="10" max="10" width="13.42578125" style="39" customWidth="1"/>
    <col min="11" max="11" width="15.28515625" style="39" bestFit="1" customWidth="1"/>
    <col min="12" max="12" width="10" style="39" customWidth="1"/>
    <col min="13" max="13" width="14.5703125" style="39" customWidth="1"/>
    <col min="14" max="14" width="10.5703125" style="39" customWidth="1"/>
    <col min="15" max="16384" width="8.85546875" style="39"/>
  </cols>
  <sheetData>
    <row r="1" spans="1:14" ht="15" customHeight="1" x14ac:dyDescent="0.2">
      <c r="A1" s="126" t="s">
        <v>12</v>
      </c>
      <c r="B1" s="126"/>
      <c r="C1" s="126"/>
      <c r="D1" s="126"/>
      <c r="E1" s="126"/>
      <c r="F1" s="126"/>
      <c r="G1" s="126"/>
      <c r="H1" s="126"/>
      <c r="I1" s="126"/>
      <c r="J1" s="126"/>
      <c r="K1" s="29"/>
    </row>
    <row r="2" spans="1:14" s="38" customFormat="1" ht="15" customHeight="1" x14ac:dyDescent="0.2">
      <c r="A2" s="126" t="s">
        <v>281</v>
      </c>
      <c r="B2" s="126"/>
      <c r="C2" s="126"/>
      <c r="D2" s="126"/>
      <c r="E2" s="126"/>
      <c r="F2" s="126"/>
      <c r="G2" s="126"/>
      <c r="H2" s="227"/>
      <c r="I2" s="227"/>
      <c r="J2" s="227"/>
      <c r="K2" s="52"/>
    </row>
    <row r="3" spans="1:14" s="38" customFormat="1" ht="15" customHeight="1" x14ac:dyDescent="0.2">
      <c r="A3" s="52" t="s">
        <v>244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4" s="38" customFormat="1" ht="15" customHeight="1" x14ac:dyDescent="0.2">
      <c r="A4" s="52" t="s">
        <v>282</v>
      </c>
      <c r="B4" s="52"/>
      <c r="C4" s="52"/>
      <c r="D4" s="52"/>
      <c r="E4" s="52"/>
      <c r="F4" s="52"/>
      <c r="G4" s="52"/>
      <c r="H4" s="54"/>
      <c r="I4" s="54"/>
      <c r="J4" s="54"/>
      <c r="K4" s="52"/>
    </row>
    <row r="5" spans="1:14" s="38" customFormat="1" x14ac:dyDescent="0.2">
      <c r="I5" s="220"/>
    </row>
    <row r="6" spans="1:14" s="38" customFormat="1" x14ac:dyDescent="0.2">
      <c r="E6" s="434" t="s">
        <v>153</v>
      </c>
      <c r="F6" s="40" t="str">
        <f>+E6</f>
        <v>Forecasted</v>
      </c>
      <c r="G6" s="220"/>
      <c r="H6" s="220" t="s">
        <v>37</v>
      </c>
      <c r="I6" s="220" t="s">
        <v>26</v>
      </c>
      <c r="J6" s="220"/>
    </row>
    <row r="7" spans="1:14" s="38" customFormat="1" x14ac:dyDescent="0.2">
      <c r="A7" s="435" t="s">
        <v>35</v>
      </c>
      <c r="D7" s="220" t="s">
        <v>11</v>
      </c>
      <c r="E7" s="220" t="s">
        <v>83</v>
      </c>
      <c r="F7" s="40" t="s">
        <v>36</v>
      </c>
      <c r="G7" s="220" t="s">
        <v>9</v>
      </c>
      <c r="H7" s="220" t="s">
        <v>6</v>
      </c>
      <c r="I7" s="220" t="s">
        <v>104</v>
      </c>
      <c r="J7" s="220" t="s">
        <v>27</v>
      </c>
    </row>
    <row r="8" spans="1:14" s="38" customFormat="1" x14ac:dyDescent="0.2">
      <c r="A8" s="433" t="s">
        <v>284</v>
      </c>
      <c r="B8" s="597" t="s">
        <v>25</v>
      </c>
      <c r="C8" s="597"/>
      <c r="D8" s="14" t="s">
        <v>7</v>
      </c>
      <c r="E8" s="14" t="s">
        <v>283</v>
      </c>
      <c r="F8" s="14" t="s">
        <v>184</v>
      </c>
      <c r="G8" s="14" t="s">
        <v>34</v>
      </c>
      <c r="H8" s="14" t="s">
        <v>33</v>
      </c>
      <c r="I8" s="14" t="s">
        <v>71</v>
      </c>
      <c r="J8" s="14" t="s">
        <v>6</v>
      </c>
    </row>
    <row r="9" spans="1:14" s="38" customFormat="1" x14ac:dyDescent="0.2">
      <c r="A9" s="40"/>
      <c r="B9" s="40"/>
      <c r="C9" s="40" t="s">
        <v>254</v>
      </c>
      <c r="D9" s="40" t="s">
        <v>255</v>
      </c>
      <c r="E9" s="40" t="s">
        <v>285</v>
      </c>
      <c r="F9" s="40" t="s">
        <v>257</v>
      </c>
      <c r="G9" s="40" t="s">
        <v>258</v>
      </c>
      <c r="H9" s="40" t="s">
        <v>259</v>
      </c>
      <c r="I9" s="40" t="s">
        <v>260</v>
      </c>
      <c r="J9" s="40" t="s">
        <v>261</v>
      </c>
    </row>
    <row r="10" spans="1:14" s="38" customFormat="1" x14ac:dyDescent="0.2">
      <c r="A10" s="220">
        <v>1</v>
      </c>
      <c r="B10" s="38" t="s">
        <v>5</v>
      </c>
      <c r="D10" s="220" t="s">
        <v>24</v>
      </c>
      <c r="E10" s="1">
        <f>'Margin Revenue'!G10</f>
        <v>563922736</v>
      </c>
      <c r="F10" s="45">
        <f>+'Margin Revenue'!H10</f>
        <v>366613009.27642208</v>
      </c>
      <c r="G10" s="44">
        <f>F10/$F$48</f>
        <v>0.68939977258803498</v>
      </c>
      <c r="H10" s="229">
        <f>$H$50*G10</f>
        <v>7381670.8082107669</v>
      </c>
      <c r="I10" s="230">
        <f>ROUND(H10/E10,5)</f>
        <v>1.3089999999999999E-2</v>
      </c>
      <c r="J10" s="229">
        <f>E10*(I10)</f>
        <v>7381748.6142399991</v>
      </c>
      <c r="K10" s="231"/>
      <c r="L10" s="232"/>
      <c r="M10" s="37"/>
      <c r="N10" s="48"/>
    </row>
    <row r="11" spans="1:14" s="38" customFormat="1" x14ac:dyDescent="0.2">
      <c r="A11" s="220"/>
      <c r="D11" s="220"/>
      <c r="E11" s="233"/>
      <c r="F11" s="234"/>
      <c r="G11" s="44"/>
      <c r="H11" s="229"/>
      <c r="I11" s="230"/>
      <c r="J11" s="229"/>
      <c r="L11" s="232"/>
      <c r="M11" s="37"/>
      <c r="N11" s="48"/>
    </row>
    <row r="12" spans="1:14" s="38" customFormat="1" x14ac:dyDescent="0.2">
      <c r="A12" s="220">
        <v>2</v>
      </c>
      <c r="B12" s="38" t="s">
        <v>23</v>
      </c>
      <c r="D12" s="220" t="s">
        <v>32</v>
      </c>
      <c r="E12" s="1">
        <f>'Margin Revenue'!G13</f>
        <v>230136848</v>
      </c>
      <c r="F12" s="45">
        <f>+'Margin Revenue'!H13</f>
        <v>126505722.33625501</v>
      </c>
      <c r="G12" s="44">
        <f>F12/$F$48</f>
        <v>0.23788849277833909</v>
      </c>
      <c r="H12" s="229">
        <f>$H$50*G12</f>
        <v>2547164.3777295905</v>
      </c>
      <c r="I12" s="230">
        <f>ROUND(H12/E12,5)</f>
        <v>1.107E-2</v>
      </c>
      <c r="J12" s="229">
        <f>E12*(I12)</f>
        <v>2547614.9073600001</v>
      </c>
      <c r="K12" s="231"/>
      <c r="L12" s="232"/>
      <c r="M12" s="37"/>
      <c r="N12" s="48"/>
    </row>
    <row r="13" spans="1:14" s="38" customFormat="1" x14ac:dyDescent="0.2">
      <c r="A13" s="220"/>
      <c r="D13" s="220"/>
      <c r="E13" s="233"/>
      <c r="F13" s="20"/>
      <c r="G13" s="44"/>
      <c r="H13" s="229"/>
      <c r="I13" s="230"/>
      <c r="J13" s="229"/>
      <c r="L13" s="232"/>
      <c r="M13" s="37"/>
      <c r="N13" s="48"/>
    </row>
    <row r="14" spans="1:14" s="38" customFormat="1" x14ac:dyDescent="0.2">
      <c r="A14" s="220">
        <v>3</v>
      </c>
      <c r="B14" s="38" t="s">
        <v>22</v>
      </c>
      <c r="D14" s="220" t="s">
        <v>31</v>
      </c>
      <c r="E14" s="1">
        <f>'Margin Revenue'!G15</f>
        <v>84266685</v>
      </c>
      <c r="F14" s="45">
        <f>+'Margin Revenue'!H15</f>
        <v>22873682.838892799</v>
      </c>
      <c r="G14" s="44">
        <f>F14/F$48</f>
        <v>4.3012962847408943E-2</v>
      </c>
      <c r="H14" s="235">
        <f>$H$50*G14</f>
        <v>460556.4794914808</v>
      </c>
      <c r="I14" s="230">
        <f>ROUND(H14/E14,5)</f>
        <v>5.47E-3</v>
      </c>
      <c r="J14" s="229">
        <f>E14*(I14)</f>
        <v>460938.76695000002</v>
      </c>
      <c r="K14" s="23"/>
      <c r="L14" s="232"/>
      <c r="M14" s="37"/>
      <c r="N14" s="48"/>
    </row>
    <row r="15" spans="1:14" s="38" customFormat="1" x14ac:dyDescent="0.2">
      <c r="A15" s="220"/>
      <c r="D15" s="220"/>
      <c r="E15" s="30"/>
      <c r="F15" s="45"/>
      <c r="G15" s="44"/>
      <c r="H15" s="235"/>
      <c r="I15" s="230"/>
      <c r="J15" s="229"/>
      <c r="L15" s="232"/>
      <c r="M15" s="37"/>
      <c r="N15" s="48"/>
    </row>
    <row r="16" spans="1:14" s="38" customFormat="1" x14ac:dyDescent="0.2">
      <c r="A16" s="220">
        <v>4</v>
      </c>
      <c r="B16" s="38" t="s">
        <v>4</v>
      </c>
      <c r="D16" s="220">
        <v>85</v>
      </c>
      <c r="E16" s="1"/>
      <c r="F16" s="45"/>
      <c r="G16" s="44"/>
      <c r="H16" s="235"/>
      <c r="I16" s="230"/>
      <c r="J16" s="229"/>
      <c r="L16" s="232"/>
      <c r="M16" s="37"/>
      <c r="N16" s="48"/>
    </row>
    <row r="17" spans="1:14" s="38" customFormat="1" x14ac:dyDescent="0.2">
      <c r="A17" s="220">
        <v>5</v>
      </c>
      <c r="C17" s="38" t="s">
        <v>18</v>
      </c>
      <c r="D17" s="220"/>
      <c r="E17" s="1">
        <f>'Sch 85 87 Rate Calc'!F11</f>
        <v>6846892.8175931349</v>
      </c>
      <c r="F17" s="45"/>
      <c r="G17" s="44"/>
      <c r="H17" s="20"/>
      <c r="I17" s="236">
        <f>'Sch 85 87 Rate Calc'!K11</f>
        <v>3.8500000000000001E-3</v>
      </c>
      <c r="J17" s="229"/>
      <c r="K17" s="30"/>
      <c r="L17" s="232"/>
      <c r="M17" s="37"/>
      <c r="N17" s="48"/>
    </row>
    <row r="18" spans="1:14" s="38" customFormat="1" x14ac:dyDescent="0.2">
      <c r="A18" s="220">
        <v>6</v>
      </c>
      <c r="C18" s="38" t="s">
        <v>17</v>
      </c>
      <c r="D18" s="220"/>
      <c r="E18" s="1">
        <f>'Sch 85 87 Rate Calc'!F12</f>
        <v>4033898.3848563763</v>
      </c>
      <c r="F18" s="45"/>
      <c r="G18" s="44"/>
      <c r="H18" s="20"/>
      <c r="I18" s="236">
        <f>'Sch 85 87 Rate Calc'!K12</f>
        <v>2.32E-3</v>
      </c>
      <c r="J18" s="229"/>
      <c r="L18" s="232"/>
      <c r="M18" s="37"/>
      <c r="N18" s="48"/>
    </row>
    <row r="19" spans="1:14" s="38" customFormat="1" x14ac:dyDescent="0.2">
      <c r="A19" s="220">
        <v>7</v>
      </c>
      <c r="C19" s="38" t="s">
        <v>21</v>
      </c>
      <c r="D19" s="220"/>
      <c r="E19" s="438">
        <f>'Sch 85 87 Rate Calc'!F17</f>
        <v>6718598.7975504892</v>
      </c>
      <c r="F19" s="45"/>
      <c r="G19" s="44"/>
      <c r="H19" s="20"/>
      <c r="I19" s="236">
        <f>'Sch 85 87 Rate Calc'!K17</f>
        <v>1.2800000000000001E-3</v>
      </c>
      <c r="J19" s="229"/>
      <c r="L19" s="232"/>
      <c r="M19" s="37"/>
      <c r="N19" s="48"/>
    </row>
    <row r="20" spans="1:14" s="38" customFormat="1" x14ac:dyDescent="0.2">
      <c r="A20" s="220">
        <v>8</v>
      </c>
      <c r="C20" s="38" t="s">
        <v>0</v>
      </c>
      <c r="D20" s="220"/>
      <c r="E20" s="30">
        <f>SUM(E17:E19)</f>
        <v>17599390</v>
      </c>
      <c r="F20" s="45">
        <f>+'Margin Revenue'!H20</f>
        <v>2000272.3331180098</v>
      </c>
      <c r="G20" s="44">
        <f>F20/F$48</f>
        <v>3.7614248722034663E-3</v>
      </c>
      <c r="H20" s="235">
        <f>$H$50*G20</f>
        <v>40275.035299459181</v>
      </c>
      <c r="I20" s="230"/>
      <c r="J20" s="45">
        <f>'Sch 85 87 Rate Calc'!L18</f>
        <v>44318.988061464988</v>
      </c>
      <c r="L20" s="232"/>
      <c r="M20" s="37"/>
      <c r="N20" s="48"/>
    </row>
    <row r="21" spans="1:14" s="38" customFormat="1" x14ac:dyDescent="0.2">
      <c r="A21" s="220"/>
      <c r="D21" s="220"/>
      <c r="E21" s="30"/>
      <c r="F21" s="234"/>
      <c r="G21" s="44"/>
      <c r="H21" s="235"/>
      <c r="I21" s="230"/>
      <c r="J21" s="229"/>
      <c r="L21" s="232"/>
      <c r="M21" s="37"/>
      <c r="N21" s="48"/>
    </row>
    <row r="22" spans="1:14" s="38" customFormat="1" x14ac:dyDescent="0.2">
      <c r="A22" s="220">
        <v>9</v>
      </c>
      <c r="B22" s="38" t="s">
        <v>4</v>
      </c>
      <c r="D22" s="220" t="s">
        <v>30</v>
      </c>
      <c r="E22" s="439">
        <f>'Margin Revenue'!G17</f>
        <v>6326419</v>
      </c>
      <c r="F22" s="45">
        <f>'Margin Revenue'!H17</f>
        <v>1317387.161116688</v>
      </c>
      <c r="G22" s="44">
        <f>F22/F$48</f>
        <v>2.4772890931414391E-3</v>
      </c>
      <c r="H22" s="235">
        <f>$H$50*G22</f>
        <v>26525.295350320022</v>
      </c>
      <c r="I22" s="230">
        <f>ROUND(H22/E22,5)</f>
        <v>4.1900000000000001E-3</v>
      </c>
      <c r="J22" s="229">
        <f>E22*(I22)</f>
        <v>26507.695610000002</v>
      </c>
      <c r="L22" s="232"/>
      <c r="M22" s="37"/>
      <c r="N22" s="48"/>
    </row>
    <row r="23" spans="1:14" s="38" customFormat="1" x14ac:dyDescent="0.2">
      <c r="A23" s="220"/>
      <c r="D23" s="220"/>
      <c r="E23" s="30"/>
      <c r="F23" s="45"/>
      <c r="G23" s="44"/>
      <c r="H23" s="235"/>
      <c r="I23" s="230"/>
      <c r="J23" s="229"/>
      <c r="L23" s="232"/>
      <c r="M23" s="37"/>
      <c r="N23" s="48"/>
    </row>
    <row r="24" spans="1:14" s="38" customFormat="1" x14ac:dyDescent="0.2">
      <c r="A24" s="220">
        <v>10</v>
      </c>
      <c r="B24" s="38" t="s">
        <v>4</v>
      </c>
      <c r="D24" s="220">
        <v>87</v>
      </c>
      <c r="E24" s="30"/>
      <c r="F24" s="45"/>
      <c r="G24" s="44"/>
      <c r="H24" s="235"/>
      <c r="I24" s="230"/>
      <c r="J24" s="229"/>
      <c r="L24" s="232"/>
      <c r="M24" s="37"/>
      <c r="N24" s="48"/>
    </row>
    <row r="25" spans="1:14" s="38" customFormat="1" x14ac:dyDescent="0.2">
      <c r="A25" s="220">
        <v>11</v>
      </c>
      <c r="C25" s="38" t="s">
        <v>18</v>
      </c>
      <c r="D25" s="220"/>
      <c r="E25" s="1">
        <f>'Sch 85 87 Rate Calc'!F21</f>
        <v>1137123.5158992945</v>
      </c>
      <c r="F25" s="45"/>
      <c r="G25" s="44"/>
      <c r="H25" s="235"/>
      <c r="I25" s="236">
        <f>'Sch 85 87 Rate Calc'!K21</f>
        <v>3.8500000000000001E-3</v>
      </c>
      <c r="J25" s="229"/>
      <c r="L25" s="232"/>
      <c r="M25" s="37"/>
      <c r="N25" s="48"/>
    </row>
    <row r="26" spans="1:14" s="38" customFormat="1" x14ac:dyDescent="0.2">
      <c r="A26" s="220">
        <v>12</v>
      </c>
      <c r="C26" s="38" t="s">
        <v>17</v>
      </c>
      <c r="D26" s="220"/>
      <c r="E26" s="1">
        <f>'Sch 85 87 Rate Calc'!F22</f>
        <v>1137123.5158992945</v>
      </c>
      <c r="F26" s="45"/>
      <c r="G26" s="44"/>
      <c r="H26" s="235"/>
      <c r="I26" s="236">
        <f>'Sch 85 87 Rate Calc'!K22</f>
        <v>2.32E-3</v>
      </c>
      <c r="J26" s="229"/>
      <c r="L26" s="232"/>
      <c r="M26" s="37"/>
      <c r="N26" s="48"/>
    </row>
    <row r="27" spans="1:14" s="38" customFormat="1" x14ac:dyDescent="0.2">
      <c r="A27" s="220">
        <v>13</v>
      </c>
      <c r="C27" s="38" t="s">
        <v>16</v>
      </c>
      <c r="D27" s="220"/>
      <c r="E27" s="1">
        <f>'Sch 85 87 Rate Calc'!F23</f>
        <v>2129054.3632739177</v>
      </c>
      <c r="F27" s="45"/>
      <c r="G27" s="44"/>
      <c r="H27" s="235"/>
      <c r="I27" s="236">
        <f>'Sch 85 87 Rate Calc'!K23</f>
        <v>1.48E-3</v>
      </c>
      <c r="J27" s="229"/>
      <c r="L27" s="232"/>
      <c r="M27" s="37"/>
      <c r="N27" s="48"/>
    </row>
    <row r="28" spans="1:14" s="38" customFormat="1" x14ac:dyDescent="0.2">
      <c r="A28" s="220">
        <v>14</v>
      </c>
      <c r="C28" s="38" t="s">
        <v>15</v>
      </c>
      <c r="D28" s="220"/>
      <c r="E28" s="1">
        <f>'Sch 85 87 Rate Calc'!F24</f>
        <v>2941152.9170207866</v>
      </c>
      <c r="F28" s="45"/>
      <c r="G28" s="44"/>
      <c r="H28" s="235"/>
      <c r="I28" s="236">
        <f>'Sch 85 87 Rate Calc'!K24</f>
        <v>9.5E-4</v>
      </c>
      <c r="J28" s="229"/>
      <c r="L28" s="232"/>
      <c r="M28" s="37"/>
      <c r="N28" s="48"/>
    </row>
    <row r="29" spans="1:14" s="38" customFormat="1" x14ac:dyDescent="0.2">
      <c r="A29" s="220">
        <v>15</v>
      </c>
      <c r="C29" s="38" t="s">
        <v>14</v>
      </c>
      <c r="D29" s="220"/>
      <c r="E29" s="1">
        <f>'Sch 85 87 Rate Calc'!F25</f>
        <v>3590384.1123941895</v>
      </c>
      <c r="F29" s="45"/>
      <c r="G29" s="44"/>
      <c r="H29" s="235"/>
      <c r="I29" s="236">
        <f>'Sch 85 87 Rate Calc'!K25</f>
        <v>6.8000000000000005E-4</v>
      </c>
      <c r="J29" s="229"/>
      <c r="L29" s="232"/>
      <c r="M29" s="37"/>
      <c r="N29" s="48"/>
    </row>
    <row r="30" spans="1:14" s="38" customFormat="1" x14ac:dyDescent="0.2">
      <c r="A30" s="220">
        <v>16</v>
      </c>
      <c r="C30" s="38" t="s">
        <v>19</v>
      </c>
      <c r="D30" s="220"/>
      <c r="E30" s="438">
        <f>'Sch 85 87 Rate Calc'!F26</f>
        <v>7679203.5755125172</v>
      </c>
      <c r="F30" s="45"/>
      <c r="G30" s="44"/>
      <c r="H30" s="235"/>
      <c r="I30" s="236">
        <f>'Sch 85 87 Rate Calc'!K26</f>
        <v>4.6000000000000001E-4</v>
      </c>
      <c r="J30" s="229"/>
      <c r="L30" s="232"/>
      <c r="M30" s="37"/>
      <c r="N30" s="48"/>
    </row>
    <row r="31" spans="1:14" s="38" customFormat="1" x14ac:dyDescent="0.2">
      <c r="A31" s="220">
        <v>17</v>
      </c>
      <c r="C31" s="38" t="s">
        <v>0</v>
      </c>
      <c r="D31" s="220"/>
      <c r="E31" s="30">
        <f>SUM(E25:E30)</f>
        <v>18614042</v>
      </c>
      <c r="F31" s="45">
        <f>+'Margin Revenue'!H21</f>
        <v>1288043.447946968</v>
      </c>
      <c r="G31" s="44">
        <f>F31/F$48</f>
        <v>2.4221095204742821E-3</v>
      </c>
      <c r="H31" s="235">
        <f>$H$50*G31</f>
        <v>25934.466259620425</v>
      </c>
      <c r="I31" s="230"/>
      <c r="J31" s="45">
        <f>'Sch 85 87 Rate Calc'!L27</f>
        <v>18935.042663077598</v>
      </c>
      <c r="L31" s="232"/>
      <c r="M31" s="37"/>
      <c r="N31" s="48"/>
    </row>
    <row r="32" spans="1:14" s="38" customFormat="1" x14ac:dyDescent="0.2">
      <c r="A32" s="220"/>
      <c r="D32" s="220"/>
      <c r="E32" s="30"/>
      <c r="F32" s="234"/>
      <c r="G32" s="44"/>
      <c r="H32" s="235"/>
      <c r="I32" s="230"/>
      <c r="J32" s="45"/>
      <c r="L32" s="237"/>
      <c r="M32" s="37"/>
      <c r="N32" s="48"/>
    </row>
    <row r="33" spans="1:14" s="38" customFormat="1" x14ac:dyDescent="0.2">
      <c r="A33" s="220">
        <f>A31+1</f>
        <v>18</v>
      </c>
      <c r="B33" s="38" t="s">
        <v>20</v>
      </c>
      <c r="D33" s="220" t="s">
        <v>3</v>
      </c>
      <c r="E33" s="30"/>
      <c r="F33" s="234"/>
      <c r="G33" s="44"/>
      <c r="H33" s="235"/>
      <c r="I33" s="230"/>
      <c r="J33" s="45"/>
      <c r="L33" s="237"/>
      <c r="M33" s="37"/>
      <c r="N33" s="48"/>
    </row>
    <row r="34" spans="1:14" s="38" customFormat="1" x14ac:dyDescent="0.2">
      <c r="A34" s="220">
        <f>A33+1</f>
        <v>19</v>
      </c>
      <c r="C34" s="38" t="s">
        <v>18</v>
      </c>
      <c r="D34" s="220"/>
      <c r="E34" s="1">
        <f>'Sch 85 87 Rate Calc'!F30</f>
        <v>21209594.445125196</v>
      </c>
      <c r="F34" s="234"/>
      <c r="G34" s="44"/>
      <c r="H34" s="235"/>
      <c r="I34" s="238">
        <f>'Sch 85 87 Rate Calc'!K30</f>
        <v>3.8500000000000001E-3</v>
      </c>
      <c r="J34" s="45"/>
      <c r="L34" s="237"/>
      <c r="M34" s="37"/>
      <c r="N34" s="48"/>
    </row>
    <row r="35" spans="1:14" s="38" customFormat="1" x14ac:dyDescent="0.2">
      <c r="A35" s="220">
        <f>A34+1</f>
        <v>20</v>
      </c>
      <c r="C35" s="38" t="s">
        <v>17</v>
      </c>
      <c r="D35" s="220"/>
      <c r="E35" s="1">
        <f>'Sch 85 87 Rate Calc'!F31</f>
        <v>13981781.880216485</v>
      </c>
      <c r="F35" s="234"/>
      <c r="G35" s="44"/>
      <c r="H35" s="235"/>
      <c r="I35" s="238">
        <f>'Sch 85 87 Rate Calc'!K31</f>
        <v>2.32E-3</v>
      </c>
      <c r="J35" s="45"/>
      <c r="L35" s="237"/>
      <c r="M35" s="37"/>
      <c r="N35" s="48"/>
    </row>
    <row r="36" spans="1:14" s="38" customFormat="1" x14ac:dyDescent="0.2">
      <c r="A36" s="220">
        <f>A35+1</f>
        <v>21</v>
      </c>
      <c r="C36" s="38" t="s">
        <v>21</v>
      </c>
      <c r="D36" s="220"/>
      <c r="E36" s="438">
        <f>'Sch 85 87 Rate Calc'!F36</f>
        <v>19806097.674658317</v>
      </c>
      <c r="F36" s="234"/>
      <c r="G36" s="44"/>
      <c r="H36" s="235"/>
      <c r="I36" s="238">
        <f>'Sch 85 87 Rate Calc'!K36</f>
        <v>1.2800000000000001E-3</v>
      </c>
      <c r="J36" s="45"/>
      <c r="L36" s="237"/>
      <c r="M36" s="37"/>
      <c r="N36" s="48"/>
    </row>
    <row r="37" spans="1:14" s="38" customFormat="1" x14ac:dyDescent="0.2">
      <c r="A37" s="220">
        <f>A36+1</f>
        <v>22</v>
      </c>
      <c r="C37" s="38" t="s">
        <v>0</v>
      </c>
      <c r="D37" s="220"/>
      <c r="E37" s="30">
        <f>SUM(E34:E36)</f>
        <v>54997474</v>
      </c>
      <c r="F37" s="45">
        <f>+'Margin Revenue'!H25</f>
        <v>5859812.9779068995</v>
      </c>
      <c r="G37" s="44">
        <f>F37/F$48</f>
        <v>1.1019122704757876E-2</v>
      </c>
      <c r="H37" s="235">
        <f>$H$50*G37</f>
        <v>117986.02151615416</v>
      </c>
      <c r="I37" s="230"/>
      <c r="J37" s="45">
        <f>'Sch 85 87 Rate Calc'!L37</f>
        <v>139446.47759939689</v>
      </c>
      <c r="L37" s="232"/>
      <c r="M37" s="37"/>
      <c r="N37" s="48"/>
    </row>
    <row r="38" spans="1:14" s="38" customFormat="1" x14ac:dyDescent="0.2">
      <c r="A38" s="220"/>
      <c r="D38" s="220"/>
      <c r="E38" s="30"/>
      <c r="F38" s="234"/>
      <c r="G38" s="44"/>
      <c r="H38" s="235"/>
      <c r="I38" s="230"/>
      <c r="J38" s="45"/>
      <c r="L38" s="237"/>
      <c r="M38" s="37"/>
      <c r="N38" s="48"/>
    </row>
    <row r="39" spans="1:14" s="38" customFormat="1" x14ac:dyDescent="0.2">
      <c r="A39" s="220">
        <f>A37+1</f>
        <v>23</v>
      </c>
      <c r="B39" s="38" t="s">
        <v>20</v>
      </c>
      <c r="D39" s="220" t="s">
        <v>291</v>
      </c>
      <c r="E39" s="30"/>
      <c r="F39" s="234"/>
      <c r="G39" s="44"/>
      <c r="H39" s="235"/>
      <c r="I39" s="230"/>
      <c r="J39" s="45"/>
      <c r="L39" s="237"/>
      <c r="M39" s="37"/>
      <c r="N39" s="48"/>
    </row>
    <row r="40" spans="1:14" s="38" customFormat="1" x14ac:dyDescent="0.2">
      <c r="A40" s="220">
        <f t="shared" ref="A40:A46" si="0">A39+1</f>
        <v>24</v>
      </c>
      <c r="C40" s="38" t="s">
        <v>18</v>
      </c>
      <c r="D40" s="220"/>
      <c r="E40" s="1">
        <f>'Sch 85 87 Rate Calc'!F40</f>
        <v>3524203.6818358256</v>
      </c>
      <c r="F40" s="234"/>
      <c r="G40" s="44"/>
      <c r="H40" s="235"/>
      <c r="I40" s="238">
        <f>'Sch 85 87 Rate Calc'!K40</f>
        <v>3.8500000000000001E-3</v>
      </c>
      <c r="J40" s="45"/>
      <c r="L40" s="237"/>
      <c r="M40" s="37"/>
      <c r="N40" s="48"/>
    </row>
    <row r="41" spans="1:14" s="38" customFormat="1" x14ac:dyDescent="0.2">
      <c r="A41" s="220">
        <f t="shared" si="0"/>
        <v>25</v>
      </c>
      <c r="C41" s="38" t="s">
        <v>17</v>
      </c>
      <c r="D41" s="220"/>
      <c r="E41" s="1">
        <f>'Sch 85 87 Rate Calc'!F41</f>
        <v>3524203.6818358256</v>
      </c>
      <c r="F41" s="234"/>
      <c r="G41" s="44"/>
      <c r="H41" s="235"/>
      <c r="I41" s="238">
        <f>'Sch 85 87 Rate Calc'!K41</f>
        <v>2.32E-3</v>
      </c>
      <c r="J41" s="45"/>
      <c r="L41" s="237"/>
      <c r="M41" s="37"/>
      <c r="N41" s="48"/>
    </row>
    <row r="42" spans="1:14" s="38" customFormat="1" x14ac:dyDescent="0.2">
      <c r="A42" s="220">
        <f t="shared" si="0"/>
        <v>26</v>
      </c>
      <c r="C42" s="38" t="s">
        <v>16</v>
      </c>
      <c r="D42" s="220"/>
      <c r="E42" s="1">
        <f>'Sch 85 87 Rate Calc'!F42</f>
        <v>7048407.3636716511</v>
      </c>
      <c r="F42" s="234"/>
      <c r="G42" s="44"/>
      <c r="H42" s="235"/>
      <c r="I42" s="238">
        <f>'Sch 85 87 Rate Calc'!K42</f>
        <v>1.48E-3</v>
      </c>
      <c r="J42" s="45"/>
      <c r="L42" s="237"/>
      <c r="M42" s="37"/>
      <c r="N42" s="48"/>
    </row>
    <row r="43" spans="1:14" s="38" customFormat="1" x14ac:dyDescent="0.2">
      <c r="A43" s="220">
        <f t="shared" si="0"/>
        <v>27</v>
      </c>
      <c r="C43" s="38" t="s">
        <v>15</v>
      </c>
      <c r="D43" s="220"/>
      <c r="E43" s="1">
        <f>'Sch 85 87 Rate Calc'!F43</f>
        <v>13460894.38432377</v>
      </c>
      <c r="F43" s="234"/>
      <c r="G43" s="44"/>
      <c r="H43" s="235"/>
      <c r="I43" s="238">
        <f>'Sch 85 87 Rate Calc'!K43</f>
        <v>9.5E-4</v>
      </c>
      <c r="J43" s="45"/>
      <c r="L43" s="237"/>
      <c r="M43" s="37"/>
      <c r="N43" s="48"/>
    </row>
    <row r="44" spans="1:14" s="38" customFormat="1" x14ac:dyDescent="0.2">
      <c r="A44" s="220">
        <f t="shared" si="0"/>
        <v>28</v>
      </c>
      <c r="C44" s="38" t="s">
        <v>14</v>
      </c>
      <c r="D44" s="220"/>
      <c r="E44" s="1">
        <f>'Sch 85 87 Rate Calc'!F44</f>
        <v>29939178.792059544</v>
      </c>
      <c r="F44" s="234"/>
      <c r="G44" s="44"/>
      <c r="H44" s="235"/>
      <c r="I44" s="238">
        <f>'Sch 85 87 Rate Calc'!K44</f>
        <v>6.8000000000000005E-4</v>
      </c>
      <c r="J44" s="45"/>
      <c r="L44" s="237"/>
      <c r="M44" s="37"/>
      <c r="N44" s="48"/>
    </row>
    <row r="45" spans="1:14" s="38" customFormat="1" x14ac:dyDescent="0.2">
      <c r="A45" s="220">
        <f t="shared" si="0"/>
        <v>29</v>
      </c>
      <c r="C45" s="38" t="s">
        <v>19</v>
      </c>
      <c r="D45" s="220"/>
      <c r="E45" s="438">
        <f>'Sch 85 87 Rate Calc'!F45</f>
        <v>50950577.096273385</v>
      </c>
      <c r="F45" s="234"/>
      <c r="G45" s="44"/>
      <c r="H45" s="235"/>
      <c r="I45" s="238">
        <f>'Sch 85 87 Rate Calc'!K45</f>
        <v>4.6000000000000001E-4</v>
      </c>
      <c r="J45" s="45"/>
      <c r="L45" s="237"/>
      <c r="M45" s="37"/>
      <c r="N45" s="48"/>
    </row>
    <row r="46" spans="1:14" s="38" customFormat="1" x14ac:dyDescent="0.2">
      <c r="A46" s="220">
        <f t="shared" si="0"/>
        <v>30</v>
      </c>
      <c r="C46" s="38" t="s">
        <v>0</v>
      </c>
      <c r="D46" s="220"/>
      <c r="E46" s="30">
        <f>SUM(E40:E45)</f>
        <v>108447465</v>
      </c>
      <c r="F46" s="45">
        <f>+'Margin Revenue'!H26</f>
        <v>5327869.1799454475</v>
      </c>
      <c r="G46" s="44">
        <f>F46/F$48</f>
        <v>1.0018825595639916E-2</v>
      </c>
      <c r="H46" s="235">
        <f>$H$50*G46</f>
        <v>107275.452317394</v>
      </c>
      <c r="I46" s="230"/>
      <c r="J46" s="45">
        <f>'Sch 85 87 Rate Calc'!L46</f>
        <v>88759.73632315491</v>
      </c>
      <c r="L46" s="232"/>
      <c r="M46" s="37"/>
      <c r="N46" s="48"/>
    </row>
    <row r="47" spans="1:14" s="38" customFormat="1" x14ac:dyDescent="0.2">
      <c r="A47" s="220"/>
      <c r="E47" s="64"/>
      <c r="F47" s="62"/>
      <c r="G47" s="239"/>
      <c r="H47" s="240"/>
      <c r="I47" s="36"/>
      <c r="J47" s="240"/>
      <c r="K47" s="62"/>
      <c r="L47" s="232"/>
      <c r="M47" s="241"/>
      <c r="N47" s="48"/>
    </row>
    <row r="48" spans="1:14" s="38" customFormat="1" x14ac:dyDescent="0.2">
      <c r="A48" s="220">
        <f>A46+1</f>
        <v>31</v>
      </c>
      <c r="C48" s="38" t="s">
        <v>0</v>
      </c>
      <c r="E48" s="12">
        <f>E10+E12+E14+E20+E22+E31+E37+E46</f>
        <v>1084311059</v>
      </c>
      <c r="F48" s="10">
        <f>F10+F12+F14+F20+F22+F31+F37+F46</f>
        <v>531785799.55160391</v>
      </c>
      <c r="G48" s="44">
        <f>SUM(G10:G47)</f>
        <v>1</v>
      </c>
      <c r="H48" s="10">
        <f>H10+H12+H14+H20+H22+H31+H37+H46</f>
        <v>10707387.936174788</v>
      </c>
      <c r="I48" s="230">
        <f>ROUND(J48/E48,5)</f>
        <v>9.8799999999999999E-3</v>
      </c>
      <c r="J48" s="10">
        <f>J10+J12+J14+J20+J22+J31+J37+J46</f>
        <v>10708270.228807094</v>
      </c>
      <c r="K48" s="242">
        <f>J48-H48</f>
        <v>882.29263230599463</v>
      </c>
      <c r="L48" s="232"/>
      <c r="M48" s="37"/>
      <c r="N48" s="48"/>
    </row>
    <row r="49" spans="1:13" s="38" customFormat="1" x14ac:dyDescent="0.2">
      <c r="A49" s="220"/>
      <c r="E49" s="41"/>
      <c r="F49" s="6"/>
      <c r="G49" s="41"/>
      <c r="H49" s="41"/>
      <c r="I49" s="41"/>
      <c r="J49" s="41"/>
      <c r="K49" s="243">
        <f>K48/H48</f>
        <v>8.2400361093220412E-5</v>
      </c>
      <c r="M49" s="49"/>
    </row>
    <row r="50" spans="1:13" s="38" customFormat="1" ht="15" customHeight="1" x14ac:dyDescent="0.2">
      <c r="A50" s="220">
        <f>A48+1</f>
        <v>32</v>
      </c>
      <c r="C50" s="38" t="s">
        <v>245</v>
      </c>
      <c r="E50" s="41"/>
      <c r="F50" s="6"/>
      <c r="G50" s="41"/>
      <c r="H50" s="45">
        <f>'Revenue Requirement'!G30</f>
        <v>10707387.936174786</v>
      </c>
      <c r="I50" s="41"/>
      <c r="J50" s="5"/>
      <c r="K50" s="41"/>
    </row>
    <row r="51" spans="1:13" s="38" customFormat="1" x14ac:dyDescent="0.2">
      <c r="H51" s="20"/>
      <c r="M51" s="49"/>
    </row>
    <row r="52" spans="1:13" x14ac:dyDescent="0.2">
      <c r="A52" s="32"/>
      <c r="C52" s="33"/>
      <c r="D52" s="33"/>
      <c r="E52" s="33"/>
      <c r="F52" s="33"/>
      <c r="G52" s="33"/>
    </row>
    <row r="53" spans="1:13" x14ac:dyDescent="0.2">
      <c r="B53" s="41"/>
      <c r="C53" s="41"/>
      <c r="G53" s="33"/>
    </row>
    <row r="54" spans="1:13" x14ac:dyDescent="0.2">
      <c r="B54" s="41"/>
      <c r="C54" s="34"/>
      <c r="D54" s="31"/>
      <c r="E54" s="31"/>
      <c r="G54" s="33"/>
    </row>
    <row r="55" spans="1:13" x14ac:dyDescent="0.2">
      <c r="B55" s="41"/>
      <c r="C55" s="31"/>
      <c r="D55" s="41"/>
      <c r="E55" s="41"/>
      <c r="F55" s="33"/>
      <c r="G55" s="33"/>
    </row>
    <row r="56" spans="1:13" x14ac:dyDescent="0.2">
      <c r="B56" s="41"/>
      <c r="C56" s="31"/>
      <c r="D56" s="42"/>
      <c r="E56" s="35"/>
      <c r="G56" s="33"/>
    </row>
    <row r="57" spans="1:13" x14ac:dyDescent="0.2">
      <c r="B57" s="33"/>
      <c r="C57" s="33"/>
      <c r="D57" s="42"/>
      <c r="E57" s="35"/>
      <c r="G57" s="33"/>
    </row>
    <row r="58" spans="1:13" x14ac:dyDescent="0.2">
      <c r="D58" s="42"/>
      <c r="E58" s="35"/>
    </row>
    <row r="59" spans="1:13" x14ac:dyDescent="0.2">
      <c r="D59" s="31"/>
      <c r="E59" s="31"/>
    </row>
    <row r="60" spans="1:13" x14ac:dyDescent="0.2">
      <c r="D60" s="31"/>
      <c r="E60" s="31"/>
    </row>
    <row r="61" spans="1:13" x14ac:dyDescent="0.2">
      <c r="D61" s="31"/>
      <c r="E61" s="31"/>
    </row>
  </sheetData>
  <mergeCells count="1">
    <mergeCell ref="B8:C8"/>
  </mergeCells>
  <printOptions horizontalCentered="1"/>
  <pageMargins left="0.75" right="0.75" top="1" bottom="1" header="0.5" footer="0.5"/>
  <pageSetup scale="75" orientation="portrait" blackAndWhite="1" horizontalDpi="300" verticalDpi="300" r:id="rId1"/>
  <headerFooter alignWithMargins="0">
    <oddFooter>&amp;L&amp;F 
&amp;A&amp;C&amp;P&amp;R&amp;D</oddFooter>
  </headerFooter>
  <customProperties>
    <customPr name="_pios_id" r:id="rId2"/>
    <customPr name="EpmWorksheetKeyString_GUID" r:id="rId3"/>
  </customProperties>
  <ignoredErrors>
    <ignoredError sqref="G48 I4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90" zoomScaleNormal="90" workbookViewId="0">
      <selection activeCell="C28" sqref="C28"/>
    </sheetView>
  </sheetViews>
  <sheetFormatPr defaultColWidth="9.140625" defaultRowHeight="12.75" x14ac:dyDescent="0.2"/>
  <cols>
    <col min="1" max="1" width="10.7109375" style="450" customWidth="1"/>
    <col min="2" max="2" width="12.140625" style="450" bestFit="1" customWidth="1"/>
    <col min="3" max="7" width="12.42578125" style="450" bestFit="1" customWidth="1"/>
    <col min="8" max="12" width="12.5703125" style="450" bestFit="1" customWidth="1"/>
    <col min="13" max="13" width="12.140625" style="450" bestFit="1" customWidth="1"/>
    <col min="14" max="14" width="13.85546875" style="450" customWidth="1"/>
    <col min="15" max="16384" width="9.140625" style="450"/>
  </cols>
  <sheetData>
    <row r="1" spans="1:14" x14ac:dyDescent="0.2">
      <c r="A1" s="606" t="s">
        <v>12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</row>
    <row r="2" spans="1:14" x14ac:dyDescent="0.2">
      <c r="A2" s="604" t="str">
        <f>Rates!A2</f>
        <v>2024 Gas Schedule 129 Low Income Program Rate Filing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</row>
    <row r="3" spans="1:14" x14ac:dyDescent="0.2">
      <c r="A3" s="604" t="s">
        <v>287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</row>
    <row r="4" spans="1:14" x14ac:dyDescent="0.2">
      <c r="A4" s="607" t="str">
        <f>TEXT(B7,"Mmmm YYYY - ")&amp;TEXT(M7,"Mmmm YYYY")</f>
        <v>October 2024 - September 2025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</row>
    <row r="5" spans="1:14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451"/>
      <c r="N5" s="451"/>
    </row>
    <row r="6" spans="1:14" x14ac:dyDescent="0.2">
      <c r="A6" s="452" t="s">
        <v>11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451"/>
      <c r="N6" s="451"/>
    </row>
    <row r="7" spans="1:14" x14ac:dyDescent="0.2">
      <c r="A7" s="453" t="s">
        <v>7</v>
      </c>
      <c r="B7" s="454">
        <v>45566</v>
      </c>
      <c r="C7" s="455">
        <f>EDATE(B7,1)</f>
        <v>45597</v>
      </c>
      <c r="D7" s="455">
        <f t="shared" ref="D7:M7" si="0">EDATE(C7,1)</f>
        <v>45627</v>
      </c>
      <c r="E7" s="455">
        <f t="shared" si="0"/>
        <v>45658</v>
      </c>
      <c r="F7" s="455">
        <f t="shared" si="0"/>
        <v>45689</v>
      </c>
      <c r="G7" s="455">
        <f t="shared" si="0"/>
        <v>45717</v>
      </c>
      <c r="H7" s="455">
        <f t="shared" si="0"/>
        <v>45748</v>
      </c>
      <c r="I7" s="455">
        <f t="shared" si="0"/>
        <v>45778</v>
      </c>
      <c r="J7" s="455">
        <f t="shared" si="0"/>
        <v>45809</v>
      </c>
      <c r="K7" s="455">
        <f t="shared" si="0"/>
        <v>45839</v>
      </c>
      <c r="L7" s="455">
        <f t="shared" si="0"/>
        <v>45870</v>
      </c>
      <c r="M7" s="455">
        <f t="shared" si="0"/>
        <v>45901</v>
      </c>
      <c r="N7" s="456" t="s">
        <v>0</v>
      </c>
    </row>
    <row r="8" spans="1:14" x14ac:dyDescent="0.2">
      <c r="A8" s="452">
        <v>16</v>
      </c>
      <c r="B8" s="424">
        <v>513</v>
      </c>
      <c r="C8" s="424">
        <v>513</v>
      </c>
      <c r="D8" s="424">
        <v>513</v>
      </c>
      <c r="E8" s="424">
        <v>513</v>
      </c>
      <c r="F8" s="424">
        <v>513</v>
      </c>
      <c r="G8" s="424">
        <v>513</v>
      </c>
      <c r="H8" s="424">
        <v>513</v>
      </c>
      <c r="I8" s="424">
        <v>513</v>
      </c>
      <c r="J8" s="424">
        <v>513</v>
      </c>
      <c r="K8" s="424">
        <v>513</v>
      </c>
      <c r="L8" s="424">
        <v>513</v>
      </c>
      <c r="M8" s="424">
        <v>513</v>
      </c>
      <c r="N8" s="50">
        <f t="shared" ref="N8:N22" si="1">SUM(B8:M8)</f>
        <v>6156</v>
      </c>
    </row>
    <row r="9" spans="1:14" x14ac:dyDescent="0.2">
      <c r="A9" s="452">
        <v>23</v>
      </c>
      <c r="B9" s="424">
        <v>42822302</v>
      </c>
      <c r="C9" s="424">
        <v>68561565</v>
      </c>
      <c r="D9" s="424">
        <v>88045090</v>
      </c>
      <c r="E9" s="424">
        <v>84091990</v>
      </c>
      <c r="F9" s="424">
        <v>72855060</v>
      </c>
      <c r="G9" s="424">
        <v>65707108</v>
      </c>
      <c r="H9" s="424">
        <v>45647376</v>
      </c>
      <c r="I9" s="424">
        <v>27871265</v>
      </c>
      <c r="J9" s="424">
        <v>19273637</v>
      </c>
      <c r="K9" s="424">
        <v>14492879</v>
      </c>
      <c r="L9" s="424">
        <v>14574848</v>
      </c>
      <c r="M9" s="424">
        <v>19979616</v>
      </c>
      <c r="N9" s="50">
        <f t="shared" si="1"/>
        <v>563922736</v>
      </c>
    </row>
    <row r="10" spans="1:14" x14ac:dyDescent="0.2">
      <c r="A10" s="452">
        <v>53</v>
      </c>
      <c r="B10" s="424">
        <v>0</v>
      </c>
      <c r="C10" s="424">
        <v>0</v>
      </c>
      <c r="D10" s="424">
        <v>0</v>
      </c>
      <c r="E10" s="424">
        <v>0</v>
      </c>
      <c r="F10" s="424">
        <v>0</v>
      </c>
      <c r="G10" s="424">
        <v>0</v>
      </c>
      <c r="H10" s="424">
        <v>0</v>
      </c>
      <c r="I10" s="424">
        <v>0</v>
      </c>
      <c r="J10" s="424">
        <v>0</v>
      </c>
      <c r="K10" s="424">
        <v>0</v>
      </c>
      <c r="L10" s="424">
        <v>0</v>
      </c>
      <c r="M10" s="424">
        <v>0</v>
      </c>
      <c r="N10" s="50">
        <f t="shared" si="1"/>
        <v>0</v>
      </c>
    </row>
    <row r="11" spans="1:14" x14ac:dyDescent="0.2">
      <c r="A11" s="452">
        <v>31</v>
      </c>
      <c r="B11" s="424">
        <v>19335828</v>
      </c>
      <c r="C11" s="424">
        <v>28059624</v>
      </c>
      <c r="D11" s="424">
        <v>34226937</v>
      </c>
      <c r="E11" s="424">
        <v>29692885</v>
      </c>
      <c r="F11" s="424">
        <v>26316395</v>
      </c>
      <c r="G11" s="424">
        <v>23569963</v>
      </c>
      <c r="H11" s="424">
        <v>16996414</v>
      </c>
      <c r="I11" s="424">
        <v>12050268</v>
      </c>
      <c r="J11" s="424">
        <v>9905036</v>
      </c>
      <c r="K11" s="424">
        <v>8713537</v>
      </c>
      <c r="L11" s="424">
        <v>9689232</v>
      </c>
      <c r="M11" s="424">
        <v>11580729</v>
      </c>
      <c r="N11" s="50">
        <f t="shared" si="1"/>
        <v>230136848</v>
      </c>
    </row>
    <row r="12" spans="1:14" x14ac:dyDescent="0.2">
      <c r="A12" s="452">
        <v>41</v>
      </c>
      <c r="B12" s="424">
        <v>5759243</v>
      </c>
      <c r="C12" s="424">
        <v>7645788</v>
      </c>
      <c r="D12" s="424">
        <v>8339839</v>
      </c>
      <c r="E12" s="424">
        <v>7128146</v>
      </c>
      <c r="F12" s="424">
        <v>6663689</v>
      </c>
      <c r="G12" s="424">
        <v>6195978</v>
      </c>
      <c r="H12" s="424">
        <v>4825720</v>
      </c>
      <c r="I12" s="424">
        <v>3787419</v>
      </c>
      <c r="J12" s="424">
        <v>3273804</v>
      </c>
      <c r="K12" s="424">
        <v>2790751</v>
      </c>
      <c r="L12" s="424">
        <v>3064107</v>
      </c>
      <c r="M12" s="424">
        <v>3691483</v>
      </c>
      <c r="N12" s="50">
        <f t="shared" si="1"/>
        <v>63165967</v>
      </c>
    </row>
    <row r="13" spans="1:14" x14ac:dyDescent="0.2">
      <c r="A13" s="452">
        <v>85</v>
      </c>
      <c r="B13" s="424">
        <v>1529560</v>
      </c>
      <c r="C13" s="424">
        <v>1521921</v>
      </c>
      <c r="D13" s="424">
        <v>1894548</v>
      </c>
      <c r="E13" s="424">
        <v>1910561</v>
      </c>
      <c r="F13" s="424">
        <v>1650567</v>
      </c>
      <c r="G13" s="424">
        <v>1719109</v>
      </c>
      <c r="H13" s="424">
        <v>1552464</v>
      </c>
      <c r="I13" s="424">
        <v>1422984</v>
      </c>
      <c r="J13" s="424">
        <v>1209166</v>
      </c>
      <c r="K13" s="424">
        <v>1112660</v>
      </c>
      <c r="L13" s="424">
        <v>1070071</v>
      </c>
      <c r="M13" s="424">
        <v>1005779</v>
      </c>
      <c r="N13" s="50">
        <f t="shared" si="1"/>
        <v>17599390</v>
      </c>
    </row>
    <row r="14" spans="1:14" x14ac:dyDescent="0.2">
      <c r="A14" s="452">
        <v>86</v>
      </c>
      <c r="B14" s="424">
        <v>252428</v>
      </c>
      <c r="C14" s="424">
        <v>470457</v>
      </c>
      <c r="D14" s="424">
        <v>751774</v>
      </c>
      <c r="E14" s="424">
        <v>800487</v>
      </c>
      <c r="F14" s="424">
        <v>670382</v>
      </c>
      <c r="G14" s="424">
        <v>676505</v>
      </c>
      <c r="H14" s="424">
        <v>514139</v>
      </c>
      <c r="I14" s="424">
        <v>381780</v>
      </c>
      <c r="J14" s="424">
        <v>224267</v>
      </c>
      <c r="K14" s="424">
        <v>109878</v>
      </c>
      <c r="L14" s="424">
        <v>44384</v>
      </c>
      <c r="M14" s="424">
        <v>69259</v>
      </c>
      <c r="N14" s="50">
        <f t="shared" si="1"/>
        <v>4965740</v>
      </c>
    </row>
    <row r="15" spans="1:14" x14ac:dyDescent="0.2">
      <c r="A15" s="452">
        <v>87</v>
      </c>
      <c r="B15" s="424">
        <v>1911160</v>
      </c>
      <c r="C15" s="424">
        <v>1765043</v>
      </c>
      <c r="D15" s="424">
        <v>2187646</v>
      </c>
      <c r="E15" s="424">
        <v>2060563</v>
      </c>
      <c r="F15" s="424">
        <v>1710298</v>
      </c>
      <c r="G15" s="424">
        <v>1713137</v>
      </c>
      <c r="H15" s="424">
        <v>1452440</v>
      </c>
      <c r="I15" s="424">
        <v>1346088</v>
      </c>
      <c r="J15" s="424">
        <v>1193038</v>
      </c>
      <c r="K15" s="424">
        <v>1170945</v>
      </c>
      <c r="L15" s="424">
        <v>1098169</v>
      </c>
      <c r="M15" s="424">
        <v>1005515</v>
      </c>
      <c r="N15" s="50">
        <f t="shared" si="1"/>
        <v>18614042</v>
      </c>
    </row>
    <row r="16" spans="1:14" x14ac:dyDescent="0.2">
      <c r="A16" s="452" t="s">
        <v>174</v>
      </c>
      <c r="B16" s="424">
        <v>0</v>
      </c>
      <c r="C16" s="424">
        <v>0</v>
      </c>
      <c r="D16" s="424">
        <v>0</v>
      </c>
      <c r="E16" s="424">
        <v>0</v>
      </c>
      <c r="F16" s="424">
        <v>0</v>
      </c>
      <c r="G16" s="424">
        <v>0</v>
      </c>
      <c r="H16" s="424">
        <v>0</v>
      </c>
      <c r="I16" s="424">
        <v>0</v>
      </c>
      <c r="J16" s="424">
        <v>0</v>
      </c>
      <c r="K16" s="424">
        <v>0</v>
      </c>
      <c r="L16" s="424">
        <v>0</v>
      </c>
      <c r="M16" s="424">
        <v>0</v>
      </c>
      <c r="N16" s="50">
        <f t="shared" si="1"/>
        <v>0</v>
      </c>
    </row>
    <row r="17" spans="1:14" x14ac:dyDescent="0.2">
      <c r="A17" s="452" t="s">
        <v>176</v>
      </c>
      <c r="B17" s="424">
        <v>1596812</v>
      </c>
      <c r="C17" s="424">
        <v>1900318</v>
      </c>
      <c r="D17" s="424">
        <v>1829538</v>
      </c>
      <c r="E17" s="424">
        <v>1787398</v>
      </c>
      <c r="F17" s="424">
        <v>1944865</v>
      </c>
      <c r="G17" s="424">
        <v>1713007</v>
      </c>
      <c r="H17" s="424">
        <v>1817525</v>
      </c>
      <c r="I17" s="424">
        <v>1715751</v>
      </c>
      <c r="J17" s="424">
        <v>1834118</v>
      </c>
      <c r="K17" s="424">
        <v>1639656</v>
      </c>
      <c r="L17" s="424">
        <v>1657073</v>
      </c>
      <c r="M17" s="424">
        <v>1664657</v>
      </c>
      <c r="N17" s="50">
        <f t="shared" si="1"/>
        <v>21100718</v>
      </c>
    </row>
    <row r="18" spans="1:14" x14ac:dyDescent="0.2">
      <c r="A18" s="452" t="s">
        <v>3</v>
      </c>
      <c r="B18" s="424">
        <v>4200151</v>
      </c>
      <c r="C18" s="424">
        <v>4779418</v>
      </c>
      <c r="D18" s="424">
        <v>4702902</v>
      </c>
      <c r="E18" s="424">
        <v>4307272</v>
      </c>
      <c r="F18" s="424">
        <v>5013043</v>
      </c>
      <c r="G18" s="424">
        <v>4437443</v>
      </c>
      <c r="H18" s="424">
        <v>4895422</v>
      </c>
      <c r="I18" s="424">
        <v>4556924</v>
      </c>
      <c r="J18" s="424">
        <v>4680219</v>
      </c>
      <c r="K18" s="424">
        <v>4330088</v>
      </c>
      <c r="L18" s="424">
        <v>4365135</v>
      </c>
      <c r="M18" s="424">
        <v>4729457</v>
      </c>
      <c r="N18" s="50">
        <f t="shared" si="1"/>
        <v>54997474</v>
      </c>
    </row>
    <row r="19" spans="1:14" x14ac:dyDescent="0.2">
      <c r="A19" s="452" t="s">
        <v>179</v>
      </c>
      <c r="B19" s="424">
        <v>102908</v>
      </c>
      <c r="C19" s="424">
        <v>120479</v>
      </c>
      <c r="D19" s="424">
        <v>112880</v>
      </c>
      <c r="E19" s="424">
        <v>105817</v>
      </c>
      <c r="F19" s="424">
        <v>123254</v>
      </c>
      <c r="G19" s="424">
        <v>110382</v>
      </c>
      <c r="H19" s="424">
        <v>125657</v>
      </c>
      <c r="I19" s="424">
        <v>113495</v>
      </c>
      <c r="J19" s="424">
        <v>121199</v>
      </c>
      <c r="K19" s="424">
        <v>106268</v>
      </c>
      <c r="L19" s="424">
        <v>102961</v>
      </c>
      <c r="M19" s="424">
        <v>115379</v>
      </c>
      <c r="N19" s="50">
        <f t="shared" si="1"/>
        <v>1360679</v>
      </c>
    </row>
    <row r="20" spans="1:14" x14ac:dyDescent="0.2">
      <c r="A20" s="452" t="s">
        <v>2</v>
      </c>
      <c r="B20" s="424">
        <v>6815735</v>
      </c>
      <c r="C20" s="424">
        <v>6191105</v>
      </c>
      <c r="D20" s="424">
        <v>6389382</v>
      </c>
      <c r="E20" s="424">
        <v>5343507</v>
      </c>
      <c r="F20" s="424">
        <v>7091666</v>
      </c>
      <c r="G20" s="424">
        <v>5600959</v>
      </c>
      <c r="H20" s="424">
        <v>6304355</v>
      </c>
      <c r="I20" s="424">
        <v>6072939</v>
      </c>
      <c r="J20" s="424">
        <v>6159153</v>
      </c>
      <c r="K20" s="424">
        <v>6412814</v>
      </c>
      <c r="L20" s="424">
        <v>6009451</v>
      </c>
      <c r="M20" s="424">
        <v>6460599</v>
      </c>
      <c r="N20" s="50">
        <f t="shared" si="1"/>
        <v>74851665</v>
      </c>
    </row>
    <row r="21" spans="1:14" x14ac:dyDescent="0.2">
      <c r="A21" s="452" t="s">
        <v>288</v>
      </c>
      <c r="B21" s="424">
        <v>2799650</v>
      </c>
      <c r="C21" s="424">
        <v>2799650</v>
      </c>
      <c r="D21" s="424">
        <v>2799650</v>
      </c>
      <c r="E21" s="424">
        <v>2799650</v>
      </c>
      <c r="F21" s="424">
        <v>2799650</v>
      </c>
      <c r="G21" s="424">
        <v>2799650</v>
      </c>
      <c r="H21" s="424">
        <v>2799650</v>
      </c>
      <c r="I21" s="424">
        <v>2799650</v>
      </c>
      <c r="J21" s="424">
        <v>2799650</v>
      </c>
      <c r="K21" s="424">
        <v>2799650</v>
      </c>
      <c r="L21" s="424">
        <v>2799650</v>
      </c>
      <c r="M21" s="424">
        <v>2799650</v>
      </c>
      <c r="N21" s="50">
        <f t="shared" si="1"/>
        <v>33595800</v>
      </c>
    </row>
    <row r="22" spans="1:14" x14ac:dyDescent="0.2">
      <c r="A22" s="457" t="s">
        <v>181</v>
      </c>
      <c r="B22" s="424">
        <v>2269288</v>
      </c>
      <c r="C22" s="424">
        <v>3450589</v>
      </c>
      <c r="D22" s="424">
        <v>3758236</v>
      </c>
      <c r="E22" s="424">
        <v>3482501</v>
      </c>
      <c r="F22" s="424">
        <v>4191398</v>
      </c>
      <c r="G22" s="424">
        <v>3055281</v>
      </c>
      <c r="H22" s="424">
        <v>2967362</v>
      </c>
      <c r="I22" s="424">
        <v>2280034</v>
      </c>
      <c r="J22" s="424">
        <v>2083748</v>
      </c>
      <c r="K22" s="424">
        <v>1865291</v>
      </c>
      <c r="L22" s="424">
        <v>1746292</v>
      </c>
      <c r="M22" s="424">
        <v>2093490</v>
      </c>
      <c r="N22" s="50">
        <f t="shared" si="1"/>
        <v>33243510</v>
      </c>
    </row>
    <row r="23" spans="1:14" x14ac:dyDescent="0.2">
      <c r="A23" s="452" t="s">
        <v>0</v>
      </c>
      <c r="B23" s="247">
        <f>SUM(B8:B22)</f>
        <v>89395578</v>
      </c>
      <c r="C23" s="247">
        <f t="shared" ref="C23:M23" si="2">SUM(C8:C22)</f>
        <v>127266470</v>
      </c>
      <c r="D23" s="247">
        <f t="shared" si="2"/>
        <v>155038935</v>
      </c>
      <c r="E23" s="247">
        <f t="shared" si="2"/>
        <v>143511290</v>
      </c>
      <c r="F23" s="247">
        <f t="shared" si="2"/>
        <v>131030780</v>
      </c>
      <c r="G23" s="247">
        <f t="shared" si="2"/>
        <v>117299035</v>
      </c>
      <c r="H23" s="247">
        <f t="shared" si="2"/>
        <v>89899037</v>
      </c>
      <c r="I23" s="247">
        <f t="shared" si="2"/>
        <v>64399110</v>
      </c>
      <c r="J23" s="247">
        <f t="shared" si="2"/>
        <v>52757548</v>
      </c>
      <c r="K23" s="247">
        <f t="shared" si="2"/>
        <v>45544930</v>
      </c>
      <c r="L23" s="247">
        <f t="shared" si="2"/>
        <v>46221886</v>
      </c>
      <c r="M23" s="247">
        <f t="shared" si="2"/>
        <v>55196126</v>
      </c>
      <c r="N23" s="247">
        <f>SUM(N8:N22)</f>
        <v>1117560725</v>
      </c>
    </row>
    <row r="24" spans="1:14" x14ac:dyDescent="0.2">
      <c r="A24" s="452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x14ac:dyDescent="0.2">
      <c r="A25" s="451" t="s">
        <v>289</v>
      </c>
      <c r="B25" s="451"/>
      <c r="C25" s="451"/>
      <c r="D25" s="451"/>
      <c r="E25" s="451"/>
      <c r="F25" s="451"/>
      <c r="G25" s="451"/>
      <c r="H25" s="451"/>
      <c r="I25" s="451"/>
      <c r="J25" s="451"/>
      <c r="K25" s="451"/>
      <c r="L25" s="451"/>
      <c r="M25" s="451"/>
      <c r="N25" s="451"/>
    </row>
    <row r="26" spans="1:14" x14ac:dyDescent="0.2">
      <c r="B26" s="451"/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70" orientation="landscape" blackAndWhite="1" r:id="rId1"/>
  <headerFooter>
    <oddFooter>&amp;L&amp;F 
&amp;A&amp;C&amp;P&amp;R&amp;D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6"/>
  <sheetViews>
    <sheetView zoomScale="90" zoomScaleNormal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J27" sqref="J27"/>
    </sheetView>
  </sheetViews>
  <sheetFormatPr defaultRowHeight="12.75" x14ac:dyDescent="0.2"/>
  <cols>
    <col min="1" max="1" width="8.5703125" style="462" customWidth="1"/>
    <col min="2" max="2" width="44.7109375" style="462" customWidth="1"/>
    <col min="3" max="3" width="40.85546875" style="462" customWidth="1"/>
    <col min="4" max="5" width="10.42578125" style="462" customWidth="1"/>
    <col min="6" max="6" width="19.140625" style="461" bestFit="1" customWidth="1"/>
    <col min="7" max="7" width="16.5703125" style="461" bestFit="1" customWidth="1"/>
    <col min="8" max="8" width="18" style="461" bestFit="1" customWidth="1"/>
    <col min="9" max="9" width="11.85546875" style="462" bestFit="1" customWidth="1"/>
    <col min="10" max="10" width="17.42578125" style="461" customWidth="1"/>
    <col min="11" max="14" width="9.140625" style="461"/>
    <col min="15" max="15" width="12.140625" style="461" bestFit="1" customWidth="1"/>
    <col min="16" max="22" width="9.140625" style="461"/>
    <col min="23" max="16384" width="9.140625" style="462"/>
  </cols>
  <sheetData>
    <row r="1" spans="1:23" ht="18" x14ac:dyDescent="0.25">
      <c r="A1" s="459" t="s">
        <v>246</v>
      </c>
      <c r="B1" s="460"/>
      <c r="C1" s="460"/>
      <c r="D1" s="460"/>
      <c r="E1" s="460"/>
      <c r="F1" s="460"/>
      <c r="G1" s="460"/>
      <c r="H1" s="460"/>
      <c r="I1" s="460"/>
    </row>
    <row r="2" spans="1:23" ht="18" x14ac:dyDescent="0.25">
      <c r="A2" s="459" t="s">
        <v>247</v>
      </c>
      <c r="B2" s="460"/>
      <c r="C2" s="460"/>
      <c r="D2" s="460"/>
      <c r="E2" s="460"/>
      <c r="F2" s="460"/>
      <c r="G2" s="460"/>
      <c r="H2" s="460"/>
      <c r="I2" s="460"/>
    </row>
    <row r="3" spans="1:23" ht="18" x14ac:dyDescent="0.25">
      <c r="A3" s="459" t="s">
        <v>248</v>
      </c>
      <c r="B3" s="463"/>
      <c r="C3" s="463"/>
      <c r="D3" s="463"/>
      <c r="E3" s="463"/>
      <c r="F3" s="463"/>
      <c r="G3" s="463"/>
      <c r="H3" s="463"/>
      <c r="I3" s="463"/>
    </row>
    <row r="4" spans="1:23" ht="18" x14ac:dyDescent="0.25">
      <c r="A4" s="459" t="s">
        <v>297</v>
      </c>
      <c r="B4" s="463"/>
      <c r="C4" s="463"/>
      <c r="D4" s="463"/>
      <c r="E4" s="463"/>
      <c r="F4" s="463"/>
      <c r="G4" s="463"/>
      <c r="H4" s="463"/>
      <c r="I4" s="463"/>
    </row>
    <row r="5" spans="1:23" s="465" customFormat="1" ht="17.25" customHeight="1" x14ac:dyDescent="0.25">
      <c r="A5" s="464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</row>
    <row r="6" spans="1:23" ht="39.75" customHeight="1" thickBot="1" x14ac:dyDescent="0.25">
      <c r="A6" s="467" t="s">
        <v>249</v>
      </c>
      <c r="B6" s="468"/>
      <c r="C6" s="469"/>
      <c r="D6" s="470" t="s">
        <v>56</v>
      </c>
      <c r="E6" s="471" t="s">
        <v>55</v>
      </c>
      <c r="F6" s="472" t="s">
        <v>250</v>
      </c>
      <c r="G6" s="472" t="s">
        <v>251</v>
      </c>
      <c r="H6" s="472" t="s">
        <v>252</v>
      </c>
      <c r="I6" s="473" t="s">
        <v>253</v>
      </c>
    </row>
    <row r="7" spans="1:23" x14ac:dyDescent="0.2">
      <c r="A7" s="474" t="s">
        <v>254</v>
      </c>
      <c r="B7" s="475" t="s">
        <v>255</v>
      </c>
      <c r="C7" s="476" t="s">
        <v>256</v>
      </c>
      <c r="D7" s="476" t="s">
        <v>257</v>
      </c>
      <c r="E7" s="477" t="s">
        <v>258</v>
      </c>
      <c r="F7" s="478" t="s">
        <v>259</v>
      </c>
      <c r="G7" s="478" t="s">
        <v>260</v>
      </c>
      <c r="H7" s="478" t="s">
        <v>261</v>
      </c>
      <c r="I7" s="478" t="s">
        <v>262</v>
      </c>
    </row>
    <row r="8" spans="1:23" x14ac:dyDescent="0.2">
      <c r="A8" s="474"/>
      <c r="B8" s="475"/>
      <c r="C8" s="476"/>
      <c r="D8" s="476"/>
      <c r="E8" s="477"/>
      <c r="F8" s="479"/>
      <c r="G8" s="479"/>
      <c r="H8" s="479"/>
      <c r="I8" s="479"/>
    </row>
    <row r="9" spans="1:23" x14ac:dyDescent="0.2">
      <c r="A9" s="474">
        <f>ROW()</f>
        <v>9</v>
      </c>
      <c r="B9" s="480" t="s">
        <v>298</v>
      </c>
      <c r="C9" s="476"/>
      <c r="D9" s="481"/>
      <c r="E9" s="481"/>
      <c r="F9" s="482">
        <v>58075551.387308091</v>
      </c>
      <c r="G9" s="482">
        <v>15036084.65658378</v>
      </c>
      <c r="H9" s="482">
        <v>73111636.043891877</v>
      </c>
      <c r="I9" s="479"/>
    </row>
    <row r="10" spans="1:23" x14ac:dyDescent="0.2">
      <c r="A10" s="474">
        <f>ROW()</f>
        <v>10</v>
      </c>
      <c r="B10" s="480" t="s">
        <v>263</v>
      </c>
      <c r="C10" s="476"/>
      <c r="D10" s="483">
        <v>2.8620799928117547E-2</v>
      </c>
      <c r="E10" s="484">
        <v>3.3048826788958624E-2</v>
      </c>
      <c r="F10" s="485">
        <f>(F9*D10)</f>
        <v>1662168.7369712542</v>
      </c>
      <c r="G10" s="485">
        <f>(G9*E10)</f>
        <v>496924.95739955577</v>
      </c>
      <c r="H10" s="485">
        <f>F10+G10</f>
        <v>2159093.6943708099</v>
      </c>
      <c r="I10" s="486" t="s">
        <v>264</v>
      </c>
    </row>
    <row r="11" spans="1:23" x14ac:dyDescent="0.2">
      <c r="A11" s="474">
        <f>ROW()</f>
        <v>11</v>
      </c>
      <c r="B11" s="480" t="s">
        <v>299</v>
      </c>
      <c r="C11" s="476"/>
      <c r="D11" s="483">
        <v>5.5792927848306115E-3</v>
      </c>
      <c r="E11" s="484">
        <v>3.1429996836243472E-2</v>
      </c>
      <c r="F11" s="485">
        <f>IF(D11&lt;0,0,D11)*F9</f>
        <v>324020.50483026745</v>
      </c>
      <c r="G11" s="485">
        <f>IF(E11&lt;0,0,E11)*G9</f>
        <v>472584.09318591724</v>
      </c>
      <c r="H11" s="485">
        <f>F11+G11</f>
        <v>796604.59801618475</v>
      </c>
      <c r="I11" s="486"/>
      <c r="W11" s="461"/>
    </row>
    <row r="12" spans="1:23" x14ac:dyDescent="0.2">
      <c r="A12" s="474">
        <f>ROW()</f>
        <v>12</v>
      </c>
      <c r="B12" s="480" t="s">
        <v>300</v>
      </c>
      <c r="C12" s="476"/>
      <c r="D12" s="483"/>
      <c r="E12" s="484"/>
      <c r="F12" s="485">
        <v>4393433</v>
      </c>
      <c r="G12" s="485">
        <v>1961711</v>
      </c>
      <c r="H12" s="485">
        <f>F12+G12</f>
        <v>6355144</v>
      </c>
      <c r="I12" s="486"/>
      <c r="W12" s="461"/>
    </row>
    <row r="13" spans="1:23" x14ac:dyDescent="0.2">
      <c r="A13" s="474">
        <f>ROW()</f>
        <v>13</v>
      </c>
      <c r="B13" s="487" t="s">
        <v>301</v>
      </c>
      <c r="C13" s="476"/>
      <c r="D13" s="483"/>
      <c r="E13" s="483"/>
      <c r="F13" s="485">
        <f>F14-SUM(F9:F12)</f>
        <v>5603932.9567274228</v>
      </c>
      <c r="G13" s="485">
        <f>G14-SUM(G9:G12)</f>
        <v>-5603932.9567274228</v>
      </c>
      <c r="H13" s="485">
        <f>F13+G13</f>
        <v>0</v>
      </c>
      <c r="I13" s="486"/>
      <c r="W13" s="461"/>
    </row>
    <row r="14" spans="1:23" x14ac:dyDescent="0.2">
      <c r="A14" s="474">
        <f>ROW()</f>
        <v>14</v>
      </c>
      <c r="B14" s="480" t="s">
        <v>302</v>
      </c>
      <c r="C14" s="488"/>
      <c r="D14" s="489">
        <v>0.85</v>
      </c>
      <c r="E14" s="489">
        <v>0.15</v>
      </c>
      <c r="F14" s="490">
        <f>H14*D14</f>
        <v>70059106.585837036</v>
      </c>
      <c r="G14" s="490">
        <f>H14*E14</f>
        <v>12363371.750441831</v>
      </c>
      <c r="H14" s="491">
        <f>SUM(H9:H12)</f>
        <v>82422478.336278871</v>
      </c>
      <c r="I14" s="492"/>
      <c r="J14" s="493"/>
      <c r="L14" s="494"/>
      <c r="U14" s="608" t="s">
        <v>303</v>
      </c>
      <c r="V14" s="608"/>
      <c r="W14" s="608"/>
    </row>
    <row r="15" spans="1:23" s="461" customFormat="1" x14ac:dyDescent="0.2">
      <c r="A15" s="474">
        <f>ROW()</f>
        <v>15</v>
      </c>
      <c r="B15" s="480"/>
      <c r="C15" s="488"/>
      <c r="D15" s="495"/>
      <c r="E15" s="496"/>
      <c r="F15" s="497">
        <f>F14/H14</f>
        <v>0.85</v>
      </c>
      <c r="G15" s="497">
        <f>G14/H14</f>
        <v>0.15</v>
      </c>
      <c r="H15" s="498"/>
      <c r="I15" s="492"/>
      <c r="U15" s="608"/>
      <c r="V15" s="608"/>
      <c r="W15" s="608"/>
    </row>
    <row r="16" spans="1:23" ht="13.5" customHeight="1" x14ac:dyDescent="0.2">
      <c r="A16" s="474">
        <f>ROW()</f>
        <v>16</v>
      </c>
      <c r="B16" s="480" t="s">
        <v>304</v>
      </c>
      <c r="C16" s="488"/>
      <c r="D16" s="495"/>
      <c r="E16" s="496"/>
      <c r="F16" s="499">
        <v>-528748.13824634906</v>
      </c>
      <c r="G16" s="499">
        <v>79222.051113773283</v>
      </c>
      <c r="H16" s="485">
        <f>SUM(F16:G16)</f>
        <v>-449526.08713257581</v>
      </c>
      <c r="I16" s="492"/>
      <c r="W16" s="461"/>
    </row>
    <row r="17" spans="1:23" x14ac:dyDescent="0.2">
      <c r="A17" s="474">
        <f>ROW()</f>
        <v>17</v>
      </c>
      <c r="B17" s="500" t="s">
        <v>305</v>
      </c>
      <c r="C17" s="488"/>
      <c r="D17" s="488"/>
      <c r="E17" s="501"/>
      <c r="F17" s="485">
        <v>1378754.4707383141</v>
      </c>
      <c r="G17" s="485">
        <v>-2220990.2390735466</v>
      </c>
      <c r="H17" s="485">
        <f>SUM(F17:G17)</f>
        <v>-842235.76833523251</v>
      </c>
      <c r="I17" s="492"/>
      <c r="W17" s="461"/>
    </row>
    <row r="18" spans="1:23" s="461" customFormat="1" x14ac:dyDescent="0.2">
      <c r="A18" s="474">
        <f>ROW()</f>
        <v>18</v>
      </c>
      <c r="B18" s="480" t="s">
        <v>306</v>
      </c>
      <c r="C18" s="476"/>
      <c r="D18" s="481"/>
      <c r="E18" s="481"/>
      <c r="F18" s="502">
        <v>631125</v>
      </c>
      <c r="G18" s="502">
        <v>111375</v>
      </c>
      <c r="H18" s="502">
        <f>F18+G18</f>
        <v>742500</v>
      </c>
      <c r="I18" s="477"/>
    </row>
    <row r="19" spans="1:23" x14ac:dyDescent="0.2">
      <c r="A19" s="474">
        <f>ROW()</f>
        <v>19</v>
      </c>
      <c r="B19" s="503" t="s">
        <v>265</v>
      </c>
      <c r="C19" s="488"/>
      <c r="D19" s="481">
        <f>D14</f>
        <v>0.85</v>
      </c>
      <c r="E19" s="481">
        <f>E14</f>
        <v>0.15</v>
      </c>
      <c r="F19" s="504">
        <f>H19*D19</f>
        <v>-763816.61300000001</v>
      </c>
      <c r="G19" s="504">
        <f>H19*E19</f>
        <v>-134791.16699999999</v>
      </c>
      <c r="H19" s="505">
        <v>-898607.78</v>
      </c>
      <c r="I19" s="492"/>
      <c r="W19" s="461"/>
    </row>
    <row r="20" spans="1:23" s="461" customFormat="1" x14ac:dyDescent="0.2">
      <c r="A20" s="474">
        <f>ROW()</f>
        <v>20</v>
      </c>
      <c r="B20" s="480"/>
      <c r="C20" s="488"/>
      <c r="D20" s="481"/>
      <c r="E20" s="506"/>
      <c r="F20" s="485"/>
      <c r="G20" s="485"/>
      <c r="H20" s="485"/>
      <c r="I20" s="492"/>
    </row>
    <row r="21" spans="1:23" s="461" customFormat="1" ht="14.1" customHeight="1" x14ac:dyDescent="0.2">
      <c r="A21" s="474">
        <f>ROW()</f>
        <v>21</v>
      </c>
      <c r="B21" s="500" t="s">
        <v>307</v>
      </c>
      <c r="C21" s="488"/>
      <c r="F21" s="507">
        <f>F14+SUM(F16:F19)</f>
        <v>70776421.305328995</v>
      </c>
      <c r="G21" s="507">
        <f>G14+SUM(G16:G19)</f>
        <v>10198187.395482058</v>
      </c>
      <c r="H21" s="507">
        <f>H14+SUM(H16:H19)</f>
        <v>80974608.700811058</v>
      </c>
      <c r="I21" s="492"/>
    </row>
    <row r="22" spans="1:23" s="461" customFormat="1" ht="14.1" customHeight="1" x14ac:dyDescent="0.2">
      <c r="A22" s="474">
        <f>ROW()</f>
        <v>22</v>
      </c>
      <c r="B22" s="503"/>
      <c r="C22" s="488"/>
      <c r="D22" s="488"/>
      <c r="E22" s="508"/>
      <c r="F22" s="509"/>
      <c r="G22" s="509"/>
      <c r="H22" s="509"/>
      <c r="I22" s="492"/>
    </row>
    <row r="23" spans="1:23" s="461" customFormat="1" ht="14.1" customHeight="1" x14ac:dyDescent="0.2">
      <c r="A23" s="474">
        <f>ROW()</f>
        <v>23</v>
      </c>
      <c r="B23" s="510" t="s">
        <v>266</v>
      </c>
      <c r="C23" s="488"/>
      <c r="D23" s="488"/>
      <c r="E23" s="508"/>
      <c r="F23" s="509"/>
      <c r="G23" s="509"/>
      <c r="H23" s="509"/>
      <c r="I23" s="492"/>
    </row>
    <row r="24" spans="1:23" s="461" customFormat="1" ht="14.1" customHeight="1" x14ac:dyDescent="0.2">
      <c r="A24" s="474">
        <f>ROW()</f>
        <v>24</v>
      </c>
      <c r="B24" s="503" t="s">
        <v>279</v>
      </c>
      <c r="C24" s="488"/>
      <c r="D24" s="488"/>
      <c r="E24" s="508"/>
      <c r="F24" s="511">
        <v>7.1970000000000003E-3</v>
      </c>
      <c r="G24" s="511">
        <v>4.1980000000000003E-3</v>
      </c>
      <c r="H24" s="509"/>
      <c r="I24" s="508"/>
    </row>
    <row r="25" spans="1:23" s="461" customFormat="1" ht="14.1" customHeight="1" x14ac:dyDescent="0.2">
      <c r="A25" s="474">
        <f>ROW()</f>
        <v>25</v>
      </c>
      <c r="B25" s="503" t="s">
        <v>267</v>
      </c>
      <c r="C25" s="488"/>
      <c r="D25" s="488"/>
      <c r="E25" s="508"/>
      <c r="F25" s="511">
        <v>5.0000000000000001E-3</v>
      </c>
      <c r="G25" s="511">
        <v>5.0000000000000001E-3</v>
      </c>
      <c r="H25" s="509"/>
      <c r="I25" s="508"/>
      <c r="M25" s="493"/>
    </row>
    <row r="26" spans="1:23" s="461" customFormat="1" ht="14.1" customHeight="1" x14ac:dyDescent="0.2">
      <c r="A26" s="474">
        <f>ROW()</f>
        <v>26</v>
      </c>
      <c r="B26" s="503" t="s">
        <v>268</v>
      </c>
      <c r="C26" s="488"/>
      <c r="D26" s="488"/>
      <c r="E26" s="508"/>
      <c r="F26" s="511">
        <v>3.8455000000000003E-2</v>
      </c>
      <c r="G26" s="511">
        <v>3.8358000000000003E-2</v>
      </c>
      <c r="H26" s="509"/>
      <c r="I26" s="508"/>
    </row>
    <row r="27" spans="1:23" s="461" customFormat="1" ht="14.1" customHeight="1" x14ac:dyDescent="0.2">
      <c r="A27" s="474">
        <f>ROW()</f>
        <v>27</v>
      </c>
      <c r="B27" s="503"/>
      <c r="C27" s="488"/>
      <c r="D27" s="488"/>
      <c r="E27" s="508"/>
      <c r="F27" s="512"/>
      <c r="G27" s="512"/>
      <c r="H27" s="509"/>
      <c r="I27" s="508"/>
    </row>
    <row r="28" spans="1:23" s="461" customFormat="1" ht="14.1" customHeight="1" x14ac:dyDescent="0.2">
      <c r="A28" s="474">
        <f>ROW()</f>
        <v>28</v>
      </c>
      <c r="B28" s="500" t="s">
        <v>269</v>
      </c>
      <c r="C28" s="488"/>
      <c r="D28" s="488"/>
      <c r="E28" s="508"/>
      <c r="F28" s="513">
        <f>1-SUM(F24:F26)</f>
        <v>0.94934799999999997</v>
      </c>
      <c r="G28" s="513">
        <f>1-SUM(G24:G26)</f>
        <v>0.95244399999999996</v>
      </c>
      <c r="H28" s="514"/>
      <c r="I28" s="508"/>
    </row>
    <row r="29" spans="1:23" s="461" customFormat="1" ht="14.1" customHeight="1" x14ac:dyDescent="0.2">
      <c r="A29" s="474">
        <f>ROW()</f>
        <v>29</v>
      </c>
      <c r="B29" s="503"/>
      <c r="C29" s="488"/>
      <c r="D29" s="488"/>
      <c r="E29" s="508"/>
      <c r="F29" s="509"/>
      <c r="G29" s="509"/>
      <c r="H29" s="509"/>
      <c r="I29" s="508"/>
    </row>
    <row r="30" spans="1:23" s="461" customFormat="1" ht="14.1" customHeight="1" thickBot="1" x14ac:dyDescent="0.25">
      <c r="A30" s="474">
        <f>ROW()</f>
        <v>30</v>
      </c>
      <c r="B30" s="551" t="s">
        <v>270</v>
      </c>
      <c r="C30" s="488"/>
      <c r="D30" s="488"/>
      <c r="E30" s="508"/>
      <c r="F30" s="552">
        <f>F21/F28</f>
        <v>74552662.780486181</v>
      </c>
      <c r="G30" s="552">
        <f>G21/G28</f>
        <v>10707387.936174786</v>
      </c>
      <c r="H30" s="552">
        <f>SUM(F30:G30)</f>
        <v>85260050.716660962</v>
      </c>
      <c r="I30" s="508"/>
    </row>
    <row r="31" spans="1:23" s="461" customFormat="1" ht="14.1" customHeight="1" thickTop="1" x14ac:dyDescent="0.2">
      <c r="A31" s="474">
        <f>ROW()</f>
        <v>31</v>
      </c>
      <c r="B31" s="503"/>
      <c r="C31" s="488"/>
      <c r="D31" s="488"/>
      <c r="E31" s="508"/>
      <c r="F31" s="515"/>
      <c r="G31" s="515"/>
      <c r="H31" s="515"/>
      <c r="I31" s="508"/>
    </row>
    <row r="32" spans="1:23" s="461" customFormat="1" ht="14.1" customHeight="1" x14ac:dyDescent="0.2">
      <c r="A32" s="474">
        <f>ROW()</f>
        <v>32</v>
      </c>
      <c r="B32" s="500" t="s">
        <v>308</v>
      </c>
      <c r="C32" s="488"/>
      <c r="D32" s="488"/>
      <c r="E32" s="488"/>
      <c r="F32" s="516">
        <v>57446758.364430211</v>
      </c>
      <c r="G32" s="516">
        <v>14986326.79216213</v>
      </c>
      <c r="H32" s="505">
        <f>SUM(F32:G32)</f>
        <v>72433085.156592339</v>
      </c>
      <c r="I32" s="508"/>
      <c r="Q32" s="494"/>
    </row>
    <row r="33" spans="1:15" s="461" customFormat="1" x14ac:dyDescent="0.2">
      <c r="A33" s="474">
        <f>ROW()</f>
        <v>33</v>
      </c>
      <c r="B33" s="517"/>
      <c r="C33" s="518"/>
      <c r="D33" s="518"/>
      <c r="E33" s="518"/>
      <c r="F33" s="519"/>
      <c r="G33" s="519"/>
      <c r="H33" s="519"/>
      <c r="I33" s="508"/>
    </row>
    <row r="34" spans="1:15" s="461" customFormat="1" ht="13.5" thickBot="1" x14ac:dyDescent="0.25">
      <c r="A34" s="474">
        <f>ROW()</f>
        <v>34</v>
      </c>
      <c r="B34" s="520" t="s">
        <v>271</v>
      </c>
      <c r="C34" s="521"/>
      <c r="D34" s="521"/>
      <c r="E34" s="522"/>
      <c r="F34" s="523">
        <f>F30-F32</f>
        <v>17105904.41605597</v>
      </c>
      <c r="G34" s="523">
        <f>G30-G32</f>
        <v>-4278938.8559873439</v>
      </c>
      <c r="H34" s="523">
        <f>H30-H32</f>
        <v>12826965.560068622</v>
      </c>
      <c r="I34" s="524"/>
    </row>
    <row r="35" spans="1:15" s="461" customFormat="1" ht="13.5" thickTop="1" x14ac:dyDescent="0.2">
      <c r="A35" s="474">
        <f>ROW()</f>
        <v>35</v>
      </c>
      <c r="B35" s="476"/>
      <c r="C35" s="488"/>
      <c r="D35" s="488"/>
      <c r="E35" s="488"/>
      <c r="F35" s="488"/>
      <c r="G35" s="488"/>
      <c r="H35" s="488"/>
    </row>
    <row r="36" spans="1:15" s="461" customFormat="1" ht="14.1" customHeight="1" x14ac:dyDescent="0.2">
      <c r="A36" s="474">
        <f>ROW()</f>
        <v>36</v>
      </c>
      <c r="B36" s="525" t="s">
        <v>309</v>
      </c>
      <c r="C36" s="488"/>
      <c r="D36" s="488"/>
      <c r="E36" s="488"/>
      <c r="F36" s="526"/>
      <c r="G36" s="526"/>
      <c r="H36" s="527"/>
    </row>
    <row r="37" spans="1:15" s="461" customFormat="1" ht="14.1" customHeight="1" x14ac:dyDescent="0.2">
      <c r="A37" s="474">
        <f>ROW()</f>
        <v>37</v>
      </c>
      <c r="B37" s="525" t="s">
        <v>310</v>
      </c>
      <c r="C37" s="488"/>
      <c r="D37" s="488"/>
      <c r="E37" s="488"/>
      <c r="F37" s="528">
        <v>129808</v>
      </c>
      <c r="G37" s="528"/>
      <c r="H37" s="485">
        <f>F37+G37</f>
        <v>129808</v>
      </c>
    </row>
    <row r="38" spans="1:15" s="461" customFormat="1" ht="14.1" customHeight="1" x14ac:dyDescent="0.25">
      <c r="A38" s="474">
        <f>ROW()</f>
        <v>38</v>
      </c>
      <c r="B38" s="525" t="s">
        <v>311</v>
      </c>
      <c r="C38" s="488"/>
      <c r="D38" s="488"/>
      <c r="E38" s="488"/>
      <c r="F38" s="528">
        <v>613636</v>
      </c>
      <c r="G38" s="528"/>
      <c r="H38" s="485">
        <f t="shared" ref="H38:H39" si="0">F38+G38</f>
        <v>613636</v>
      </c>
      <c r="O38" s="529"/>
    </row>
    <row r="39" spans="1:15" s="461" customFormat="1" ht="14.1" customHeight="1" x14ac:dyDescent="0.2">
      <c r="A39" s="474">
        <f>ROW()</f>
        <v>39</v>
      </c>
      <c r="B39" s="525" t="s">
        <v>312</v>
      </c>
      <c r="C39" s="488"/>
      <c r="D39" s="488"/>
      <c r="E39" s="488"/>
      <c r="F39" s="528">
        <v>432092</v>
      </c>
      <c r="G39" s="528">
        <v>310408</v>
      </c>
      <c r="H39" s="485">
        <f t="shared" si="0"/>
        <v>742500</v>
      </c>
    </row>
    <row r="40" spans="1:15" s="461" customFormat="1" ht="14.1" customHeight="1" x14ac:dyDescent="0.2">
      <c r="A40" s="474">
        <f>ROW()</f>
        <v>40</v>
      </c>
      <c r="B40" s="525"/>
      <c r="C40" s="488"/>
      <c r="D40" s="488"/>
      <c r="E40" s="488"/>
      <c r="F40" s="528"/>
      <c r="G40" s="528"/>
      <c r="H40" s="485"/>
    </row>
    <row r="41" spans="1:15" s="461" customFormat="1" ht="14.1" customHeight="1" x14ac:dyDescent="0.2">
      <c r="A41" s="474">
        <f>ROW()</f>
        <v>41</v>
      </c>
      <c r="B41" s="530" t="s">
        <v>313</v>
      </c>
      <c r="C41" s="488"/>
      <c r="D41" s="488"/>
      <c r="E41" s="488"/>
      <c r="F41" s="531">
        <f>F14+SUM(F37:F39)</f>
        <v>71234642.585837036</v>
      </c>
      <c r="G41" s="531">
        <f>G14+SUM(G37:G39)</f>
        <v>12673779.750441831</v>
      </c>
      <c r="H41" s="531">
        <f>H14+SUM(H37:H39)</f>
        <v>83908422.336278871</v>
      </c>
    </row>
    <row r="42" spans="1:15" s="461" customFormat="1" ht="14.1" customHeight="1" x14ac:dyDescent="0.2">
      <c r="A42" s="532"/>
      <c r="B42" s="517"/>
      <c r="C42" s="488"/>
      <c r="D42" s="488"/>
      <c r="E42" s="488"/>
      <c r="F42" s="533"/>
      <c r="G42" s="533"/>
      <c r="H42" s="533"/>
    </row>
    <row r="43" spans="1:15" s="461" customFormat="1" ht="14.1" customHeight="1" x14ac:dyDescent="0.2">
      <c r="A43" s="532"/>
      <c r="B43" s="517"/>
      <c r="C43" s="488"/>
      <c r="D43" s="488"/>
      <c r="E43" s="488"/>
      <c r="F43" s="526"/>
      <c r="G43" s="526"/>
      <c r="H43" s="527"/>
    </row>
    <row r="44" spans="1:15" s="461" customFormat="1" ht="14.1" customHeight="1" thickBot="1" x14ac:dyDescent="0.25">
      <c r="A44" s="534" t="s">
        <v>272</v>
      </c>
      <c r="C44" s="488"/>
      <c r="D44" s="488"/>
      <c r="E44" s="488"/>
      <c r="F44" s="535" t="s">
        <v>250</v>
      </c>
      <c r="G44" s="535" t="s">
        <v>251</v>
      </c>
      <c r="H44" s="536" t="s">
        <v>252</v>
      </c>
    </row>
    <row r="45" spans="1:15" s="461" customFormat="1" ht="14.1" customHeight="1" x14ac:dyDescent="0.2">
      <c r="A45" s="537"/>
      <c r="C45" s="488"/>
      <c r="D45" s="488"/>
      <c r="E45" s="488"/>
      <c r="F45" s="538"/>
      <c r="G45" s="538"/>
      <c r="H45" s="526"/>
    </row>
    <row r="46" spans="1:15" s="461" customFormat="1" x14ac:dyDescent="0.2">
      <c r="A46" s="539" t="s">
        <v>263</v>
      </c>
      <c r="B46" s="540"/>
      <c r="C46" s="540"/>
      <c r="D46" s="540"/>
      <c r="E46" s="540"/>
      <c r="F46" s="541">
        <v>1750852.9400928367</v>
      </c>
      <c r="G46" s="541">
        <v>521736.66630222439</v>
      </c>
      <c r="H46" s="541">
        <f t="shared" ref="H46:H54" si="1">SUM(F46:G46)</f>
        <v>2272589.6063950611</v>
      </c>
    </row>
    <row r="47" spans="1:15" s="461" customFormat="1" x14ac:dyDescent="0.2">
      <c r="A47" s="525" t="s">
        <v>314</v>
      </c>
      <c r="B47" s="540"/>
      <c r="C47" s="540"/>
      <c r="D47" s="540"/>
      <c r="E47" s="540"/>
      <c r="F47" s="541">
        <v>-295778.83089705184</v>
      </c>
      <c r="G47" s="541">
        <v>483037.88641306665</v>
      </c>
      <c r="H47" s="541">
        <f t="shared" si="1"/>
        <v>187259.05551601481</v>
      </c>
    </row>
    <row r="48" spans="1:15" s="461" customFormat="1" x14ac:dyDescent="0.2">
      <c r="A48" s="487" t="s">
        <v>299</v>
      </c>
      <c r="F48" s="541">
        <v>341308.46099667082</v>
      </c>
      <c r="G48" s="541">
        <v>496180.45069937682</v>
      </c>
      <c r="H48" s="541">
        <f t="shared" si="1"/>
        <v>837488.91169604764</v>
      </c>
    </row>
    <row r="49" spans="1:9" s="461" customFormat="1" x14ac:dyDescent="0.2">
      <c r="A49" s="487" t="s">
        <v>315</v>
      </c>
      <c r="F49" s="541">
        <v>4627842.4771527406</v>
      </c>
      <c r="G49" s="541">
        <v>2059660.2004947274</v>
      </c>
      <c r="H49" s="541">
        <f t="shared" si="1"/>
        <v>6687502.6776474677</v>
      </c>
    </row>
    <row r="50" spans="1:9" s="461" customFormat="1" x14ac:dyDescent="0.2">
      <c r="A50" s="487" t="s">
        <v>301</v>
      </c>
      <c r="F50" s="541">
        <v>5902928.0692932652</v>
      </c>
      <c r="G50" s="541">
        <v>-5883740.1009691097</v>
      </c>
      <c r="H50" s="541">
        <f t="shared" si="1"/>
        <v>19187.968324155547</v>
      </c>
    </row>
    <row r="51" spans="1:9" s="461" customFormat="1" x14ac:dyDescent="0.2">
      <c r="A51" s="487" t="s">
        <v>316</v>
      </c>
      <c r="F51" s="541">
        <v>3439100.7557990393</v>
      </c>
      <c r="G51" s="541">
        <v>-2196929.8718208387</v>
      </c>
      <c r="H51" s="541">
        <f t="shared" si="1"/>
        <v>1242170.8839782006</v>
      </c>
    </row>
    <row r="52" spans="1:9" s="461" customFormat="1" x14ac:dyDescent="0.2">
      <c r="A52" s="487" t="s">
        <v>317</v>
      </c>
      <c r="F52" s="541">
        <v>1328897.2022531526</v>
      </c>
      <c r="G52" s="541">
        <v>233749.37176051893</v>
      </c>
      <c r="H52" s="541">
        <f t="shared" si="1"/>
        <v>1562646.5740136716</v>
      </c>
    </row>
    <row r="53" spans="1:9" s="461" customFormat="1" x14ac:dyDescent="0.2">
      <c r="A53" s="487" t="s">
        <v>318</v>
      </c>
      <c r="F53" s="541">
        <v>-54101.911800983362</v>
      </c>
      <c r="G53" s="541">
        <v>-9515.9100656527153</v>
      </c>
      <c r="H53" s="541">
        <f t="shared" si="1"/>
        <v>-63617.821866636077</v>
      </c>
    </row>
    <row r="54" spans="1:9" s="461" customFormat="1" x14ac:dyDescent="0.2">
      <c r="A54" s="487" t="s">
        <v>319</v>
      </c>
      <c r="F54" s="541">
        <v>64855.253166299313</v>
      </c>
      <c r="G54" s="541">
        <v>16882.451198343188</v>
      </c>
      <c r="H54" s="541">
        <f t="shared" si="1"/>
        <v>81737.704364642501</v>
      </c>
    </row>
    <row r="55" spans="1:9" s="461" customFormat="1" x14ac:dyDescent="0.2">
      <c r="F55" s="541"/>
      <c r="G55" s="541"/>
      <c r="H55" s="542"/>
    </row>
    <row r="56" spans="1:9" s="461" customFormat="1" ht="13.5" thickBot="1" x14ac:dyDescent="0.25">
      <c r="A56" s="543" t="s">
        <v>273</v>
      </c>
      <c r="F56" s="544">
        <f>SUM(F46:F54)</f>
        <v>17105904.41605597</v>
      </c>
      <c r="G56" s="544">
        <f>SUM(G46:G54)</f>
        <v>-4278938.8559873439</v>
      </c>
      <c r="H56" s="544">
        <f>SUM(H46:H54)</f>
        <v>12826965.560068626</v>
      </c>
    </row>
    <row r="57" spans="1:9" s="461" customFormat="1" ht="13.5" thickTop="1" x14ac:dyDescent="0.2">
      <c r="A57" s="462"/>
      <c r="F57" s="545">
        <f>F56-F34</f>
        <v>0</v>
      </c>
      <c r="G57" s="545">
        <f>G56-G34</f>
        <v>0</v>
      </c>
      <c r="H57" s="545">
        <f>H56-H34</f>
        <v>0</v>
      </c>
    </row>
    <row r="58" spans="1:9" s="461" customFormat="1" x14ac:dyDescent="0.2"/>
    <row r="59" spans="1:9" s="461" customFormat="1" x14ac:dyDescent="0.2">
      <c r="A59" s="546" t="s">
        <v>278</v>
      </c>
      <c r="F59" s="547"/>
      <c r="G59" s="547"/>
      <c r="I59" s="462"/>
    </row>
    <row r="60" spans="1:9" s="461" customFormat="1" x14ac:dyDescent="0.2">
      <c r="F60" s="547"/>
      <c r="G60" s="547"/>
      <c r="I60" s="462"/>
    </row>
    <row r="61" spans="1:9" s="461" customFormat="1" x14ac:dyDescent="0.2">
      <c r="C61" s="548"/>
      <c r="D61" s="548"/>
      <c r="I61" s="462"/>
    </row>
    <row r="62" spans="1:9" s="461" customFormat="1" x14ac:dyDescent="0.2">
      <c r="I62" s="462"/>
    </row>
    <row r="63" spans="1:9" s="461" customFormat="1" x14ac:dyDescent="0.2">
      <c r="A63" s="462"/>
      <c r="B63" s="462"/>
      <c r="C63" s="549"/>
      <c r="D63" s="549"/>
      <c r="E63" s="462"/>
      <c r="I63" s="462"/>
    </row>
    <row r="64" spans="1:9" s="461" customFormat="1" x14ac:dyDescent="0.2">
      <c r="A64" s="462"/>
      <c r="B64" s="462"/>
      <c r="C64" s="550"/>
      <c r="D64" s="550"/>
      <c r="E64" s="462"/>
      <c r="I64" s="462"/>
    </row>
    <row r="96" spans="1:23" s="461" customFormat="1" x14ac:dyDescent="0.2">
      <c r="A96" s="462"/>
      <c r="B96" s="462"/>
      <c r="C96" s="462"/>
      <c r="D96" s="462"/>
      <c r="E96" s="462" t="s">
        <v>280</v>
      </c>
      <c r="I96" s="462"/>
      <c r="W96" s="462"/>
    </row>
  </sheetData>
  <mergeCells count="1">
    <mergeCell ref="U14:W15"/>
  </mergeCells>
  <pageMargins left="0.7" right="0.7" top="0.75" bottom="0.75" header="0.3" footer="0.3"/>
  <pageSetup scale="5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R34" sqref="R34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90" zoomScaleNormal="90" zoomScaleSheetLayoutView="100" workbookViewId="0">
      <pane ySplit="8" topLeftCell="A9" activePane="bottomLeft" state="frozen"/>
      <selection activeCell="G42" sqref="G42"/>
      <selection pane="bottomLeft" activeCell="K42" sqref="K42"/>
    </sheetView>
  </sheetViews>
  <sheetFormatPr defaultColWidth="9.140625" defaultRowHeight="12.75" x14ac:dyDescent="0.2"/>
  <cols>
    <col min="1" max="1" width="2.42578125" style="39" customWidth="1"/>
    <col min="2" max="2" width="31.7109375" style="270" customWidth="1"/>
    <col min="3" max="3" width="9.7109375" style="270" customWidth="1"/>
    <col min="4" max="4" width="15.28515625" style="38" bestFit="1" customWidth="1"/>
    <col min="5" max="5" width="10.42578125" style="38" customWidth="1"/>
    <col min="6" max="6" width="13.7109375" style="270" bestFit="1" customWidth="1"/>
    <col min="7" max="7" width="2.85546875" style="271" customWidth="1"/>
    <col min="8" max="8" width="10.42578125" style="39" bestFit="1" customWidth="1"/>
    <col min="9" max="9" width="13.28515625" style="272" customWidth="1"/>
    <col min="10" max="10" width="2.85546875" style="273" customWidth="1"/>
    <col min="11" max="11" width="13.28515625" style="39" customWidth="1"/>
    <col min="12" max="12" width="10.42578125" style="274" customWidth="1"/>
    <col min="13" max="13" width="2.85546875" style="274" customWidth="1"/>
    <col min="14" max="14" width="14.5703125" style="39" customWidth="1"/>
    <col min="15" max="16384" width="9.140625" style="39"/>
  </cols>
  <sheetData>
    <row r="1" spans="2:23" x14ac:dyDescent="0.2">
      <c r="B1" s="265" t="s">
        <v>12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6"/>
      <c r="N1" s="29"/>
    </row>
    <row r="2" spans="2:23" x14ac:dyDescent="0.2">
      <c r="B2" s="267" t="s">
        <v>228</v>
      </c>
      <c r="C2" s="268"/>
      <c r="D2" s="54"/>
      <c r="E2" s="54"/>
      <c r="F2" s="268"/>
      <c r="G2" s="268"/>
      <c r="H2" s="268"/>
      <c r="I2" s="268"/>
      <c r="J2" s="268"/>
      <c r="K2" s="268"/>
      <c r="L2" s="268"/>
      <c r="M2" s="266"/>
      <c r="N2" s="29"/>
    </row>
    <row r="3" spans="2:23" x14ac:dyDescent="0.2">
      <c r="B3" s="267" t="s">
        <v>229</v>
      </c>
      <c r="C3" s="268"/>
      <c r="D3" s="54"/>
      <c r="E3" s="54"/>
      <c r="F3" s="268"/>
      <c r="G3" s="268"/>
      <c r="H3" s="268"/>
      <c r="I3" s="268"/>
      <c r="J3" s="268"/>
      <c r="K3" s="268"/>
      <c r="L3" s="268"/>
      <c r="M3" s="266"/>
      <c r="N3" s="29"/>
    </row>
    <row r="4" spans="2:23" x14ac:dyDescent="0.2">
      <c r="B4" s="267" t="s">
        <v>106</v>
      </c>
      <c r="C4" s="268"/>
      <c r="D4" s="54"/>
      <c r="E4" s="54"/>
      <c r="F4" s="268"/>
      <c r="G4" s="268"/>
      <c r="H4" s="268"/>
      <c r="I4" s="268"/>
      <c r="J4" s="268"/>
      <c r="K4" s="268"/>
      <c r="L4" s="268"/>
      <c r="M4" s="266"/>
      <c r="N4" s="29"/>
    </row>
    <row r="5" spans="2:23" x14ac:dyDescent="0.2">
      <c r="B5" s="267" t="s">
        <v>230</v>
      </c>
      <c r="C5" s="268"/>
      <c r="D5" s="54"/>
      <c r="E5" s="54"/>
      <c r="F5" s="268"/>
      <c r="G5" s="268"/>
      <c r="H5" s="268"/>
      <c r="I5" s="268"/>
      <c r="J5" s="268"/>
      <c r="K5" s="268"/>
      <c r="L5" s="268"/>
      <c r="M5" s="266"/>
      <c r="N5" s="269"/>
    </row>
    <row r="6" spans="2:23" x14ac:dyDescent="0.2">
      <c r="N6" s="31"/>
    </row>
    <row r="7" spans="2:23" ht="15" customHeight="1" x14ac:dyDescent="0.2">
      <c r="B7" s="275"/>
      <c r="C7" s="276"/>
      <c r="D7" s="55" t="s">
        <v>73</v>
      </c>
      <c r="E7" s="56" t="s">
        <v>217</v>
      </c>
      <c r="F7" s="277"/>
      <c r="G7" s="278"/>
      <c r="H7" s="279" t="s">
        <v>218</v>
      </c>
      <c r="I7" s="277"/>
      <c r="J7" s="280"/>
      <c r="K7" s="277" t="s">
        <v>107</v>
      </c>
      <c r="L7" s="281"/>
      <c r="M7" s="282"/>
      <c r="N7" s="283" t="s">
        <v>75</v>
      </c>
    </row>
    <row r="8" spans="2:23" x14ac:dyDescent="0.2">
      <c r="B8" s="284" t="s">
        <v>76</v>
      </c>
      <c r="C8" s="285" t="s">
        <v>77</v>
      </c>
      <c r="D8" s="263" t="s">
        <v>78</v>
      </c>
      <c r="E8" s="263" t="s">
        <v>71</v>
      </c>
      <c r="F8" s="286" t="s">
        <v>79</v>
      </c>
      <c r="G8" s="285"/>
      <c r="H8" s="285" t="s">
        <v>71</v>
      </c>
      <c r="I8" s="286" t="s">
        <v>79</v>
      </c>
      <c r="J8" s="286"/>
      <c r="K8" s="286" t="s">
        <v>108</v>
      </c>
      <c r="L8" s="287" t="s">
        <v>109</v>
      </c>
      <c r="M8" s="288"/>
      <c r="N8" s="289" t="s">
        <v>110</v>
      </c>
    </row>
    <row r="9" spans="2:23" x14ac:dyDescent="0.2">
      <c r="B9" s="31"/>
      <c r="C9" s="31"/>
      <c r="D9" s="41"/>
      <c r="E9" s="41"/>
      <c r="F9" s="31"/>
      <c r="H9" s="31"/>
      <c r="I9" s="273"/>
      <c r="K9" s="31"/>
      <c r="L9" s="290"/>
      <c r="M9" s="290"/>
      <c r="N9" s="31"/>
    </row>
    <row r="10" spans="2:23" x14ac:dyDescent="0.2">
      <c r="B10" s="291" t="s">
        <v>111</v>
      </c>
      <c r="C10" s="292"/>
      <c r="D10" s="246"/>
      <c r="E10" s="246"/>
      <c r="F10" s="293"/>
      <c r="G10" s="294"/>
      <c r="H10" s="246"/>
      <c r="I10" s="295"/>
      <c r="J10" s="295"/>
      <c r="K10" s="295"/>
      <c r="L10" s="296"/>
      <c r="M10" s="290"/>
      <c r="N10" s="31"/>
    </row>
    <row r="11" spans="2:23" x14ac:dyDescent="0.2">
      <c r="B11" s="297"/>
      <c r="C11" s="31"/>
      <c r="D11" s="41"/>
      <c r="E11" s="41"/>
      <c r="F11" s="31"/>
      <c r="G11" s="298"/>
      <c r="H11" s="41"/>
      <c r="I11" s="299"/>
      <c r="J11" s="299"/>
      <c r="K11" s="299"/>
      <c r="L11" s="300"/>
      <c r="M11" s="290"/>
      <c r="N11" s="283" t="s">
        <v>219</v>
      </c>
    </row>
    <row r="12" spans="2:23" x14ac:dyDescent="0.2">
      <c r="B12" s="57" t="s">
        <v>80</v>
      </c>
      <c r="C12" s="58" t="s">
        <v>81</v>
      </c>
      <c r="D12" s="35">
        <v>9634497.6315792762</v>
      </c>
      <c r="E12" s="73">
        <v>11.52</v>
      </c>
      <c r="F12" s="299">
        <f>SUM(+D12*E12)</f>
        <v>110989412.71579325</v>
      </c>
      <c r="H12" s="301">
        <v>12.5</v>
      </c>
      <c r="I12" s="299">
        <f>SUM(+D12*H12)</f>
        <v>120431220.39474095</v>
      </c>
      <c r="J12" s="299"/>
      <c r="K12" s="299">
        <f>I12-F12</f>
        <v>9441807.6789477021</v>
      </c>
      <c r="L12" s="302">
        <f>IFERROR(ROUND(K12/F12,5), )</f>
        <v>8.5070000000000007E-2</v>
      </c>
      <c r="M12" s="290"/>
      <c r="N12" s="303">
        <v>403617221.39551479</v>
      </c>
    </row>
    <row r="13" spans="2:23" x14ac:dyDescent="0.2">
      <c r="B13" s="297" t="s">
        <v>82</v>
      </c>
      <c r="C13" s="31" t="s">
        <v>83</v>
      </c>
      <c r="D13" s="271">
        <v>620836684.05687141</v>
      </c>
      <c r="E13" s="60">
        <v>0.41964000000000001</v>
      </c>
      <c r="F13" s="299">
        <f>ROUND(D13*E13,2)</f>
        <v>260527906.09999999</v>
      </c>
      <c r="H13" s="93">
        <f>ROUND((N12-I12-I20-I32)/D13, 5)</f>
        <v>0.45612999999999998</v>
      </c>
      <c r="I13" s="299">
        <f>ROUND(D13*H13,2)</f>
        <v>283182236.69999999</v>
      </c>
      <c r="J13" s="299"/>
      <c r="K13" s="299">
        <f>I13-F13</f>
        <v>22654330.599999994</v>
      </c>
      <c r="L13" s="302">
        <f>IFERROR(ROUND(K13/F13,5), )</f>
        <v>8.6959999999999996E-2</v>
      </c>
      <c r="M13" s="31"/>
      <c r="N13" s="304" t="s">
        <v>112</v>
      </c>
    </row>
    <row r="14" spans="2:23" x14ac:dyDescent="0.2">
      <c r="B14" s="305"/>
      <c r="C14" s="306"/>
      <c r="D14" s="35"/>
      <c r="E14" s="41"/>
      <c r="F14" s="307">
        <f>SUM(F12:F13)</f>
        <v>371517318.81579328</v>
      </c>
      <c r="H14" s="41"/>
      <c r="I14" s="307">
        <f>SUM(I12:I13)</f>
        <v>403613457.09474093</v>
      </c>
      <c r="J14" s="299"/>
      <c r="K14" s="307">
        <f>SUM(K12:K13)</f>
        <v>32096138.278947696</v>
      </c>
      <c r="L14" s="308">
        <f>IFERROR(ROUND(K14/F14,5), )</f>
        <v>8.6389999999999995E-2</v>
      </c>
      <c r="M14" s="31"/>
      <c r="N14" s="309">
        <f>I37-N12</f>
        <v>1468.8492261171341</v>
      </c>
    </row>
    <row r="15" spans="2:23" x14ac:dyDescent="0.2">
      <c r="B15" s="305"/>
      <c r="C15" s="310"/>
      <c r="D15" s="41"/>
      <c r="E15" s="60"/>
      <c r="F15" s="311"/>
      <c r="H15" s="41"/>
      <c r="I15" s="299"/>
      <c r="J15" s="299"/>
      <c r="K15" s="299"/>
      <c r="L15" s="300"/>
      <c r="M15" s="312"/>
    </row>
    <row r="16" spans="2:23" x14ac:dyDescent="0.2">
      <c r="B16" s="313" t="s">
        <v>220</v>
      </c>
      <c r="C16" s="306"/>
      <c r="D16" s="271"/>
      <c r="E16" s="41"/>
      <c r="F16" s="307">
        <f>F14</f>
        <v>371517318.81579328</v>
      </c>
      <c r="H16" s="41"/>
      <c r="I16" s="307">
        <f>I14</f>
        <v>403613457.09474093</v>
      </c>
      <c r="J16" s="299"/>
      <c r="K16" s="307">
        <f>K14</f>
        <v>32096138.278947696</v>
      </c>
      <c r="L16" s="308">
        <f>IFERROR(ROUND(K16/F16,5), )</f>
        <v>8.6389999999999995E-2</v>
      </c>
      <c r="M16" s="312"/>
      <c r="N16" s="314">
        <v>8.0480791636416082E-2</v>
      </c>
      <c r="O16" s="31"/>
      <c r="W16" s="31"/>
    </row>
    <row r="17" spans="1:23" s="38" customFormat="1" x14ac:dyDescent="0.2">
      <c r="B17" s="61"/>
      <c r="C17" s="62"/>
      <c r="D17" s="62"/>
      <c r="E17" s="62"/>
      <c r="F17" s="63"/>
      <c r="G17" s="64"/>
      <c r="H17" s="62"/>
      <c r="I17" s="63"/>
      <c r="J17" s="63"/>
      <c r="K17" s="63"/>
      <c r="L17" s="65"/>
      <c r="M17" s="41"/>
      <c r="N17" s="41"/>
      <c r="O17" s="41"/>
      <c r="W17" s="41"/>
    </row>
    <row r="18" spans="1:23" x14ac:dyDescent="0.2">
      <c r="A18" s="38"/>
      <c r="B18" s="68" t="s">
        <v>113</v>
      </c>
      <c r="C18" s="315"/>
      <c r="D18" s="246"/>
      <c r="E18" s="246"/>
      <c r="F18" s="295"/>
      <c r="G18" s="294"/>
      <c r="H18" s="246"/>
      <c r="I18" s="295"/>
      <c r="J18" s="295"/>
      <c r="K18" s="295"/>
      <c r="L18" s="316"/>
      <c r="M18" s="31"/>
      <c r="N18" s="31"/>
      <c r="O18" s="31"/>
      <c r="W18" s="31"/>
    </row>
    <row r="19" spans="1:23" s="38" customFormat="1" x14ac:dyDescent="0.2">
      <c r="B19" s="69"/>
      <c r="C19" s="41"/>
      <c r="D19" s="41"/>
      <c r="E19" s="41"/>
      <c r="F19" s="66"/>
      <c r="G19" s="70"/>
      <c r="H19" s="41"/>
      <c r="I19" s="66"/>
      <c r="J19" s="66"/>
      <c r="K19" s="66"/>
      <c r="L19" s="71"/>
      <c r="M19" s="72"/>
      <c r="N19" s="317"/>
      <c r="O19" s="41"/>
      <c r="W19" s="41"/>
    </row>
    <row r="20" spans="1:23" s="38" customFormat="1" ht="13.5" customHeight="1" x14ac:dyDescent="0.2">
      <c r="B20" s="57" t="s">
        <v>80</v>
      </c>
      <c r="C20" s="58" t="s">
        <v>81</v>
      </c>
      <c r="D20" s="35">
        <v>0</v>
      </c>
      <c r="E20" s="73">
        <v>11.52</v>
      </c>
      <c r="F20" s="66">
        <f>SUM(+D20*E20)</f>
        <v>0</v>
      </c>
      <c r="G20" s="35"/>
      <c r="H20" s="301">
        <f>H12</f>
        <v>12.5</v>
      </c>
      <c r="I20" s="66">
        <f>SUM(+D20*H20)</f>
        <v>0</v>
      </c>
      <c r="J20" s="66"/>
      <c r="K20" s="66">
        <f>I20-F20</f>
        <v>0</v>
      </c>
      <c r="L20" s="302">
        <f t="shared" ref="L20:L21" si="0">IFERROR(ROUND(K20/F20,5), )</f>
        <v>0</v>
      </c>
      <c r="M20" s="72"/>
      <c r="N20" s="100"/>
      <c r="O20" s="41"/>
      <c r="W20" s="41"/>
    </row>
    <row r="21" spans="1:23" s="38" customFormat="1" ht="13.5" customHeight="1" x14ac:dyDescent="0.2">
      <c r="B21" s="297" t="s">
        <v>82</v>
      </c>
      <c r="C21" s="31" t="s">
        <v>83</v>
      </c>
      <c r="D21" s="35">
        <v>0</v>
      </c>
      <c r="E21" s="60">
        <v>0.41964000000000001</v>
      </c>
      <c r="F21" s="66">
        <f>ROUND(D21*E21,2)</f>
        <v>0</v>
      </c>
      <c r="G21" s="35"/>
      <c r="H21" s="93">
        <f>H13</f>
        <v>0.45612999999999998</v>
      </c>
      <c r="I21" s="66">
        <f>ROUND(D21*H21,2)</f>
        <v>0</v>
      </c>
      <c r="J21" s="66"/>
      <c r="K21" s="66">
        <f>I21-F21</f>
        <v>0</v>
      </c>
      <c r="L21" s="302">
        <f t="shared" si="0"/>
        <v>0</v>
      </c>
      <c r="M21" s="72"/>
      <c r="N21" s="318"/>
      <c r="O21" s="41"/>
      <c r="W21" s="41"/>
    </row>
    <row r="22" spans="1:23" s="38" customFormat="1" ht="13.5" customHeight="1" x14ac:dyDescent="0.2">
      <c r="B22" s="313" t="s">
        <v>114</v>
      </c>
      <c r="C22" s="58"/>
      <c r="D22" s="35"/>
      <c r="E22" s="41"/>
      <c r="F22" s="307">
        <f>SUM(F20:F21)</f>
        <v>0</v>
      </c>
      <c r="G22" s="35"/>
      <c r="H22" s="41"/>
      <c r="I22" s="307">
        <f>SUM(I20:I21)</f>
        <v>0</v>
      </c>
      <c r="J22" s="66"/>
      <c r="K22" s="307">
        <f>SUM(K20:K21)</f>
        <v>0</v>
      </c>
      <c r="L22" s="308">
        <f>IFERROR(ROUND(K22/F22,5), )</f>
        <v>0</v>
      </c>
      <c r="M22" s="41"/>
      <c r="N22" s="318"/>
      <c r="O22" s="41"/>
      <c r="W22" s="41"/>
    </row>
    <row r="23" spans="1:23" s="38" customFormat="1" ht="13.5" customHeight="1" x14ac:dyDescent="0.2">
      <c r="B23" s="75"/>
      <c r="C23" s="128"/>
      <c r="D23" s="41"/>
      <c r="E23" s="41"/>
      <c r="F23" s="76"/>
      <c r="G23" s="35"/>
      <c r="H23" s="41"/>
      <c r="I23" s="66"/>
      <c r="J23" s="66"/>
      <c r="K23" s="66"/>
      <c r="L23" s="71"/>
      <c r="M23" s="41"/>
      <c r="N23" s="319"/>
      <c r="O23" s="41"/>
      <c r="W23" s="41"/>
    </row>
    <row r="24" spans="1:23" s="38" customFormat="1" ht="13.5" customHeight="1" x14ac:dyDescent="0.2">
      <c r="B24" s="57" t="s">
        <v>220</v>
      </c>
      <c r="C24" s="58"/>
      <c r="D24" s="41"/>
      <c r="E24" s="41"/>
      <c r="F24" s="307">
        <f>F22</f>
        <v>0</v>
      </c>
      <c r="G24" s="35"/>
      <c r="H24" s="41"/>
      <c r="I24" s="307">
        <f>I22</f>
        <v>0</v>
      </c>
      <c r="J24" s="66"/>
      <c r="K24" s="307">
        <f>K22</f>
        <v>0</v>
      </c>
      <c r="L24" s="308">
        <f>IFERROR(ROUND(K24/F24,5), )</f>
        <v>0</v>
      </c>
      <c r="M24" s="41"/>
      <c r="N24" s="320"/>
      <c r="O24" s="41"/>
      <c r="W24" s="41"/>
    </row>
    <row r="25" spans="1:23" s="38" customFormat="1" ht="13.5" customHeight="1" x14ac:dyDescent="0.2">
      <c r="B25" s="61"/>
      <c r="C25" s="62"/>
      <c r="D25" s="62"/>
      <c r="E25" s="62"/>
      <c r="F25" s="63"/>
      <c r="G25" s="62"/>
      <c r="H25" s="62"/>
      <c r="I25" s="63"/>
      <c r="J25" s="63"/>
      <c r="K25" s="63"/>
      <c r="L25" s="65"/>
      <c r="M25" s="41"/>
      <c r="N25" s="321"/>
      <c r="O25" s="41"/>
      <c r="W25" s="41"/>
    </row>
    <row r="26" spans="1:23" ht="13.5" customHeight="1" x14ac:dyDescent="0.2">
      <c r="B26" s="68" t="s">
        <v>115</v>
      </c>
      <c r="C26" s="292"/>
      <c r="D26" s="246"/>
      <c r="E26" s="246"/>
      <c r="F26" s="295"/>
      <c r="G26" s="294"/>
      <c r="H26" s="293"/>
      <c r="I26" s="295"/>
      <c r="J26" s="295"/>
      <c r="K26" s="295"/>
      <c r="L26" s="316"/>
      <c r="M26" s="31"/>
      <c r="N26" s="38"/>
      <c r="O26" s="31"/>
      <c r="W26" s="31"/>
    </row>
    <row r="27" spans="1:23" ht="13.5" customHeight="1" x14ac:dyDescent="0.2">
      <c r="B27" s="305"/>
      <c r="C27" s="310"/>
      <c r="D27" s="41"/>
      <c r="E27" s="41"/>
      <c r="F27" s="299"/>
      <c r="G27" s="322"/>
      <c r="H27" s="31"/>
      <c r="I27" s="299"/>
      <c r="J27" s="299"/>
      <c r="K27" s="299"/>
      <c r="L27" s="300"/>
      <c r="M27" s="290"/>
      <c r="N27" s="38"/>
      <c r="O27" s="31"/>
      <c r="W27" s="31"/>
    </row>
    <row r="28" spans="1:23" ht="13.5" customHeight="1" x14ac:dyDescent="0.2">
      <c r="B28" s="69" t="s">
        <v>116</v>
      </c>
      <c r="C28" s="80" t="s">
        <v>84</v>
      </c>
      <c r="D28" s="35">
        <v>431.06668421052632</v>
      </c>
      <c r="E28" s="73">
        <v>11.24</v>
      </c>
      <c r="F28" s="299">
        <f>ROUND(D28*E28,2)</f>
        <v>4845.1899999999996</v>
      </c>
      <c r="H28" s="301">
        <f>ROUND(E28*(1+N16), 2)</f>
        <v>12.14</v>
      </c>
      <c r="I28" s="299">
        <f>ROUND(D28*H28,2)</f>
        <v>5233.1499999999996</v>
      </c>
      <c r="J28" s="299"/>
      <c r="K28" s="299">
        <f>I28-F28</f>
        <v>387.96000000000004</v>
      </c>
      <c r="L28" s="302">
        <f>IFERROR(ROUND(K28/F28,5), )</f>
        <v>8.0070000000000002E-2</v>
      </c>
      <c r="M28" s="323"/>
      <c r="N28" s="38"/>
      <c r="O28" s="31"/>
      <c r="W28" s="31"/>
    </row>
    <row r="29" spans="1:23" ht="13.5" customHeight="1" x14ac:dyDescent="0.2">
      <c r="B29" s="297"/>
      <c r="C29" s="31"/>
      <c r="D29" s="41"/>
      <c r="E29" s="41"/>
      <c r="F29" s="299"/>
      <c r="G29" s="31"/>
      <c r="H29" s="31"/>
      <c r="I29" s="299"/>
      <c r="J29" s="299"/>
      <c r="K29" s="299"/>
      <c r="L29" s="302"/>
      <c r="M29" s="323"/>
      <c r="N29" s="38"/>
      <c r="O29" s="31"/>
      <c r="W29" s="31"/>
    </row>
    <row r="30" spans="1:23" ht="13.5" customHeight="1" x14ac:dyDescent="0.2">
      <c r="B30" s="313" t="s">
        <v>117</v>
      </c>
      <c r="C30" s="306"/>
      <c r="D30" s="35">
        <v>8190.2669999999998</v>
      </c>
      <c r="E30" s="35"/>
      <c r="F30" s="311"/>
      <c r="H30" s="31"/>
      <c r="I30" s="299"/>
      <c r="J30" s="299"/>
      <c r="K30" s="299"/>
      <c r="L30" s="300"/>
      <c r="M30" s="323"/>
      <c r="N30" s="38"/>
      <c r="O30" s="31"/>
      <c r="W30" s="31"/>
    </row>
    <row r="31" spans="1:23" ht="13.5" customHeight="1" x14ac:dyDescent="0.2">
      <c r="B31" s="297"/>
      <c r="C31" s="31"/>
      <c r="D31" s="41"/>
      <c r="E31" s="41"/>
      <c r="F31" s="66"/>
      <c r="G31" s="35"/>
      <c r="H31" s="41"/>
      <c r="I31" s="66"/>
      <c r="J31" s="299"/>
      <c r="K31" s="299"/>
      <c r="L31" s="300"/>
      <c r="M31" s="312"/>
      <c r="N31" s="38"/>
      <c r="O31" s="31"/>
      <c r="W31" s="31"/>
    </row>
    <row r="32" spans="1:23" ht="13.5" customHeight="1" x14ac:dyDescent="0.2">
      <c r="B32" s="297" t="s">
        <v>220</v>
      </c>
      <c r="C32" s="31"/>
      <c r="D32" s="41"/>
      <c r="E32" s="41"/>
      <c r="F32" s="307">
        <f>F28</f>
        <v>4845.1899999999996</v>
      </c>
      <c r="H32" s="31"/>
      <c r="I32" s="307">
        <f>I28</f>
        <v>5233.1499999999996</v>
      </c>
      <c r="J32" s="299"/>
      <c r="K32" s="307">
        <f>K28</f>
        <v>387.96000000000004</v>
      </c>
      <c r="L32" s="308">
        <f>IFERROR(ROUND(K32/F32,5), )</f>
        <v>8.0070000000000002E-2</v>
      </c>
      <c r="M32" s="290"/>
      <c r="N32" s="38"/>
      <c r="O32" s="31"/>
      <c r="W32" s="31"/>
    </row>
    <row r="33" spans="2:23" ht="13.5" customHeight="1" x14ac:dyDescent="0.2">
      <c r="B33" s="324"/>
      <c r="C33" s="325"/>
      <c r="D33" s="62"/>
      <c r="E33" s="62"/>
      <c r="F33" s="326"/>
      <c r="G33" s="327"/>
      <c r="H33" s="328"/>
      <c r="I33" s="329"/>
      <c r="J33" s="329"/>
      <c r="K33" s="328"/>
      <c r="L33" s="330"/>
      <c r="M33" s="318"/>
      <c r="N33" s="38"/>
      <c r="O33" s="31"/>
      <c r="W33" s="31"/>
    </row>
    <row r="34" spans="2:23" ht="13.5" customHeight="1" x14ac:dyDescent="0.2">
      <c r="B34" s="39"/>
      <c r="K34" s="31"/>
      <c r="L34" s="331"/>
      <c r="M34" s="312"/>
      <c r="O34" s="31"/>
      <c r="W34" s="31"/>
    </row>
    <row r="35" spans="2:23" x14ac:dyDescent="0.2">
      <c r="B35" s="270" t="s">
        <v>118</v>
      </c>
      <c r="K35" s="31"/>
      <c r="L35" s="331"/>
      <c r="M35" s="318"/>
      <c r="O35" s="31"/>
      <c r="W35" s="31"/>
    </row>
    <row r="36" spans="2:23" x14ac:dyDescent="0.2">
      <c r="B36" s="39"/>
      <c r="D36" s="81" t="s">
        <v>83</v>
      </c>
      <c r="F36" s="285" t="s">
        <v>74</v>
      </c>
      <c r="I36" s="286" t="s">
        <v>26</v>
      </c>
      <c r="K36" s="286" t="s">
        <v>62</v>
      </c>
      <c r="L36" s="331"/>
      <c r="O36" s="31"/>
      <c r="W36" s="31"/>
    </row>
    <row r="37" spans="2:23" x14ac:dyDescent="0.2">
      <c r="B37" s="39" t="s">
        <v>221</v>
      </c>
      <c r="D37" s="332">
        <f>D13+D21+D30</f>
        <v>620844874.32387137</v>
      </c>
      <c r="F37" s="333">
        <f>F14+F22+F28</f>
        <v>371522164.00579327</v>
      </c>
      <c r="G37" s="333"/>
      <c r="H37" s="333"/>
      <c r="I37" s="333">
        <f>I14+I22+I28</f>
        <v>403618690.2447409</v>
      </c>
      <c r="J37" s="333"/>
      <c r="K37" s="299">
        <f>I37-F37</f>
        <v>32096526.23894763</v>
      </c>
      <c r="L37" s="334">
        <f>K37/F37</f>
        <v>8.6391955443194335E-2</v>
      </c>
    </row>
    <row r="38" spans="2:23" ht="13.5" thickBot="1" x14ac:dyDescent="0.25">
      <c r="B38" s="39"/>
      <c r="D38" s="30"/>
      <c r="F38" s="299"/>
      <c r="I38" s="299"/>
      <c r="K38" s="299"/>
      <c r="L38" s="334"/>
    </row>
    <row r="39" spans="2:23" ht="13.5" thickBot="1" x14ac:dyDescent="0.25">
      <c r="B39" s="335" t="s">
        <v>13</v>
      </c>
      <c r="C39" s="336" t="s">
        <v>222</v>
      </c>
      <c r="D39" s="337">
        <v>373297420.99925822</v>
      </c>
      <c r="E39" s="82" t="s">
        <v>223</v>
      </c>
      <c r="F39" s="338">
        <f>D39-F37</f>
        <v>1775256.9934649467</v>
      </c>
      <c r="K39" s="31"/>
      <c r="L39" s="331"/>
      <c r="N39" s="333"/>
    </row>
    <row r="40" spans="2:23" x14ac:dyDescent="0.2">
      <c r="B40" s="39"/>
      <c r="F40" s="39"/>
      <c r="L40" s="331"/>
    </row>
    <row r="41" spans="2:23" x14ac:dyDescent="0.2">
      <c r="B41" s="339"/>
      <c r="L41" s="331"/>
    </row>
    <row r="42" spans="2:23" x14ac:dyDescent="0.2">
      <c r="B42" s="39"/>
      <c r="C42" s="39"/>
      <c r="D42" s="39"/>
      <c r="F42" s="39"/>
      <c r="G42" s="39"/>
      <c r="I42" s="39"/>
      <c r="J42" s="39"/>
      <c r="L42" s="334"/>
      <c r="M42" s="39"/>
    </row>
    <row r="43" spans="2:23" x14ac:dyDescent="0.2">
      <c r="L43" s="331"/>
    </row>
    <row r="44" spans="2:23" x14ac:dyDescent="0.2">
      <c r="L44" s="331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&amp;R&amp;A
 Page &amp;P of &amp;N</oddFoot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zoomScale="90" zoomScaleNormal="90" zoomScaleSheetLayoutView="100" workbookViewId="0">
      <pane ySplit="8" topLeftCell="A58" activePane="bottomLeft" state="frozen"/>
      <selection activeCell="G42" sqref="G42"/>
      <selection pane="bottomLeft" activeCell="G42" sqref="G42"/>
    </sheetView>
  </sheetViews>
  <sheetFormatPr defaultColWidth="9.140625" defaultRowHeight="12.75" x14ac:dyDescent="0.2"/>
  <cols>
    <col min="1" max="1" width="2.42578125" style="39" customWidth="1"/>
    <col min="2" max="2" width="31.7109375" style="39" customWidth="1"/>
    <col min="3" max="3" width="9.7109375" style="39" customWidth="1"/>
    <col min="4" max="4" width="14.5703125" style="39" bestFit="1" customWidth="1"/>
    <col min="5" max="5" width="10.42578125" style="39" customWidth="1"/>
    <col min="6" max="6" width="14.7109375" style="272" bestFit="1" customWidth="1"/>
    <col min="7" max="7" width="2.85546875" style="30" customWidth="1"/>
    <col min="8" max="8" width="10.42578125" style="38" customWidth="1"/>
    <col min="9" max="9" width="15" style="272" customWidth="1"/>
    <col min="10" max="10" width="2.85546875" style="272" customWidth="1"/>
    <col min="11" max="11" width="13.28515625" style="272" customWidth="1"/>
    <col min="12" max="12" width="10.42578125" style="334" customWidth="1"/>
    <col min="13" max="13" width="2.85546875" style="340" customWidth="1"/>
    <col min="14" max="14" width="2" style="341" customWidth="1"/>
    <col min="15" max="15" width="14.5703125" style="39" customWidth="1"/>
    <col min="16" max="16" width="15" style="39" bestFit="1" customWidth="1"/>
    <col min="17" max="16384" width="9.140625" style="39"/>
  </cols>
  <sheetData>
    <row r="1" spans="1:15" x14ac:dyDescent="0.2">
      <c r="B1" s="265" t="s">
        <v>12</v>
      </c>
    </row>
    <row r="2" spans="1:15" x14ac:dyDescent="0.2">
      <c r="B2" s="267" t="s">
        <v>228</v>
      </c>
      <c r="C2" s="29"/>
      <c r="D2" s="29"/>
      <c r="E2" s="29"/>
      <c r="F2" s="342"/>
      <c r="G2" s="83"/>
      <c r="H2" s="52"/>
      <c r="I2" s="342"/>
      <c r="J2" s="342"/>
      <c r="K2" s="342"/>
      <c r="L2" s="343"/>
      <c r="M2" s="344"/>
      <c r="N2" s="344"/>
      <c r="O2" s="29"/>
    </row>
    <row r="3" spans="1:15" x14ac:dyDescent="0.2">
      <c r="B3" s="267" t="s">
        <v>229</v>
      </c>
      <c r="C3" s="29"/>
      <c r="D3" s="29"/>
      <c r="E3" s="29"/>
      <c r="F3" s="29"/>
      <c r="G3" s="52"/>
      <c r="H3" s="52"/>
      <c r="I3" s="29"/>
      <c r="J3" s="29"/>
      <c r="K3" s="29"/>
      <c r="L3" s="343"/>
      <c r="M3" s="29"/>
      <c r="N3" s="344"/>
      <c r="O3" s="29"/>
    </row>
    <row r="4" spans="1:15" x14ac:dyDescent="0.2">
      <c r="B4" s="267" t="s">
        <v>120</v>
      </c>
      <c r="C4" s="29"/>
      <c r="D4" s="29"/>
      <c r="E4" s="29"/>
      <c r="F4" s="29"/>
      <c r="G4" s="52"/>
      <c r="H4" s="52"/>
      <c r="I4" s="29"/>
      <c r="J4" s="29"/>
      <c r="K4" s="29"/>
      <c r="L4" s="343"/>
      <c r="M4" s="29"/>
      <c r="N4" s="344"/>
      <c r="O4" s="29"/>
    </row>
    <row r="5" spans="1:15" x14ac:dyDescent="0.2">
      <c r="B5" s="267" t="s">
        <v>230</v>
      </c>
      <c r="C5" s="29"/>
      <c r="D5" s="29"/>
      <c r="E5" s="29"/>
      <c r="F5" s="29"/>
      <c r="G5" s="52"/>
      <c r="H5" s="52"/>
      <c r="I5" s="29"/>
      <c r="J5" s="29"/>
      <c r="K5" s="29"/>
      <c r="L5" s="343"/>
      <c r="M5" s="29"/>
      <c r="N5" s="345"/>
      <c r="O5" s="269"/>
    </row>
    <row r="6" spans="1:15" ht="13.5" customHeight="1" x14ac:dyDescent="0.2">
      <c r="B6" s="346"/>
      <c r="C6" s="346"/>
      <c r="D6" s="346"/>
      <c r="E6" s="346"/>
      <c r="F6" s="347"/>
      <c r="G6" s="84"/>
      <c r="H6" s="9"/>
      <c r="I6" s="347"/>
      <c r="J6" s="347"/>
      <c r="K6" s="347"/>
      <c r="L6" s="348"/>
      <c r="N6" s="312"/>
      <c r="O6" s="31"/>
    </row>
    <row r="7" spans="1:15" ht="12" customHeight="1" x14ac:dyDescent="0.2">
      <c r="B7" s="275"/>
      <c r="C7" s="276"/>
      <c r="D7" s="55" t="s">
        <v>73</v>
      </c>
      <c r="E7" s="56" t="s">
        <v>217</v>
      </c>
      <c r="F7" s="277"/>
      <c r="G7" s="40"/>
      <c r="H7" s="279" t="s">
        <v>218</v>
      </c>
      <c r="I7" s="277"/>
      <c r="J7" s="280"/>
      <c r="K7" s="609" t="s">
        <v>107</v>
      </c>
      <c r="L7" s="610"/>
      <c r="M7" s="282"/>
      <c r="N7" s="345"/>
      <c r="O7" s="283" t="s">
        <v>75</v>
      </c>
    </row>
    <row r="8" spans="1:15" x14ac:dyDescent="0.2">
      <c r="B8" s="284" t="s">
        <v>76</v>
      </c>
      <c r="C8" s="285" t="s">
        <v>77</v>
      </c>
      <c r="D8" s="263" t="s">
        <v>78</v>
      </c>
      <c r="E8" s="285" t="s">
        <v>71</v>
      </c>
      <c r="F8" s="286" t="s">
        <v>79</v>
      </c>
      <c r="G8" s="263"/>
      <c r="H8" s="263" t="s">
        <v>71</v>
      </c>
      <c r="I8" s="286" t="s">
        <v>79</v>
      </c>
      <c r="J8" s="286"/>
      <c r="K8" s="286" t="s">
        <v>108</v>
      </c>
      <c r="L8" s="349" t="s">
        <v>109</v>
      </c>
      <c r="M8" s="350"/>
      <c r="N8" s="288"/>
      <c r="O8" s="289" t="s">
        <v>110</v>
      </c>
    </row>
    <row r="9" spans="1:15" x14ac:dyDescent="0.2">
      <c r="A9" s="31"/>
      <c r="B9" s="317"/>
      <c r="C9" s="317"/>
      <c r="D9" s="317"/>
      <c r="E9" s="317"/>
      <c r="F9" s="351"/>
      <c r="G9" s="40"/>
      <c r="H9" s="40"/>
      <c r="I9" s="351"/>
      <c r="J9" s="351"/>
      <c r="K9" s="351"/>
      <c r="L9" s="352"/>
      <c r="M9" s="350"/>
      <c r="N9" s="288"/>
      <c r="O9" s="31"/>
    </row>
    <row r="10" spans="1:15" x14ac:dyDescent="0.2">
      <c r="B10" s="291" t="s">
        <v>121</v>
      </c>
      <c r="C10" s="353"/>
      <c r="D10" s="293"/>
      <c r="E10" s="293"/>
      <c r="F10" s="295"/>
      <c r="G10" s="354"/>
      <c r="H10" s="246"/>
      <c r="I10" s="295"/>
      <c r="J10" s="295"/>
      <c r="K10" s="295"/>
      <c r="L10" s="316"/>
      <c r="M10" s="355"/>
      <c r="N10" s="312"/>
      <c r="O10" s="31"/>
    </row>
    <row r="11" spans="1:15" x14ac:dyDescent="0.2">
      <c r="B11" s="297"/>
      <c r="C11" s="31"/>
      <c r="D11" s="271"/>
      <c r="E11" s="31"/>
      <c r="F11" s="299"/>
      <c r="G11" s="35"/>
      <c r="H11" s="41"/>
      <c r="I11" s="299"/>
      <c r="J11" s="299"/>
      <c r="K11" s="299"/>
      <c r="L11" s="302"/>
      <c r="M11" s="355"/>
      <c r="N11" s="312"/>
      <c r="O11" s="356" t="s">
        <v>122</v>
      </c>
    </row>
    <row r="12" spans="1:15" x14ac:dyDescent="0.2">
      <c r="B12" s="57" t="s">
        <v>80</v>
      </c>
      <c r="C12" s="58" t="s">
        <v>81</v>
      </c>
      <c r="D12" s="35">
        <v>698499.36081828561</v>
      </c>
      <c r="E12" s="73">
        <v>33.840000000000003</v>
      </c>
      <c r="F12" s="299">
        <f>ROUND(D12*E12,2)</f>
        <v>23637218.370000001</v>
      </c>
      <c r="G12" s="35"/>
      <c r="H12" s="301">
        <v>38.89</v>
      </c>
      <c r="I12" s="66">
        <f>ROUND(D12*H12,2)</f>
        <v>27164640.140000001</v>
      </c>
      <c r="J12" s="299"/>
      <c r="K12" s="299">
        <f>I12-F12</f>
        <v>3527421.7699999996</v>
      </c>
      <c r="L12" s="302">
        <f>IFERROR(ROUND(K12/F12,5), )</f>
        <v>0.14923</v>
      </c>
      <c r="M12" s="355"/>
      <c r="N12" s="312"/>
      <c r="O12" s="59">
        <v>122144166.5837137</v>
      </c>
    </row>
    <row r="13" spans="1:15" x14ac:dyDescent="0.2">
      <c r="B13" s="297" t="s">
        <v>82</v>
      </c>
      <c r="C13" s="31" t="s">
        <v>83</v>
      </c>
      <c r="D13" s="35">
        <v>222166912.14539161</v>
      </c>
      <c r="E13" s="60">
        <v>0.37956000000000001</v>
      </c>
      <c r="F13" s="299">
        <f>ROUND(D13*E13,2)</f>
        <v>84325673.170000002</v>
      </c>
      <c r="G13" s="35"/>
      <c r="H13" s="93">
        <f>ROUND((O12-I12-I14-I22)/D32,5)</f>
        <v>0.41249000000000002</v>
      </c>
      <c r="I13" s="66">
        <f>ROUND(D13*H13,2)</f>
        <v>91641629.590000004</v>
      </c>
      <c r="J13" s="299"/>
      <c r="K13" s="299">
        <f>I13-F13</f>
        <v>7315956.4200000018</v>
      </c>
      <c r="L13" s="302">
        <f>IFERROR(ROUND(K13/F13,5), )</f>
        <v>8.6760000000000004E-2</v>
      </c>
      <c r="M13" s="355"/>
      <c r="N13" s="312"/>
      <c r="O13" s="304" t="s">
        <v>112</v>
      </c>
    </row>
    <row r="14" spans="1:15" x14ac:dyDescent="0.2">
      <c r="B14" s="297" t="s">
        <v>85</v>
      </c>
      <c r="C14" s="31"/>
      <c r="D14" s="35">
        <f>D13</f>
        <v>222166912.14539161</v>
      </c>
      <c r="E14" s="60">
        <v>1.371E-2</v>
      </c>
      <c r="F14" s="299">
        <f>ROUND(D14*E14,2)</f>
        <v>3045908.37</v>
      </c>
      <c r="G14" s="35"/>
      <c r="H14" s="93">
        <v>1.4919999999999999E-2</v>
      </c>
      <c r="I14" s="299">
        <f>ROUND(D14*H14,2)</f>
        <v>3314730.33</v>
      </c>
      <c r="J14" s="357"/>
      <c r="K14" s="299">
        <f>I14-F14</f>
        <v>268821.95999999996</v>
      </c>
      <c r="L14" s="302">
        <f>IFERROR(ROUND(K14/F14,5), )</f>
        <v>8.8260000000000005E-2</v>
      </c>
      <c r="M14" s="350"/>
      <c r="N14" s="350"/>
      <c r="O14" s="85">
        <f>I36-O12</f>
        <v>815.4562863111496</v>
      </c>
    </row>
    <row r="15" spans="1:15" x14ac:dyDescent="0.2">
      <c r="B15" s="313" t="s">
        <v>114</v>
      </c>
      <c r="C15" s="306"/>
      <c r="D15" s="35"/>
      <c r="E15" s="41"/>
      <c r="F15" s="307">
        <f>SUM(F12:F14)</f>
        <v>111008799.91000001</v>
      </c>
      <c r="G15" s="35"/>
      <c r="H15" s="35"/>
      <c r="I15" s="86">
        <f>SUM(I12:I14)</f>
        <v>122121000.06</v>
      </c>
      <c r="J15" s="299"/>
      <c r="K15" s="307">
        <f>SUM(K12:K14)</f>
        <v>11112200.150000002</v>
      </c>
      <c r="L15" s="308">
        <f>IFERROR(ROUND(K15/F15,5), )</f>
        <v>0.10009999999999999</v>
      </c>
      <c r="M15" s="355"/>
      <c r="N15" s="312"/>
      <c r="O15" s="87"/>
    </row>
    <row r="16" spans="1:15" x14ac:dyDescent="0.2">
      <c r="B16" s="297"/>
      <c r="C16" s="31"/>
      <c r="D16" s="41"/>
      <c r="E16" s="41"/>
      <c r="F16" s="299"/>
      <c r="G16" s="35"/>
      <c r="H16" s="35"/>
      <c r="I16" s="66"/>
      <c r="J16" s="299"/>
      <c r="K16" s="299"/>
      <c r="L16" s="302"/>
      <c r="M16" s="355"/>
      <c r="N16" s="312"/>
      <c r="O16" s="358">
        <v>9.5490287038700439E-2</v>
      </c>
    </row>
    <row r="17" spans="1:15" x14ac:dyDescent="0.2">
      <c r="B17" s="313" t="s">
        <v>220</v>
      </c>
      <c r="C17" s="31"/>
      <c r="D17" s="41"/>
      <c r="E17" s="31"/>
      <c r="F17" s="307">
        <f>F15</f>
        <v>111008799.91000001</v>
      </c>
      <c r="G17" s="88"/>
      <c r="H17" s="89"/>
      <c r="I17" s="86">
        <f>I15</f>
        <v>122121000.06</v>
      </c>
      <c r="J17" s="299"/>
      <c r="K17" s="86">
        <f>K15</f>
        <v>11112200.150000002</v>
      </c>
      <c r="L17" s="308">
        <f>ROUND(K17/F17,5)</f>
        <v>0.10009999999999999</v>
      </c>
      <c r="M17" s="355"/>
      <c r="N17" s="312"/>
      <c r="O17" s="317"/>
    </row>
    <row r="18" spans="1:15" x14ac:dyDescent="0.2">
      <c r="B18" s="359"/>
      <c r="C18" s="360"/>
      <c r="D18" s="62"/>
      <c r="E18" s="90"/>
      <c r="F18" s="91"/>
      <c r="G18" s="62"/>
      <c r="H18" s="92"/>
      <c r="I18" s="63"/>
      <c r="J18" s="361"/>
      <c r="K18" s="361"/>
      <c r="L18" s="362"/>
      <c r="M18" s="355"/>
      <c r="N18" s="312"/>
      <c r="O18" s="31"/>
    </row>
    <row r="19" spans="1:15" x14ac:dyDescent="0.2">
      <c r="A19" s="31"/>
      <c r="B19" s="31"/>
      <c r="C19" s="31"/>
      <c r="D19" s="41"/>
      <c r="E19" s="31"/>
      <c r="F19" s="290"/>
      <c r="G19" s="88"/>
      <c r="H19" s="89"/>
      <c r="I19" s="290"/>
      <c r="J19" s="290"/>
      <c r="K19" s="299"/>
      <c r="L19" s="363"/>
      <c r="M19" s="355"/>
      <c r="N19" s="312"/>
      <c r="O19" s="31"/>
    </row>
    <row r="20" spans="1:15" x14ac:dyDescent="0.2">
      <c r="A20" s="31"/>
      <c r="B20" s="68" t="s">
        <v>123</v>
      </c>
      <c r="C20" s="353"/>
      <c r="D20" s="293"/>
      <c r="E20" s="293"/>
      <c r="F20" s="295"/>
      <c r="G20" s="354"/>
      <c r="H20" s="246"/>
      <c r="I20" s="295"/>
      <c r="J20" s="295"/>
      <c r="K20" s="295"/>
      <c r="L20" s="316"/>
      <c r="M20" s="355"/>
      <c r="N20" s="312"/>
      <c r="O20" s="31"/>
    </row>
    <row r="21" spans="1:15" x14ac:dyDescent="0.2">
      <c r="A21" s="31"/>
      <c r="B21" s="297"/>
      <c r="C21" s="31"/>
      <c r="D21" s="271"/>
      <c r="E21" s="31"/>
      <c r="F21" s="299"/>
      <c r="G21" s="35"/>
      <c r="H21" s="41"/>
      <c r="I21" s="299"/>
      <c r="J21" s="299"/>
      <c r="K21" s="299"/>
      <c r="L21" s="302"/>
      <c r="M21" s="355"/>
      <c r="N21" s="312"/>
      <c r="O21" s="31"/>
    </row>
    <row r="22" spans="1:15" x14ac:dyDescent="0.2">
      <c r="A22" s="31"/>
      <c r="B22" s="57" t="s">
        <v>80</v>
      </c>
      <c r="C22" s="58" t="s">
        <v>81</v>
      </c>
      <c r="D22" s="35">
        <v>24</v>
      </c>
      <c r="E22" s="73">
        <v>364.04</v>
      </c>
      <c r="F22" s="299">
        <f>ROUND(D22*E22,2)</f>
        <v>8736.9599999999991</v>
      </c>
      <c r="G22" s="35"/>
      <c r="H22" s="301">
        <f>E22</f>
        <v>364.04</v>
      </c>
      <c r="I22" s="66">
        <f>ROUND(D22*H22,2)</f>
        <v>8736.9599999999991</v>
      </c>
      <c r="J22" s="299"/>
      <c r="K22" s="299">
        <f>I22-F22</f>
        <v>0</v>
      </c>
      <c r="L22" s="302">
        <f>IFERROR(ROUND(K22/F22,5), )</f>
        <v>0</v>
      </c>
      <c r="M22" s="355"/>
      <c r="N22" s="312"/>
      <c r="O22" s="31"/>
    </row>
    <row r="23" spans="1:15" x14ac:dyDescent="0.2">
      <c r="A23" s="31"/>
      <c r="B23" s="297" t="s">
        <v>82</v>
      </c>
      <c r="C23" s="31" t="s">
        <v>83</v>
      </c>
      <c r="D23" s="35">
        <v>36958.529999999992</v>
      </c>
      <c r="E23" s="60">
        <v>0.37956000000000001</v>
      </c>
      <c r="F23" s="299">
        <f>ROUND(D23*E23,2)</f>
        <v>14027.98</v>
      </c>
      <c r="G23" s="35"/>
      <c r="H23" s="93">
        <f>H13</f>
        <v>0.41249000000000002</v>
      </c>
      <c r="I23" s="66">
        <f>ROUND(D23*H23,2)</f>
        <v>15245.02</v>
      </c>
      <c r="J23" s="299"/>
      <c r="K23" s="299">
        <f>I23-F23</f>
        <v>1217.0400000000009</v>
      </c>
      <c r="L23" s="302">
        <f>IFERROR(ROUND(K23/F23,5), )</f>
        <v>8.6760000000000004E-2</v>
      </c>
      <c r="M23" s="355"/>
      <c r="N23" s="312"/>
      <c r="O23" s="31"/>
    </row>
    <row r="24" spans="1:15" x14ac:dyDescent="0.2">
      <c r="A24" s="31"/>
      <c r="B24" s="313" t="s">
        <v>114</v>
      </c>
      <c r="C24" s="306"/>
      <c r="D24" s="35"/>
      <c r="E24" s="41"/>
      <c r="F24" s="307">
        <f>SUM(F22:F23)</f>
        <v>22764.94</v>
      </c>
      <c r="G24" s="35"/>
      <c r="H24" s="35"/>
      <c r="I24" s="86">
        <f>SUM(I22:I23)</f>
        <v>23981.98</v>
      </c>
      <c r="J24" s="299"/>
      <c r="K24" s="86">
        <f>SUM(K22:K23)</f>
        <v>1217.0400000000009</v>
      </c>
      <c r="L24" s="308">
        <f>IFERROR(ROUND(K24/F24,5), )</f>
        <v>5.3460000000000001E-2</v>
      </c>
      <c r="M24" s="355"/>
      <c r="N24" s="312"/>
      <c r="O24" s="31"/>
    </row>
    <row r="25" spans="1:15" x14ac:dyDescent="0.2">
      <c r="A25" s="31"/>
      <c r="B25" s="297"/>
      <c r="C25" s="31"/>
      <c r="D25" s="31"/>
      <c r="E25" s="31"/>
      <c r="F25" s="273"/>
      <c r="G25" s="35"/>
      <c r="H25" s="41"/>
      <c r="I25" s="273"/>
      <c r="J25" s="273"/>
      <c r="K25" s="273"/>
      <c r="L25" s="302"/>
      <c r="M25" s="355"/>
      <c r="N25" s="312"/>
      <c r="O25" s="31"/>
    </row>
    <row r="26" spans="1:15" x14ac:dyDescent="0.2">
      <c r="A26" s="31"/>
      <c r="B26" s="313" t="s">
        <v>220</v>
      </c>
      <c r="C26" s="31"/>
      <c r="D26" s="41"/>
      <c r="E26" s="31"/>
      <c r="F26" s="307">
        <f>F24</f>
        <v>22764.94</v>
      </c>
      <c r="G26" s="88"/>
      <c r="H26" s="89"/>
      <c r="I26" s="307">
        <f>I24</f>
        <v>23981.98</v>
      </c>
      <c r="J26" s="299"/>
      <c r="K26" s="307">
        <v>1223.6925354000009</v>
      </c>
      <c r="L26" s="308">
        <f>ROUND(K26/F26,5)</f>
        <v>5.3749999999999999E-2</v>
      </c>
      <c r="M26" s="355"/>
      <c r="N26" s="312"/>
      <c r="O26" s="31"/>
    </row>
    <row r="27" spans="1:15" x14ac:dyDescent="0.2">
      <c r="A27" s="31"/>
      <c r="B27" s="359"/>
      <c r="C27" s="360"/>
      <c r="D27" s="62"/>
      <c r="E27" s="90"/>
      <c r="F27" s="91"/>
      <c r="G27" s="62"/>
      <c r="H27" s="92"/>
      <c r="I27" s="63"/>
      <c r="J27" s="361"/>
      <c r="K27" s="361"/>
      <c r="L27" s="362"/>
      <c r="M27" s="355"/>
      <c r="N27" s="312"/>
      <c r="O27" s="31"/>
    </row>
    <row r="28" spans="1:15" x14ac:dyDescent="0.2">
      <c r="A28" s="31"/>
      <c r="B28" s="31"/>
      <c r="C28" s="31"/>
      <c r="D28" s="41"/>
      <c r="E28" s="31"/>
      <c r="F28" s="290"/>
      <c r="G28" s="88"/>
      <c r="H28" s="89"/>
      <c r="I28" s="290"/>
      <c r="J28" s="290"/>
      <c r="K28" s="299"/>
      <c r="L28" s="363"/>
      <c r="M28" s="355"/>
      <c r="N28" s="312"/>
      <c r="O28" s="31"/>
    </row>
    <row r="29" spans="1:15" x14ac:dyDescent="0.2">
      <c r="A29" s="31"/>
      <c r="B29" s="291" t="s">
        <v>124</v>
      </c>
      <c r="C29" s="353"/>
      <c r="D29" s="293"/>
      <c r="E29" s="293"/>
      <c r="F29" s="295"/>
      <c r="G29" s="354"/>
      <c r="H29" s="246"/>
      <c r="I29" s="295"/>
      <c r="J29" s="295"/>
      <c r="K29" s="295"/>
      <c r="L29" s="316"/>
      <c r="M29" s="355"/>
      <c r="N29" s="312"/>
      <c r="O29" s="31"/>
    </row>
    <row r="30" spans="1:15" x14ac:dyDescent="0.2">
      <c r="A30" s="31"/>
      <c r="B30" s="297"/>
      <c r="C30" s="31"/>
      <c r="D30" s="271"/>
      <c r="E30" s="31"/>
      <c r="F30" s="299"/>
      <c r="G30" s="35"/>
      <c r="H30" s="41"/>
      <c r="I30" s="299"/>
      <c r="J30" s="299"/>
      <c r="K30" s="299"/>
      <c r="L30" s="302"/>
      <c r="M30" s="355"/>
      <c r="N30" s="312"/>
      <c r="O30" s="31"/>
    </row>
    <row r="31" spans="1:15" x14ac:dyDescent="0.2">
      <c r="A31" s="31"/>
      <c r="B31" s="57" t="s">
        <v>80</v>
      </c>
      <c r="C31" s="58" t="s">
        <v>81</v>
      </c>
      <c r="D31" s="35">
        <f>D12+D22</f>
        <v>698523.36081828561</v>
      </c>
      <c r="E31" s="73"/>
      <c r="F31" s="299">
        <f>F12+F22</f>
        <v>23645955.330000002</v>
      </c>
      <c r="G31" s="35"/>
      <c r="H31" s="94"/>
      <c r="I31" s="299">
        <f>I12+I22</f>
        <v>27173377.100000001</v>
      </c>
      <c r="J31" s="299"/>
      <c r="K31" s="299">
        <f>I31-F31</f>
        <v>3527421.7699999996</v>
      </c>
      <c r="L31" s="302">
        <f>IFERROR(ROUND(K31/F31,5), )</f>
        <v>0.14918000000000001</v>
      </c>
      <c r="M31" s="355"/>
      <c r="N31" s="312"/>
      <c r="O31" s="31"/>
    </row>
    <row r="32" spans="1:15" x14ac:dyDescent="0.2">
      <c r="A32" s="31"/>
      <c r="B32" s="297" t="s">
        <v>82</v>
      </c>
      <c r="C32" s="31" t="s">
        <v>83</v>
      </c>
      <c r="D32" s="35">
        <f>D13+D23</f>
        <v>222203870.67539161</v>
      </c>
      <c r="E32" s="60"/>
      <c r="F32" s="299">
        <f>F13+F23</f>
        <v>84339701.150000006</v>
      </c>
      <c r="G32" s="35"/>
      <c r="H32" s="77"/>
      <c r="I32" s="299">
        <f>I13+I23</f>
        <v>91656874.609999999</v>
      </c>
      <c r="J32" s="299"/>
      <c r="K32" s="299">
        <f>I32-F32</f>
        <v>7317173.4599999934</v>
      </c>
      <c r="L32" s="302">
        <f>IFERROR(ROUND(K32/F32,5), )</f>
        <v>8.6760000000000004E-2</v>
      </c>
      <c r="M32" s="355"/>
      <c r="N32" s="312"/>
      <c r="O32" s="31"/>
    </row>
    <row r="33" spans="1:15" x14ac:dyDescent="0.2">
      <c r="A33" s="31"/>
      <c r="B33" s="297" t="s">
        <v>85</v>
      </c>
      <c r="C33" s="31" t="s">
        <v>83</v>
      </c>
      <c r="D33" s="35">
        <f>D14</f>
        <v>222166912.14539161</v>
      </c>
      <c r="E33" s="60"/>
      <c r="F33" s="299">
        <f>F14</f>
        <v>3045908.37</v>
      </c>
      <c r="G33" s="35"/>
      <c r="H33" s="77"/>
      <c r="I33" s="299">
        <f>I14</f>
        <v>3314730.33</v>
      </c>
      <c r="J33" s="299"/>
      <c r="K33" s="299">
        <f>I33-F33</f>
        <v>268821.95999999996</v>
      </c>
      <c r="L33" s="302">
        <f>IFERROR(ROUND(K33/F33,5), )</f>
        <v>8.8260000000000005E-2</v>
      </c>
      <c r="M33" s="355"/>
      <c r="N33" s="312"/>
      <c r="O33" s="31"/>
    </row>
    <row r="34" spans="1:15" x14ac:dyDescent="0.2">
      <c r="A34" s="31"/>
      <c r="B34" s="313" t="s">
        <v>114</v>
      </c>
      <c r="C34" s="306"/>
      <c r="D34" s="35"/>
      <c r="E34" s="41"/>
      <c r="F34" s="307">
        <f>SUM(F31:F33)</f>
        <v>111031564.85000001</v>
      </c>
      <c r="G34" s="35"/>
      <c r="H34" s="35"/>
      <c r="I34" s="307">
        <f>SUM(I31:I33)</f>
        <v>122144982.04000001</v>
      </c>
      <c r="J34" s="299"/>
      <c r="K34" s="307">
        <f>SUM(K31:K33)</f>
        <v>11113417.189999994</v>
      </c>
      <c r="L34" s="308">
        <f>IFERROR(ROUND(K34/F34,5), )</f>
        <v>0.10009</v>
      </c>
      <c r="M34" s="355"/>
      <c r="N34" s="312"/>
      <c r="O34" s="31"/>
    </row>
    <row r="35" spans="1:15" x14ac:dyDescent="0.2">
      <c r="A35" s="31"/>
      <c r="B35" s="313"/>
      <c r="C35" s="306"/>
      <c r="D35" s="35"/>
      <c r="E35" s="41"/>
      <c r="F35" s="299"/>
      <c r="G35" s="35"/>
      <c r="H35" s="35"/>
      <c r="I35" s="299"/>
      <c r="J35" s="299"/>
      <c r="K35" s="299"/>
      <c r="L35" s="302"/>
      <c r="M35" s="355"/>
      <c r="N35" s="312"/>
      <c r="O35" s="31"/>
    </row>
    <row r="36" spans="1:15" x14ac:dyDescent="0.2">
      <c r="A36" s="31"/>
      <c r="B36" s="313" t="s">
        <v>220</v>
      </c>
      <c r="C36" s="31"/>
      <c r="D36" s="41"/>
      <c r="E36" s="31"/>
      <c r="F36" s="307">
        <f>F34</f>
        <v>111031564.85000001</v>
      </c>
      <c r="G36" s="88"/>
      <c r="H36" s="89"/>
      <c r="I36" s="307">
        <f>I34</f>
        <v>122144982.04000001</v>
      </c>
      <c r="J36" s="299"/>
      <c r="K36" s="307">
        <f>K34</f>
        <v>11113417.189999994</v>
      </c>
      <c r="L36" s="308">
        <f>ROUND(K36/F36,5)</f>
        <v>0.10009</v>
      </c>
      <c r="M36" s="355"/>
      <c r="N36" s="312"/>
      <c r="O36" s="31"/>
    </row>
    <row r="37" spans="1:15" x14ac:dyDescent="0.2">
      <c r="A37" s="31"/>
      <c r="B37" s="359"/>
      <c r="C37" s="360"/>
      <c r="D37" s="62"/>
      <c r="E37" s="90"/>
      <c r="F37" s="91"/>
      <c r="G37" s="62"/>
      <c r="H37" s="92"/>
      <c r="I37" s="63"/>
      <c r="J37" s="361"/>
      <c r="K37" s="361"/>
      <c r="L37" s="362"/>
      <c r="M37" s="355"/>
      <c r="N37" s="312"/>
      <c r="O37" s="31"/>
    </row>
    <row r="38" spans="1:15" x14ac:dyDescent="0.2">
      <c r="A38" s="31"/>
      <c r="B38" s="31"/>
      <c r="C38" s="31"/>
      <c r="D38" s="41"/>
      <c r="E38" s="31"/>
      <c r="F38" s="290"/>
      <c r="G38" s="88"/>
      <c r="H38" s="89"/>
      <c r="I38" s="290"/>
      <c r="J38" s="290"/>
      <c r="K38" s="299"/>
      <c r="L38" s="363"/>
      <c r="M38" s="355"/>
      <c r="N38" s="312"/>
      <c r="O38" s="31"/>
    </row>
    <row r="39" spans="1:15" x14ac:dyDescent="0.2">
      <c r="B39" s="68" t="s">
        <v>125</v>
      </c>
      <c r="C39" s="353"/>
      <c r="D39" s="246"/>
      <c r="E39" s="293"/>
      <c r="F39" s="295"/>
      <c r="G39" s="246"/>
      <c r="H39" s="246"/>
      <c r="I39" s="295"/>
      <c r="J39" s="295"/>
      <c r="K39" s="295"/>
      <c r="L39" s="316"/>
      <c r="M39" s="355"/>
      <c r="N39" s="312"/>
    </row>
    <row r="40" spans="1:15" x14ac:dyDescent="0.2">
      <c r="B40" s="69"/>
      <c r="C40" s="31"/>
      <c r="D40" s="41"/>
      <c r="E40" s="41"/>
      <c r="F40" s="299"/>
      <c r="G40" s="70"/>
      <c r="H40" s="41"/>
      <c r="I40" s="299"/>
      <c r="J40" s="299"/>
      <c r="K40" s="299"/>
      <c r="L40" s="302"/>
      <c r="M40" s="355"/>
      <c r="N40" s="312"/>
      <c r="O40" s="95" t="s">
        <v>126</v>
      </c>
    </row>
    <row r="41" spans="1:15" x14ac:dyDescent="0.2">
      <c r="B41" s="57" t="s">
        <v>80</v>
      </c>
      <c r="C41" s="58" t="s">
        <v>81</v>
      </c>
      <c r="D41" s="35">
        <v>14991.599999999999</v>
      </c>
      <c r="E41" s="73">
        <v>113.4</v>
      </c>
      <c r="F41" s="299">
        <f>ROUND(D41*E41,2)</f>
        <v>1700047.44</v>
      </c>
      <c r="G41" s="35"/>
      <c r="H41" s="301">
        <v>130.33000000000001</v>
      </c>
      <c r="I41" s="299">
        <f>ROUND(D41*H41,2)</f>
        <v>1953855.23</v>
      </c>
      <c r="J41" s="299"/>
      <c r="K41" s="299">
        <f>I41-F41</f>
        <v>253807.79000000004</v>
      </c>
      <c r="L41" s="300">
        <f t="shared" ref="L41:L43" si="0">IFERROR(ROUND(K41/F41,5), )</f>
        <v>0.14929000000000001</v>
      </c>
      <c r="M41" s="355"/>
      <c r="N41" s="312"/>
      <c r="O41" s="59">
        <v>22261666.953032859</v>
      </c>
    </row>
    <row r="42" spans="1:15" x14ac:dyDescent="0.2">
      <c r="B42" s="69" t="s">
        <v>87</v>
      </c>
      <c r="C42" s="58" t="s">
        <v>81</v>
      </c>
      <c r="D42" s="35">
        <f>D41</f>
        <v>14991.599999999999</v>
      </c>
      <c r="E42" s="73">
        <v>123.82</v>
      </c>
      <c r="F42" s="290">
        <f>D42*E42</f>
        <v>1856259.9119999998</v>
      </c>
      <c r="G42" s="35"/>
      <c r="H42" s="301">
        <f>ROUND(H46*900,2)</f>
        <v>126.28</v>
      </c>
      <c r="I42" s="290">
        <f>ROUND(D42*H42,2)</f>
        <v>1893139.25</v>
      </c>
      <c r="J42" s="290"/>
      <c r="K42" s="299">
        <f>I42-F42</f>
        <v>36879.338000000222</v>
      </c>
      <c r="L42" s="300">
        <f t="shared" si="0"/>
        <v>1.9869999999999999E-2</v>
      </c>
      <c r="M42" s="355"/>
      <c r="N42" s="288"/>
      <c r="O42" s="96" t="s">
        <v>112</v>
      </c>
    </row>
    <row r="43" spans="1:15" x14ac:dyDescent="0.2">
      <c r="B43" s="69" t="s">
        <v>88</v>
      </c>
      <c r="C43" s="31" t="s">
        <v>86</v>
      </c>
      <c r="D43" s="35">
        <v>4828804.7110000001</v>
      </c>
      <c r="E43" s="73">
        <v>1.25</v>
      </c>
      <c r="F43" s="290">
        <f>ROUND(D43*E43,2)</f>
        <v>6036005.8899999997</v>
      </c>
      <c r="G43" s="35"/>
      <c r="H43" s="301">
        <f>ROUND(E43*(1+$O$45),2)</f>
        <v>1.37</v>
      </c>
      <c r="I43" s="290">
        <f>ROUND(D43*H43,2)</f>
        <v>6615462.4500000002</v>
      </c>
      <c r="J43" s="290"/>
      <c r="K43" s="299">
        <f>I43-F43</f>
        <v>579456.56000000052</v>
      </c>
      <c r="L43" s="300">
        <f t="shared" si="0"/>
        <v>9.6000000000000002E-2</v>
      </c>
      <c r="M43" s="355"/>
      <c r="N43" s="288"/>
      <c r="O43" s="85">
        <f>I86-O41</f>
        <v>130.10030537843704</v>
      </c>
    </row>
    <row r="44" spans="1:15" x14ac:dyDescent="0.2">
      <c r="B44" s="69"/>
      <c r="C44" s="31"/>
      <c r="D44" s="35"/>
      <c r="E44" s="73"/>
      <c r="F44" s="357"/>
      <c r="G44" s="35"/>
      <c r="H44" s="73"/>
      <c r="I44" s="290"/>
      <c r="J44" s="290"/>
      <c r="K44" s="318"/>
      <c r="L44" s="364"/>
      <c r="M44" s="355"/>
      <c r="N44" s="288"/>
      <c r="O44" s="97"/>
    </row>
    <row r="45" spans="1:15" x14ac:dyDescent="0.2">
      <c r="B45" s="69" t="s">
        <v>89</v>
      </c>
      <c r="C45" s="31"/>
      <c r="D45" s="35"/>
      <c r="E45" s="73"/>
      <c r="F45" s="290"/>
      <c r="G45" s="35"/>
      <c r="H45" s="73"/>
      <c r="I45" s="290"/>
      <c r="J45" s="290"/>
      <c r="K45" s="318"/>
      <c r="L45" s="364"/>
      <c r="M45" s="355"/>
      <c r="N45" s="288"/>
      <c r="O45" s="358">
        <v>9.5490287038700439E-2</v>
      </c>
    </row>
    <row r="46" spans="1:15" x14ac:dyDescent="0.2">
      <c r="B46" s="69" t="s">
        <v>90</v>
      </c>
      <c r="C46" s="31" t="s">
        <v>83</v>
      </c>
      <c r="D46" s="35">
        <v>12213411.474000001</v>
      </c>
      <c r="E46" s="60">
        <v>0.13758000000000001</v>
      </c>
      <c r="F46" s="299" t="s">
        <v>91</v>
      </c>
      <c r="G46" s="35"/>
      <c r="H46" s="93">
        <f>H47</f>
        <v>0.14030999999999999</v>
      </c>
      <c r="I46" s="299" t="s">
        <v>91</v>
      </c>
      <c r="J46" s="299"/>
      <c r="K46" s="299"/>
      <c r="L46" s="302"/>
      <c r="M46" s="355"/>
      <c r="N46" s="312"/>
    </row>
    <row r="47" spans="1:15" x14ac:dyDescent="0.2">
      <c r="B47" s="69" t="s">
        <v>92</v>
      </c>
      <c r="C47" s="31" t="s">
        <v>83</v>
      </c>
      <c r="D47" s="35">
        <v>27469287.989699997</v>
      </c>
      <c r="E47" s="60">
        <v>0.13758000000000001</v>
      </c>
      <c r="F47" s="299">
        <f>ROUND(D47*E47,2)</f>
        <v>3779224.64</v>
      </c>
      <c r="G47" s="35"/>
      <c r="H47" s="93">
        <v>0.14030999999999999</v>
      </c>
      <c r="I47" s="299">
        <f>ROUND(D47*H47,2)</f>
        <v>3854215.8</v>
      </c>
      <c r="J47" s="299"/>
      <c r="K47" s="299">
        <f>I47-F47</f>
        <v>74991.159999999683</v>
      </c>
      <c r="L47" s="300">
        <f t="shared" ref="L47:L48" si="1">IFERROR(ROUND(K47/F47,5), )</f>
        <v>1.984E-2</v>
      </c>
      <c r="M47" s="355"/>
      <c r="N47" s="312"/>
    </row>
    <row r="48" spans="1:15" x14ac:dyDescent="0.2">
      <c r="B48" s="69" t="s">
        <v>93</v>
      </c>
      <c r="C48" s="31" t="s">
        <v>83</v>
      </c>
      <c r="D48" s="35">
        <v>22835291.693248168</v>
      </c>
      <c r="E48" s="60">
        <v>0.11074000000000001</v>
      </c>
      <c r="F48" s="299">
        <f>ROUND(D48*E48,2)</f>
        <v>2528780.2000000002</v>
      </c>
      <c r="G48" s="35"/>
      <c r="H48" s="93">
        <f>ROUND(E48*(1+$O$45),5)</f>
        <v>0.12131</v>
      </c>
      <c r="I48" s="299">
        <f>ROUND(D48*H48,2)</f>
        <v>2770149.24</v>
      </c>
      <c r="J48" s="299"/>
      <c r="K48" s="299">
        <f>I48-F48</f>
        <v>241369.04000000004</v>
      </c>
      <c r="L48" s="300">
        <f t="shared" si="1"/>
        <v>9.5449999999999993E-2</v>
      </c>
      <c r="M48" s="355"/>
      <c r="N48" s="312"/>
      <c r="O48" s="66"/>
    </row>
    <row r="49" spans="1:16" s="38" customFormat="1" x14ac:dyDescent="0.2">
      <c r="A49" s="41"/>
      <c r="B49" s="57" t="s">
        <v>94</v>
      </c>
      <c r="C49" s="306"/>
      <c r="D49" s="12">
        <f>SUM(D46:D48)</f>
        <v>62517991.156948164</v>
      </c>
      <c r="E49" s="271"/>
      <c r="F49" s="290"/>
      <c r="G49" s="35"/>
      <c r="H49" s="35"/>
      <c r="I49" s="41"/>
      <c r="J49" s="41"/>
      <c r="K49" s="41"/>
      <c r="L49" s="74"/>
      <c r="M49" s="98"/>
      <c r="N49" s="78"/>
      <c r="O49" s="41"/>
    </row>
    <row r="50" spans="1:16" s="38" customFormat="1" x14ac:dyDescent="0.2">
      <c r="A50" s="41"/>
      <c r="B50" s="57" t="s">
        <v>85</v>
      </c>
      <c r="C50" s="31" t="s">
        <v>83</v>
      </c>
      <c r="D50" s="35">
        <f>D49</f>
        <v>62517991.156948164</v>
      </c>
      <c r="E50" s="365">
        <v>1.005E-2</v>
      </c>
      <c r="F50" s="290">
        <f>D50*E50</f>
        <v>628305.81112732901</v>
      </c>
      <c r="G50" s="35"/>
      <c r="H50" s="93">
        <v>1.119E-2</v>
      </c>
      <c r="I50" s="290">
        <f>D50*H50</f>
        <v>699576.32104624994</v>
      </c>
      <c r="J50" s="290"/>
      <c r="K50" s="299">
        <f>I50-F50</f>
        <v>71270.509918920929</v>
      </c>
      <c r="L50" s="300">
        <f>IFERROR(ROUND(K50/F50,5), )</f>
        <v>0.11343</v>
      </c>
      <c r="M50" s="98"/>
      <c r="N50" s="78"/>
      <c r="O50" s="41"/>
      <c r="P50" s="20"/>
    </row>
    <row r="51" spans="1:16" x14ac:dyDescent="0.2">
      <c r="B51" s="313" t="s">
        <v>114</v>
      </c>
      <c r="C51" s="306"/>
      <c r="D51" s="12"/>
      <c r="E51" s="271"/>
      <c r="F51" s="366">
        <f>SUM(F41:F50)</f>
        <v>16528623.893127328</v>
      </c>
      <c r="G51" s="35"/>
      <c r="H51" s="35"/>
      <c r="I51" s="366">
        <f>SUM(I41:I43,I47:I50)</f>
        <v>17786398.291046247</v>
      </c>
      <c r="J51" s="290"/>
      <c r="K51" s="366">
        <f>SUM(K41:K50)</f>
        <v>1257774.3979189214</v>
      </c>
      <c r="L51" s="308">
        <f>ROUND(K51/F51,5)</f>
        <v>7.6100000000000001E-2</v>
      </c>
      <c r="M51" s="355"/>
      <c r="N51" s="312"/>
      <c r="O51" s="79"/>
    </row>
    <row r="52" spans="1:16" x14ac:dyDescent="0.2">
      <c r="B52" s="57"/>
      <c r="C52" s="306"/>
      <c r="D52" s="35"/>
      <c r="E52" s="31"/>
      <c r="F52" s="299"/>
      <c r="G52" s="35"/>
      <c r="H52" s="35"/>
      <c r="I52" s="290"/>
      <c r="J52" s="290"/>
      <c r="K52" s="299"/>
      <c r="L52" s="302"/>
      <c r="M52" s="355"/>
      <c r="N52" s="312"/>
      <c r="O52" s="99"/>
    </row>
    <row r="53" spans="1:16" x14ac:dyDescent="0.2">
      <c r="B53" s="57" t="s">
        <v>220</v>
      </c>
      <c r="C53" s="306"/>
      <c r="D53" s="41"/>
      <c r="E53" s="35"/>
      <c r="F53" s="366">
        <f>+F51</f>
        <v>16528623.893127328</v>
      </c>
      <c r="G53" s="35"/>
      <c r="H53" s="35"/>
      <c r="I53" s="366">
        <f>+I51</f>
        <v>17786398.291046247</v>
      </c>
      <c r="J53" s="290"/>
      <c r="K53" s="307">
        <f>K51</f>
        <v>1257774.3979189214</v>
      </c>
      <c r="L53" s="308">
        <f>ROUND(K53/F53,5)</f>
        <v>7.6100000000000001E-2</v>
      </c>
      <c r="M53" s="355"/>
      <c r="N53" s="312"/>
      <c r="O53" s="41"/>
    </row>
    <row r="54" spans="1:16" s="38" customFormat="1" x14ac:dyDescent="0.2">
      <c r="B54" s="61"/>
      <c r="C54" s="62"/>
      <c r="D54" s="62"/>
      <c r="E54" s="62"/>
      <c r="F54" s="63"/>
      <c r="G54" s="62"/>
      <c r="H54" s="62"/>
      <c r="I54" s="91"/>
      <c r="J54" s="91"/>
      <c r="K54" s="63"/>
      <c r="L54" s="65"/>
      <c r="M54" s="98"/>
      <c r="N54" s="78"/>
      <c r="O54" s="41"/>
    </row>
    <row r="55" spans="1:16" s="38" customFormat="1" x14ac:dyDescent="0.2">
      <c r="A55" s="41"/>
      <c r="B55" s="41"/>
      <c r="C55" s="41"/>
      <c r="D55" s="41"/>
      <c r="E55" s="41"/>
      <c r="F55" s="66"/>
      <c r="G55" s="41"/>
      <c r="H55" s="41"/>
      <c r="I55" s="100"/>
      <c r="J55" s="100"/>
      <c r="K55" s="66"/>
      <c r="L55" s="67"/>
      <c r="M55" s="98"/>
      <c r="N55" s="78"/>
      <c r="O55" s="41"/>
    </row>
    <row r="56" spans="1:16" s="38" customFormat="1" x14ac:dyDescent="0.2">
      <c r="A56" s="41"/>
      <c r="B56" s="68" t="s">
        <v>127</v>
      </c>
      <c r="C56" s="353"/>
      <c r="D56" s="246"/>
      <c r="E56" s="293"/>
      <c r="F56" s="295"/>
      <c r="G56" s="246"/>
      <c r="H56" s="246"/>
      <c r="I56" s="295"/>
      <c r="J56" s="295"/>
      <c r="K56" s="295"/>
      <c r="L56" s="316"/>
      <c r="M56" s="98"/>
      <c r="N56" s="78"/>
      <c r="O56" s="41"/>
    </row>
    <row r="57" spans="1:16" s="38" customFormat="1" x14ac:dyDescent="0.2">
      <c r="A57" s="41"/>
      <c r="B57" s="69"/>
      <c r="C57" s="31"/>
      <c r="D57" s="41"/>
      <c r="E57" s="41"/>
      <c r="F57" s="299"/>
      <c r="G57" s="70"/>
      <c r="H57" s="41"/>
      <c r="I57" s="299"/>
      <c r="J57" s="299"/>
      <c r="K57" s="299"/>
      <c r="L57" s="302"/>
      <c r="M57" s="98"/>
      <c r="N57" s="78"/>
      <c r="O57" s="41"/>
    </row>
    <row r="58" spans="1:16" s="38" customFormat="1" x14ac:dyDescent="0.2">
      <c r="A58" s="41"/>
      <c r="B58" s="57" t="s">
        <v>80</v>
      </c>
      <c r="C58" s="58" t="s">
        <v>81</v>
      </c>
      <c r="D58" s="35">
        <v>1040</v>
      </c>
      <c r="E58" s="73">
        <v>422.79</v>
      </c>
      <c r="F58" s="299">
        <f>ROUND(D58*E58,2)</f>
        <v>439701.6</v>
      </c>
      <c r="G58" s="35"/>
      <c r="H58" s="301">
        <f>E58</f>
        <v>422.79</v>
      </c>
      <c r="I58" s="299">
        <f>ROUND(D58*H58,2)</f>
        <v>439701.6</v>
      </c>
      <c r="J58" s="299"/>
      <c r="K58" s="299">
        <f>I58-F58</f>
        <v>0</v>
      </c>
      <c r="L58" s="300">
        <f t="shared" ref="L58:L60" si="2">IFERROR(ROUND(K58/F58,5), )</f>
        <v>0</v>
      </c>
      <c r="M58" s="98"/>
      <c r="N58" s="78"/>
      <c r="O58" s="58"/>
    </row>
    <row r="59" spans="1:16" s="38" customFormat="1" x14ac:dyDescent="0.2">
      <c r="A59" s="41"/>
      <c r="B59" s="69" t="s">
        <v>87</v>
      </c>
      <c r="C59" s="58" t="s">
        <v>81</v>
      </c>
      <c r="D59" s="35">
        <f>D58</f>
        <v>1040</v>
      </c>
      <c r="E59" s="73">
        <v>123.82</v>
      </c>
      <c r="F59" s="290">
        <f>D59*E59</f>
        <v>128772.79999999999</v>
      </c>
      <c r="G59" s="35"/>
      <c r="H59" s="301">
        <f>H42</f>
        <v>126.28</v>
      </c>
      <c r="I59" s="290">
        <f>ROUND(D59*H59,2)</f>
        <v>131331.20000000001</v>
      </c>
      <c r="J59" s="290"/>
      <c r="K59" s="299">
        <f>I59-F59</f>
        <v>2558.4000000000233</v>
      </c>
      <c r="L59" s="300">
        <f t="shared" si="2"/>
        <v>1.9869999999999999E-2</v>
      </c>
      <c r="M59" s="98"/>
      <c r="N59" s="78"/>
      <c r="O59" s="41"/>
    </row>
    <row r="60" spans="1:16" s="38" customFormat="1" x14ac:dyDescent="0.2">
      <c r="A60" s="41"/>
      <c r="B60" s="69" t="s">
        <v>88</v>
      </c>
      <c r="C60" s="31" t="s">
        <v>86</v>
      </c>
      <c r="D60" s="35">
        <v>1163206.9669999999</v>
      </c>
      <c r="E60" s="73">
        <v>1.25</v>
      </c>
      <c r="F60" s="290">
        <f>ROUND(D60*E60,2)</f>
        <v>1454008.71</v>
      </c>
      <c r="G60" s="35"/>
      <c r="H60" s="301">
        <f>H43</f>
        <v>1.37</v>
      </c>
      <c r="I60" s="290">
        <f>ROUND(D60*H60,2)</f>
        <v>1593593.54</v>
      </c>
      <c r="J60" s="41"/>
      <c r="K60" s="299">
        <f>I60-F60</f>
        <v>139584.83000000007</v>
      </c>
      <c r="L60" s="300">
        <f t="shared" si="2"/>
        <v>9.6000000000000002E-2</v>
      </c>
      <c r="M60" s="98"/>
      <c r="N60" s="78"/>
      <c r="O60" s="41"/>
    </row>
    <row r="61" spans="1:16" s="38" customFormat="1" x14ac:dyDescent="0.2">
      <c r="A61" s="41"/>
      <c r="B61" s="69"/>
      <c r="C61" s="31"/>
      <c r="D61" s="35"/>
      <c r="E61" s="73"/>
      <c r="F61" s="290"/>
      <c r="G61" s="35"/>
      <c r="H61" s="73"/>
      <c r="I61" s="290"/>
      <c r="J61" s="290"/>
      <c r="K61" s="318"/>
      <c r="L61" s="364"/>
      <c r="M61" s="98"/>
      <c r="N61" s="78"/>
      <c r="O61" s="41"/>
    </row>
    <row r="62" spans="1:16" s="38" customFormat="1" x14ac:dyDescent="0.2">
      <c r="A62" s="41"/>
      <c r="B62" s="69" t="s">
        <v>89</v>
      </c>
      <c r="C62" s="31"/>
      <c r="D62" s="35"/>
      <c r="E62" s="73"/>
      <c r="F62" s="299"/>
      <c r="G62" s="35"/>
      <c r="H62" s="73"/>
      <c r="I62" s="290"/>
      <c r="J62" s="290"/>
      <c r="K62" s="318"/>
      <c r="L62" s="364"/>
      <c r="M62" s="98"/>
      <c r="N62" s="78"/>
      <c r="O62" s="41"/>
    </row>
    <row r="63" spans="1:16" s="38" customFormat="1" x14ac:dyDescent="0.2">
      <c r="A63" s="41"/>
      <c r="B63" s="69" t="s">
        <v>90</v>
      </c>
      <c r="C63" s="31" t="s">
        <v>83</v>
      </c>
      <c r="D63" s="35">
        <v>1057148.28</v>
      </c>
      <c r="E63" s="60">
        <v>0.13758000000000001</v>
      </c>
      <c r="F63" s="299" t="s">
        <v>91</v>
      </c>
      <c r="G63" s="35"/>
      <c r="H63" s="93">
        <f>H46</f>
        <v>0.14030999999999999</v>
      </c>
      <c r="I63" s="299" t="s">
        <v>91</v>
      </c>
      <c r="J63" s="299"/>
      <c r="K63" s="299"/>
      <c r="L63" s="302"/>
      <c r="M63" s="98"/>
      <c r="N63" s="78"/>
      <c r="O63" s="41"/>
    </row>
    <row r="64" spans="1:16" s="38" customFormat="1" x14ac:dyDescent="0.2">
      <c r="A64" s="41"/>
      <c r="B64" s="69" t="s">
        <v>92</v>
      </c>
      <c r="C64" s="31" t="s">
        <v>83</v>
      </c>
      <c r="D64" s="35">
        <v>3901926.5700000003</v>
      </c>
      <c r="E64" s="60">
        <v>0.13758000000000001</v>
      </c>
      <c r="F64" s="299">
        <f>D64*E64</f>
        <v>536827.05750060012</v>
      </c>
      <c r="G64" s="35"/>
      <c r="H64" s="93">
        <f>H47</f>
        <v>0.14030999999999999</v>
      </c>
      <c r="I64" s="299">
        <f>H64*D64</f>
        <v>547479.31703669997</v>
      </c>
      <c r="J64" s="299"/>
      <c r="K64" s="299">
        <f>I64-F64</f>
        <v>10652.259536099853</v>
      </c>
      <c r="L64" s="300">
        <f t="shared" ref="L64:L65" si="3">IFERROR(ROUND(K64/F64,5), )</f>
        <v>1.984E-2</v>
      </c>
      <c r="M64" s="98"/>
      <c r="N64" s="78"/>
      <c r="O64" s="41"/>
    </row>
    <row r="65" spans="1:15" s="38" customFormat="1" x14ac:dyDescent="0.2">
      <c r="A65" s="41"/>
      <c r="B65" s="69" t="s">
        <v>93</v>
      </c>
      <c r="C65" s="31" t="s">
        <v>83</v>
      </c>
      <c r="D65" s="35">
        <v>14535430.758019032</v>
      </c>
      <c r="E65" s="60">
        <v>0.11074000000000001</v>
      </c>
      <c r="F65" s="299">
        <f>D65*E65</f>
        <v>1609653.6021430276</v>
      </c>
      <c r="G65" s="35"/>
      <c r="H65" s="93">
        <f>H48</f>
        <v>0.12131</v>
      </c>
      <c r="I65" s="299">
        <f>H65*D65</f>
        <v>1763293.1052552888</v>
      </c>
      <c r="J65" s="299"/>
      <c r="K65" s="299">
        <f>I65-F65</f>
        <v>153639.50311226118</v>
      </c>
      <c r="L65" s="300">
        <f t="shared" si="3"/>
        <v>9.5449999999999993E-2</v>
      </c>
      <c r="M65" s="98"/>
      <c r="N65" s="78"/>
      <c r="O65" s="41"/>
    </row>
    <row r="66" spans="1:15" s="38" customFormat="1" x14ac:dyDescent="0.2">
      <c r="A66" s="41"/>
      <c r="B66" s="57" t="s">
        <v>94</v>
      </c>
      <c r="C66" s="306"/>
      <c r="D66" s="12">
        <f>SUM(D63:D65)</f>
        <v>19494505.608019032</v>
      </c>
      <c r="E66" s="271"/>
      <c r="F66" s="290"/>
      <c r="G66" s="35"/>
      <c r="H66" s="35"/>
      <c r="I66" s="41"/>
      <c r="J66" s="41"/>
      <c r="K66" s="41"/>
      <c r="L66" s="74"/>
      <c r="M66" s="98"/>
      <c r="N66" s="78"/>
      <c r="O66" s="41"/>
    </row>
    <row r="67" spans="1:15" s="38" customFormat="1" x14ac:dyDescent="0.2">
      <c r="A67" s="41"/>
      <c r="B67" s="313" t="s">
        <v>114</v>
      </c>
      <c r="C67" s="306"/>
      <c r="D67" s="35"/>
      <c r="E67" s="271"/>
      <c r="F67" s="366">
        <f>SUM(F58:F66)</f>
        <v>4168963.769643628</v>
      </c>
      <c r="G67" s="35"/>
      <c r="H67" s="35"/>
      <c r="I67" s="366">
        <f>SUM(I58:I66)</f>
        <v>4475398.7622919884</v>
      </c>
      <c r="J67" s="290"/>
      <c r="K67" s="366">
        <f>SUM(K58:K66)</f>
        <v>306434.99264836113</v>
      </c>
      <c r="L67" s="308">
        <f>ROUND(K67/F67,5)</f>
        <v>7.3499999999999996E-2</v>
      </c>
      <c r="M67" s="98"/>
      <c r="N67" s="78"/>
      <c r="O67" s="41"/>
    </row>
    <row r="68" spans="1:15" s="38" customFormat="1" x14ac:dyDescent="0.2">
      <c r="A68" s="41"/>
      <c r="B68" s="57"/>
      <c r="C68" s="306"/>
      <c r="D68" s="35"/>
      <c r="E68" s="271"/>
      <c r="F68" s="290"/>
      <c r="G68" s="35"/>
      <c r="H68" s="35"/>
      <c r="I68" s="290"/>
      <c r="J68" s="290"/>
      <c r="K68" s="299"/>
      <c r="L68" s="302"/>
      <c r="M68" s="98"/>
      <c r="N68" s="78"/>
      <c r="O68" s="367"/>
    </row>
    <row r="69" spans="1:15" s="38" customFormat="1" x14ac:dyDescent="0.2">
      <c r="A69" s="41"/>
      <c r="B69" s="69" t="s">
        <v>220</v>
      </c>
      <c r="C69" s="31"/>
      <c r="D69" s="35"/>
      <c r="E69" s="60"/>
      <c r="F69" s="366">
        <f>F67</f>
        <v>4168963.769643628</v>
      </c>
      <c r="G69" s="41"/>
      <c r="H69" s="73"/>
      <c r="I69" s="366">
        <f>I67</f>
        <v>4475398.7622919884</v>
      </c>
      <c r="J69" s="299"/>
      <c r="K69" s="307">
        <f>K67</f>
        <v>306434.99264836113</v>
      </c>
      <c r="L69" s="308">
        <f>ROUND(K69/F69,5)</f>
        <v>7.3499999999999996E-2</v>
      </c>
      <c r="M69" s="98"/>
      <c r="N69" s="78"/>
      <c r="O69" s="66"/>
    </row>
    <row r="70" spans="1:15" s="38" customFormat="1" x14ac:dyDescent="0.2">
      <c r="A70" s="41"/>
      <c r="B70" s="61"/>
      <c r="C70" s="62"/>
      <c r="D70" s="62"/>
      <c r="E70" s="62"/>
      <c r="F70" s="63"/>
      <c r="G70" s="62"/>
      <c r="H70" s="62"/>
      <c r="I70" s="91"/>
      <c r="J70" s="91"/>
      <c r="K70" s="63"/>
      <c r="L70" s="65"/>
      <c r="M70" s="98"/>
      <c r="N70" s="78"/>
      <c r="O70" s="367"/>
    </row>
    <row r="71" spans="1:15" s="38" customFormat="1" x14ac:dyDescent="0.2">
      <c r="A71" s="41"/>
      <c r="B71" s="41"/>
      <c r="C71" s="41"/>
      <c r="D71" s="41"/>
      <c r="E71" s="41"/>
      <c r="F71" s="66"/>
      <c r="G71" s="41"/>
      <c r="H71" s="41"/>
      <c r="I71" s="100"/>
      <c r="J71" s="100"/>
      <c r="K71" s="66"/>
      <c r="L71" s="67"/>
      <c r="M71" s="98"/>
      <c r="N71" s="78"/>
      <c r="O71" s="367"/>
    </row>
    <row r="72" spans="1:15" s="38" customFormat="1" x14ac:dyDescent="0.2">
      <c r="A72" s="41"/>
      <c r="B72" s="68" t="s">
        <v>128</v>
      </c>
      <c r="C72" s="353"/>
      <c r="D72" s="246"/>
      <c r="E72" s="293"/>
      <c r="F72" s="295"/>
      <c r="G72" s="246"/>
      <c r="H72" s="246"/>
      <c r="I72" s="295"/>
      <c r="J72" s="295"/>
      <c r="K72" s="295"/>
      <c r="L72" s="316"/>
      <c r="M72" s="98"/>
      <c r="N72" s="78"/>
      <c r="O72" s="367"/>
    </row>
    <row r="73" spans="1:15" s="38" customFormat="1" x14ac:dyDescent="0.2">
      <c r="A73" s="41"/>
      <c r="B73" s="297"/>
      <c r="C73" s="31"/>
      <c r="D73" s="41"/>
      <c r="E73" s="41"/>
      <c r="F73" s="299"/>
      <c r="G73" s="70"/>
      <c r="H73" s="41"/>
      <c r="I73" s="299"/>
      <c r="J73" s="299"/>
      <c r="K73" s="299"/>
      <c r="L73" s="302"/>
      <c r="M73" s="98"/>
      <c r="N73" s="78"/>
      <c r="O73" s="367"/>
    </row>
    <row r="74" spans="1:15" s="38" customFormat="1" x14ac:dyDescent="0.2">
      <c r="A74" s="41"/>
      <c r="B74" s="57" t="s">
        <v>80</v>
      </c>
      <c r="C74" s="58" t="s">
        <v>81</v>
      </c>
      <c r="D74" s="35">
        <f>D58+D41</f>
        <v>16031.599999999999</v>
      </c>
      <c r="E74" s="73"/>
      <c r="F74" s="299">
        <f>F58+F41</f>
        <v>2139749.04</v>
      </c>
      <c r="G74" s="35"/>
      <c r="H74" s="94"/>
      <c r="I74" s="299">
        <f>I58+I41</f>
        <v>2393556.83</v>
      </c>
      <c r="J74" s="299"/>
      <c r="K74" s="299">
        <f>K58+K41</f>
        <v>253807.79000000004</v>
      </c>
      <c r="L74" s="300">
        <f t="shared" ref="L74:L76" si="4">IFERROR(ROUND(K74/F74,5), )</f>
        <v>0.11862</v>
      </c>
      <c r="M74" s="98"/>
      <c r="N74" s="78"/>
      <c r="O74" s="367"/>
    </row>
    <row r="75" spans="1:15" s="38" customFormat="1" x14ac:dyDescent="0.2">
      <c r="A75" s="41"/>
      <c r="B75" s="69" t="s">
        <v>87</v>
      </c>
      <c r="C75" s="58" t="s">
        <v>81</v>
      </c>
      <c r="D75" s="35">
        <f>D74</f>
        <v>16031.599999999999</v>
      </c>
      <c r="E75" s="73"/>
      <c r="F75" s="299">
        <f>F59+F42</f>
        <v>1985032.7119999998</v>
      </c>
      <c r="G75" s="35"/>
      <c r="H75" s="73"/>
      <c r="I75" s="299">
        <f>I59+I42</f>
        <v>2024470.45</v>
      </c>
      <c r="J75" s="290"/>
      <c r="K75" s="299">
        <f>K59+K42</f>
        <v>39437.738000000245</v>
      </c>
      <c r="L75" s="300">
        <f t="shared" si="4"/>
        <v>1.9869999999999999E-2</v>
      </c>
      <c r="M75" s="98"/>
      <c r="N75" s="78"/>
      <c r="O75" s="367"/>
    </row>
    <row r="76" spans="1:15" s="38" customFormat="1" x14ac:dyDescent="0.2">
      <c r="A76" s="41"/>
      <c r="B76" s="297" t="s">
        <v>88</v>
      </c>
      <c r="C76" s="31" t="s">
        <v>86</v>
      </c>
      <c r="D76" s="35">
        <f>D60+D43</f>
        <v>5992011.6780000003</v>
      </c>
      <c r="E76" s="73"/>
      <c r="F76" s="299">
        <f>F60+F43</f>
        <v>7490014.5999999996</v>
      </c>
      <c r="G76" s="35"/>
      <c r="H76" s="94"/>
      <c r="I76" s="299">
        <f>I60+I43</f>
        <v>8209055.9900000002</v>
      </c>
      <c r="J76" s="290"/>
      <c r="K76" s="299">
        <f>K60+K43</f>
        <v>719041.3900000006</v>
      </c>
      <c r="L76" s="300">
        <f t="shared" si="4"/>
        <v>9.6000000000000002E-2</v>
      </c>
      <c r="M76" s="98"/>
      <c r="N76" s="78"/>
      <c r="O76" s="367"/>
    </row>
    <row r="77" spans="1:15" s="38" customFormat="1" x14ac:dyDescent="0.2">
      <c r="A77" s="41"/>
      <c r="B77" s="297"/>
      <c r="C77" s="31"/>
      <c r="D77" s="35"/>
      <c r="E77" s="73"/>
      <c r="F77" s="290"/>
      <c r="G77" s="35"/>
      <c r="H77" s="73"/>
      <c r="I77" s="290"/>
      <c r="J77" s="290"/>
      <c r="K77" s="318"/>
      <c r="L77" s="364"/>
      <c r="M77" s="98"/>
      <c r="N77" s="78"/>
      <c r="O77" s="367"/>
    </row>
    <row r="78" spans="1:15" s="38" customFormat="1" x14ac:dyDescent="0.2">
      <c r="A78" s="41"/>
      <c r="B78" s="297" t="s">
        <v>89</v>
      </c>
      <c r="C78" s="31"/>
      <c r="D78" s="35"/>
      <c r="E78" s="73"/>
      <c r="F78" s="299"/>
      <c r="G78" s="35"/>
      <c r="H78" s="73"/>
      <c r="I78" s="290"/>
      <c r="J78" s="290"/>
      <c r="K78" s="318"/>
      <c r="L78" s="364"/>
      <c r="M78" s="98"/>
      <c r="N78" s="78"/>
      <c r="O78" s="367"/>
    </row>
    <row r="79" spans="1:15" s="38" customFormat="1" x14ac:dyDescent="0.2">
      <c r="A79" s="41"/>
      <c r="B79" s="69" t="s">
        <v>90</v>
      </c>
      <c r="C79" s="31" t="s">
        <v>83</v>
      </c>
      <c r="D79" s="35">
        <f>D63+D46</f>
        <v>13270559.754000001</v>
      </c>
      <c r="E79" s="60"/>
      <c r="F79" s="299" t="s">
        <v>91</v>
      </c>
      <c r="G79" s="35"/>
      <c r="H79" s="60"/>
      <c r="I79" s="299" t="s">
        <v>91</v>
      </c>
      <c r="J79" s="299"/>
      <c r="K79" s="299"/>
      <c r="L79" s="302"/>
      <c r="M79" s="98"/>
      <c r="N79" s="78"/>
      <c r="O79" s="367"/>
    </row>
    <row r="80" spans="1:15" s="38" customFormat="1" x14ac:dyDescent="0.2">
      <c r="A80" s="41"/>
      <c r="B80" s="69" t="s">
        <v>92</v>
      </c>
      <c r="C80" s="31" t="s">
        <v>83</v>
      </c>
      <c r="D80" s="35">
        <f>D64+D47</f>
        <v>31371214.559699997</v>
      </c>
      <c r="E80" s="60"/>
      <c r="F80" s="299">
        <f>F64+F47</f>
        <v>4316051.6975006005</v>
      </c>
      <c r="G80" s="35"/>
      <c r="H80" s="60"/>
      <c r="I80" s="299">
        <f>I64+I47</f>
        <v>4401695.1170367002</v>
      </c>
      <c r="J80" s="299"/>
      <c r="K80" s="299">
        <f>K64+K47</f>
        <v>85643.419536099536</v>
      </c>
      <c r="L80" s="300">
        <f t="shared" ref="L80:L81" si="5">IFERROR(ROUND(K80/F80,5), )</f>
        <v>1.984E-2</v>
      </c>
      <c r="M80" s="98"/>
      <c r="N80" s="78"/>
      <c r="O80" s="367"/>
    </row>
    <row r="81" spans="1:15" s="38" customFormat="1" x14ac:dyDescent="0.2">
      <c r="A81" s="41"/>
      <c r="B81" s="69" t="s">
        <v>93</v>
      </c>
      <c r="C81" s="31" t="s">
        <v>83</v>
      </c>
      <c r="D81" s="64">
        <f>D65+D48</f>
        <v>37370722.451267198</v>
      </c>
      <c r="E81" s="60"/>
      <c r="F81" s="299">
        <f>F65+F48</f>
        <v>4138433.802143028</v>
      </c>
      <c r="G81" s="35"/>
      <c r="H81" s="60"/>
      <c r="I81" s="299">
        <f>I65+I48</f>
        <v>4533442.3452552892</v>
      </c>
      <c r="J81" s="299"/>
      <c r="K81" s="299">
        <f>K65+K48</f>
        <v>395008.54311226122</v>
      </c>
      <c r="L81" s="300">
        <f t="shared" si="5"/>
        <v>9.5449999999999993E-2</v>
      </c>
      <c r="M81" s="98"/>
      <c r="N81" s="78"/>
      <c r="O81" s="367"/>
    </row>
    <row r="82" spans="1:15" s="38" customFormat="1" x14ac:dyDescent="0.2">
      <c r="A82" s="41"/>
      <c r="B82" s="313" t="s">
        <v>94</v>
      </c>
      <c r="C82" s="306"/>
      <c r="D82" s="12">
        <f>SUM(D79:D81)</f>
        <v>82012496.764967203</v>
      </c>
      <c r="E82" s="271"/>
      <c r="F82" s="290"/>
      <c r="G82" s="35"/>
      <c r="H82" s="35"/>
      <c r="I82" s="41"/>
      <c r="J82" s="41"/>
      <c r="K82" s="41"/>
      <c r="L82" s="74"/>
      <c r="M82" s="98"/>
      <c r="N82" s="78"/>
      <c r="O82" s="367"/>
    </row>
    <row r="83" spans="1:15" s="38" customFormat="1" x14ac:dyDescent="0.2">
      <c r="A83" s="41"/>
      <c r="B83" s="297" t="s">
        <v>85</v>
      </c>
      <c r="C83" s="31" t="s">
        <v>83</v>
      </c>
      <c r="D83" s="35">
        <f>D50</f>
        <v>62517991.156948164</v>
      </c>
      <c r="E83" s="60"/>
      <c r="F83" s="299">
        <f>F50</f>
        <v>628305.81112732901</v>
      </c>
      <c r="G83" s="35"/>
      <c r="H83" s="77"/>
      <c r="I83" s="299">
        <f>I50</f>
        <v>699576.32104624994</v>
      </c>
      <c r="J83" s="299"/>
      <c r="K83" s="299">
        <f>I83-F83</f>
        <v>71270.509918920929</v>
      </c>
      <c r="L83" s="302">
        <f>IFERROR(ROUND(K83/F83,5), )</f>
        <v>0.11343</v>
      </c>
      <c r="M83" s="98"/>
      <c r="N83" s="78"/>
      <c r="O83" s="367"/>
    </row>
    <row r="84" spans="1:15" s="38" customFormat="1" x14ac:dyDescent="0.2">
      <c r="A84" s="41"/>
      <c r="B84" s="313" t="s">
        <v>114</v>
      </c>
      <c r="C84" s="306"/>
      <c r="D84" s="35"/>
      <c r="E84" s="271"/>
      <c r="F84" s="366">
        <f>SUM(F74:F83)</f>
        <v>20697587.662770957</v>
      </c>
      <c r="G84" s="35"/>
      <c r="H84" s="35"/>
      <c r="I84" s="366">
        <f>SUM(I74:I83)</f>
        <v>22261797.053338237</v>
      </c>
      <c r="J84" s="290"/>
      <c r="K84" s="366">
        <f>SUM(K74:K82)</f>
        <v>1492938.8806483615</v>
      </c>
      <c r="L84" s="308">
        <f>ROUND(K84/F84,5)</f>
        <v>7.213E-2</v>
      </c>
      <c r="M84" s="98"/>
      <c r="N84" s="78"/>
      <c r="O84" s="367"/>
    </row>
    <row r="85" spans="1:15" s="38" customFormat="1" x14ac:dyDescent="0.2">
      <c r="A85" s="41"/>
      <c r="B85" s="313"/>
      <c r="C85" s="306"/>
      <c r="D85" s="35"/>
      <c r="E85" s="271"/>
      <c r="F85" s="290"/>
      <c r="G85" s="35"/>
      <c r="H85" s="35"/>
      <c r="I85" s="290"/>
      <c r="J85" s="290"/>
      <c r="K85" s="299"/>
      <c r="L85" s="302"/>
      <c r="M85" s="98"/>
      <c r="N85" s="78"/>
      <c r="O85" s="367"/>
    </row>
    <row r="86" spans="1:15" s="38" customFormat="1" x14ac:dyDescent="0.2">
      <c r="A86" s="41"/>
      <c r="B86" s="297" t="s">
        <v>220</v>
      </c>
      <c r="C86" s="31"/>
      <c r="D86" s="35"/>
      <c r="E86" s="60"/>
      <c r="F86" s="366">
        <f>F84</f>
        <v>20697587.662770957</v>
      </c>
      <c r="G86" s="41"/>
      <c r="H86" s="73"/>
      <c r="I86" s="366">
        <f>I84</f>
        <v>22261797.053338237</v>
      </c>
      <c r="J86" s="299"/>
      <c r="K86" s="307">
        <f>K84</f>
        <v>1492938.8806483615</v>
      </c>
      <c r="L86" s="308">
        <f>ROUND(K86/F86,5)</f>
        <v>7.213E-2</v>
      </c>
      <c r="M86" s="98"/>
      <c r="N86" s="78"/>
      <c r="O86" s="31"/>
    </row>
    <row r="87" spans="1:15" s="38" customFormat="1" x14ac:dyDescent="0.2">
      <c r="A87" s="41"/>
      <c r="B87" s="61"/>
      <c r="C87" s="62"/>
      <c r="D87" s="62"/>
      <c r="E87" s="62"/>
      <c r="F87" s="63"/>
      <c r="G87" s="62"/>
      <c r="H87" s="62"/>
      <c r="I87" s="91"/>
      <c r="J87" s="91"/>
      <c r="K87" s="63"/>
      <c r="L87" s="65"/>
      <c r="M87" s="98"/>
      <c r="N87" s="78"/>
      <c r="O87" s="31"/>
    </row>
    <row r="88" spans="1:15" s="41" customFormat="1" x14ac:dyDescent="0.2">
      <c r="F88" s="66"/>
      <c r="I88" s="100"/>
      <c r="J88" s="100"/>
      <c r="K88" s="66"/>
      <c r="L88" s="67"/>
      <c r="M88" s="98"/>
      <c r="N88" s="78"/>
      <c r="O88" s="317"/>
    </row>
    <row r="89" spans="1:15" x14ac:dyDescent="0.2">
      <c r="B89" s="31"/>
      <c r="F89" s="333"/>
      <c r="I89" s="333"/>
      <c r="J89" s="333"/>
      <c r="K89" s="333"/>
      <c r="M89" s="355"/>
      <c r="N89" s="312"/>
      <c r="O89" s="317"/>
    </row>
    <row r="90" spans="1:15" x14ac:dyDescent="0.2">
      <c r="B90" s="270" t="s">
        <v>129</v>
      </c>
      <c r="F90" s="333"/>
      <c r="I90" s="333"/>
      <c r="J90" s="333"/>
      <c r="K90" s="333"/>
      <c r="M90" s="355"/>
      <c r="N90" s="312"/>
      <c r="O90" s="368"/>
    </row>
    <row r="91" spans="1:15" x14ac:dyDescent="0.2">
      <c r="D91" s="81" t="s">
        <v>83</v>
      </c>
      <c r="F91" s="369" t="s">
        <v>74</v>
      </c>
      <c r="I91" s="369" t="s">
        <v>26</v>
      </c>
      <c r="J91" s="333"/>
      <c r="K91" s="369" t="s">
        <v>62</v>
      </c>
      <c r="M91" s="355"/>
      <c r="N91" s="312"/>
    </row>
    <row r="92" spans="1:15" x14ac:dyDescent="0.2">
      <c r="B92" s="270" t="s">
        <v>220</v>
      </c>
      <c r="C92" s="370"/>
      <c r="D92" s="271"/>
      <c r="E92" s="370"/>
      <c r="F92" s="370"/>
      <c r="G92" s="101"/>
      <c r="H92" s="101"/>
      <c r="I92" s="370"/>
      <c r="J92" s="370"/>
      <c r="K92" s="371"/>
      <c r="M92" s="372"/>
    </row>
    <row r="93" spans="1:15" x14ac:dyDescent="0.2">
      <c r="B93" s="39" t="s">
        <v>131</v>
      </c>
      <c r="C93" s="370"/>
      <c r="D93" s="271">
        <f>D32</f>
        <v>222203870.67539161</v>
      </c>
      <c r="E93" s="370"/>
      <c r="F93" s="370">
        <f>F15+F24</f>
        <v>111031564.85000001</v>
      </c>
      <c r="G93" s="370"/>
      <c r="H93" s="101"/>
      <c r="I93" s="370">
        <f>I15+I24</f>
        <v>122144982.04000001</v>
      </c>
      <c r="J93" s="370"/>
      <c r="K93" s="371">
        <f>I93-F93</f>
        <v>11113417.189999998</v>
      </c>
      <c r="L93" s="334">
        <f>K93/F93</f>
        <v>0.10009241250462297</v>
      </c>
      <c r="M93" s="372"/>
    </row>
    <row r="94" spans="1:15" x14ac:dyDescent="0.2">
      <c r="B94" s="39" t="s">
        <v>130</v>
      </c>
      <c r="C94" s="370"/>
      <c r="D94" s="373">
        <f>D66</f>
        <v>19494505.608019032</v>
      </c>
      <c r="E94" s="370"/>
      <c r="F94" s="370">
        <f>F51+F67</f>
        <v>20697587.662770957</v>
      </c>
      <c r="G94" s="370"/>
      <c r="H94" s="101"/>
      <c r="I94" s="370">
        <f>I51+I67</f>
        <v>22261797.053338237</v>
      </c>
      <c r="J94" s="370"/>
      <c r="K94" s="371">
        <f>I94-F94</f>
        <v>1564209.3905672804</v>
      </c>
      <c r="L94" s="334">
        <f>K94/F94</f>
        <v>7.5574478342751314E-2</v>
      </c>
      <c r="M94" s="372"/>
    </row>
    <row r="95" spans="1:15" x14ac:dyDescent="0.2">
      <c r="B95" s="39" t="s">
        <v>0</v>
      </c>
      <c r="C95" s="370"/>
      <c r="D95" s="374">
        <f>SUM(D93:D94)</f>
        <v>241698376.28341064</v>
      </c>
      <c r="E95" s="370"/>
      <c r="F95" s="375">
        <f>SUM(F93:F94)</f>
        <v>131729152.51277097</v>
      </c>
      <c r="G95" s="370"/>
      <c r="H95" s="101"/>
      <c r="I95" s="375">
        <f>SUM(I93:I94)</f>
        <v>144406779.09333825</v>
      </c>
      <c r="J95" s="370"/>
      <c r="K95" s="375">
        <f>SUM(K93:K94)</f>
        <v>12677626.580567278</v>
      </c>
      <c r="L95" s="334">
        <f>K95/F95</f>
        <v>9.624009825264912E-2</v>
      </c>
      <c r="M95" s="372"/>
    </row>
    <row r="96" spans="1:15" ht="13.5" thickBot="1" x14ac:dyDescent="0.25">
      <c r="C96" s="370"/>
      <c r="D96" s="373"/>
      <c r="E96" s="370"/>
      <c r="F96" s="370"/>
      <c r="G96" s="370"/>
      <c r="H96" s="370"/>
      <c r="I96" s="370"/>
      <c r="J96" s="370"/>
      <c r="K96" s="370"/>
      <c r="M96" s="372"/>
    </row>
    <row r="97" spans="2:13" ht="13.5" thickBot="1" x14ac:dyDescent="0.25">
      <c r="B97" s="335" t="s">
        <v>13</v>
      </c>
      <c r="C97" s="336" t="s">
        <v>222</v>
      </c>
      <c r="D97" s="337">
        <v>131691503.15920852</v>
      </c>
      <c r="E97" s="336" t="s">
        <v>223</v>
      </c>
      <c r="F97" s="376">
        <f>D97-F95</f>
        <v>-37649.353562444448</v>
      </c>
      <c r="G97" s="101"/>
      <c r="H97" s="101"/>
      <c r="I97" s="370"/>
      <c r="J97" s="370"/>
      <c r="K97" s="370"/>
      <c r="M97" s="372"/>
    </row>
    <row r="98" spans="2:13" x14ac:dyDescent="0.2">
      <c r="C98" s="370"/>
      <c r="D98" s="370"/>
      <c r="E98" s="370"/>
      <c r="F98" s="370"/>
      <c r="G98" s="101"/>
      <c r="H98" s="101"/>
      <c r="I98" s="370"/>
      <c r="J98" s="370"/>
      <c r="K98" s="370"/>
      <c r="M98" s="372"/>
    </row>
    <row r="99" spans="2:13" x14ac:dyDescent="0.2">
      <c r="D99" s="332"/>
      <c r="F99" s="39"/>
      <c r="G99" s="101"/>
      <c r="H99" s="101"/>
      <c r="I99" s="370"/>
      <c r="J99" s="370"/>
      <c r="K99" s="370"/>
      <c r="M99" s="372"/>
    </row>
    <row r="100" spans="2:13" x14ac:dyDescent="0.2">
      <c r="C100" s="370"/>
      <c r="D100" s="370"/>
      <c r="E100" s="370"/>
      <c r="F100" s="370"/>
      <c r="G100" s="101"/>
      <c r="H100" s="101"/>
      <c r="I100" s="370"/>
      <c r="J100" s="370"/>
      <c r="K100" s="370"/>
      <c r="M100" s="372"/>
    </row>
    <row r="101" spans="2:13" x14ac:dyDescent="0.2">
      <c r="C101" s="370"/>
      <c r="D101" s="370"/>
      <c r="E101" s="370"/>
      <c r="F101" s="370"/>
      <c r="G101" s="101"/>
      <c r="H101" s="101"/>
      <c r="I101" s="370"/>
      <c r="J101" s="370"/>
      <c r="K101" s="370"/>
      <c r="M101" s="372"/>
    </row>
    <row r="102" spans="2:13" x14ac:dyDescent="0.2">
      <c r="C102" s="370"/>
      <c r="D102" s="370"/>
      <c r="E102" s="370"/>
      <c r="F102" s="370"/>
      <c r="G102" s="101"/>
      <c r="H102" s="101"/>
      <c r="I102" s="370"/>
      <c r="J102" s="370"/>
      <c r="K102" s="370"/>
      <c r="M102" s="372"/>
    </row>
    <row r="103" spans="2:13" x14ac:dyDescent="0.2">
      <c r="C103" s="370"/>
      <c r="D103" s="370"/>
      <c r="E103" s="370"/>
      <c r="F103" s="370"/>
      <c r="G103" s="101"/>
      <c r="H103" s="101"/>
      <c r="I103" s="370"/>
      <c r="J103" s="370"/>
      <c r="K103" s="370"/>
      <c r="M103" s="372"/>
    </row>
    <row r="104" spans="2:13" x14ac:dyDescent="0.2">
      <c r="C104" s="370"/>
      <c r="D104" s="370"/>
      <c r="E104" s="370"/>
      <c r="F104" s="370"/>
      <c r="G104" s="101"/>
      <c r="H104" s="101"/>
      <c r="I104" s="370"/>
      <c r="J104" s="370"/>
      <c r="K104" s="370"/>
      <c r="M104" s="372"/>
    </row>
    <row r="105" spans="2:13" x14ac:dyDescent="0.2">
      <c r="C105" s="370"/>
      <c r="D105" s="370"/>
      <c r="E105" s="370"/>
      <c r="F105" s="370"/>
      <c r="G105" s="101"/>
      <c r="H105" s="101"/>
      <c r="I105" s="370"/>
      <c r="J105" s="370"/>
      <c r="K105" s="370"/>
      <c r="M105" s="372"/>
    </row>
    <row r="106" spans="2:13" x14ac:dyDescent="0.2">
      <c r="C106" s="370"/>
      <c r="D106" s="370"/>
      <c r="E106" s="370"/>
      <c r="F106" s="370"/>
      <c r="G106" s="101"/>
      <c r="H106" s="101"/>
      <c r="I106" s="370"/>
      <c r="J106" s="370"/>
      <c r="K106" s="370"/>
      <c r="M106" s="372"/>
    </row>
    <row r="107" spans="2:13" x14ac:dyDescent="0.2">
      <c r="C107" s="370"/>
      <c r="D107" s="370"/>
      <c r="E107" s="370"/>
      <c r="F107" s="370"/>
      <c r="G107" s="101"/>
      <c r="H107" s="101"/>
      <c r="I107" s="370"/>
      <c r="J107" s="370"/>
      <c r="K107" s="370"/>
      <c r="M107" s="372"/>
    </row>
    <row r="108" spans="2:13" x14ac:dyDescent="0.2">
      <c r="C108" s="370"/>
      <c r="D108" s="370"/>
      <c r="E108" s="370"/>
      <c r="F108" s="370"/>
      <c r="G108" s="101"/>
      <c r="H108" s="101"/>
      <c r="I108" s="370"/>
      <c r="J108" s="370"/>
      <c r="K108" s="370"/>
      <c r="M108" s="372"/>
    </row>
    <row r="109" spans="2:13" x14ac:dyDescent="0.2">
      <c r="C109" s="370"/>
      <c r="D109" s="370"/>
      <c r="E109" s="370"/>
      <c r="F109" s="370"/>
      <c r="G109" s="101"/>
      <c r="H109" s="101"/>
      <c r="I109" s="370"/>
      <c r="J109" s="370"/>
      <c r="K109" s="370"/>
      <c r="M109" s="372"/>
    </row>
    <row r="110" spans="2:13" x14ac:dyDescent="0.2">
      <c r="C110" s="370"/>
      <c r="D110" s="370"/>
      <c r="E110" s="370"/>
      <c r="F110" s="370"/>
      <c r="G110" s="101"/>
      <c r="H110" s="101"/>
      <c r="I110" s="370"/>
      <c r="J110" s="370"/>
      <c r="K110" s="370"/>
      <c r="M110" s="372"/>
    </row>
    <row r="111" spans="2:13" x14ac:dyDescent="0.2">
      <c r="C111" s="370"/>
      <c r="D111" s="370"/>
      <c r="E111" s="370"/>
      <c r="F111" s="370"/>
      <c r="G111" s="101"/>
      <c r="H111" s="101"/>
      <c r="I111" s="370"/>
      <c r="J111" s="370"/>
      <c r="K111" s="370"/>
      <c r="M111" s="372"/>
    </row>
    <row r="112" spans="2:13" x14ac:dyDescent="0.2">
      <c r="C112" s="370"/>
      <c r="D112" s="370"/>
      <c r="E112" s="370"/>
      <c r="F112" s="370"/>
      <c r="G112" s="101"/>
      <c r="H112" s="101"/>
      <c r="I112" s="370"/>
      <c r="J112" s="370"/>
      <c r="K112" s="370"/>
      <c r="M112" s="372"/>
    </row>
    <row r="113" spans="3:13" x14ac:dyDescent="0.2">
      <c r="C113" s="370"/>
      <c r="D113" s="370"/>
      <c r="E113" s="370"/>
      <c r="F113" s="370"/>
      <c r="G113" s="101"/>
      <c r="H113" s="101"/>
      <c r="I113" s="370"/>
      <c r="J113" s="370"/>
      <c r="K113" s="370"/>
      <c r="M113" s="372"/>
    </row>
    <row r="114" spans="3:13" x14ac:dyDescent="0.2">
      <c r="C114" s="370"/>
      <c r="D114" s="370"/>
      <c r="E114" s="370"/>
      <c r="F114" s="370"/>
      <c r="G114" s="101"/>
      <c r="H114" s="101"/>
      <c r="I114" s="370"/>
      <c r="J114" s="370"/>
      <c r="K114" s="370"/>
      <c r="M114" s="372"/>
    </row>
    <row r="115" spans="3:13" x14ac:dyDescent="0.2">
      <c r="C115" s="370"/>
      <c r="D115" s="370"/>
      <c r="E115" s="370"/>
      <c r="F115" s="370"/>
      <c r="G115" s="101"/>
      <c r="H115" s="101"/>
      <c r="I115" s="370"/>
      <c r="J115" s="370"/>
      <c r="K115" s="370"/>
      <c r="M115" s="372"/>
    </row>
    <row r="116" spans="3:13" x14ac:dyDescent="0.2">
      <c r="C116" s="370"/>
      <c r="D116" s="370"/>
      <c r="E116" s="370"/>
      <c r="F116" s="370"/>
      <c r="G116" s="101"/>
      <c r="H116" s="101"/>
      <c r="I116" s="370"/>
      <c r="J116" s="370"/>
      <c r="K116" s="370"/>
      <c r="M116" s="372"/>
    </row>
    <row r="117" spans="3:13" x14ac:dyDescent="0.2">
      <c r="M117" s="372"/>
    </row>
    <row r="118" spans="3:13" x14ac:dyDescent="0.2">
      <c r="M118" s="372"/>
    </row>
  </sheetData>
  <mergeCells count="1">
    <mergeCell ref="K7:L7"/>
  </mergeCells>
  <printOptions horizontalCentered="1"/>
  <pageMargins left="0.5" right="0.5" top="1" bottom="1" header="0.75" footer="0.5"/>
  <pageSetup scale="65" fitToHeight="8" orientation="landscape" blackAndWhite="1" r:id="rId1"/>
  <headerFooter alignWithMargins="0">
    <oddFooter>&amp;R&amp;A
 Page &amp;P of &amp;N</oddFooter>
  </headerFooter>
  <rowBreaks count="2" manualBreakCount="2">
    <brk id="38" max="16383" man="1"/>
    <brk id="87" max="16383" man="1"/>
  </rowBreaks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zoomScale="90" zoomScaleNormal="90" zoomScaleSheetLayoutView="90" workbookViewId="0">
      <pane ySplit="8" topLeftCell="A101" activePane="bottomLeft" state="frozen"/>
      <selection activeCell="G42" sqref="G42"/>
      <selection pane="bottomLeft" activeCell="D134" sqref="D134"/>
    </sheetView>
  </sheetViews>
  <sheetFormatPr defaultColWidth="9.140625" defaultRowHeight="12.75" x14ac:dyDescent="0.2"/>
  <cols>
    <col min="1" max="1" width="2.42578125" style="39" customWidth="1"/>
    <col min="2" max="2" width="31.7109375" style="39" customWidth="1"/>
    <col min="3" max="3" width="9.7109375" style="39" customWidth="1"/>
    <col min="4" max="4" width="15.140625" style="30" bestFit="1" customWidth="1"/>
    <col min="5" max="5" width="10.42578125" style="414" customWidth="1"/>
    <col min="6" max="6" width="13.5703125" style="272" customWidth="1"/>
    <col min="7" max="7" width="3" style="35" customWidth="1"/>
    <col min="8" max="8" width="10.42578125" style="125" customWidth="1"/>
    <col min="9" max="9" width="14" style="272" bestFit="1" customWidth="1"/>
    <col min="10" max="10" width="2.85546875" style="272" customWidth="1"/>
    <col min="11" max="11" width="13.140625" style="272" customWidth="1"/>
    <col min="12" max="12" width="10.42578125" style="423" customWidth="1"/>
    <col min="13" max="13" width="2.85546875" style="340" customWidth="1"/>
    <col min="14" max="14" width="2.140625" style="380" customWidth="1"/>
    <col min="15" max="15" width="14.5703125" style="39" bestFit="1" customWidth="1"/>
    <col min="16" max="16" width="2.85546875" style="39" customWidth="1"/>
    <col min="17" max="16384" width="9.140625" style="39"/>
  </cols>
  <sheetData>
    <row r="1" spans="1:16" x14ac:dyDescent="0.2">
      <c r="B1" s="265" t="s">
        <v>12</v>
      </c>
      <c r="C1" s="29"/>
      <c r="D1" s="83"/>
      <c r="E1" s="377"/>
      <c r="F1" s="342"/>
      <c r="G1" s="102"/>
      <c r="H1" s="103"/>
      <c r="I1" s="342"/>
      <c r="J1" s="342"/>
      <c r="K1" s="342"/>
      <c r="L1" s="344"/>
      <c r="M1" s="344"/>
      <c r="N1" s="345"/>
      <c r="O1" s="29"/>
      <c r="P1" s="29"/>
    </row>
    <row r="2" spans="1:16" x14ac:dyDescent="0.2">
      <c r="B2" s="267" t="s">
        <v>228</v>
      </c>
      <c r="C2" s="268"/>
      <c r="D2" s="103"/>
      <c r="E2" s="342"/>
      <c r="F2" s="342"/>
      <c r="G2" s="103"/>
      <c r="H2" s="103"/>
      <c r="I2" s="342"/>
      <c r="J2" s="342"/>
      <c r="K2" s="342"/>
      <c r="L2" s="342"/>
      <c r="M2" s="344"/>
      <c r="N2" s="345"/>
      <c r="O2" s="29"/>
      <c r="P2" s="29"/>
    </row>
    <row r="3" spans="1:16" x14ac:dyDescent="0.2">
      <c r="B3" s="267" t="s">
        <v>229</v>
      </c>
      <c r="C3" s="268"/>
      <c r="D3" s="103"/>
      <c r="E3" s="342"/>
      <c r="F3" s="342"/>
      <c r="G3" s="103"/>
      <c r="H3" s="103"/>
      <c r="I3" s="342"/>
      <c r="J3" s="342"/>
      <c r="K3" s="342"/>
      <c r="L3" s="342"/>
      <c r="M3" s="344"/>
      <c r="N3" s="345"/>
      <c r="O3" s="29"/>
      <c r="P3" s="29"/>
    </row>
    <row r="4" spans="1:16" x14ac:dyDescent="0.2">
      <c r="B4" s="267" t="s">
        <v>132</v>
      </c>
      <c r="C4" s="268"/>
      <c r="D4" s="103"/>
      <c r="E4" s="342"/>
      <c r="F4" s="342"/>
      <c r="G4" s="103"/>
      <c r="H4" s="103"/>
      <c r="I4" s="342"/>
      <c r="J4" s="342"/>
      <c r="K4" s="342"/>
      <c r="L4" s="342"/>
      <c r="M4" s="344"/>
      <c r="N4" s="345"/>
      <c r="O4" s="29"/>
      <c r="P4" s="29"/>
    </row>
    <row r="5" spans="1:16" x14ac:dyDescent="0.2">
      <c r="B5" s="267" t="s">
        <v>230</v>
      </c>
      <c r="C5" s="268"/>
      <c r="D5" s="83"/>
      <c r="E5" s="377"/>
      <c r="F5" s="342"/>
      <c r="G5" s="102"/>
      <c r="H5" s="103"/>
      <c r="I5" s="342"/>
      <c r="J5" s="342"/>
      <c r="K5" s="342"/>
      <c r="L5" s="344"/>
      <c r="M5" s="344"/>
      <c r="N5" s="345"/>
      <c r="O5" s="269"/>
      <c r="P5" s="29"/>
    </row>
    <row r="6" spans="1:16" s="31" customFormat="1" x14ac:dyDescent="0.2">
      <c r="B6" s="378"/>
      <c r="C6" s="269"/>
      <c r="D6" s="35"/>
      <c r="E6" s="379"/>
      <c r="F6" s="273"/>
      <c r="G6" s="35"/>
      <c r="H6" s="73"/>
      <c r="I6" s="273"/>
      <c r="J6" s="273"/>
      <c r="K6" s="273"/>
      <c r="L6" s="380"/>
      <c r="M6" s="350"/>
      <c r="N6" s="350"/>
    </row>
    <row r="7" spans="1:16" x14ac:dyDescent="0.2">
      <c r="B7" s="275"/>
      <c r="C7" s="276"/>
      <c r="D7" s="104" t="s">
        <v>73</v>
      </c>
      <c r="E7" s="56" t="s">
        <v>217</v>
      </c>
      <c r="F7" s="277"/>
      <c r="G7" s="40"/>
      <c r="H7" s="279" t="s">
        <v>218</v>
      </c>
      <c r="I7" s="277"/>
      <c r="J7" s="280"/>
      <c r="K7" s="609" t="s">
        <v>107</v>
      </c>
      <c r="L7" s="610"/>
      <c r="M7" s="350"/>
      <c r="N7" s="345"/>
      <c r="O7" s="283" t="s">
        <v>75</v>
      </c>
    </row>
    <row r="8" spans="1:16" x14ac:dyDescent="0.2">
      <c r="B8" s="284" t="s">
        <v>76</v>
      </c>
      <c r="C8" s="381" t="s">
        <v>77</v>
      </c>
      <c r="D8" s="81" t="s">
        <v>78</v>
      </c>
      <c r="E8" s="382" t="s">
        <v>71</v>
      </c>
      <c r="F8" s="286" t="s">
        <v>79</v>
      </c>
      <c r="G8" s="81"/>
      <c r="H8" s="90" t="s">
        <v>71</v>
      </c>
      <c r="I8" s="286" t="s">
        <v>79</v>
      </c>
      <c r="J8" s="286"/>
      <c r="K8" s="286" t="s">
        <v>108</v>
      </c>
      <c r="L8" s="287" t="s">
        <v>109</v>
      </c>
      <c r="M8" s="350"/>
      <c r="N8" s="288"/>
      <c r="O8" s="289" t="s">
        <v>110</v>
      </c>
    </row>
    <row r="9" spans="1:16" x14ac:dyDescent="0.2">
      <c r="A9" s="31"/>
      <c r="B9" s="313"/>
      <c r="C9" s="306"/>
      <c r="D9" s="35"/>
      <c r="E9" s="379"/>
      <c r="F9" s="273"/>
      <c r="G9" s="70"/>
      <c r="H9" s="73"/>
      <c r="I9" s="357"/>
      <c r="J9" s="357"/>
      <c r="K9" s="273"/>
      <c r="L9" s="383"/>
      <c r="M9" s="350"/>
      <c r="O9" s="31"/>
    </row>
    <row r="10" spans="1:16" x14ac:dyDescent="0.2">
      <c r="B10" s="291" t="s">
        <v>133</v>
      </c>
      <c r="C10" s="353"/>
      <c r="D10" s="354"/>
      <c r="E10" s="384"/>
      <c r="F10" s="295"/>
      <c r="G10" s="385"/>
      <c r="H10" s="386"/>
      <c r="I10" s="387"/>
      <c r="J10" s="387"/>
      <c r="K10" s="295"/>
      <c r="L10" s="296"/>
      <c r="M10" s="350"/>
      <c r="N10" s="350"/>
    </row>
    <row r="11" spans="1:16" x14ac:dyDescent="0.2">
      <c r="B11" s="297"/>
      <c r="C11" s="31"/>
      <c r="D11" s="35"/>
      <c r="E11" s="379"/>
      <c r="F11" s="299"/>
      <c r="G11" s="70"/>
      <c r="H11" s="73"/>
      <c r="I11" s="290"/>
      <c r="J11" s="357"/>
      <c r="K11" s="299"/>
      <c r="L11" s="300"/>
      <c r="M11" s="350"/>
      <c r="N11" s="350"/>
      <c r="O11" s="356" t="s">
        <v>134</v>
      </c>
    </row>
    <row r="12" spans="1:16" x14ac:dyDescent="0.2">
      <c r="B12" s="313" t="s">
        <v>80</v>
      </c>
      <c r="C12" s="306" t="s">
        <v>81</v>
      </c>
      <c r="D12" s="35">
        <v>368.56669691470051</v>
      </c>
      <c r="E12" s="73">
        <v>595.08000000000004</v>
      </c>
      <c r="F12" s="299">
        <f>ROUND(D12*E12,2)</f>
        <v>219326.67</v>
      </c>
      <c r="H12" s="301">
        <v>701.68</v>
      </c>
      <c r="I12" s="290">
        <f>ROUND(D12*H12,2)</f>
        <v>258615.88</v>
      </c>
      <c r="J12" s="357"/>
      <c r="K12" s="299">
        <f>I12-F12</f>
        <v>39289.209999999992</v>
      </c>
      <c r="L12" s="300">
        <f>IFERROR(K12/F12, )</f>
        <v>0.17913557890611292</v>
      </c>
      <c r="M12" s="350"/>
      <c r="N12" s="350"/>
      <c r="O12" s="59">
        <v>9611898.688954046</v>
      </c>
    </row>
    <row r="13" spans="1:16" x14ac:dyDescent="0.2">
      <c r="B13" s="297" t="s">
        <v>88</v>
      </c>
      <c r="C13" s="31" t="s">
        <v>86</v>
      </c>
      <c r="D13" s="35">
        <v>96766.635999999999</v>
      </c>
      <c r="E13" s="73">
        <v>1.3</v>
      </c>
      <c r="F13" s="299">
        <f>ROUND(D13*E13,2)</f>
        <v>125796.63</v>
      </c>
      <c r="H13" s="301">
        <f>ROUND(E13*(1+$O$16),2)</f>
        <v>1.44</v>
      </c>
      <c r="I13" s="290">
        <f>ROUND(D13*H13,2)</f>
        <v>139343.96</v>
      </c>
      <c r="J13" s="357"/>
      <c r="K13" s="299">
        <f>I13-F13</f>
        <v>13547.329999999987</v>
      </c>
      <c r="L13" s="300">
        <f t="shared" ref="L13:L15" si="0">IFERROR(K13/F13, )</f>
        <v>0.10769231258420824</v>
      </c>
      <c r="M13" s="350"/>
      <c r="N13" s="350"/>
      <c r="O13" s="304" t="s">
        <v>112</v>
      </c>
    </row>
    <row r="14" spans="1:16" x14ac:dyDescent="0.2">
      <c r="B14" s="297" t="s">
        <v>85</v>
      </c>
      <c r="C14" s="31" t="s">
        <v>83</v>
      </c>
      <c r="D14" s="35">
        <f>D21</f>
        <v>19992939.502740219</v>
      </c>
      <c r="E14" s="60">
        <v>7.0499999999999998E-3</v>
      </c>
      <c r="F14" s="299">
        <f>E14*D14</f>
        <v>140950.22349431855</v>
      </c>
      <c r="H14" s="93">
        <f>ROUND(E14*(1+$O$16),5)</f>
        <v>7.7999999999999996E-3</v>
      </c>
      <c r="I14" s="290">
        <f>ROUND(D14*H14,2)</f>
        <v>155944.93</v>
      </c>
      <c r="J14" s="273"/>
      <c r="K14" s="299">
        <f>I14-F14</f>
        <v>14994.706505681446</v>
      </c>
      <c r="L14" s="300">
        <f t="shared" si="0"/>
        <v>0.10638299205170013</v>
      </c>
      <c r="M14" s="350"/>
      <c r="N14" s="350"/>
      <c r="O14" s="309">
        <f>I54-O12</f>
        <v>91.681045953184366</v>
      </c>
    </row>
    <row r="15" spans="1:16" x14ac:dyDescent="0.2">
      <c r="B15" s="297" t="s">
        <v>95</v>
      </c>
      <c r="C15" s="31"/>
      <c r="D15" s="35"/>
      <c r="E15" s="60"/>
      <c r="F15" s="72">
        <v>9677.49</v>
      </c>
      <c r="H15" s="60"/>
      <c r="I15" s="66">
        <f>F15</f>
        <v>9677.49</v>
      </c>
      <c r="J15" s="273"/>
      <c r="K15" s="299">
        <f>I15-F15</f>
        <v>0</v>
      </c>
      <c r="L15" s="300">
        <f t="shared" si="0"/>
        <v>0</v>
      </c>
      <c r="M15" s="350"/>
      <c r="N15" s="350"/>
      <c r="O15" s="87"/>
    </row>
    <row r="16" spans="1:16" x14ac:dyDescent="0.2">
      <c r="B16" s="297"/>
      <c r="C16" s="31"/>
      <c r="D16" s="35"/>
      <c r="E16" s="60"/>
      <c r="F16" s="66"/>
      <c r="H16" s="60"/>
      <c r="I16" s="72"/>
      <c r="J16" s="357"/>
      <c r="K16" s="299"/>
      <c r="L16" s="300"/>
      <c r="M16" s="350"/>
      <c r="N16" s="350"/>
      <c r="O16" s="358">
        <v>0.10610240784340896</v>
      </c>
    </row>
    <row r="17" spans="2:16" x14ac:dyDescent="0.2">
      <c r="B17" s="297" t="s">
        <v>89</v>
      </c>
      <c r="C17" s="31"/>
      <c r="D17" s="35"/>
      <c r="E17" s="60"/>
      <c r="F17" s="66"/>
      <c r="H17" s="60"/>
      <c r="I17" s="72"/>
      <c r="J17" s="357"/>
      <c r="K17" s="299"/>
      <c r="L17" s="300"/>
      <c r="M17" s="350"/>
      <c r="N17" s="350"/>
      <c r="O17" s="388"/>
    </row>
    <row r="18" spans="2:16" x14ac:dyDescent="0.2">
      <c r="B18" s="297" t="s">
        <v>96</v>
      </c>
      <c r="C18" s="31" t="s">
        <v>83</v>
      </c>
      <c r="D18" s="35">
        <v>8259556.7221568692</v>
      </c>
      <c r="E18" s="60">
        <v>0.1084</v>
      </c>
      <c r="F18" s="66">
        <f>ROUND(D18*E18,2)</f>
        <v>895335.95</v>
      </c>
      <c r="H18" s="93">
        <f>ROUND((O12-SUM(I12:I15,I19:I20, I28:I30,I34:I35))/SUM(D18,D33),5)</f>
        <v>0.12488</v>
      </c>
      <c r="I18" s="72">
        <f>ROUND(D18*H18,2)</f>
        <v>1031453.44</v>
      </c>
      <c r="J18" s="357"/>
      <c r="K18" s="299">
        <f>I18-F18</f>
        <v>136117.49</v>
      </c>
      <c r="L18" s="300">
        <f t="shared" ref="L18:L20" si="1">IFERROR(K18/F18, )</f>
        <v>0.15202951473131399</v>
      </c>
      <c r="M18" s="350"/>
      <c r="N18" s="350"/>
      <c r="O18" s="389"/>
      <c r="P18" s="105"/>
    </row>
    <row r="19" spans="2:16" x14ac:dyDescent="0.2">
      <c r="B19" s="297" t="s">
        <v>97</v>
      </c>
      <c r="C19" s="31" t="s">
        <v>83</v>
      </c>
      <c r="D19" s="35">
        <v>4347559.727</v>
      </c>
      <c r="E19" s="60">
        <v>5.3650000000000003E-2</v>
      </c>
      <c r="F19" s="66">
        <f>ROUND(D19*E19,2)</f>
        <v>233246.58</v>
      </c>
      <c r="H19" s="93">
        <f>ROUND(E19*(1+$O$16),5)</f>
        <v>5.9339999999999997E-2</v>
      </c>
      <c r="I19" s="72">
        <f>ROUND(D19*H19,2)</f>
        <v>257984.19</v>
      </c>
      <c r="J19" s="357"/>
      <c r="K19" s="299">
        <f>I19-F19</f>
        <v>24737.610000000015</v>
      </c>
      <c r="L19" s="300">
        <f t="shared" si="1"/>
        <v>0.10605776084691153</v>
      </c>
      <c r="M19" s="350"/>
      <c r="N19" s="350"/>
      <c r="O19" s="77"/>
      <c r="P19" s="77"/>
    </row>
    <row r="20" spans="2:16" x14ac:dyDescent="0.2">
      <c r="B20" s="297" t="s">
        <v>98</v>
      </c>
      <c r="C20" s="31" t="s">
        <v>83</v>
      </c>
      <c r="D20" s="35">
        <v>7385823.0535833519</v>
      </c>
      <c r="E20" s="60">
        <v>5.1319999999999998E-2</v>
      </c>
      <c r="F20" s="66">
        <f>ROUND(D20*E20,2)</f>
        <v>379040.44</v>
      </c>
      <c r="H20" s="93">
        <f>ROUND(E20*(1+$O$16),5)</f>
        <v>5.6770000000000001E-2</v>
      </c>
      <c r="I20" s="72">
        <f>ROUND(D20*H20,2)</f>
        <v>419293.17</v>
      </c>
      <c r="J20" s="357"/>
      <c r="K20" s="299">
        <f>I20-F20</f>
        <v>40252.729999999981</v>
      </c>
      <c r="L20" s="300">
        <f t="shared" si="1"/>
        <v>0.10619639951874259</v>
      </c>
      <c r="M20" s="350"/>
      <c r="N20" s="350"/>
      <c r="O20" s="77"/>
      <c r="P20" s="77"/>
    </row>
    <row r="21" spans="2:16" x14ac:dyDescent="0.2">
      <c r="B21" s="313" t="s">
        <v>114</v>
      </c>
      <c r="C21" s="306"/>
      <c r="D21" s="12">
        <f>SUM(D18:D20)</f>
        <v>19992939.502740219</v>
      </c>
      <c r="E21" s="273"/>
      <c r="F21" s="112">
        <f>SUM(F12:F20)</f>
        <v>2003373.9834943186</v>
      </c>
      <c r="H21" s="73"/>
      <c r="I21" s="112">
        <f>SUM(I12:I20)</f>
        <v>2272313.06</v>
      </c>
      <c r="J21" s="357"/>
      <c r="K21" s="366">
        <f>SUM(K12:K20)</f>
        <v>268939.07650568138</v>
      </c>
      <c r="L21" s="106">
        <f>IFERROR(K21/F21, )</f>
        <v>0.13424307129944521</v>
      </c>
      <c r="M21" s="350"/>
      <c r="N21" s="350"/>
      <c r="O21" s="79"/>
      <c r="P21" s="264"/>
    </row>
    <row r="22" spans="2:16" ht="12.75" customHeight="1" x14ac:dyDescent="0.2">
      <c r="B22" s="313"/>
      <c r="C22" s="306"/>
      <c r="D22" s="35"/>
      <c r="E22" s="273"/>
      <c r="F22" s="72"/>
      <c r="H22" s="73"/>
      <c r="I22" s="72"/>
      <c r="J22" s="357"/>
      <c r="K22" s="299"/>
      <c r="L22" s="300"/>
      <c r="M22" s="350"/>
      <c r="N22" s="350"/>
      <c r="O22" s="390"/>
      <c r="P22" s="391"/>
    </row>
    <row r="23" spans="2:16" x14ac:dyDescent="0.2">
      <c r="B23" s="297" t="s">
        <v>220</v>
      </c>
      <c r="C23" s="31"/>
      <c r="D23" s="35"/>
      <c r="E23" s="60"/>
      <c r="F23" s="112">
        <f>F21</f>
        <v>2003373.9834943186</v>
      </c>
      <c r="H23" s="73"/>
      <c r="I23" s="112">
        <f>I21</f>
        <v>2272313.06</v>
      </c>
      <c r="J23" s="357"/>
      <c r="K23" s="366">
        <f>K21</f>
        <v>268939.07650568138</v>
      </c>
      <c r="L23" s="106">
        <f>IFERROR(K23/F23, )</f>
        <v>0.13424307129944521</v>
      </c>
      <c r="M23" s="350"/>
      <c r="N23" s="350"/>
    </row>
    <row r="24" spans="2:16" x14ac:dyDescent="0.2">
      <c r="B24" s="359"/>
      <c r="C24" s="328"/>
      <c r="D24" s="64"/>
      <c r="E24" s="392"/>
      <c r="F24" s="63"/>
      <c r="G24" s="64"/>
      <c r="H24" s="107"/>
      <c r="I24" s="63"/>
      <c r="J24" s="393"/>
      <c r="K24" s="361"/>
      <c r="L24" s="362"/>
      <c r="M24" s="350"/>
      <c r="N24" s="350"/>
    </row>
    <row r="25" spans="2:16" x14ac:dyDescent="0.2">
      <c r="B25" s="41"/>
      <c r="C25" s="41"/>
      <c r="D25" s="35"/>
      <c r="E25" s="60"/>
      <c r="F25" s="66"/>
      <c r="H25" s="73"/>
      <c r="I25" s="72"/>
      <c r="J25" s="108"/>
      <c r="K25" s="66"/>
      <c r="L25" s="67"/>
      <c r="M25" s="350"/>
      <c r="N25" s="350"/>
    </row>
    <row r="26" spans="2:16" x14ac:dyDescent="0.2">
      <c r="B26" s="291" t="s">
        <v>135</v>
      </c>
      <c r="C26" s="353"/>
      <c r="D26" s="354"/>
      <c r="E26" s="384"/>
      <c r="F26" s="394"/>
      <c r="G26" s="385"/>
      <c r="H26" s="386"/>
      <c r="I26" s="395"/>
      <c r="J26" s="387"/>
      <c r="K26" s="295"/>
      <c r="L26" s="296"/>
      <c r="M26" s="350"/>
      <c r="N26" s="350"/>
      <c r="O26" s="109"/>
      <c r="P26" s="58"/>
    </row>
    <row r="27" spans="2:16" x14ac:dyDescent="0.2">
      <c r="B27" s="297"/>
      <c r="C27" s="31"/>
      <c r="D27" s="35"/>
      <c r="E27" s="379"/>
      <c r="F27" s="66"/>
      <c r="G27" s="70"/>
      <c r="H27" s="73"/>
      <c r="I27" s="72"/>
      <c r="J27" s="357"/>
      <c r="K27" s="299"/>
      <c r="L27" s="300"/>
      <c r="M27" s="350"/>
      <c r="N27" s="350"/>
      <c r="O27" s="41"/>
      <c r="P27" s="41"/>
    </row>
    <row r="28" spans="2:16" x14ac:dyDescent="0.2">
      <c r="B28" s="313" t="s">
        <v>80</v>
      </c>
      <c r="C28" s="306" t="s">
        <v>81</v>
      </c>
      <c r="D28" s="35">
        <v>884.03333362675562</v>
      </c>
      <c r="E28" s="73">
        <v>903.09</v>
      </c>
      <c r="F28" s="66">
        <f>ROUND(D28*E28,2)</f>
        <v>798361.66</v>
      </c>
      <c r="H28" s="301">
        <f>E28</f>
        <v>903.09</v>
      </c>
      <c r="I28" s="72">
        <f>ROUND(D28*H28,2)</f>
        <v>798361.66</v>
      </c>
      <c r="J28" s="357"/>
      <c r="K28" s="299">
        <f>I28-F28</f>
        <v>0</v>
      </c>
      <c r="L28" s="300">
        <f t="shared" ref="L28:L30" si="2">IFERROR(K28/F28, )</f>
        <v>0</v>
      </c>
      <c r="M28" s="350"/>
      <c r="N28" s="350"/>
      <c r="O28" s="58"/>
      <c r="P28" s="58"/>
    </row>
    <row r="29" spans="2:16" x14ac:dyDescent="0.2">
      <c r="B29" s="297" t="s">
        <v>88</v>
      </c>
      <c r="C29" s="31" t="s">
        <v>86</v>
      </c>
      <c r="D29" s="35">
        <v>651309.33499999996</v>
      </c>
      <c r="E29" s="73">
        <v>1.3</v>
      </c>
      <c r="F29" s="66">
        <f>ROUND(D29*E29,2)</f>
        <v>846702.14</v>
      </c>
      <c r="H29" s="301">
        <f>$H$13</f>
        <v>1.44</v>
      </c>
      <c r="I29" s="72">
        <f>ROUND(D29*H29,2)</f>
        <v>937885.44</v>
      </c>
      <c r="J29" s="357"/>
      <c r="K29" s="299">
        <f>I29-F29</f>
        <v>91183.29999999993</v>
      </c>
      <c r="L29" s="300">
        <f t="shared" si="2"/>
        <v>0.10769229897068634</v>
      </c>
      <c r="M29" s="350"/>
      <c r="N29" s="350"/>
      <c r="O29" s="41"/>
      <c r="P29" s="41"/>
    </row>
    <row r="30" spans="2:16" x14ac:dyDescent="0.2">
      <c r="B30" s="297" t="s">
        <v>95</v>
      </c>
      <c r="C30" s="31"/>
      <c r="D30" s="35"/>
      <c r="E30" s="73"/>
      <c r="F30" s="72">
        <v>-10601.630000000003</v>
      </c>
      <c r="H30" s="301"/>
      <c r="I30" s="72">
        <f>F30</f>
        <v>-10601.630000000003</v>
      </c>
      <c r="J30" s="357"/>
      <c r="K30" s="299">
        <f>I30-F30</f>
        <v>0</v>
      </c>
      <c r="L30" s="300">
        <f t="shared" si="2"/>
        <v>0</v>
      </c>
      <c r="M30" s="350"/>
      <c r="N30" s="350"/>
      <c r="O30" s="41"/>
      <c r="P30" s="41"/>
    </row>
    <row r="31" spans="2:16" x14ac:dyDescent="0.2">
      <c r="B31" s="297"/>
      <c r="C31" s="31"/>
      <c r="D31" s="35"/>
      <c r="E31" s="60"/>
      <c r="F31" s="41"/>
      <c r="H31" s="93"/>
      <c r="I31" s="41"/>
      <c r="J31" s="273"/>
      <c r="K31" s="299"/>
      <c r="L31" s="300"/>
      <c r="M31" s="350"/>
      <c r="N31" s="350"/>
      <c r="O31" s="41"/>
      <c r="P31" s="41"/>
    </row>
    <row r="32" spans="2:16" x14ac:dyDescent="0.2">
      <c r="B32" s="297" t="s">
        <v>89</v>
      </c>
      <c r="C32" s="31"/>
      <c r="D32" s="35"/>
      <c r="E32" s="60"/>
      <c r="F32" s="66"/>
      <c r="H32" s="93"/>
      <c r="I32" s="72"/>
      <c r="J32" s="357"/>
      <c r="K32" s="299"/>
      <c r="L32" s="300"/>
      <c r="M32" s="350"/>
      <c r="N32" s="350"/>
      <c r="O32" s="41"/>
      <c r="P32" s="41"/>
    </row>
    <row r="33" spans="2:16" x14ac:dyDescent="0.2">
      <c r="B33" s="297" t="s">
        <v>96</v>
      </c>
      <c r="C33" s="31" t="s">
        <v>83</v>
      </c>
      <c r="D33" s="35">
        <v>24354615.889999997</v>
      </c>
      <c r="E33" s="60">
        <v>0.1084</v>
      </c>
      <c r="F33" s="66">
        <f>ROUND(D33*E33,2)</f>
        <v>2640040.36</v>
      </c>
      <c r="H33" s="93">
        <f>H18</f>
        <v>0.12488</v>
      </c>
      <c r="I33" s="72">
        <f>ROUND(D33*H33,2)</f>
        <v>3041404.43</v>
      </c>
      <c r="J33" s="357"/>
      <c r="K33" s="299">
        <f>I33-F33</f>
        <v>401364.0700000003</v>
      </c>
      <c r="L33" s="300">
        <f t="shared" ref="L33:L35" si="3">IFERROR(K33/F33, )</f>
        <v>0.1520295204880884</v>
      </c>
      <c r="M33" s="350"/>
      <c r="N33" s="350"/>
      <c r="O33" s="41"/>
      <c r="P33" s="41"/>
    </row>
    <row r="34" spans="2:16" x14ac:dyDescent="0.2">
      <c r="B34" s="297" t="s">
        <v>97</v>
      </c>
      <c r="C34" s="31" t="s">
        <v>83</v>
      </c>
      <c r="D34" s="35">
        <v>17329118.52</v>
      </c>
      <c r="E34" s="60">
        <v>5.3650000000000003E-2</v>
      </c>
      <c r="F34" s="66">
        <f>ROUND(D34*E34,2)</f>
        <v>929707.21</v>
      </c>
      <c r="H34" s="93">
        <f>H19</f>
        <v>5.9339999999999997E-2</v>
      </c>
      <c r="I34" s="72">
        <f>ROUND(D34*H34,2)</f>
        <v>1028309.89</v>
      </c>
      <c r="J34" s="357"/>
      <c r="K34" s="299">
        <f>I34-F34</f>
        <v>98602.680000000051</v>
      </c>
      <c r="L34" s="300">
        <f t="shared" si="3"/>
        <v>0.10605777705004574</v>
      </c>
      <c r="M34" s="350"/>
      <c r="N34" s="350"/>
      <c r="O34" s="41"/>
      <c r="P34" s="41"/>
    </row>
    <row r="35" spans="2:16" x14ac:dyDescent="0.2">
      <c r="B35" s="297" t="s">
        <v>99</v>
      </c>
      <c r="C35" s="31" t="s">
        <v>83</v>
      </c>
      <c r="D35" s="35">
        <v>27203056.60995879</v>
      </c>
      <c r="E35" s="60">
        <v>5.1319999999999998E-2</v>
      </c>
      <c r="F35" s="63">
        <f>ROUND(D35*E35,2)</f>
        <v>1396060.87</v>
      </c>
      <c r="H35" s="93">
        <f>H20</f>
        <v>5.6770000000000001E-2</v>
      </c>
      <c r="I35" s="72">
        <f>ROUND(D35*H35,2)</f>
        <v>1544317.52</v>
      </c>
      <c r="J35" s="357"/>
      <c r="K35" s="299">
        <f>I35-F35</f>
        <v>148256.64999999991</v>
      </c>
      <c r="L35" s="300">
        <f t="shared" si="3"/>
        <v>0.10619640818383506</v>
      </c>
      <c r="M35" s="350"/>
      <c r="N35" s="350"/>
      <c r="O35" s="41"/>
      <c r="P35" s="41"/>
    </row>
    <row r="36" spans="2:16" x14ac:dyDescent="0.2">
      <c r="B36" s="313" t="s">
        <v>114</v>
      </c>
      <c r="C36" s="306"/>
      <c r="D36" s="12">
        <f>SUM(D33:D35)</f>
        <v>68886791.019958794</v>
      </c>
      <c r="E36" s="273"/>
      <c r="F36" s="112">
        <f>SUM(F28:F35)</f>
        <v>6600270.6100000003</v>
      </c>
      <c r="H36" s="73"/>
      <c r="I36" s="112">
        <f>SUM(I28:I35)</f>
        <v>7339677.3100000005</v>
      </c>
      <c r="J36" s="357"/>
      <c r="K36" s="366">
        <f>SUM(K28:K35)</f>
        <v>739406.70000000019</v>
      </c>
      <c r="L36" s="106">
        <f>IFERROR(K36/F36, )</f>
        <v>0.11202672491635918</v>
      </c>
      <c r="M36" s="350"/>
      <c r="N36" s="350"/>
      <c r="O36" s="41"/>
      <c r="P36" s="41"/>
    </row>
    <row r="37" spans="2:16" x14ac:dyDescent="0.2">
      <c r="B37" s="313"/>
      <c r="C37" s="306"/>
      <c r="D37" s="35"/>
      <c r="E37" s="273"/>
      <c r="F37" s="72"/>
      <c r="H37" s="73"/>
      <c r="I37" s="72"/>
      <c r="J37" s="357"/>
      <c r="K37" s="299"/>
      <c r="L37" s="300"/>
      <c r="M37" s="350"/>
      <c r="N37" s="350"/>
      <c r="O37" s="58"/>
      <c r="P37" s="41"/>
    </row>
    <row r="38" spans="2:16" x14ac:dyDescent="0.2">
      <c r="B38" s="313" t="s">
        <v>220</v>
      </c>
      <c r="C38" s="31"/>
      <c r="D38" s="35"/>
      <c r="E38" s="73"/>
      <c r="F38" s="112">
        <f>F36</f>
        <v>6600270.6100000003</v>
      </c>
      <c r="G38" s="41"/>
      <c r="H38" s="73"/>
      <c r="I38" s="112">
        <f>I36</f>
        <v>7339677.3100000005</v>
      </c>
      <c r="J38" s="273"/>
      <c r="K38" s="366">
        <f>K36</f>
        <v>739406.70000000019</v>
      </c>
      <c r="L38" s="106">
        <f>IFERROR(K38/F38, )</f>
        <v>0.11202672491635918</v>
      </c>
      <c r="M38" s="350"/>
      <c r="N38" s="350"/>
      <c r="O38" s="110"/>
      <c r="P38" s="41"/>
    </row>
    <row r="39" spans="2:16" x14ac:dyDescent="0.2">
      <c r="B39" s="359"/>
      <c r="C39" s="328"/>
      <c r="D39" s="64"/>
      <c r="E39" s="392"/>
      <c r="F39" s="63"/>
      <c r="G39" s="64"/>
      <c r="H39" s="107"/>
      <c r="I39" s="114"/>
      <c r="J39" s="393"/>
      <c r="K39" s="361"/>
      <c r="L39" s="362"/>
      <c r="M39" s="350"/>
      <c r="N39" s="350"/>
      <c r="O39" s="41"/>
      <c r="P39" s="41"/>
    </row>
    <row r="40" spans="2:16" x14ac:dyDescent="0.2">
      <c r="B40" s="31"/>
      <c r="C40" s="31"/>
      <c r="D40" s="35"/>
      <c r="E40" s="379"/>
      <c r="F40" s="66"/>
      <c r="H40" s="73"/>
      <c r="I40" s="72"/>
      <c r="J40" s="357"/>
      <c r="K40" s="299"/>
      <c r="L40" s="363"/>
      <c r="M40" s="350"/>
      <c r="N40" s="350"/>
      <c r="O40" s="41"/>
      <c r="P40" s="41"/>
    </row>
    <row r="41" spans="2:16" x14ac:dyDescent="0.2">
      <c r="B41" s="68" t="s">
        <v>136</v>
      </c>
      <c r="C41" s="353"/>
      <c r="D41" s="354"/>
      <c r="E41" s="384"/>
      <c r="F41" s="394"/>
      <c r="G41" s="385"/>
      <c r="H41" s="386"/>
      <c r="I41" s="395"/>
      <c r="J41" s="387"/>
      <c r="K41" s="295"/>
      <c r="L41" s="296"/>
      <c r="M41" s="350"/>
      <c r="N41" s="350"/>
      <c r="O41" s="41"/>
      <c r="P41" s="41"/>
    </row>
    <row r="42" spans="2:16" x14ac:dyDescent="0.2">
      <c r="B42" s="297"/>
      <c r="C42" s="31"/>
      <c r="D42" s="35"/>
      <c r="E42" s="60"/>
      <c r="F42" s="66"/>
      <c r="G42" s="70"/>
      <c r="H42" s="73"/>
      <c r="I42" s="72"/>
      <c r="J42" s="108"/>
      <c r="K42" s="66"/>
      <c r="L42" s="71"/>
      <c r="M42" s="111"/>
      <c r="N42" s="350"/>
      <c r="O42" s="41"/>
      <c r="P42" s="41"/>
    </row>
    <row r="43" spans="2:16" x14ac:dyDescent="0.2">
      <c r="B43" s="313" t="s">
        <v>80</v>
      </c>
      <c r="C43" s="306" t="s">
        <v>81</v>
      </c>
      <c r="D43" s="35">
        <f>D28+D12</f>
        <v>1252.6000305414561</v>
      </c>
      <c r="E43" s="73"/>
      <c r="F43" s="66">
        <f>F12+F28</f>
        <v>1017688.3300000001</v>
      </c>
      <c r="H43" s="73"/>
      <c r="I43" s="66">
        <f>I12+I28</f>
        <v>1056977.54</v>
      </c>
      <c r="J43" s="108"/>
      <c r="K43" s="66">
        <f>I43-F43</f>
        <v>39289.209999999963</v>
      </c>
      <c r="L43" s="71">
        <f t="shared" ref="L43:L46" si="4">IFERROR(K43/F43, )</f>
        <v>3.860632852103154E-2</v>
      </c>
      <c r="M43" s="111"/>
      <c r="N43" s="350"/>
      <c r="O43" s="41"/>
      <c r="P43" s="41"/>
    </row>
    <row r="44" spans="2:16" x14ac:dyDescent="0.2">
      <c r="B44" s="297" t="s">
        <v>88</v>
      </c>
      <c r="C44" s="31" t="s">
        <v>86</v>
      </c>
      <c r="D44" s="35">
        <f>D29+D13</f>
        <v>748075.9709999999</v>
      </c>
      <c r="E44" s="73"/>
      <c r="F44" s="66">
        <f>F13+F29</f>
        <v>972498.77</v>
      </c>
      <c r="H44" s="73"/>
      <c r="I44" s="66">
        <f>I13+I29</f>
        <v>1077229.3999999999</v>
      </c>
      <c r="J44" s="108"/>
      <c r="K44" s="66">
        <f>I44-F44</f>
        <v>104730.62999999989</v>
      </c>
      <c r="L44" s="71">
        <f t="shared" si="4"/>
        <v>0.10769230073165016</v>
      </c>
      <c r="M44" s="111"/>
      <c r="N44" s="350"/>
      <c r="O44" s="41"/>
      <c r="P44" s="41"/>
    </row>
    <row r="45" spans="2:16" x14ac:dyDescent="0.2">
      <c r="B45" s="297" t="s">
        <v>85</v>
      </c>
      <c r="C45" s="31" t="s">
        <v>83</v>
      </c>
      <c r="D45" s="35">
        <f>D30+D14</f>
        <v>19992939.502740219</v>
      </c>
      <c r="E45" s="73"/>
      <c r="F45" s="66">
        <f>F14</f>
        <v>140950.22349431855</v>
      </c>
      <c r="H45" s="73"/>
      <c r="I45" s="66">
        <f>I14</f>
        <v>155944.93</v>
      </c>
      <c r="J45" s="108"/>
      <c r="K45" s="66">
        <f>I45-F45</f>
        <v>14994.706505681446</v>
      </c>
      <c r="L45" s="71">
        <f t="shared" si="4"/>
        <v>0.10638299205170013</v>
      </c>
      <c r="M45" s="111"/>
      <c r="N45" s="350"/>
      <c r="O45" s="41"/>
      <c r="P45" s="41"/>
    </row>
    <row r="46" spans="2:16" x14ac:dyDescent="0.2">
      <c r="B46" s="297" t="s">
        <v>95</v>
      </c>
      <c r="C46" s="31"/>
      <c r="D46" s="35"/>
      <c r="E46" s="73"/>
      <c r="F46" s="72">
        <f>F15+F30</f>
        <v>-924.14000000000306</v>
      </c>
      <c r="H46" s="73"/>
      <c r="I46" s="72">
        <f>I15+I30</f>
        <v>-924.14000000000306</v>
      </c>
      <c r="J46" s="108"/>
      <c r="K46" s="66">
        <f>I46-F46</f>
        <v>0</v>
      </c>
      <c r="L46" s="71">
        <f t="shared" si="4"/>
        <v>0</v>
      </c>
      <c r="M46" s="111"/>
      <c r="N46" s="350"/>
      <c r="O46" s="41"/>
      <c r="P46" s="41"/>
    </row>
    <row r="47" spans="2:16" x14ac:dyDescent="0.2">
      <c r="B47" s="297"/>
      <c r="C47" s="31"/>
      <c r="D47" s="35"/>
      <c r="E47" s="60"/>
      <c r="F47" s="41"/>
      <c r="H47" s="60"/>
      <c r="I47" s="41"/>
      <c r="J47" s="73"/>
      <c r="K47" s="66"/>
      <c r="L47" s="71"/>
      <c r="M47" s="111"/>
      <c r="N47" s="350"/>
      <c r="O47" s="41"/>
      <c r="P47" s="41"/>
    </row>
    <row r="48" spans="2:16" x14ac:dyDescent="0.2">
      <c r="B48" s="297" t="s">
        <v>89</v>
      </c>
      <c r="C48" s="31"/>
      <c r="D48" s="35"/>
      <c r="E48" s="60"/>
      <c r="F48" s="66"/>
      <c r="H48" s="60"/>
      <c r="I48" s="66"/>
      <c r="J48" s="108"/>
      <c r="K48" s="66"/>
      <c r="L48" s="71"/>
      <c r="M48" s="111"/>
      <c r="N48" s="350"/>
      <c r="O48" s="41"/>
      <c r="P48" s="41"/>
    </row>
    <row r="49" spans="1:16" x14ac:dyDescent="0.2">
      <c r="B49" s="297" t="s">
        <v>96</v>
      </c>
      <c r="C49" s="31" t="s">
        <v>83</v>
      </c>
      <c r="D49" s="35">
        <f>D33+D18</f>
        <v>32614172.612156868</v>
      </c>
      <c r="E49" s="60"/>
      <c r="F49" s="66">
        <f>F18+F33</f>
        <v>3535376.3099999996</v>
      </c>
      <c r="H49" s="77"/>
      <c r="I49" s="66">
        <f>I18+I33</f>
        <v>4072857.87</v>
      </c>
      <c r="J49" s="108"/>
      <c r="K49" s="66">
        <f>I49-F49</f>
        <v>537481.56000000052</v>
      </c>
      <c r="L49" s="71">
        <f t="shared" ref="L49:L51" si="5">IFERROR(K49/F49, )</f>
        <v>0.15202951903018228</v>
      </c>
      <c r="M49" s="111"/>
      <c r="N49" s="350"/>
      <c r="O49" s="41"/>
      <c r="P49" s="41"/>
    </row>
    <row r="50" spans="1:16" x14ac:dyDescent="0.2">
      <c r="B50" s="297" t="s">
        <v>97</v>
      </c>
      <c r="C50" s="31" t="s">
        <v>83</v>
      </c>
      <c r="D50" s="35">
        <f>D34+D19</f>
        <v>21676678.247000001</v>
      </c>
      <c r="E50" s="60"/>
      <c r="F50" s="66">
        <f>F19+F34</f>
        <v>1162953.79</v>
      </c>
      <c r="H50" s="77"/>
      <c r="I50" s="66">
        <f>I19+I34</f>
        <v>1286294.08</v>
      </c>
      <c r="J50" s="108"/>
      <c r="K50" s="66">
        <f>I50-F50</f>
        <v>123340.29000000004</v>
      </c>
      <c r="L50" s="71">
        <f t="shared" si="5"/>
        <v>0.10605777380028146</v>
      </c>
      <c r="M50" s="111"/>
      <c r="N50" s="350"/>
      <c r="O50" s="41"/>
      <c r="P50" s="41"/>
    </row>
    <row r="51" spans="1:16" x14ac:dyDescent="0.2">
      <c r="B51" s="297" t="s">
        <v>98</v>
      </c>
      <c r="C51" s="31" t="s">
        <v>83</v>
      </c>
      <c r="D51" s="35">
        <f>D35+D20</f>
        <v>34588879.663542144</v>
      </c>
      <c r="E51" s="60"/>
      <c r="F51" s="63">
        <f>F20+F35</f>
        <v>1775101.31</v>
      </c>
      <c r="H51" s="60"/>
      <c r="I51" s="63">
        <f>I20+I35</f>
        <v>1963610.69</v>
      </c>
      <c r="J51" s="108"/>
      <c r="K51" s="66">
        <f>I51-F51</f>
        <v>188509.37999999989</v>
      </c>
      <c r="L51" s="71">
        <f t="shared" si="5"/>
        <v>0.10619640633356295</v>
      </c>
      <c r="M51" s="111"/>
      <c r="N51" s="350"/>
      <c r="O51" s="41"/>
      <c r="P51" s="41"/>
    </row>
    <row r="52" spans="1:16" x14ac:dyDescent="0.2">
      <c r="B52" s="313" t="s">
        <v>114</v>
      </c>
      <c r="C52" s="306"/>
      <c r="D52" s="12">
        <f>SUM(D49:D51)</f>
        <v>88879730.522699013</v>
      </c>
      <c r="E52" s="73"/>
      <c r="F52" s="112">
        <f>SUM(F43:F51)</f>
        <v>8603644.5934943184</v>
      </c>
      <c r="H52" s="73"/>
      <c r="I52" s="112">
        <f>SUM(I43:I51)</f>
        <v>9611990.3699999992</v>
      </c>
      <c r="J52" s="108"/>
      <c r="K52" s="112">
        <f>SUM(K43:K51)</f>
        <v>1008345.7765056817</v>
      </c>
      <c r="L52" s="106">
        <f>IFERROR(K52/F52, )</f>
        <v>0.11719984078237571</v>
      </c>
      <c r="M52" s="111"/>
      <c r="N52" s="350"/>
      <c r="O52" s="41"/>
      <c r="P52" s="41"/>
    </row>
    <row r="53" spans="1:16" x14ac:dyDescent="0.2">
      <c r="B53" s="313"/>
      <c r="C53" s="306"/>
      <c r="D53" s="35"/>
      <c r="E53" s="73"/>
      <c r="F53" s="72"/>
      <c r="H53" s="73"/>
      <c r="I53" s="72"/>
      <c r="J53" s="108"/>
      <c r="K53" s="66"/>
      <c r="L53" s="71"/>
      <c r="M53" s="111"/>
      <c r="N53" s="350"/>
      <c r="O53" s="41"/>
      <c r="P53" s="41"/>
    </row>
    <row r="54" spans="1:16" x14ac:dyDescent="0.2">
      <c r="B54" s="297" t="s">
        <v>220</v>
      </c>
      <c r="C54" s="31"/>
      <c r="D54" s="35"/>
      <c r="E54" s="73"/>
      <c r="F54" s="112">
        <f>F52</f>
        <v>8603644.5934943184</v>
      </c>
      <c r="H54" s="73"/>
      <c r="I54" s="112">
        <f>I52</f>
        <v>9611990.3699999992</v>
      </c>
      <c r="J54" s="108"/>
      <c r="K54" s="112">
        <f>K52</f>
        <v>1008345.7765056817</v>
      </c>
      <c r="L54" s="106">
        <f>IFERROR(K54/F54, )</f>
        <v>0.11719984078237571</v>
      </c>
      <c r="M54" s="111"/>
      <c r="N54" s="350"/>
    </row>
    <row r="55" spans="1:16" x14ac:dyDescent="0.2">
      <c r="B55" s="359"/>
      <c r="C55" s="328"/>
      <c r="D55" s="64"/>
      <c r="E55" s="113"/>
      <c r="F55" s="63"/>
      <c r="G55" s="64"/>
      <c r="H55" s="107"/>
      <c r="I55" s="114"/>
      <c r="J55" s="115"/>
      <c r="K55" s="63"/>
      <c r="L55" s="65"/>
      <c r="M55" s="111"/>
      <c r="N55" s="350"/>
    </row>
    <row r="56" spans="1:16" x14ac:dyDescent="0.2">
      <c r="A56" s="31"/>
      <c r="B56" s="31"/>
      <c r="C56" s="31"/>
      <c r="D56" s="35"/>
      <c r="E56" s="379"/>
      <c r="F56" s="66"/>
      <c r="H56" s="73"/>
      <c r="I56" s="72"/>
      <c r="J56" s="357"/>
      <c r="K56" s="299"/>
      <c r="L56" s="363"/>
      <c r="M56" s="350"/>
      <c r="N56" s="350"/>
      <c r="O56" s="31"/>
    </row>
    <row r="57" spans="1:16" x14ac:dyDescent="0.2">
      <c r="B57" s="291" t="s">
        <v>137</v>
      </c>
      <c r="C57" s="353"/>
      <c r="D57" s="354"/>
      <c r="E57" s="384"/>
      <c r="F57" s="394"/>
      <c r="G57" s="354"/>
      <c r="H57" s="386"/>
      <c r="I57" s="396"/>
      <c r="J57" s="387"/>
      <c r="K57" s="295"/>
      <c r="L57" s="316"/>
      <c r="M57" s="350"/>
      <c r="N57" s="350"/>
      <c r="O57" s="31"/>
    </row>
    <row r="58" spans="1:16" x14ac:dyDescent="0.2">
      <c r="B58" s="297"/>
      <c r="C58" s="31"/>
      <c r="D58" s="35"/>
      <c r="E58" s="379"/>
      <c r="F58" s="66"/>
      <c r="G58" s="70"/>
      <c r="H58" s="73"/>
      <c r="I58" s="72"/>
      <c r="J58" s="357"/>
      <c r="K58" s="299"/>
      <c r="L58" s="300"/>
      <c r="M58" s="350"/>
      <c r="N58" s="350"/>
      <c r="O58" s="356" t="s">
        <v>138</v>
      </c>
    </row>
    <row r="59" spans="1:16" x14ac:dyDescent="0.2">
      <c r="B59" s="313" t="s">
        <v>80</v>
      </c>
      <c r="C59" s="306" t="s">
        <v>81</v>
      </c>
      <c r="D59" s="35">
        <v>1364.2999596828383</v>
      </c>
      <c r="E59" s="73">
        <v>148.82</v>
      </c>
      <c r="F59" s="66">
        <f>ROUND(D59*E59,2)</f>
        <v>203035.12</v>
      </c>
      <c r="H59" s="301">
        <f>E59</f>
        <v>148.82</v>
      </c>
      <c r="I59" s="72">
        <f>ROUND(D59*H59,2)</f>
        <v>203035.12</v>
      </c>
      <c r="J59" s="357"/>
      <c r="K59" s="299">
        <f>I59-F59</f>
        <v>0</v>
      </c>
      <c r="L59" s="300">
        <f t="shared" ref="L59:L62" si="6">IFERROR(K59/F59, )</f>
        <v>0</v>
      </c>
      <c r="M59" s="350"/>
      <c r="N59" s="350"/>
      <c r="O59" s="59">
        <v>1560028.5146650348</v>
      </c>
    </row>
    <row r="60" spans="1:16" x14ac:dyDescent="0.2">
      <c r="B60" s="297" t="s">
        <v>88</v>
      </c>
      <c r="C60" s="31" t="s">
        <v>86</v>
      </c>
      <c r="D60" s="35">
        <v>39087.972999999998</v>
      </c>
      <c r="E60" s="73">
        <v>1.35</v>
      </c>
      <c r="F60" s="66">
        <f>ROUND(D60*E60,2)</f>
        <v>52768.76</v>
      </c>
      <c r="H60" s="301">
        <f>E60</f>
        <v>1.35</v>
      </c>
      <c r="I60" s="72">
        <f>ROUND(D60*H60,2)</f>
        <v>52768.76</v>
      </c>
      <c r="J60" s="357"/>
      <c r="K60" s="299">
        <f>I60-F60</f>
        <v>0</v>
      </c>
      <c r="L60" s="300">
        <f t="shared" si="6"/>
        <v>0</v>
      </c>
      <c r="M60" s="350"/>
      <c r="N60" s="350"/>
      <c r="O60" s="304" t="s">
        <v>112</v>
      </c>
    </row>
    <row r="61" spans="1:16" x14ac:dyDescent="0.2">
      <c r="B61" s="297" t="s">
        <v>85</v>
      </c>
      <c r="C61" s="31" t="s">
        <v>83</v>
      </c>
      <c r="D61" s="35">
        <f>D67</f>
        <v>5773170.4876905456</v>
      </c>
      <c r="E61" s="60">
        <v>1.222E-2</v>
      </c>
      <c r="F61" s="66">
        <f>ROUND(D61*E61,2)</f>
        <v>70548.14</v>
      </c>
      <c r="H61" s="93">
        <f>E61</f>
        <v>1.222E-2</v>
      </c>
      <c r="I61" s="72">
        <f>ROUND(D67*H61,2)</f>
        <v>70548.14</v>
      </c>
      <c r="J61" s="357"/>
      <c r="K61" s="299">
        <f>I61-F61</f>
        <v>0</v>
      </c>
      <c r="L61" s="300">
        <f t="shared" si="6"/>
        <v>0</v>
      </c>
      <c r="M61" s="350"/>
      <c r="N61" s="350"/>
      <c r="O61" s="309">
        <f>I98-O59</f>
        <v>2.5053349651861936</v>
      </c>
    </row>
    <row r="62" spans="1:16" x14ac:dyDescent="0.2">
      <c r="B62" s="297" t="s">
        <v>95</v>
      </c>
      <c r="C62" s="31"/>
      <c r="D62" s="35"/>
      <c r="E62" s="60"/>
      <c r="F62" s="72">
        <v>7612.77</v>
      </c>
      <c r="H62" s="93"/>
      <c r="I62" s="72">
        <f>F62</f>
        <v>7612.77</v>
      </c>
      <c r="J62" s="397"/>
      <c r="K62" s="299">
        <f>I62-F62</f>
        <v>0</v>
      </c>
      <c r="L62" s="300">
        <f t="shared" si="6"/>
        <v>0</v>
      </c>
      <c r="M62" s="350"/>
      <c r="N62" s="350"/>
      <c r="O62" s="388"/>
    </row>
    <row r="63" spans="1:16" x14ac:dyDescent="0.2">
      <c r="B63" s="297"/>
      <c r="C63" s="31"/>
      <c r="D63" s="35"/>
      <c r="E63" s="60"/>
      <c r="F63" s="66"/>
      <c r="H63" s="93"/>
      <c r="I63" s="72"/>
      <c r="J63" s="357"/>
      <c r="K63" s="299"/>
      <c r="L63" s="300"/>
      <c r="M63" s="350"/>
      <c r="N63" s="350"/>
      <c r="O63" s="358">
        <v>4.2429683015157149E-2</v>
      </c>
      <c r="P63" s="391"/>
    </row>
    <row r="64" spans="1:16" x14ac:dyDescent="0.2">
      <c r="B64" s="297" t="s">
        <v>89</v>
      </c>
      <c r="C64" s="31"/>
      <c r="D64" s="35"/>
      <c r="E64" s="60"/>
      <c r="F64" s="66"/>
      <c r="H64" s="93"/>
      <c r="I64" s="72"/>
      <c r="J64" s="357"/>
      <c r="K64" s="299"/>
      <c r="L64" s="300"/>
      <c r="M64" s="350"/>
      <c r="N64" s="350"/>
      <c r="O64" s="398"/>
      <c r="P64" s="317"/>
    </row>
    <row r="65" spans="1:16" x14ac:dyDescent="0.2">
      <c r="B65" s="69" t="s">
        <v>100</v>
      </c>
      <c r="C65" s="41" t="s">
        <v>83</v>
      </c>
      <c r="D65" s="35">
        <v>1063981.5778999999</v>
      </c>
      <c r="E65" s="60">
        <v>0.18382000000000001</v>
      </c>
      <c r="F65" s="66">
        <f>ROUND(D65*E65,2)</f>
        <v>195581.09</v>
      </c>
      <c r="H65" s="93">
        <f>ROUND(E65*(1+$O$65),5)</f>
        <v>0.1951</v>
      </c>
      <c r="I65" s="72">
        <f>ROUND(D65*H65,2)</f>
        <v>207582.81</v>
      </c>
      <c r="J65" s="357"/>
      <c r="K65" s="299">
        <f>I65-F65</f>
        <v>12001.720000000001</v>
      </c>
      <c r="L65" s="300">
        <f t="shared" ref="L65:L66" si="7">IFERROR(K65/F65, )</f>
        <v>6.1364419228873313E-2</v>
      </c>
      <c r="M65" s="350"/>
      <c r="N65" s="350"/>
      <c r="O65" s="399">
        <f>(O59-SUM(I88:I91))/SUM(F94:F95)-1</f>
        <v>6.1383682309006371E-2</v>
      </c>
      <c r="P65" s="391"/>
    </row>
    <row r="66" spans="1:16" ht="12.75" customHeight="1" x14ac:dyDescent="0.2">
      <c r="B66" s="69" t="s">
        <v>101</v>
      </c>
      <c r="C66" s="41" t="s">
        <v>83</v>
      </c>
      <c r="D66" s="35">
        <v>4709188.9097905457</v>
      </c>
      <c r="E66" s="60">
        <v>0.13031000000000001</v>
      </c>
      <c r="F66" s="66">
        <f>ROUND(D66*E66,2)</f>
        <v>613654.41</v>
      </c>
      <c r="H66" s="93">
        <f>ROUND(E66*(1+$O$65),5)</f>
        <v>0.13830999999999999</v>
      </c>
      <c r="I66" s="72">
        <f>ROUND(D66*H66,2)</f>
        <v>651327.92000000004</v>
      </c>
      <c r="J66" s="357"/>
      <c r="K66" s="299">
        <f>I66-F66</f>
        <v>37673.510000000009</v>
      </c>
      <c r="L66" s="300">
        <f t="shared" si="7"/>
        <v>6.1392062675798269E-2</v>
      </c>
      <c r="M66" s="350"/>
      <c r="N66" s="350"/>
      <c r="O66" s="398"/>
      <c r="P66" s="391"/>
    </row>
    <row r="67" spans="1:16" ht="12.75" customHeight="1" x14ac:dyDescent="0.2">
      <c r="B67" s="313" t="s">
        <v>114</v>
      </c>
      <c r="C67" s="31" t="s">
        <v>83</v>
      </c>
      <c r="D67" s="12">
        <f>SUM(D65:D66)</f>
        <v>5773170.4876905456</v>
      </c>
      <c r="E67" s="379"/>
      <c r="F67" s="112">
        <f>SUM(F59:F66)</f>
        <v>1143200.29</v>
      </c>
      <c r="H67" s="73"/>
      <c r="I67" s="112">
        <f>SUM(I59:I66)</f>
        <v>1192875.52</v>
      </c>
      <c r="J67" s="357"/>
      <c r="K67" s="366">
        <f>SUM(K59:K66)</f>
        <v>49675.23000000001</v>
      </c>
      <c r="L67" s="400">
        <f>IFERROR(K67/F67, )</f>
        <v>4.3452779390040226E-2</v>
      </c>
      <c r="M67" s="350"/>
      <c r="N67" s="350"/>
      <c r="O67" s="368"/>
      <c r="P67" s="391"/>
    </row>
    <row r="68" spans="1:16" x14ac:dyDescent="0.2">
      <c r="B68" s="313"/>
      <c r="C68" s="306"/>
      <c r="D68" s="35"/>
      <c r="E68" s="379"/>
      <c r="F68" s="72"/>
      <c r="H68" s="73"/>
      <c r="I68" s="72"/>
      <c r="J68" s="357"/>
      <c r="K68" s="299"/>
      <c r="L68" s="302"/>
      <c r="M68" s="350"/>
      <c r="N68" s="98"/>
      <c r="O68" s="390"/>
      <c r="P68" s="391"/>
    </row>
    <row r="69" spans="1:16" s="31" customFormat="1" x14ac:dyDescent="0.2">
      <c r="B69" s="297" t="s">
        <v>220</v>
      </c>
      <c r="D69" s="35"/>
      <c r="E69" s="273"/>
      <c r="F69" s="112">
        <f>F67</f>
        <v>1143200.29</v>
      </c>
      <c r="G69" s="35"/>
      <c r="H69" s="73"/>
      <c r="I69" s="112">
        <f>I67</f>
        <v>1192875.52</v>
      </c>
      <c r="J69" s="357"/>
      <c r="K69" s="366">
        <f>K67</f>
        <v>49675.23000000001</v>
      </c>
      <c r="L69" s="400">
        <f>IFERROR(K69/F69, )</f>
        <v>4.3452779390040226E-2</v>
      </c>
      <c r="M69" s="350"/>
      <c r="N69" s="350"/>
    </row>
    <row r="70" spans="1:16" x14ac:dyDescent="0.2">
      <c r="A70" s="31"/>
      <c r="B70" s="359"/>
      <c r="C70" s="328"/>
      <c r="D70" s="64"/>
      <c r="E70" s="116"/>
      <c r="F70" s="63"/>
      <c r="G70" s="64"/>
      <c r="H70" s="107"/>
      <c r="I70" s="114"/>
      <c r="J70" s="393"/>
      <c r="K70" s="361"/>
      <c r="L70" s="330"/>
      <c r="M70" s="350"/>
      <c r="N70" s="350"/>
    </row>
    <row r="71" spans="1:16" s="31" customFormat="1" x14ac:dyDescent="0.2">
      <c r="D71" s="35"/>
      <c r="E71" s="117"/>
      <c r="F71" s="66"/>
      <c r="G71" s="35"/>
      <c r="H71" s="73"/>
      <c r="I71" s="72"/>
      <c r="J71" s="357"/>
      <c r="K71" s="299"/>
      <c r="L71" s="401"/>
      <c r="M71" s="350"/>
      <c r="N71" s="350"/>
    </row>
    <row r="72" spans="1:16" x14ac:dyDescent="0.2">
      <c r="A72" s="31"/>
      <c r="B72" s="291" t="s">
        <v>139</v>
      </c>
      <c r="C72" s="353"/>
      <c r="D72" s="354"/>
      <c r="E72" s="384"/>
      <c r="F72" s="394"/>
      <c r="G72" s="354"/>
      <c r="H72" s="386"/>
      <c r="I72" s="396"/>
      <c r="J72" s="387"/>
      <c r="K72" s="295"/>
      <c r="L72" s="316"/>
      <c r="M72" s="350"/>
      <c r="N72" s="350"/>
    </row>
    <row r="73" spans="1:16" x14ac:dyDescent="0.2">
      <c r="A73" s="31"/>
      <c r="B73" s="297"/>
      <c r="C73" s="31"/>
      <c r="D73" s="35"/>
      <c r="E73" s="379"/>
      <c r="F73" s="66"/>
      <c r="G73" s="70"/>
      <c r="H73" s="73"/>
      <c r="I73" s="72"/>
      <c r="J73" s="357"/>
      <c r="K73" s="299"/>
      <c r="L73" s="300"/>
      <c r="M73" s="350"/>
      <c r="N73" s="350"/>
    </row>
    <row r="74" spans="1:16" x14ac:dyDescent="0.2">
      <c r="A74" s="31"/>
      <c r="B74" s="313" t="s">
        <v>80</v>
      </c>
      <c r="C74" s="306" t="s">
        <v>81</v>
      </c>
      <c r="D74" s="35">
        <v>135.03332221112262</v>
      </c>
      <c r="E74" s="73">
        <v>457.76</v>
      </c>
      <c r="F74" s="66">
        <f>ROUND(D74*E74,2)</f>
        <v>61812.85</v>
      </c>
      <c r="H74" s="301">
        <f>E74</f>
        <v>457.76</v>
      </c>
      <c r="I74" s="72">
        <f>ROUND(D74*H74,2)</f>
        <v>61812.85</v>
      </c>
      <c r="J74" s="357"/>
      <c r="K74" s="299">
        <f>I74-F74</f>
        <v>0</v>
      </c>
      <c r="L74" s="300">
        <f t="shared" ref="L74:L76" si="8">IFERROR(K74/F74, )</f>
        <v>0</v>
      </c>
      <c r="M74" s="350"/>
      <c r="N74" s="350"/>
    </row>
    <row r="75" spans="1:16" x14ac:dyDescent="0.2">
      <c r="A75" s="31"/>
      <c r="B75" s="297" t="s">
        <v>88</v>
      </c>
      <c r="C75" s="31" t="s">
        <v>86</v>
      </c>
      <c r="D75" s="35">
        <v>43385</v>
      </c>
      <c r="E75" s="73">
        <v>1.35</v>
      </c>
      <c r="F75" s="66">
        <f>ROUND(D75*E75,2)</f>
        <v>58569.75</v>
      </c>
      <c r="H75" s="301">
        <f>H60</f>
        <v>1.35</v>
      </c>
      <c r="I75" s="72">
        <f>ROUND(D75*H75,2)</f>
        <v>58569.75</v>
      </c>
      <c r="J75" s="357"/>
      <c r="K75" s="299">
        <f>I75-F75</f>
        <v>0</v>
      </c>
      <c r="L75" s="300">
        <f t="shared" si="8"/>
        <v>0</v>
      </c>
      <c r="M75" s="350"/>
      <c r="N75" s="350"/>
    </row>
    <row r="76" spans="1:16" x14ac:dyDescent="0.2">
      <c r="A76" s="31"/>
      <c r="B76" s="297" t="s">
        <v>95</v>
      </c>
      <c r="C76" s="31"/>
      <c r="D76" s="35"/>
      <c r="E76" s="60"/>
      <c r="F76" s="72">
        <v>0</v>
      </c>
      <c r="H76" s="93"/>
      <c r="I76" s="72">
        <f>F76</f>
        <v>0</v>
      </c>
      <c r="J76" s="397"/>
      <c r="K76" s="299">
        <f>I76-F76</f>
        <v>0</v>
      </c>
      <c r="L76" s="300">
        <f t="shared" si="8"/>
        <v>0</v>
      </c>
      <c r="M76" s="350"/>
      <c r="N76" s="350"/>
    </row>
    <row r="77" spans="1:16" x14ac:dyDescent="0.2">
      <c r="A77" s="31"/>
      <c r="B77" s="297"/>
      <c r="C77" s="31"/>
      <c r="D77" s="35"/>
      <c r="E77" s="60"/>
      <c r="F77" s="66"/>
      <c r="H77" s="93"/>
      <c r="I77" s="72"/>
      <c r="J77" s="357"/>
      <c r="K77" s="299"/>
      <c r="L77" s="300"/>
      <c r="M77" s="350"/>
      <c r="N77" s="350"/>
    </row>
    <row r="78" spans="1:16" x14ac:dyDescent="0.2">
      <c r="A78" s="31"/>
      <c r="B78" s="297" t="s">
        <v>89</v>
      </c>
      <c r="C78" s="31"/>
      <c r="D78" s="35"/>
      <c r="E78" s="60"/>
      <c r="F78" s="66"/>
      <c r="H78" s="93"/>
      <c r="I78" s="72"/>
      <c r="J78" s="357"/>
      <c r="K78" s="299"/>
      <c r="L78" s="300"/>
      <c r="M78" s="350"/>
      <c r="N78" s="350"/>
    </row>
    <row r="79" spans="1:16" x14ac:dyDescent="0.2">
      <c r="A79" s="31"/>
      <c r="B79" s="69" t="s">
        <v>100</v>
      </c>
      <c r="C79" s="41" t="s">
        <v>83</v>
      </c>
      <c r="D79" s="35">
        <v>160051.62</v>
      </c>
      <c r="E79" s="60">
        <v>0.18382000000000001</v>
      </c>
      <c r="F79" s="66">
        <f>ROUND(D79*E79,2)</f>
        <v>29420.69</v>
      </c>
      <c r="H79" s="93">
        <f>H65</f>
        <v>0.1951</v>
      </c>
      <c r="I79" s="72">
        <f>ROUND(D79*H79,2)</f>
        <v>31226.07</v>
      </c>
      <c r="J79" s="357"/>
      <c r="K79" s="299">
        <f>I79-F79</f>
        <v>1805.380000000001</v>
      </c>
      <c r="L79" s="300">
        <f t="shared" ref="L79:L80" si="9">IFERROR(K79/F79, )</f>
        <v>6.1364298390010605E-2</v>
      </c>
      <c r="M79" s="350"/>
      <c r="N79" s="350"/>
    </row>
    <row r="80" spans="1:16" x14ac:dyDescent="0.2">
      <c r="A80" s="31"/>
      <c r="B80" s="69" t="s">
        <v>101</v>
      </c>
      <c r="C80" s="41" t="s">
        <v>83</v>
      </c>
      <c r="D80" s="35">
        <v>1558432.7200000002</v>
      </c>
      <c r="E80" s="60">
        <v>0.13031000000000001</v>
      </c>
      <c r="F80" s="66">
        <f>ROUND(D80*E80,2)</f>
        <v>203079.37</v>
      </c>
      <c r="H80" s="93">
        <f>H66</f>
        <v>0.13830999999999999</v>
      </c>
      <c r="I80" s="72">
        <f>ROUND(D80*H80,2)</f>
        <v>215546.83</v>
      </c>
      <c r="J80" s="357"/>
      <c r="K80" s="299">
        <f>I80-F80</f>
        <v>12467.459999999992</v>
      </c>
      <c r="L80" s="300">
        <f t="shared" si="9"/>
        <v>6.1392055726783044E-2</v>
      </c>
      <c r="M80" s="350"/>
      <c r="N80" s="350"/>
    </row>
    <row r="81" spans="1:14" x14ac:dyDescent="0.2">
      <c r="A81" s="31"/>
      <c r="B81" s="313" t="s">
        <v>114</v>
      </c>
      <c r="C81" s="31" t="s">
        <v>83</v>
      </c>
      <c r="D81" s="12">
        <f>SUM(D79:D80)</f>
        <v>1718484.3400000003</v>
      </c>
      <c r="E81" s="379"/>
      <c r="F81" s="112">
        <f>SUM(F74:F80)</f>
        <v>352882.66000000003</v>
      </c>
      <c r="H81" s="73"/>
      <c r="I81" s="112">
        <f>SUM(I74:I80)</f>
        <v>367155.5</v>
      </c>
      <c r="J81" s="357"/>
      <c r="K81" s="366">
        <f>SUM(K74:K80)</f>
        <v>14272.839999999993</v>
      </c>
      <c r="L81" s="400">
        <f>IFERROR(K81/F81, )</f>
        <v>4.044641921481773E-2</v>
      </c>
      <c r="M81" s="350"/>
      <c r="N81" s="350"/>
    </row>
    <row r="82" spans="1:14" x14ac:dyDescent="0.2">
      <c r="A82" s="31"/>
      <c r="B82" s="313"/>
      <c r="C82" s="306"/>
      <c r="D82" s="35"/>
      <c r="E82" s="379"/>
      <c r="F82" s="72"/>
      <c r="H82" s="73"/>
      <c r="I82" s="72"/>
      <c r="J82" s="357"/>
      <c r="K82" s="299"/>
      <c r="L82" s="302"/>
      <c r="M82" s="350"/>
      <c r="N82" s="350"/>
    </row>
    <row r="83" spans="1:14" x14ac:dyDescent="0.2">
      <c r="A83" s="31"/>
      <c r="B83" s="313" t="s">
        <v>220</v>
      </c>
      <c r="C83" s="31"/>
      <c r="D83" s="35"/>
      <c r="E83" s="73"/>
      <c r="F83" s="112">
        <f>+F81</f>
        <v>352882.66000000003</v>
      </c>
      <c r="G83" s="112"/>
      <c r="H83" s="73"/>
      <c r="I83" s="112">
        <f>+I81</f>
        <v>367155.5</v>
      </c>
      <c r="J83" s="273"/>
      <c r="K83" s="366">
        <f>+K81</f>
        <v>14272.839999999993</v>
      </c>
      <c r="L83" s="400">
        <f>IFERROR(K83/F83, )</f>
        <v>4.044641921481773E-2</v>
      </c>
      <c r="M83" s="350"/>
      <c r="N83" s="350"/>
    </row>
    <row r="84" spans="1:14" x14ac:dyDescent="0.2">
      <c r="A84" s="31"/>
      <c r="B84" s="359"/>
      <c r="C84" s="328"/>
      <c r="D84" s="64"/>
      <c r="E84" s="392"/>
      <c r="F84" s="63"/>
      <c r="G84" s="64"/>
      <c r="H84" s="107"/>
      <c r="I84" s="114"/>
      <c r="J84" s="393"/>
      <c r="K84" s="361"/>
      <c r="L84" s="362"/>
      <c r="M84" s="350"/>
      <c r="N84" s="350"/>
    </row>
    <row r="85" spans="1:14" s="31" customFormat="1" x14ac:dyDescent="0.2">
      <c r="D85" s="35"/>
      <c r="E85" s="117"/>
      <c r="F85" s="66"/>
      <c r="G85" s="35"/>
      <c r="H85" s="73"/>
      <c r="I85" s="72"/>
      <c r="J85" s="357"/>
      <c r="K85" s="299"/>
      <c r="L85" s="401"/>
      <c r="M85" s="350"/>
      <c r="N85" s="350"/>
    </row>
    <row r="86" spans="1:14" x14ac:dyDescent="0.2">
      <c r="A86" s="31"/>
      <c r="B86" s="291" t="s">
        <v>140</v>
      </c>
      <c r="C86" s="353"/>
      <c r="D86" s="354"/>
      <c r="E86" s="384"/>
      <c r="F86" s="394"/>
      <c r="G86" s="354"/>
      <c r="H86" s="386"/>
      <c r="I86" s="396"/>
      <c r="J86" s="387"/>
      <c r="K86" s="295"/>
      <c r="L86" s="316"/>
      <c r="M86" s="350"/>
      <c r="N86" s="350"/>
    </row>
    <row r="87" spans="1:14" x14ac:dyDescent="0.2">
      <c r="A87" s="31"/>
      <c r="B87" s="297"/>
      <c r="C87" s="31"/>
      <c r="D87" s="35"/>
      <c r="E87" s="379"/>
      <c r="F87" s="66"/>
      <c r="G87" s="70"/>
      <c r="H87" s="73"/>
      <c r="I87" s="72"/>
      <c r="J87" s="357"/>
      <c r="K87" s="299"/>
      <c r="L87" s="300"/>
      <c r="M87" s="350"/>
      <c r="N87" s="350"/>
    </row>
    <row r="88" spans="1:14" x14ac:dyDescent="0.2">
      <c r="A88" s="31"/>
      <c r="B88" s="313" t="s">
        <v>80</v>
      </c>
      <c r="C88" s="306" t="s">
        <v>81</v>
      </c>
      <c r="D88" s="35">
        <f>D59+D74</f>
        <v>1499.3332818939609</v>
      </c>
      <c r="E88" s="73"/>
      <c r="F88" s="66">
        <f>F59+F74</f>
        <v>264847.96999999997</v>
      </c>
      <c r="H88" s="94"/>
      <c r="I88" s="66">
        <f>I59+I74</f>
        <v>264847.96999999997</v>
      </c>
      <c r="J88" s="357"/>
      <c r="K88" s="299">
        <f>I88-F88</f>
        <v>0</v>
      </c>
      <c r="L88" s="300">
        <f t="shared" ref="L88:L91" si="10">IFERROR(K88/F88, )</f>
        <v>0</v>
      </c>
      <c r="M88" s="350"/>
      <c r="N88" s="350"/>
    </row>
    <row r="89" spans="1:14" x14ac:dyDescent="0.2">
      <c r="A89" s="31"/>
      <c r="B89" s="297" t="s">
        <v>88</v>
      </c>
      <c r="C89" s="31" t="s">
        <v>86</v>
      </c>
      <c r="D89" s="35">
        <f>D60+D75</f>
        <v>82472.972999999998</v>
      </c>
      <c r="E89" s="73"/>
      <c r="F89" s="66">
        <f>F60+F75</f>
        <v>111338.51000000001</v>
      </c>
      <c r="H89" s="94"/>
      <c r="I89" s="66">
        <f>I60+I75</f>
        <v>111338.51000000001</v>
      </c>
      <c r="J89" s="357"/>
      <c r="K89" s="299">
        <f>I89-F89</f>
        <v>0</v>
      </c>
      <c r="L89" s="300">
        <f t="shared" si="10"/>
        <v>0</v>
      </c>
      <c r="M89" s="350"/>
      <c r="N89" s="350"/>
    </row>
    <row r="90" spans="1:14" x14ac:dyDescent="0.2">
      <c r="A90" s="31"/>
      <c r="B90" s="297" t="s">
        <v>85</v>
      </c>
      <c r="C90" s="31" t="s">
        <v>83</v>
      </c>
      <c r="D90" s="35">
        <f>D61</f>
        <v>5773170.4876905456</v>
      </c>
      <c r="E90" s="60"/>
      <c r="F90" s="66">
        <f>F61</f>
        <v>70548.14</v>
      </c>
      <c r="H90" s="77"/>
      <c r="I90" s="66">
        <f>I61</f>
        <v>70548.14</v>
      </c>
      <c r="J90" s="357"/>
      <c r="K90" s="299">
        <f>I90-F90</f>
        <v>0</v>
      </c>
      <c r="L90" s="300">
        <f t="shared" si="10"/>
        <v>0</v>
      </c>
      <c r="M90" s="350"/>
      <c r="N90" s="350"/>
    </row>
    <row r="91" spans="1:14" x14ac:dyDescent="0.2">
      <c r="A91" s="31"/>
      <c r="B91" s="297" t="s">
        <v>95</v>
      </c>
      <c r="C91" s="31"/>
      <c r="D91" s="35"/>
      <c r="E91" s="60"/>
      <c r="F91" s="72">
        <f>F62+F76</f>
        <v>7612.77</v>
      </c>
      <c r="H91" s="60"/>
      <c r="I91" s="72">
        <f>I62+I76</f>
        <v>7612.77</v>
      </c>
      <c r="J91" s="397"/>
      <c r="K91" s="299">
        <f>I91-F91</f>
        <v>0</v>
      </c>
      <c r="L91" s="300">
        <f t="shared" si="10"/>
        <v>0</v>
      </c>
      <c r="M91" s="350"/>
      <c r="N91" s="350"/>
    </row>
    <row r="92" spans="1:14" x14ac:dyDescent="0.2">
      <c r="A92" s="31"/>
      <c r="B92" s="297"/>
      <c r="C92" s="31"/>
      <c r="D92" s="35"/>
      <c r="E92" s="60"/>
      <c r="F92" s="66"/>
      <c r="H92" s="60"/>
      <c r="I92" s="66"/>
      <c r="J92" s="357"/>
      <c r="K92" s="299"/>
      <c r="L92" s="300"/>
      <c r="M92" s="350"/>
      <c r="N92" s="350"/>
    </row>
    <row r="93" spans="1:14" x14ac:dyDescent="0.2">
      <c r="A93" s="31"/>
      <c r="B93" s="297" t="s">
        <v>89</v>
      </c>
      <c r="C93" s="31"/>
      <c r="D93" s="35"/>
      <c r="E93" s="60"/>
      <c r="F93" s="66"/>
      <c r="H93" s="60"/>
      <c r="I93" s="66"/>
      <c r="J93" s="357"/>
      <c r="K93" s="299"/>
      <c r="L93" s="300"/>
      <c r="M93" s="350"/>
      <c r="N93" s="350"/>
    </row>
    <row r="94" spans="1:14" x14ac:dyDescent="0.2">
      <c r="A94" s="31"/>
      <c r="B94" s="69" t="s">
        <v>100</v>
      </c>
      <c r="C94" s="41" t="s">
        <v>83</v>
      </c>
      <c r="D94" s="35">
        <f>D65+D79</f>
        <v>1224033.1979</v>
      </c>
      <c r="E94" s="60"/>
      <c r="F94" s="66">
        <f>F65+F79</f>
        <v>225001.78</v>
      </c>
      <c r="H94" s="60"/>
      <c r="I94" s="66">
        <f>I65+I79</f>
        <v>238808.88</v>
      </c>
      <c r="J94" s="357"/>
      <c r="K94" s="299">
        <f>I94-F94</f>
        <v>13807.100000000006</v>
      </c>
      <c r="L94" s="300">
        <f t="shared" ref="L94:L95" si="11">IFERROR(K94/F94, )</f>
        <v>6.1364403428275129E-2</v>
      </c>
      <c r="M94" s="350"/>
      <c r="N94" s="350"/>
    </row>
    <row r="95" spans="1:14" x14ac:dyDescent="0.2">
      <c r="A95" s="31"/>
      <c r="B95" s="69" t="s">
        <v>101</v>
      </c>
      <c r="C95" s="41" t="s">
        <v>83</v>
      </c>
      <c r="D95" s="35">
        <f>D66+D80</f>
        <v>6267621.6297905464</v>
      </c>
      <c r="E95" s="60"/>
      <c r="F95" s="66">
        <f>F66+F80</f>
        <v>816733.78</v>
      </c>
      <c r="H95" s="60"/>
      <c r="I95" s="66">
        <f>I66+I80</f>
        <v>866874.75</v>
      </c>
      <c r="J95" s="357"/>
      <c r="K95" s="299">
        <f>I95-F95</f>
        <v>50140.969999999972</v>
      </c>
      <c r="L95" s="300">
        <f t="shared" si="11"/>
        <v>6.1392060947938226E-2</v>
      </c>
      <c r="M95" s="350"/>
      <c r="N95" s="350"/>
    </row>
    <row r="96" spans="1:14" x14ac:dyDescent="0.2">
      <c r="A96" s="31"/>
      <c r="B96" s="313" t="s">
        <v>114</v>
      </c>
      <c r="C96" s="31" t="s">
        <v>83</v>
      </c>
      <c r="D96" s="12">
        <f>SUM(D94:D95)</f>
        <v>7491654.8276905464</v>
      </c>
      <c r="E96" s="379"/>
      <c r="F96" s="112">
        <f>SUM(F88:F95)</f>
        <v>1496082.9500000002</v>
      </c>
      <c r="H96" s="73"/>
      <c r="I96" s="112">
        <f>SUM(I88:I95)</f>
        <v>1560031.02</v>
      </c>
      <c r="J96" s="357"/>
      <c r="K96" s="366">
        <f>SUM(K88:K95)</f>
        <v>63948.069999999978</v>
      </c>
      <c r="L96" s="400">
        <f>IFERROR(K96/F96, )</f>
        <v>4.2743666051404415E-2</v>
      </c>
      <c r="M96" s="350"/>
      <c r="N96" s="350"/>
    </row>
    <row r="97" spans="1:16" x14ac:dyDescent="0.2">
      <c r="A97" s="31"/>
      <c r="B97" s="313"/>
      <c r="C97" s="306"/>
      <c r="D97" s="35"/>
      <c r="E97" s="379"/>
      <c r="F97" s="72"/>
      <c r="H97" s="73"/>
      <c r="I97" s="72"/>
      <c r="J97" s="357"/>
      <c r="K97" s="299"/>
      <c r="L97" s="302"/>
      <c r="M97" s="350"/>
      <c r="N97" s="350"/>
    </row>
    <row r="98" spans="1:16" x14ac:dyDescent="0.2">
      <c r="A98" s="31"/>
      <c r="B98" s="313" t="s">
        <v>220</v>
      </c>
      <c r="C98" s="306"/>
      <c r="D98" s="41"/>
      <c r="E98" s="273"/>
      <c r="F98" s="112">
        <f>F96</f>
        <v>1496082.9500000002</v>
      </c>
      <c r="G98" s="41"/>
      <c r="H98" s="73"/>
      <c r="I98" s="112">
        <f>I96</f>
        <v>1560031.02</v>
      </c>
      <c r="J98" s="357"/>
      <c r="K98" s="366">
        <f>K96</f>
        <v>63948.069999999978</v>
      </c>
      <c r="L98" s="400">
        <f>IFERROR(K98/F98, )</f>
        <v>4.2743666051404415E-2</v>
      </c>
      <c r="M98" s="350"/>
      <c r="N98" s="350"/>
    </row>
    <row r="99" spans="1:16" x14ac:dyDescent="0.2">
      <c r="A99" s="31"/>
      <c r="B99" s="359"/>
      <c r="C99" s="328"/>
      <c r="D99" s="64"/>
      <c r="E99" s="392"/>
      <c r="F99" s="63"/>
      <c r="G99" s="64"/>
      <c r="H99" s="107"/>
      <c r="I99" s="114"/>
      <c r="J99" s="393"/>
      <c r="K99" s="361"/>
      <c r="L99" s="330"/>
      <c r="M99" s="350"/>
      <c r="N99" s="350"/>
    </row>
    <row r="100" spans="1:16" s="31" customFormat="1" x14ac:dyDescent="0.2">
      <c r="B100" s="41"/>
      <c r="C100" s="41"/>
      <c r="D100" s="35"/>
      <c r="E100" s="117"/>
      <c r="F100" s="66"/>
      <c r="G100" s="35"/>
      <c r="H100" s="73"/>
      <c r="I100" s="72"/>
      <c r="J100" s="108"/>
      <c r="K100" s="66"/>
      <c r="L100" s="118"/>
      <c r="M100" s="350"/>
      <c r="N100" s="350"/>
    </row>
    <row r="101" spans="1:16" s="31" customFormat="1" x14ac:dyDescent="0.2">
      <c r="B101" s="41"/>
      <c r="C101" s="41"/>
      <c r="D101" s="35"/>
      <c r="E101" s="60"/>
      <c r="F101" s="66"/>
      <c r="G101" s="35"/>
      <c r="H101" s="73"/>
      <c r="I101" s="72"/>
      <c r="J101" s="108"/>
      <c r="K101" s="66"/>
      <c r="L101" s="118"/>
      <c r="M101" s="350"/>
      <c r="N101" s="350"/>
    </row>
    <row r="102" spans="1:16" x14ac:dyDescent="0.2">
      <c r="B102" s="291" t="s">
        <v>141</v>
      </c>
      <c r="C102" s="353"/>
      <c r="D102" s="354"/>
      <c r="E102" s="384"/>
      <c r="F102" s="394"/>
      <c r="G102" s="354"/>
      <c r="H102" s="386"/>
      <c r="I102" s="396"/>
      <c r="J102" s="387"/>
      <c r="K102" s="295"/>
      <c r="L102" s="296"/>
      <c r="M102" s="350"/>
      <c r="N102" s="350"/>
      <c r="O102" s="31"/>
    </row>
    <row r="103" spans="1:16" x14ac:dyDescent="0.2">
      <c r="B103" s="297"/>
      <c r="C103" s="31"/>
      <c r="D103" s="35"/>
      <c r="E103" s="379"/>
      <c r="F103" s="66"/>
      <c r="H103" s="73"/>
      <c r="I103" s="72"/>
      <c r="J103" s="357"/>
      <c r="K103" s="299"/>
      <c r="L103" s="300"/>
      <c r="M103" s="350"/>
      <c r="N103" s="350"/>
      <c r="O103" s="283" t="s">
        <v>142</v>
      </c>
    </row>
    <row r="104" spans="1:16" x14ac:dyDescent="0.2">
      <c r="B104" s="313" t="s">
        <v>80</v>
      </c>
      <c r="C104" s="306" t="s">
        <v>81</v>
      </c>
      <c r="D104" s="35">
        <v>61</v>
      </c>
      <c r="E104" s="73">
        <v>606.5</v>
      </c>
      <c r="F104" s="66">
        <f>ROUND(D104*E104,2)</f>
        <v>36996.5</v>
      </c>
      <c r="H104" s="301">
        <v>715.15</v>
      </c>
      <c r="I104" s="72">
        <f>ROUND(D104*H104,2)</f>
        <v>43624.15</v>
      </c>
      <c r="J104" s="357"/>
      <c r="K104" s="299">
        <f>I104-F104</f>
        <v>6627.6500000000015</v>
      </c>
      <c r="L104" s="300">
        <f t="shared" ref="L104:L107" si="12">IFERROR(K104/F104, )</f>
        <v>0.17914262159934052</v>
      </c>
      <c r="M104" s="350"/>
      <c r="N104" s="350"/>
      <c r="O104" s="402">
        <v>6299755.2809057441</v>
      </c>
    </row>
    <row r="105" spans="1:16" x14ac:dyDescent="0.2">
      <c r="B105" s="297" t="s">
        <v>88</v>
      </c>
      <c r="C105" s="31" t="s">
        <v>86</v>
      </c>
      <c r="D105" s="35">
        <v>0</v>
      </c>
      <c r="E105" s="73">
        <v>1.45</v>
      </c>
      <c r="F105" s="66">
        <f>ROUND(D105*E105,2)</f>
        <v>0</v>
      </c>
      <c r="H105" s="301">
        <f>E105</f>
        <v>1.45</v>
      </c>
      <c r="I105" s="72">
        <f>ROUND(D105*H105,2)</f>
        <v>0</v>
      </c>
      <c r="J105" s="357"/>
      <c r="K105" s="299">
        <f>I105-F105</f>
        <v>0</v>
      </c>
      <c r="L105" s="300">
        <f>IFERROR(K105/F105, )</f>
        <v>0</v>
      </c>
      <c r="M105" s="350"/>
      <c r="N105" s="350"/>
      <c r="O105" s="304" t="s">
        <v>112</v>
      </c>
    </row>
    <row r="106" spans="1:16" x14ac:dyDescent="0.2">
      <c r="B106" s="297" t="s">
        <v>85</v>
      </c>
      <c r="C106" s="31"/>
      <c r="D106" s="35">
        <f>D116</f>
        <v>21819455.762355208</v>
      </c>
      <c r="E106" s="60">
        <v>8.43E-3</v>
      </c>
      <c r="F106" s="66">
        <f>ROUND(D106*E106,2)</f>
        <v>183938.01</v>
      </c>
      <c r="H106" s="93">
        <f>ROUND(E106*(1+$O$108),5)</f>
        <v>9.3200000000000002E-3</v>
      </c>
      <c r="I106" s="66">
        <f>ROUND(D106*H106,2)</f>
        <v>203357.33</v>
      </c>
      <c r="J106" s="357"/>
      <c r="K106" s="299">
        <f>I106-F106</f>
        <v>19419.319999999978</v>
      </c>
      <c r="L106" s="300">
        <f t="shared" si="12"/>
        <v>0.10557535117401769</v>
      </c>
      <c r="M106" s="350"/>
      <c r="N106" s="350"/>
      <c r="O106" s="309">
        <f>I155-O104</f>
        <v>151.2490942561999</v>
      </c>
    </row>
    <row r="107" spans="1:16" x14ac:dyDescent="0.2">
      <c r="B107" s="69" t="s">
        <v>95</v>
      </c>
      <c r="C107" s="41"/>
      <c r="D107" s="35"/>
      <c r="E107" s="73"/>
      <c r="F107" s="72">
        <v>51086.770000000004</v>
      </c>
      <c r="H107" s="60" t="s">
        <v>102</v>
      </c>
      <c r="I107" s="72">
        <f>F107</f>
        <v>51086.770000000004</v>
      </c>
      <c r="J107" s="357"/>
      <c r="K107" s="299">
        <f>I107-F107</f>
        <v>0</v>
      </c>
      <c r="L107" s="300">
        <f t="shared" si="12"/>
        <v>0</v>
      </c>
      <c r="M107" s="350"/>
      <c r="N107" s="350"/>
      <c r="O107" s="403"/>
    </row>
    <row r="108" spans="1:16" x14ac:dyDescent="0.2">
      <c r="B108" s="297"/>
      <c r="C108" s="31"/>
      <c r="D108" s="35"/>
      <c r="E108" s="273"/>
      <c r="F108" s="66"/>
      <c r="H108" s="60"/>
      <c r="I108" s="72"/>
      <c r="J108" s="357"/>
      <c r="K108" s="318"/>
      <c r="L108" s="364"/>
      <c r="M108" s="350"/>
      <c r="N108" s="350"/>
      <c r="O108" s="404">
        <v>0.10610240784340896</v>
      </c>
    </row>
    <row r="109" spans="1:16" x14ac:dyDescent="0.2">
      <c r="B109" s="297" t="s">
        <v>89</v>
      </c>
      <c r="C109" s="31"/>
      <c r="D109" s="35"/>
      <c r="E109" s="273"/>
      <c r="F109" s="66"/>
      <c r="H109" s="60"/>
      <c r="I109" s="72"/>
      <c r="J109" s="357"/>
      <c r="K109" s="318"/>
      <c r="L109" s="364"/>
      <c r="M109" s="350"/>
      <c r="N109" s="350"/>
      <c r="O109" s="405">
        <f>(O104-SUM(I141:I144,I152))/SUM(F147:F151)-1</f>
        <v>0.18370474105037182</v>
      </c>
      <c r="P109" s="391"/>
    </row>
    <row r="110" spans="1:16" x14ac:dyDescent="0.2">
      <c r="B110" s="297" t="s">
        <v>96</v>
      </c>
      <c r="C110" s="31" t="s">
        <v>83</v>
      </c>
      <c r="D110" s="35">
        <v>1512193</v>
      </c>
      <c r="E110" s="60">
        <v>0.17533000000000001</v>
      </c>
      <c r="F110" s="66">
        <f t="shared" ref="F110:F115" si="13">ROUND(D110*E110,2)</f>
        <v>265132.79999999999</v>
      </c>
      <c r="H110" s="93">
        <f>ROUND(E110*(1+$O$109),5)</f>
        <v>0.20754</v>
      </c>
      <c r="I110" s="72">
        <f t="shared" ref="I110:I115" si="14">ROUND(D110*H110,2)</f>
        <v>313840.53999999998</v>
      </c>
      <c r="J110" s="357"/>
      <c r="K110" s="299">
        <f t="shared" ref="K110:K116" si="15">I110-F110</f>
        <v>48707.739999999991</v>
      </c>
      <c r="L110" s="300">
        <f t="shared" ref="L110:L115" si="16">IFERROR(K110/F110, )</f>
        <v>0.18371072911386291</v>
      </c>
      <c r="M110" s="350"/>
      <c r="N110" s="350"/>
      <c r="O110" s="405">
        <f>O108*0.33</f>
        <v>3.5013794588324959E-2</v>
      </c>
      <c r="P110" s="317"/>
    </row>
    <row r="111" spans="1:16" x14ac:dyDescent="0.2">
      <c r="B111" s="297" t="s">
        <v>97</v>
      </c>
      <c r="C111" s="31" t="s">
        <v>83</v>
      </c>
      <c r="D111" s="35">
        <v>1398016.115</v>
      </c>
      <c r="E111" s="60">
        <v>0.10595</v>
      </c>
      <c r="F111" s="66">
        <f t="shared" si="13"/>
        <v>148119.81</v>
      </c>
      <c r="H111" s="93">
        <f t="shared" ref="H111:H114" si="17">ROUND(E111*(1+$O$109),5)</f>
        <v>0.12540999999999999</v>
      </c>
      <c r="I111" s="72">
        <f t="shared" si="14"/>
        <v>175325.2</v>
      </c>
      <c r="J111" s="357"/>
      <c r="K111" s="299">
        <f t="shared" si="15"/>
        <v>27205.390000000014</v>
      </c>
      <c r="L111" s="300">
        <f t="shared" si="16"/>
        <v>0.18367151564669179</v>
      </c>
      <c r="M111" s="350"/>
      <c r="N111" s="350"/>
      <c r="O111" s="100"/>
      <c r="P111" s="31"/>
    </row>
    <row r="112" spans="1:16" x14ac:dyDescent="0.2">
      <c r="B112" s="297" t="s">
        <v>99</v>
      </c>
      <c r="C112" s="31" t="s">
        <v>83</v>
      </c>
      <c r="D112" s="35">
        <v>2316890.0959999999</v>
      </c>
      <c r="E112" s="60">
        <v>6.7419999999999994E-2</v>
      </c>
      <c r="F112" s="66">
        <f t="shared" si="13"/>
        <v>156204.73000000001</v>
      </c>
      <c r="H112" s="93">
        <f t="shared" si="17"/>
        <v>7.9810000000000006E-2</v>
      </c>
      <c r="I112" s="72">
        <f t="shared" si="14"/>
        <v>184911</v>
      </c>
      <c r="J112" s="357"/>
      <c r="K112" s="299">
        <f t="shared" si="15"/>
        <v>28706.26999999999</v>
      </c>
      <c r="L112" s="300">
        <f t="shared" si="16"/>
        <v>0.18377337229160723</v>
      </c>
      <c r="M112" s="350"/>
      <c r="N112" s="350"/>
      <c r="O112" s="306"/>
      <c r="P112" s="306"/>
    </row>
    <row r="113" spans="1:16" x14ac:dyDescent="0.2">
      <c r="B113" s="297" t="s">
        <v>15</v>
      </c>
      <c r="C113" s="31" t="s">
        <v>83</v>
      </c>
      <c r="D113" s="35">
        <v>3045256.8779999996</v>
      </c>
      <c r="E113" s="60">
        <v>4.3229999999999998E-2</v>
      </c>
      <c r="F113" s="66">
        <f t="shared" si="13"/>
        <v>131646.45000000001</v>
      </c>
      <c r="H113" s="93">
        <f t="shared" si="17"/>
        <v>5.117E-2</v>
      </c>
      <c r="I113" s="72">
        <f t="shared" si="14"/>
        <v>155825.79</v>
      </c>
      <c r="J113" s="357"/>
      <c r="K113" s="299">
        <f t="shared" si="15"/>
        <v>24179.339999999997</v>
      </c>
      <c r="L113" s="300">
        <f t="shared" si="16"/>
        <v>0.18366875825364068</v>
      </c>
      <c r="M113" s="350"/>
      <c r="N113" s="350"/>
      <c r="O113" s="31"/>
      <c r="P113" s="31"/>
    </row>
    <row r="114" spans="1:16" x14ac:dyDescent="0.2">
      <c r="B114" s="297" t="s">
        <v>14</v>
      </c>
      <c r="C114" s="31" t="s">
        <v>83</v>
      </c>
      <c r="D114" s="35">
        <v>3792042.2029999997</v>
      </c>
      <c r="E114" s="60">
        <v>3.1109999999999999E-2</v>
      </c>
      <c r="F114" s="66">
        <f t="shared" si="13"/>
        <v>117970.43</v>
      </c>
      <c r="H114" s="93">
        <f t="shared" si="17"/>
        <v>3.6830000000000002E-2</v>
      </c>
      <c r="I114" s="72">
        <f t="shared" si="14"/>
        <v>139660.91</v>
      </c>
      <c r="J114" s="357"/>
      <c r="K114" s="299">
        <f t="shared" si="15"/>
        <v>21690.48000000001</v>
      </c>
      <c r="L114" s="300">
        <f t="shared" si="16"/>
        <v>0.18386370211586084</v>
      </c>
      <c r="M114" s="350"/>
      <c r="N114" s="350"/>
      <c r="P114" s="31"/>
    </row>
    <row r="115" spans="1:16" x14ac:dyDescent="0.2">
      <c r="B115" s="297" t="s">
        <v>103</v>
      </c>
      <c r="C115" s="31" t="s">
        <v>83</v>
      </c>
      <c r="D115" s="35">
        <v>9755057.4703552071</v>
      </c>
      <c r="E115" s="60">
        <v>2.3990000000000001E-2</v>
      </c>
      <c r="F115" s="66">
        <f t="shared" si="13"/>
        <v>234023.83</v>
      </c>
      <c r="H115" s="93">
        <f>ROUND(E115*(1+$O$110),5)</f>
        <v>2.4830000000000001E-2</v>
      </c>
      <c r="I115" s="72">
        <f t="shared" si="14"/>
        <v>242218.08</v>
      </c>
      <c r="J115" s="357"/>
      <c r="K115" s="299">
        <f t="shared" si="15"/>
        <v>8194.25</v>
      </c>
      <c r="L115" s="300">
        <f t="shared" si="16"/>
        <v>3.501459659044124E-2</v>
      </c>
      <c r="M115" s="350"/>
      <c r="N115" s="350"/>
      <c r="O115" s="31"/>
      <c r="P115" s="306"/>
    </row>
    <row r="116" spans="1:16" x14ac:dyDescent="0.2">
      <c r="B116" s="313" t="s">
        <v>114</v>
      </c>
      <c r="C116" s="31" t="s">
        <v>83</v>
      </c>
      <c r="D116" s="12">
        <f>SUM(D110:D115)</f>
        <v>21819455.762355208</v>
      </c>
      <c r="E116" s="379"/>
      <c r="F116" s="112">
        <f>SUM(F104:F115)</f>
        <v>1325119.33</v>
      </c>
      <c r="H116" s="73"/>
      <c r="I116" s="112">
        <f>SUM(I104:I115)</f>
        <v>1509849.77</v>
      </c>
      <c r="J116" s="357"/>
      <c r="K116" s="366">
        <f t="shared" si="15"/>
        <v>184730.43999999994</v>
      </c>
      <c r="L116" s="400">
        <f>IFERROR(K116/F116, )</f>
        <v>0.13940664498494632</v>
      </c>
      <c r="M116" s="350"/>
      <c r="N116" s="350"/>
      <c r="O116" s="31"/>
      <c r="P116" s="363"/>
    </row>
    <row r="117" spans="1:16" x14ac:dyDescent="0.2">
      <c r="B117" s="313"/>
      <c r="C117" s="306"/>
      <c r="D117" s="35"/>
      <c r="E117" s="379"/>
      <c r="F117" s="66"/>
      <c r="H117" s="73"/>
      <c r="I117" s="72"/>
      <c r="J117" s="357"/>
      <c r="K117" s="299"/>
      <c r="L117" s="302"/>
      <c r="M117" s="350"/>
      <c r="N117" s="98"/>
      <c r="O117" s="119"/>
      <c r="P117" s="31"/>
    </row>
    <row r="118" spans="1:16" x14ac:dyDescent="0.2">
      <c r="B118" s="297" t="s">
        <v>220</v>
      </c>
      <c r="C118" s="31"/>
      <c r="D118" s="35"/>
      <c r="E118" s="273"/>
      <c r="F118" s="112">
        <f>F116</f>
        <v>1325119.33</v>
      </c>
      <c r="H118" s="73"/>
      <c r="I118" s="112">
        <f>I116</f>
        <v>1509849.77</v>
      </c>
      <c r="J118" s="357"/>
      <c r="K118" s="366">
        <f>K116</f>
        <v>184730.43999999994</v>
      </c>
      <c r="L118" s="400">
        <f>IFERROR(K118/F118, )</f>
        <v>0.13940664498494632</v>
      </c>
      <c r="M118" s="350"/>
      <c r="N118" s="350"/>
      <c r="O118" s="31"/>
      <c r="P118" s="31"/>
    </row>
    <row r="119" spans="1:16" x14ac:dyDescent="0.2">
      <c r="A119" s="31"/>
      <c r="B119" s="359"/>
      <c r="C119" s="328"/>
      <c r="D119" s="64"/>
      <c r="E119" s="113"/>
      <c r="F119" s="63"/>
      <c r="G119" s="64"/>
      <c r="H119" s="107"/>
      <c r="I119" s="114"/>
      <c r="J119" s="393"/>
      <c r="K119" s="361"/>
      <c r="L119" s="330"/>
      <c r="M119" s="350"/>
      <c r="N119" s="350"/>
      <c r="O119" s="306"/>
      <c r="P119" s="31"/>
    </row>
    <row r="120" spans="1:16" x14ac:dyDescent="0.2">
      <c r="A120" s="31"/>
      <c r="B120" s="31"/>
      <c r="C120" s="31"/>
      <c r="D120" s="35"/>
      <c r="E120" s="60"/>
      <c r="F120" s="66"/>
      <c r="H120" s="73"/>
      <c r="I120" s="72"/>
      <c r="J120" s="357"/>
      <c r="K120" s="299"/>
      <c r="L120" s="401"/>
      <c r="M120" s="350"/>
      <c r="N120" s="350"/>
      <c r="O120" s="31"/>
      <c r="P120" s="31"/>
    </row>
    <row r="121" spans="1:16" x14ac:dyDescent="0.2">
      <c r="A121" s="31"/>
      <c r="B121" s="291" t="s">
        <v>143</v>
      </c>
      <c r="C121" s="353"/>
      <c r="D121" s="354"/>
      <c r="E121" s="384"/>
      <c r="F121" s="394"/>
      <c r="G121" s="354"/>
      <c r="H121" s="386"/>
      <c r="I121" s="396"/>
      <c r="J121" s="387"/>
      <c r="K121" s="295"/>
      <c r="L121" s="296"/>
      <c r="M121" s="350"/>
      <c r="N121" s="350"/>
      <c r="O121" s="31"/>
      <c r="P121" s="31"/>
    </row>
    <row r="122" spans="1:16" x14ac:dyDescent="0.2">
      <c r="A122" s="31"/>
      <c r="B122" s="297"/>
      <c r="C122" s="31"/>
      <c r="D122" s="35"/>
      <c r="E122" s="379"/>
      <c r="F122" s="66"/>
      <c r="H122" s="73"/>
      <c r="I122" s="72"/>
      <c r="J122" s="357"/>
      <c r="K122" s="299"/>
      <c r="L122" s="300"/>
      <c r="M122" s="350"/>
      <c r="N122" s="350"/>
      <c r="O122" s="31"/>
      <c r="P122" s="31"/>
    </row>
    <row r="123" spans="1:16" x14ac:dyDescent="0.2">
      <c r="A123" s="31"/>
      <c r="B123" s="313" t="s">
        <v>80</v>
      </c>
      <c r="C123" s="306" t="s">
        <v>81</v>
      </c>
      <c r="D123" s="35">
        <v>120.00000000000001</v>
      </c>
      <c r="E123" s="73">
        <v>918.31</v>
      </c>
      <c r="F123" s="66">
        <f>ROUND(D123*E123,2)</f>
        <v>110197.2</v>
      </c>
      <c r="H123" s="301">
        <v>1082.81</v>
      </c>
      <c r="I123" s="72">
        <f>ROUND(D123*H123,2)</f>
        <v>129937.2</v>
      </c>
      <c r="J123" s="357"/>
      <c r="K123" s="299">
        <f>I123-F123</f>
        <v>19740</v>
      </c>
      <c r="L123" s="300">
        <f t="shared" ref="L123:L124" si="18">IFERROR(K123/F123, )</f>
        <v>0.179133408108373</v>
      </c>
      <c r="M123" s="350"/>
      <c r="N123" s="350"/>
      <c r="O123" s="31"/>
      <c r="P123" s="31"/>
    </row>
    <row r="124" spans="1:16" x14ac:dyDescent="0.2">
      <c r="A124" s="31"/>
      <c r="B124" s="297" t="s">
        <v>88</v>
      </c>
      <c r="C124" s="31" t="s">
        <v>86</v>
      </c>
      <c r="D124" s="35">
        <v>296082</v>
      </c>
      <c r="E124" s="73">
        <v>1.45</v>
      </c>
      <c r="F124" s="66">
        <f>ROUND(D124*E124,2)</f>
        <v>429318.9</v>
      </c>
      <c r="H124" s="301">
        <f>H105</f>
        <v>1.45</v>
      </c>
      <c r="I124" s="72">
        <f>ROUND(D124*H124,2)</f>
        <v>429318.9</v>
      </c>
      <c r="J124" s="357"/>
      <c r="K124" s="299">
        <f>I124-F124</f>
        <v>0</v>
      </c>
      <c r="L124" s="300">
        <f t="shared" si="18"/>
        <v>0</v>
      </c>
      <c r="M124" s="350"/>
      <c r="N124" s="350"/>
    </row>
    <row r="125" spans="1:16" x14ac:dyDescent="0.2">
      <c r="A125" s="31"/>
      <c r="B125" s="297" t="s">
        <v>95</v>
      </c>
      <c r="C125" s="31"/>
      <c r="D125" s="35"/>
      <c r="E125" s="73"/>
      <c r="F125" s="72">
        <v>19447.379999999997</v>
      </c>
      <c r="H125" s="301"/>
      <c r="I125" s="72">
        <f>F125</f>
        <v>19447.379999999997</v>
      </c>
      <c r="J125" s="357"/>
      <c r="K125" s="318"/>
      <c r="L125" s="300">
        <f>IFERROR(K125/F125, )</f>
        <v>0</v>
      </c>
      <c r="M125" s="350"/>
      <c r="N125" s="350"/>
    </row>
    <row r="126" spans="1:16" x14ac:dyDescent="0.2">
      <c r="A126" s="31"/>
      <c r="B126" s="69"/>
      <c r="C126" s="31"/>
      <c r="D126" s="35"/>
      <c r="E126" s="60"/>
      <c r="F126" s="66"/>
      <c r="H126" s="93"/>
      <c r="I126" s="72"/>
      <c r="J126" s="357"/>
      <c r="K126" s="318"/>
      <c r="L126" s="364"/>
      <c r="M126" s="350"/>
      <c r="N126" s="350"/>
    </row>
    <row r="127" spans="1:16" x14ac:dyDescent="0.2">
      <c r="A127" s="31"/>
      <c r="B127" s="297" t="s">
        <v>89</v>
      </c>
      <c r="C127" s="31"/>
      <c r="D127" s="35"/>
      <c r="E127" s="273"/>
      <c r="F127" s="66"/>
      <c r="H127" s="93"/>
      <c r="I127" s="72"/>
      <c r="J127" s="357"/>
      <c r="K127" s="318"/>
      <c r="L127" s="364"/>
      <c r="M127" s="350"/>
      <c r="N127" s="350"/>
    </row>
    <row r="128" spans="1:16" x14ac:dyDescent="0.2">
      <c r="A128" s="31"/>
      <c r="B128" s="297" t="s">
        <v>96</v>
      </c>
      <c r="C128" s="31" t="s">
        <v>83</v>
      </c>
      <c r="D128" s="35">
        <v>2998789.67</v>
      </c>
      <c r="E128" s="60">
        <v>0.17533000000000001</v>
      </c>
      <c r="F128" s="66">
        <f t="shared" ref="F128:F133" si="19">ROUND(D128*E128,2)</f>
        <v>525777.79</v>
      </c>
      <c r="H128" s="93">
        <f t="shared" ref="H128:H133" si="20">H110</f>
        <v>0.20754</v>
      </c>
      <c r="I128" s="72">
        <f t="shared" ref="I128:I133" si="21">ROUND(D128*H128,2)</f>
        <v>622368.81000000006</v>
      </c>
      <c r="J128" s="357"/>
      <c r="K128" s="299">
        <f t="shared" ref="K128:K133" si="22">I128-F128</f>
        <v>96591.020000000019</v>
      </c>
      <c r="L128" s="300">
        <f t="shared" ref="L128:L133" si="23">IFERROR(K128/F128, )</f>
        <v>0.18371072692134829</v>
      </c>
      <c r="M128" s="350"/>
      <c r="N128" s="350"/>
    </row>
    <row r="129" spans="1:15" x14ac:dyDescent="0.2">
      <c r="A129" s="31"/>
      <c r="B129" s="297" t="s">
        <v>97</v>
      </c>
      <c r="C129" s="31" t="s">
        <v>83</v>
      </c>
      <c r="D129" s="35">
        <v>3000000</v>
      </c>
      <c r="E129" s="60">
        <v>0.10595</v>
      </c>
      <c r="F129" s="66">
        <f t="shared" si="19"/>
        <v>317850</v>
      </c>
      <c r="H129" s="93">
        <f t="shared" si="20"/>
        <v>0.12540999999999999</v>
      </c>
      <c r="I129" s="72">
        <f t="shared" si="21"/>
        <v>376230</v>
      </c>
      <c r="J129" s="357"/>
      <c r="K129" s="299">
        <f t="shared" si="22"/>
        <v>58380</v>
      </c>
      <c r="L129" s="300">
        <f t="shared" si="23"/>
        <v>0.18367154318074563</v>
      </c>
      <c r="M129" s="350"/>
      <c r="N129" s="350"/>
    </row>
    <row r="130" spans="1:15" x14ac:dyDescent="0.2">
      <c r="A130" s="31"/>
      <c r="B130" s="297" t="s">
        <v>99</v>
      </c>
      <c r="C130" s="31" t="s">
        <v>83</v>
      </c>
      <c r="D130" s="35">
        <v>6000000</v>
      </c>
      <c r="E130" s="60">
        <v>6.7419999999999994E-2</v>
      </c>
      <c r="F130" s="66">
        <f t="shared" si="19"/>
        <v>404520</v>
      </c>
      <c r="H130" s="93">
        <f t="shared" si="20"/>
        <v>7.9810000000000006E-2</v>
      </c>
      <c r="I130" s="72">
        <f t="shared" si="21"/>
        <v>478860</v>
      </c>
      <c r="J130" s="357"/>
      <c r="K130" s="299">
        <f t="shared" si="22"/>
        <v>74340</v>
      </c>
      <c r="L130" s="300">
        <f t="shared" si="23"/>
        <v>0.18377336102046871</v>
      </c>
      <c r="M130" s="350"/>
      <c r="N130" s="350"/>
    </row>
    <row r="131" spans="1:15" x14ac:dyDescent="0.2">
      <c r="A131" s="31"/>
      <c r="B131" s="297" t="s">
        <v>15</v>
      </c>
      <c r="C131" s="31" t="s">
        <v>83</v>
      </c>
      <c r="D131" s="35">
        <v>11463691.02</v>
      </c>
      <c r="E131" s="60">
        <v>4.3229999999999998E-2</v>
      </c>
      <c r="F131" s="66">
        <f t="shared" si="19"/>
        <v>495575.36</v>
      </c>
      <c r="H131" s="93">
        <f t="shared" si="20"/>
        <v>5.117E-2</v>
      </c>
      <c r="I131" s="72">
        <f t="shared" si="21"/>
        <v>586597.06999999995</v>
      </c>
      <c r="J131" s="357"/>
      <c r="K131" s="299">
        <f t="shared" si="22"/>
        <v>91021.709999999963</v>
      </c>
      <c r="L131" s="300">
        <f t="shared" si="23"/>
        <v>0.18366875625131962</v>
      </c>
      <c r="M131" s="350"/>
      <c r="N131" s="350"/>
    </row>
    <row r="132" spans="1:15" x14ac:dyDescent="0.2">
      <c r="A132" s="31"/>
      <c r="B132" s="297" t="s">
        <v>14</v>
      </c>
      <c r="C132" s="31" t="s">
        <v>83</v>
      </c>
      <c r="D132" s="35">
        <v>25744602.149999999</v>
      </c>
      <c r="E132" s="60">
        <v>3.1109999999999999E-2</v>
      </c>
      <c r="F132" s="66">
        <f t="shared" si="19"/>
        <v>800914.57</v>
      </c>
      <c r="H132" s="93">
        <f t="shared" si="20"/>
        <v>3.6830000000000002E-2</v>
      </c>
      <c r="I132" s="72">
        <f t="shared" si="21"/>
        <v>948173.7</v>
      </c>
      <c r="J132" s="357"/>
      <c r="K132" s="299">
        <f t="shared" si="22"/>
        <v>147259.13</v>
      </c>
      <c r="L132" s="300">
        <f t="shared" si="23"/>
        <v>0.18386371720020028</v>
      </c>
      <c r="M132" s="350"/>
      <c r="N132" s="350"/>
    </row>
    <row r="133" spans="1:15" x14ac:dyDescent="0.2">
      <c r="A133" s="31"/>
      <c r="B133" s="297" t="s">
        <v>103</v>
      </c>
      <c r="C133" s="31" t="s">
        <v>83</v>
      </c>
      <c r="D133" s="35">
        <v>48293342.805479579</v>
      </c>
      <c r="E133" s="60">
        <v>2.3990000000000001E-2</v>
      </c>
      <c r="F133" s="66">
        <f t="shared" si="19"/>
        <v>1158557.29</v>
      </c>
      <c r="H133" s="93">
        <f t="shared" si="20"/>
        <v>2.4830000000000001E-2</v>
      </c>
      <c r="I133" s="72">
        <f t="shared" si="21"/>
        <v>1199123.7</v>
      </c>
      <c r="J133" s="357"/>
      <c r="K133" s="299">
        <f t="shared" si="22"/>
        <v>40566.409999999916</v>
      </c>
      <c r="L133" s="300">
        <f t="shared" si="23"/>
        <v>3.501459129397038E-2</v>
      </c>
      <c r="M133" s="350"/>
      <c r="N133" s="350"/>
    </row>
    <row r="134" spans="1:15" x14ac:dyDescent="0.2">
      <c r="A134" s="31"/>
      <c r="B134" s="313" t="s">
        <v>114</v>
      </c>
      <c r="C134" s="31"/>
      <c r="D134" s="12">
        <f>SUM(D128:D133)</f>
        <v>97500425.645479575</v>
      </c>
      <c r="E134" s="60"/>
      <c r="F134" s="112">
        <f>SUM(F123:F133)</f>
        <v>4262158.49</v>
      </c>
      <c r="H134" s="60"/>
      <c r="I134" s="112">
        <f>SUM(I123:I133)</f>
        <v>4790056.76</v>
      </c>
      <c r="J134" s="357"/>
      <c r="K134" s="112">
        <f>SUM(K123:K133)</f>
        <v>527898.2699999999</v>
      </c>
      <c r="L134" s="400">
        <f>IFERROR(K134/F134, )</f>
        <v>0.12385702484752037</v>
      </c>
      <c r="M134" s="350"/>
      <c r="N134" s="350"/>
    </row>
    <row r="135" spans="1:15" x14ac:dyDescent="0.2">
      <c r="A135" s="31"/>
      <c r="B135" s="297"/>
      <c r="C135" s="306"/>
      <c r="D135" s="35"/>
      <c r="E135" s="60"/>
      <c r="F135" s="66"/>
      <c r="H135" s="73"/>
      <c r="I135" s="72"/>
      <c r="J135" s="357"/>
      <c r="K135" s="299"/>
      <c r="L135" s="302"/>
      <c r="M135" s="350"/>
      <c r="N135" s="350"/>
    </row>
    <row r="136" spans="1:15" x14ac:dyDescent="0.2">
      <c r="A136" s="31"/>
      <c r="B136" s="297" t="s">
        <v>220</v>
      </c>
      <c r="C136" s="31"/>
      <c r="D136" s="35"/>
      <c r="E136" s="273"/>
      <c r="F136" s="112">
        <f>F134</f>
        <v>4262158.49</v>
      </c>
      <c r="H136" s="73"/>
      <c r="I136" s="112">
        <f>I134</f>
        <v>4790056.76</v>
      </c>
      <c r="J136" s="357"/>
      <c r="K136" s="366">
        <f>K134</f>
        <v>527898.2699999999</v>
      </c>
      <c r="L136" s="400">
        <f>IFERROR(K136/F136, )</f>
        <v>0.12385702484752037</v>
      </c>
      <c r="M136" s="350"/>
      <c r="N136" s="350"/>
      <c r="O136" s="333"/>
    </row>
    <row r="137" spans="1:15" s="31" customFormat="1" x14ac:dyDescent="0.2">
      <c r="B137" s="359"/>
      <c r="C137" s="328"/>
      <c r="D137" s="64"/>
      <c r="E137" s="113"/>
      <c r="F137" s="63"/>
      <c r="G137" s="64"/>
      <c r="H137" s="107"/>
      <c r="I137" s="114"/>
      <c r="J137" s="393"/>
      <c r="K137" s="361"/>
      <c r="L137" s="330"/>
      <c r="M137" s="350"/>
      <c r="N137" s="350"/>
    </row>
    <row r="138" spans="1:15" s="31" customFormat="1" x14ac:dyDescent="0.2">
      <c r="D138" s="35"/>
      <c r="E138" s="60"/>
      <c r="F138" s="66"/>
      <c r="G138" s="35"/>
      <c r="H138" s="73"/>
      <c r="I138" s="72"/>
      <c r="J138" s="357"/>
      <c r="K138" s="299"/>
      <c r="L138" s="401"/>
      <c r="M138" s="350"/>
      <c r="N138" s="350"/>
    </row>
    <row r="139" spans="1:15" x14ac:dyDescent="0.2">
      <c r="A139" s="31"/>
      <c r="B139" s="68" t="s">
        <v>144</v>
      </c>
      <c r="C139" s="406"/>
      <c r="D139" s="354"/>
      <c r="E139" s="22"/>
      <c r="F139" s="394"/>
      <c r="G139" s="354"/>
      <c r="H139" s="386"/>
      <c r="I139" s="396"/>
      <c r="J139" s="395"/>
      <c r="K139" s="394"/>
      <c r="L139" s="407"/>
      <c r="M139" s="350"/>
      <c r="N139" s="350"/>
    </row>
    <row r="140" spans="1:15" x14ac:dyDescent="0.2">
      <c r="A140" s="31"/>
      <c r="B140" s="69"/>
      <c r="C140" s="41"/>
      <c r="D140" s="35"/>
      <c r="E140" s="60"/>
      <c r="F140" s="66"/>
      <c r="H140" s="73"/>
      <c r="I140" s="72"/>
      <c r="J140" s="108"/>
      <c r="K140" s="66"/>
      <c r="L140" s="71"/>
      <c r="M140" s="350"/>
      <c r="N140" s="350"/>
    </row>
    <row r="141" spans="1:15" x14ac:dyDescent="0.2">
      <c r="A141" s="31"/>
      <c r="B141" s="57" t="s">
        <v>80</v>
      </c>
      <c r="C141" s="58" t="s">
        <v>81</v>
      </c>
      <c r="D141" s="35">
        <f>D123+D104</f>
        <v>181</v>
      </c>
      <c r="E141" s="73"/>
      <c r="F141" s="66">
        <f>F123+F104</f>
        <v>147193.70000000001</v>
      </c>
      <c r="H141" s="94"/>
      <c r="I141" s="66">
        <f>I123+I104</f>
        <v>173561.35</v>
      </c>
      <c r="J141" s="108"/>
      <c r="K141" s="72">
        <f>I141-F141</f>
        <v>26367.649999999994</v>
      </c>
      <c r="L141" s="71">
        <f t="shared" ref="L141:L144" si="24">IFERROR(K141/F141, )</f>
        <v>0.17913572387948665</v>
      </c>
      <c r="M141" s="350"/>
      <c r="N141" s="350"/>
    </row>
    <row r="142" spans="1:15" x14ac:dyDescent="0.2">
      <c r="A142" s="31"/>
      <c r="B142" s="69" t="s">
        <v>88</v>
      </c>
      <c r="C142" s="41" t="s">
        <v>86</v>
      </c>
      <c r="D142" s="35">
        <f>D124+D105</f>
        <v>296082</v>
      </c>
      <c r="E142" s="73"/>
      <c r="F142" s="66">
        <f>F124+F105</f>
        <v>429318.9</v>
      </c>
      <c r="H142" s="94"/>
      <c r="I142" s="66">
        <f>I124+I105</f>
        <v>429318.9</v>
      </c>
      <c r="J142" s="108"/>
      <c r="K142" s="72">
        <f>I142-F142</f>
        <v>0</v>
      </c>
      <c r="L142" s="71">
        <f t="shared" si="24"/>
        <v>0</v>
      </c>
      <c r="M142" s="350"/>
      <c r="N142" s="350"/>
    </row>
    <row r="143" spans="1:15" x14ac:dyDescent="0.2">
      <c r="A143" s="31"/>
      <c r="B143" s="69" t="s">
        <v>85</v>
      </c>
      <c r="C143" s="41"/>
      <c r="D143" s="35"/>
      <c r="E143" s="73"/>
      <c r="F143" s="66">
        <f>F106</f>
        <v>183938.01</v>
      </c>
      <c r="H143" s="94"/>
      <c r="I143" s="66">
        <f>I106</f>
        <v>203357.33</v>
      </c>
      <c r="J143" s="108"/>
      <c r="K143" s="72">
        <f>I143-F143</f>
        <v>19419.319999999978</v>
      </c>
      <c r="L143" s="71">
        <f t="shared" si="24"/>
        <v>0.10557535117401769</v>
      </c>
      <c r="M143" s="350"/>
      <c r="N143" s="350"/>
    </row>
    <row r="144" spans="1:15" x14ac:dyDescent="0.2">
      <c r="A144" s="31"/>
      <c r="B144" s="69" t="s">
        <v>95</v>
      </c>
      <c r="C144" s="41"/>
      <c r="D144" s="35"/>
      <c r="E144" s="73"/>
      <c r="F144" s="72">
        <f>F125+F107</f>
        <v>70534.149999999994</v>
      </c>
      <c r="H144" s="73"/>
      <c r="I144" s="72">
        <f>I125+I107</f>
        <v>70534.149999999994</v>
      </c>
      <c r="J144" s="108"/>
      <c r="K144" s="72">
        <f>I144-F144</f>
        <v>0</v>
      </c>
      <c r="L144" s="71">
        <f t="shared" si="24"/>
        <v>0</v>
      </c>
      <c r="M144" s="350"/>
      <c r="N144" s="350"/>
    </row>
    <row r="145" spans="1:16" x14ac:dyDescent="0.2">
      <c r="A145" s="31"/>
      <c r="B145" s="69"/>
      <c r="C145" s="41"/>
      <c r="D145" s="35"/>
      <c r="E145" s="73"/>
      <c r="F145" s="72"/>
      <c r="H145" s="60"/>
      <c r="I145" s="121"/>
      <c r="J145" s="108"/>
      <c r="K145" s="72"/>
      <c r="L145" s="120"/>
      <c r="M145" s="350"/>
      <c r="N145" s="350"/>
    </row>
    <row r="146" spans="1:16" ht="12" customHeight="1" x14ac:dyDescent="0.2">
      <c r="A146" s="31"/>
      <c r="B146" s="69" t="s">
        <v>89</v>
      </c>
      <c r="C146" s="41"/>
      <c r="D146" s="35"/>
      <c r="E146" s="73"/>
      <c r="F146" s="66"/>
      <c r="H146" s="60"/>
      <c r="I146" s="66"/>
      <c r="J146" s="108"/>
      <c r="K146" s="72"/>
      <c r="L146" s="120"/>
      <c r="M146" s="350"/>
      <c r="N146" s="350"/>
    </row>
    <row r="147" spans="1:16" x14ac:dyDescent="0.2">
      <c r="A147" s="31"/>
      <c r="B147" s="69" t="s">
        <v>96</v>
      </c>
      <c r="C147" s="41" t="s">
        <v>83</v>
      </c>
      <c r="D147" s="35">
        <f t="shared" ref="D147:D152" si="25">D128+D110</f>
        <v>4510982.67</v>
      </c>
      <c r="E147" s="60"/>
      <c r="F147" s="66">
        <f t="shared" ref="F147:F152" si="26">F128+F110</f>
        <v>790910.59000000008</v>
      </c>
      <c r="H147" s="77"/>
      <c r="I147" s="66">
        <f t="shared" ref="I147:I152" si="27">I128+I110</f>
        <v>936209.35000000009</v>
      </c>
      <c r="J147" s="108"/>
      <c r="K147" s="72">
        <f t="shared" ref="K147:K152" si="28">I147-F147</f>
        <v>145298.76</v>
      </c>
      <c r="L147" s="71">
        <f t="shared" ref="L147:L152" si="29">IFERROR(K147/F147, )</f>
        <v>0.18371072765633342</v>
      </c>
      <c r="M147" s="350"/>
      <c r="N147" s="350"/>
    </row>
    <row r="148" spans="1:16" x14ac:dyDescent="0.2">
      <c r="A148" s="31"/>
      <c r="B148" s="69" t="s">
        <v>97</v>
      </c>
      <c r="C148" s="41" t="s">
        <v>83</v>
      </c>
      <c r="D148" s="35">
        <f t="shared" si="25"/>
        <v>4398016.1150000002</v>
      </c>
      <c r="E148" s="60"/>
      <c r="F148" s="66">
        <f t="shared" si="26"/>
        <v>465969.81</v>
      </c>
      <c r="H148" s="77"/>
      <c r="I148" s="66">
        <f t="shared" si="27"/>
        <v>551555.19999999995</v>
      </c>
      <c r="J148" s="108"/>
      <c r="K148" s="72">
        <f t="shared" si="28"/>
        <v>85585.389999999956</v>
      </c>
      <c r="L148" s="71">
        <f t="shared" si="29"/>
        <v>0.18367153442837844</v>
      </c>
      <c r="M148" s="350"/>
      <c r="N148" s="350"/>
    </row>
    <row r="149" spans="1:16" x14ac:dyDescent="0.2">
      <c r="A149" s="31"/>
      <c r="B149" s="69" t="s">
        <v>99</v>
      </c>
      <c r="C149" s="41" t="s">
        <v>83</v>
      </c>
      <c r="D149" s="35">
        <f t="shared" si="25"/>
        <v>8316890.0959999999</v>
      </c>
      <c r="E149" s="60"/>
      <c r="F149" s="66">
        <f t="shared" si="26"/>
        <v>560724.73</v>
      </c>
      <c r="H149" s="77"/>
      <c r="I149" s="66">
        <f t="shared" si="27"/>
        <v>663771</v>
      </c>
      <c r="J149" s="108"/>
      <c r="K149" s="72">
        <f t="shared" si="28"/>
        <v>103046.27000000002</v>
      </c>
      <c r="L149" s="71">
        <f t="shared" si="29"/>
        <v>0.18377336416034304</v>
      </c>
      <c r="M149" s="350"/>
      <c r="N149" s="350"/>
    </row>
    <row r="150" spans="1:16" x14ac:dyDescent="0.2">
      <c r="A150" s="31"/>
      <c r="B150" s="69" t="s">
        <v>15</v>
      </c>
      <c r="C150" s="41" t="s">
        <v>83</v>
      </c>
      <c r="D150" s="35">
        <f t="shared" si="25"/>
        <v>14508947.897999998</v>
      </c>
      <c r="E150" s="60"/>
      <c r="F150" s="66">
        <f t="shared" si="26"/>
        <v>627221.81000000006</v>
      </c>
      <c r="H150" s="77"/>
      <c r="I150" s="66">
        <f t="shared" si="27"/>
        <v>742422.86</v>
      </c>
      <c r="J150" s="108"/>
      <c r="K150" s="72">
        <f t="shared" si="28"/>
        <v>115201.04999999993</v>
      </c>
      <c r="L150" s="71">
        <f t="shared" si="29"/>
        <v>0.18366875667158308</v>
      </c>
      <c r="M150" s="350"/>
      <c r="N150" s="350"/>
    </row>
    <row r="151" spans="1:16" x14ac:dyDescent="0.2">
      <c r="A151" s="31"/>
      <c r="B151" s="69" t="s">
        <v>14</v>
      </c>
      <c r="C151" s="41" t="s">
        <v>83</v>
      </c>
      <c r="D151" s="35">
        <f t="shared" si="25"/>
        <v>29536644.353</v>
      </c>
      <c r="E151" s="60"/>
      <c r="F151" s="66">
        <f t="shared" si="26"/>
        <v>918885</v>
      </c>
      <c r="H151" s="77"/>
      <c r="I151" s="66">
        <f t="shared" si="27"/>
        <v>1087834.6099999999</v>
      </c>
      <c r="J151" s="108"/>
      <c r="K151" s="72">
        <f t="shared" si="28"/>
        <v>168949.60999999987</v>
      </c>
      <c r="L151" s="71">
        <f t="shared" si="29"/>
        <v>0.18386371526360737</v>
      </c>
      <c r="M151" s="350"/>
      <c r="N151" s="350"/>
    </row>
    <row r="152" spans="1:16" x14ac:dyDescent="0.2">
      <c r="A152" s="31"/>
      <c r="B152" s="69" t="s">
        <v>103</v>
      </c>
      <c r="C152" s="41" t="s">
        <v>83</v>
      </c>
      <c r="D152" s="35">
        <f t="shared" si="25"/>
        <v>58048400.275834784</v>
      </c>
      <c r="E152" s="60"/>
      <c r="F152" s="66">
        <f t="shared" si="26"/>
        <v>1392581.12</v>
      </c>
      <c r="H152" s="77"/>
      <c r="I152" s="66">
        <f t="shared" si="27"/>
        <v>1441341.78</v>
      </c>
      <c r="J152" s="108"/>
      <c r="K152" s="72">
        <f t="shared" si="28"/>
        <v>48760.659999999916</v>
      </c>
      <c r="L152" s="71">
        <f t="shared" si="29"/>
        <v>3.5014592184044485E-2</v>
      </c>
      <c r="M152" s="350"/>
      <c r="N152" s="350"/>
    </row>
    <row r="153" spans="1:16" x14ac:dyDescent="0.2">
      <c r="A153" s="31"/>
      <c r="B153" s="313" t="s">
        <v>114</v>
      </c>
      <c r="C153" s="41" t="s">
        <v>83</v>
      </c>
      <c r="D153" s="12">
        <f>SUM(D147:D152)</f>
        <v>119319881.40783478</v>
      </c>
      <c r="E153" s="60"/>
      <c r="F153" s="86">
        <f>SUM(F141:F152)</f>
        <v>5587277.8200000003</v>
      </c>
      <c r="H153" s="73"/>
      <c r="I153" s="86">
        <f>SUM(I141:I152)</f>
        <v>6299906.5300000003</v>
      </c>
      <c r="J153" s="108"/>
      <c r="K153" s="86">
        <f>SUM(K141:K152)</f>
        <v>712628.70999999973</v>
      </c>
      <c r="L153" s="106">
        <f>IFERROR(K153/F153, )</f>
        <v>0.12754488553425819</v>
      </c>
      <c r="M153" s="350"/>
      <c r="N153" s="350"/>
      <c r="P153" s="363"/>
    </row>
    <row r="154" spans="1:16" x14ac:dyDescent="0.2">
      <c r="A154" s="31"/>
      <c r="B154" s="57"/>
      <c r="C154" s="58"/>
      <c r="D154" s="35"/>
      <c r="E154" s="60"/>
      <c r="F154" s="66"/>
      <c r="H154" s="73"/>
      <c r="I154" s="72"/>
      <c r="J154" s="108"/>
      <c r="K154" s="66"/>
      <c r="L154" s="74"/>
      <c r="M154" s="350"/>
      <c r="N154" s="350"/>
    </row>
    <row r="155" spans="1:16" x14ac:dyDescent="0.2">
      <c r="A155" s="31"/>
      <c r="B155" s="57" t="s">
        <v>220</v>
      </c>
      <c r="C155" s="58"/>
      <c r="D155" s="66"/>
      <c r="E155" s="73"/>
      <c r="F155" s="86">
        <f>F153</f>
        <v>5587277.8200000003</v>
      </c>
      <c r="G155" s="41"/>
      <c r="H155" s="73"/>
      <c r="I155" s="86">
        <f>I153</f>
        <v>6299906.5300000003</v>
      </c>
      <c r="J155" s="73"/>
      <c r="K155" s="86">
        <f>K153</f>
        <v>712628.70999999973</v>
      </c>
      <c r="L155" s="106">
        <f>IFERROR(K155/F155, )</f>
        <v>0.12754488553425819</v>
      </c>
      <c r="M155" s="350"/>
      <c r="N155" s="350"/>
    </row>
    <row r="156" spans="1:16" x14ac:dyDescent="0.2">
      <c r="A156" s="31"/>
      <c r="B156" s="359"/>
      <c r="C156" s="328"/>
      <c r="D156" s="64"/>
      <c r="E156" s="329"/>
      <c r="F156" s="114"/>
      <c r="G156" s="64"/>
      <c r="H156" s="107"/>
      <c r="I156" s="114"/>
      <c r="J156" s="393"/>
      <c r="K156" s="361"/>
      <c r="L156" s="362"/>
      <c r="M156" s="350"/>
      <c r="N156" s="350"/>
    </row>
    <row r="157" spans="1:16" x14ac:dyDescent="0.2">
      <c r="A157" s="31"/>
      <c r="B157" s="31"/>
      <c r="C157" s="31"/>
      <c r="D157" s="35"/>
      <c r="E157" s="60"/>
      <c r="F157" s="66"/>
      <c r="H157" s="73"/>
      <c r="I157" s="72"/>
      <c r="J157" s="357"/>
      <c r="K157" s="299"/>
      <c r="L157" s="401"/>
      <c r="M157" s="350"/>
      <c r="N157" s="350"/>
    </row>
    <row r="158" spans="1:16" x14ac:dyDescent="0.2">
      <c r="B158" s="270" t="s">
        <v>145</v>
      </c>
      <c r="C158" s="31"/>
      <c r="D158" s="35"/>
      <c r="E158" s="379"/>
      <c r="F158" s="73"/>
      <c r="H158" s="60"/>
      <c r="I158" s="73"/>
      <c r="J158" s="273"/>
      <c r="K158" s="273"/>
      <c r="L158" s="363"/>
      <c r="M158" s="350"/>
      <c r="N158" s="350"/>
      <c r="O158" s="87"/>
    </row>
    <row r="159" spans="1:16" x14ac:dyDescent="0.2">
      <c r="C159" s="31"/>
      <c r="D159" s="81" t="s">
        <v>83</v>
      </c>
      <c r="E159" s="379"/>
      <c r="F159" s="91" t="s">
        <v>74</v>
      </c>
      <c r="G159" s="30"/>
      <c r="H159" s="38"/>
      <c r="I159" s="91" t="s">
        <v>26</v>
      </c>
      <c r="J159" s="333"/>
      <c r="K159" s="369" t="s">
        <v>62</v>
      </c>
      <c r="L159" s="363"/>
      <c r="M159" s="350"/>
      <c r="N159" s="350"/>
      <c r="O159" s="87"/>
    </row>
    <row r="160" spans="1:16" x14ac:dyDescent="0.2">
      <c r="B160" s="270" t="s">
        <v>220</v>
      </c>
      <c r="C160" s="31"/>
      <c r="D160" s="271"/>
      <c r="E160" s="379"/>
      <c r="F160" s="122"/>
      <c r="G160" s="122"/>
      <c r="H160" s="122"/>
      <c r="I160" s="122"/>
      <c r="J160" s="408"/>
      <c r="K160" s="408"/>
      <c r="L160" s="363"/>
      <c r="M160" s="350"/>
      <c r="N160" s="350"/>
      <c r="O160" s="87"/>
    </row>
    <row r="161" spans="2:15" x14ac:dyDescent="0.2">
      <c r="B161" s="39" t="s">
        <v>146</v>
      </c>
      <c r="C161" s="31"/>
      <c r="D161" s="271">
        <f>D52</f>
        <v>88879730.522699013</v>
      </c>
      <c r="E161" s="379"/>
      <c r="F161" s="122">
        <f>F21+F36</f>
        <v>8603644.5934943184</v>
      </c>
      <c r="G161" s="122"/>
      <c r="H161" s="122"/>
      <c r="I161" s="122">
        <f>I21+I36</f>
        <v>9611990.370000001</v>
      </c>
      <c r="J161" s="408"/>
      <c r="K161" s="408">
        <f>I161-F161</f>
        <v>1008345.7765056826</v>
      </c>
      <c r="L161" s="401">
        <f t="shared" ref="L161:L163" si="30">IFERROR(K161/F161, )</f>
        <v>0.11719984078237582</v>
      </c>
      <c r="M161" s="350"/>
      <c r="N161" s="350"/>
      <c r="O161" s="87"/>
    </row>
    <row r="162" spans="2:15" x14ac:dyDescent="0.2">
      <c r="B162" s="39" t="s">
        <v>147</v>
      </c>
      <c r="C162" s="31"/>
      <c r="D162" s="271">
        <f>D96</f>
        <v>7491654.8276905464</v>
      </c>
      <c r="E162" s="379"/>
      <c r="F162" s="122">
        <f>F67+F81</f>
        <v>1496082.9500000002</v>
      </c>
      <c r="G162" s="122"/>
      <c r="H162" s="122"/>
      <c r="I162" s="122">
        <f>I67+I81</f>
        <v>1560031.02</v>
      </c>
      <c r="J162" s="408"/>
      <c r="K162" s="408">
        <f>I162-F162</f>
        <v>63948.069999999832</v>
      </c>
      <c r="L162" s="401">
        <f t="shared" si="30"/>
        <v>4.2743666051404318E-2</v>
      </c>
      <c r="M162" s="350"/>
      <c r="N162" s="350"/>
      <c r="O162" s="87"/>
    </row>
    <row r="163" spans="2:15" x14ac:dyDescent="0.2">
      <c r="B163" s="39" t="s">
        <v>148</v>
      </c>
      <c r="C163" s="31"/>
      <c r="D163" s="271">
        <f>D153</f>
        <v>119319881.40783478</v>
      </c>
      <c r="E163" s="379"/>
      <c r="F163" s="122">
        <f>F116+F134</f>
        <v>5587277.8200000003</v>
      </c>
      <c r="G163" s="122"/>
      <c r="H163" s="122"/>
      <c r="I163" s="122">
        <f>I116+I134</f>
        <v>6299906.5299999993</v>
      </c>
      <c r="J163" s="408"/>
      <c r="K163" s="408">
        <f>I163-F163</f>
        <v>712628.70999999903</v>
      </c>
      <c r="L163" s="401">
        <f t="shared" si="30"/>
        <v>0.12754488553425808</v>
      </c>
      <c r="M163" s="350"/>
      <c r="N163" s="350"/>
      <c r="O163" s="87"/>
    </row>
    <row r="164" spans="2:15" x14ac:dyDescent="0.2">
      <c r="B164" s="39" t="s">
        <v>0</v>
      </c>
      <c r="C164" s="31"/>
      <c r="D164" s="12">
        <f>SUM(D161:D163)</f>
        <v>215691266.75822434</v>
      </c>
      <c r="E164" s="379"/>
      <c r="F164" s="256">
        <f>SUM(F161:F163)</f>
        <v>15687005.363494318</v>
      </c>
      <c r="G164" s="122"/>
      <c r="H164" s="122"/>
      <c r="I164" s="256">
        <f>SUM(I161:I163)</f>
        <v>17471927.920000002</v>
      </c>
      <c r="J164" s="408"/>
      <c r="K164" s="409">
        <f>SUM(K161:K163)</f>
        <v>1784922.5565056815</v>
      </c>
      <c r="L164" s="401">
        <f>IFERROR(K164/F164, )</f>
        <v>0.11378351158465376</v>
      </c>
      <c r="M164" s="350"/>
      <c r="N164" s="350"/>
      <c r="O164" s="87"/>
    </row>
    <row r="165" spans="2:15" x14ac:dyDescent="0.2">
      <c r="C165" s="31"/>
      <c r="D165" s="271"/>
      <c r="E165" s="379"/>
      <c r="F165" s="122"/>
      <c r="G165" s="122"/>
      <c r="H165" s="122"/>
      <c r="I165" s="122"/>
      <c r="J165" s="408"/>
      <c r="K165" s="408"/>
      <c r="L165" s="363"/>
      <c r="M165" s="350"/>
      <c r="N165" s="350"/>
      <c r="O165" s="87"/>
    </row>
    <row r="166" spans="2:15" x14ac:dyDescent="0.2">
      <c r="B166" s="270" t="s">
        <v>149</v>
      </c>
      <c r="E166" s="373"/>
      <c r="F166" s="124"/>
      <c r="G166" s="123"/>
      <c r="H166" s="124"/>
      <c r="I166" s="124"/>
      <c r="J166" s="410"/>
      <c r="K166" s="410"/>
      <c r="L166" s="331"/>
      <c r="O166" s="333"/>
    </row>
    <row r="167" spans="2:15" x14ac:dyDescent="0.2">
      <c r="B167" s="272" t="s">
        <v>0</v>
      </c>
      <c r="D167" s="373">
        <f>'Exh JDT-5 (JDT-RES_RD)'!D13+'Exh JDT-5 (JDT-RES_RD)'!D21+'Exh JDT-5 (JDT-RES_RD)'!D30+'Exh JDT-5 (JDT-C&amp;I-RD)'!D32+'Exh JDT-5 (JDT-C&amp;I-RD)'!D82+'Exh JDT-5 (JDT-INTRPL-RD)'!D52+'Exh JDT-5 (JDT-INTRPL-RD)'!D96+'Exh JDT-5 (JDT-INTRPL-RD)'!D153</f>
        <v>1140752508.5224547</v>
      </c>
      <c r="E167" s="35"/>
      <c r="F167" s="124">
        <f>'Exh JDT-5 (JDT-RES_RD)'!F16+'Exh JDT-5 (JDT-RES_RD)'!F24+'Exh JDT-5 (JDT-RES_RD)'!F32+'Exh JDT-5 (JDT-C&amp;I-RD)'!F36+'Exh JDT-5 (JDT-C&amp;I-RD)'!F86+'Exh JDT-5 (JDT-INTRPL-RD)'!F54+'Exh JDT-5 (JDT-INTRPL-RD)'!F98+'Exh JDT-5 (JDT-INTRPL-RD)'!F155</f>
        <v>518938321.8820585</v>
      </c>
      <c r="G167" s="122"/>
      <c r="H167" s="124"/>
      <c r="I167" s="257">
        <f>'Exh JDT-5 (JDT-RES_RD)'!I16+'Exh JDT-5 (JDT-RES_RD)'!I24+'Exh JDT-5 (JDT-RES_RD)'!I32+'Exh JDT-5 (JDT-C&amp;I-RD)'!I36+'Exh JDT-5 (JDT-C&amp;I-RD)'!I86+'Exh JDT-5 (JDT-INTRPL-RD)'!I54+'Exh JDT-5 (JDT-INTRPL-RD)'!I98+'Exh JDT-5 (JDT-INTRPL-RD)'!I155</f>
        <v>565497397.25807917</v>
      </c>
      <c r="J167" s="410"/>
      <c r="K167" s="410">
        <f>I167-F167</f>
        <v>46559075.37602067</v>
      </c>
      <c r="L167" s="331">
        <f t="shared" ref="L167:L168" si="31">IFERROR(K167/F167, )</f>
        <v>8.971986344574176E-2</v>
      </c>
      <c r="O167" s="333"/>
    </row>
    <row r="168" spans="2:15" x14ac:dyDescent="0.2">
      <c r="B168" s="272" t="s">
        <v>150</v>
      </c>
      <c r="D168" s="30">
        <v>32154478.538398605</v>
      </c>
      <c r="E168" s="35"/>
      <c r="F168" s="124">
        <v>1679324.4523564125</v>
      </c>
      <c r="G168" s="122"/>
      <c r="H168" s="124"/>
      <c r="I168" s="258">
        <v>1699064.4523564125</v>
      </c>
      <c r="J168" s="410"/>
      <c r="K168" s="411">
        <f>I168-F168</f>
        <v>19740</v>
      </c>
      <c r="L168" s="331">
        <f t="shared" si="31"/>
        <v>1.1754726713054773E-2</v>
      </c>
      <c r="O168" s="333"/>
    </row>
    <row r="169" spans="2:15" x14ac:dyDescent="0.2">
      <c r="B169" s="272" t="s">
        <v>151</v>
      </c>
      <c r="D169" s="12">
        <f>SUM(D167:D168)</f>
        <v>1172906987.0608532</v>
      </c>
      <c r="E169" s="35"/>
      <c r="F169" s="256">
        <f>SUM(F167:F168)</f>
        <v>520617646.3344149</v>
      </c>
      <c r="G169" s="122"/>
      <c r="H169" s="124"/>
      <c r="I169" s="256">
        <f>SUM(I167:I168)</f>
        <v>567196461.71043563</v>
      </c>
      <c r="J169" s="410"/>
      <c r="K169" s="409">
        <f>SUM(K167:K168)</f>
        <v>46578815.37602067</v>
      </c>
      <c r="L169" s="331">
        <f>IFERROR(K169/F169, )</f>
        <v>8.9468376079786416E-2</v>
      </c>
      <c r="O169" s="333"/>
    </row>
    <row r="170" spans="2:15" x14ac:dyDescent="0.2">
      <c r="B170" s="125"/>
      <c r="C170" s="38"/>
      <c r="E170" s="35"/>
      <c r="F170" s="412"/>
      <c r="G170" s="122"/>
      <c r="H170" s="124"/>
      <c r="I170" s="413"/>
      <c r="J170" s="410"/>
      <c r="K170" s="413"/>
      <c r="L170" s="331"/>
    </row>
    <row r="171" spans="2:15" x14ac:dyDescent="0.2">
      <c r="B171" s="39" t="s">
        <v>119</v>
      </c>
      <c r="E171" s="35"/>
      <c r="F171" s="408"/>
      <c r="G171" s="122"/>
      <c r="H171" s="124"/>
      <c r="I171" s="408"/>
      <c r="J171" s="410"/>
      <c r="K171" s="408"/>
      <c r="L171" s="331"/>
    </row>
    <row r="172" spans="2:15" ht="13.5" thickBot="1" x14ac:dyDescent="0.25">
      <c r="F172" s="408"/>
      <c r="G172" s="122"/>
      <c r="H172" s="124"/>
      <c r="I172" s="408"/>
      <c r="J172" s="410"/>
      <c r="K172" s="408"/>
      <c r="L172" s="331"/>
    </row>
    <row r="173" spans="2:15" x14ac:dyDescent="0.2">
      <c r="B173" s="415" t="s">
        <v>13</v>
      </c>
      <c r="C173" s="416" t="s">
        <v>222</v>
      </c>
      <c r="D173" s="417">
        <v>15675792.294814982</v>
      </c>
      <c r="E173" s="416" t="s">
        <v>223</v>
      </c>
      <c r="F173" s="418">
        <f>D173-F164</f>
        <v>-11213.068679336458</v>
      </c>
      <c r="G173" s="122"/>
      <c r="H173" s="124" t="s">
        <v>13</v>
      </c>
      <c r="I173" s="410">
        <v>567193801.86914253</v>
      </c>
      <c r="J173" s="410"/>
      <c r="K173" s="410">
        <v>44570424.507699192</v>
      </c>
      <c r="L173" s="331"/>
    </row>
    <row r="174" spans="2:15" ht="13.5" thickBot="1" x14ac:dyDescent="0.25">
      <c r="B174" s="419" t="s">
        <v>13</v>
      </c>
      <c r="C174" s="420" t="s">
        <v>222</v>
      </c>
      <c r="D174" s="421">
        <v>522623377.36144328</v>
      </c>
      <c r="E174" s="420" t="s">
        <v>223</v>
      </c>
      <c r="F174" s="422">
        <f>D174-F169</f>
        <v>2005731.0270283818</v>
      </c>
      <c r="H174" s="125" t="s">
        <v>223</v>
      </c>
      <c r="I174" s="333">
        <f>I173-I169</f>
        <v>-2659.8412930965424</v>
      </c>
      <c r="K174" s="333">
        <f>K173-K169</f>
        <v>-2008390.8683214784</v>
      </c>
      <c r="L174" s="331"/>
    </row>
    <row r="175" spans="2:15" x14ac:dyDescent="0.2">
      <c r="L175" s="331"/>
    </row>
    <row r="176" spans="2:15" x14ac:dyDescent="0.2">
      <c r="B176" s="339"/>
      <c r="D176" s="414"/>
      <c r="L176" s="331"/>
    </row>
    <row r="177" spans="12:12" x14ac:dyDescent="0.2">
      <c r="L177" s="331"/>
    </row>
  </sheetData>
  <mergeCells count="1">
    <mergeCell ref="K7:L7"/>
  </mergeCells>
  <printOptions horizontalCentered="1"/>
  <pageMargins left="0.5" right="0.5" top="1" bottom="1" header="0.75" footer="0.5"/>
  <pageSetup scale="60" fitToHeight="2" orientation="landscape" blackAndWhite="1" r:id="rId1"/>
  <headerFooter alignWithMargins="0">
    <oddFooter>&amp;R&amp;A
 Page &amp;P of &amp;N</oddFooter>
  </headerFooter>
  <rowBreaks count="3" manualBreakCount="3">
    <brk id="56" max="16383" man="1"/>
    <brk id="101" max="16383" man="1"/>
    <brk id="153" max="15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O34" sqref="O34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zoomScale="85" zoomScaleNormal="85" workbookViewId="0">
      <pane xSplit="3" ySplit="9" topLeftCell="K10" activePane="bottomRight" state="frozenSplit"/>
      <selection activeCell="J41" sqref="J41"/>
      <selection pane="topRight" activeCell="J41" sqref="J41"/>
      <selection pane="bottomLeft" activeCell="J41" sqref="J41"/>
      <selection pane="bottomRight" activeCell="O40" sqref="O40"/>
    </sheetView>
  </sheetViews>
  <sheetFormatPr defaultRowHeight="15" x14ac:dyDescent="0.25"/>
  <cols>
    <col min="1" max="1" width="5" bestFit="1" customWidth="1"/>
    <col min="2" max="2" width="37.5703125" customWidth="1"/>
    <col min="3" max="3" width="8.42578125" bestFit="1" customWidth="1"/>
    <col min="4" max="4" width="14.28515625" bestFit="1" customWidth="1"/>
    <col min="5" max="5" width="14.7109375" customWidth="1"/>
    <col min="6" max="6" width="10" bestFit="1" customWidth="1"/>
    <col min="7" max="7" width="14.28515625" bestFit="1" customWidth="1"/>
    <col min="8" max="8" width="14.7109375" customWidth="1"/>
    <col min="9" max="9" width="13.7109375" bestFit="1" customWidth="1"/>
    <col min="10" max="10" width="14.42578125" bestFit="1" customWidth="1"/>
    <col min="11" max="15" width="12.5703125" bestFit="1" customWidth="1"/>
    <col min="16" max="16" width="12.28515625" bestFit="1" customWidth="1"/>
    <col min="17" max="17" width="12.5703125" bestFit="1" customWidth="1"/>
    <col min="18" max="18" width="12.28515625" bestFit="1" customWidth="1"/>
    <col min="19" max="19" width="11.5703125" bestFit="1" customWidth="1"/>
    <col min="20" max="21" width="12.5703125" bestFit="1" customWidth="1"/>
    <col min="22" max="22" width="16.5703125" bestFit="1" customWidth="1"/>
    <col min="23" max="23" width="14.140625" bestFit="1" customWidth="1"/>
    <col min="24" max="24" width="16.5703125" bestFit="1" customWidth="1"/>
    <col min="25" max="25" width="7.85546875" bestFit="1" customWidth="1"/>
  </cols>
  <sheetData>
    <row r="1" spans="1:25" x14ac:dyDescent="0.25">
      <c r="A1" s="221" t="s">
        <v>12</v>
      </c>
      <c r="B1" s="222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</row>
    <row r="2" spans="1:25" x14ac:dyDescent="0.25">
      <c r="A2" s="221" t="s">
        <v>320</v>
      </c>
      <c r="B2" s="222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</row>
    <row r="3" spans="1:25" x14ac:dyDescent="0.25">
      <c r="A3" s="222" t="s">
        <v>152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</row>
    <row r="4" spans="1:25" x14ac:dyDescent="0.25">
      <c r="A4" s="222" t="s">
        <v>321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</row>
    <row r="5" spans="1:25" x14ac:dyDescent="0.25">
      <c r="F5" s="426"/>
      <c r="P5" s="426"/>
      <c r="Q5" s="426"/>
      <c r="R5" s="426"/>
      <c r="S5" s="426"/>
      <c r="T5" s="426"/>
    </row>
    <row r="6" spans="1:25" x14ac:dyDescent="0.25">
      <c r="F6" s="426"/>
      <c r="G6" s="130" t="s">
        <v>153</v>
      </c>
      <c r="P6" s="426"/>
      <c r="Q6" s="426"/>
      <c r="R6" s="426"/>
      <c r="S6" s="426"/>
      <c r="T6" s="426"/>
      <c r="V6" s="131" t="s">
        <v>322</v>
      </c>
      <c r="X6" s="193" t="str">
        <f>V6</f>
        <v>12ME Sept. 2025</v>
      </c>
    </row>
    <row r="7" spans="1:25" x14ac:dyDescent="0.25">
      <c r="B7" s="130"/>
      <c r="C7" s="130"/>
      <c r="D7" s="130" t="s">
        <v>224</v>
      </c>
      <c r="E7" s="130" t="str">
        <f>D7</f>
        <v>UG-220067</v>
      </c>
      <c r="F7" s="130" t="s">
        <v>196</v>
      </c>
      <c r="G7" s="130" t="s">
        <v>83</v>
      </c>
      <c r="H7" s="426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93" t="s">
        <v>154</v>
      </c>
      <c r="W7" s="131" t="s">
        <v>104</v>
      </c>
      <c r="X7" s="193" t="s">
        <v>154</v>
      </c>
      <c r="Y7" s="130"/>
    </row>
    <row r="8" spans="1:25" x14ac:dyDescent="0.25">
      <c r="A8" t="s">
        <v>35</v>
      </c>
      <c r="B8" s="130"/>
      <c r="C8" s="130" t="s">
        <v>11</v>
      </c>
      <c r="D8" s="130" t="s">
        <v>10</v>
      </c>
      <c r="E8" s="130" t="s">
        <v>197</v>
      </c>
      <c r="F8" s="130" t="s">
        <v>11</v>
      </c>
      <c r="G8" s="131" t="s">
        <v>323</v>
      </c>
      <c r="H8" s="426" t="s">
        <v>197</v>
      </c>
      <c r="I8" s="130" t="s">
        <v>198</v>
      </c>
      <c r="J8" s="130" t="s">
        <v>199</v>
      </c>
      <c r="K8" s="130" t="s">
        <v>324</v>
      </c>
      <c r="L8" s="130" t="s">
        <v>200</v>
      </c>
      <c r="M8" s="130" t="s">
        <v>104</v>
      </c>
      <c r="N8" s="130" t="s">
        <v>216</v>
      </c>
      <c r="O8" s="130" t="s">
        <v>72</v>
      </c>
      <c r="P8" s="130" t="s">
        <v>233</v>
      </c>
      <c r="Q8" s="130" t="s">
        <v>325</v>
      </c>
      <c r="R8" s="130" t="s">
        <v>231</v>
      </c>
      <c r="S8" s="130" t="s">
        <v>326</v>
      </c>
      <c r="T8" s="130" t="s">
        <v>232</v>
      </c>
      <c r="U8" s="130" t="s">
        <v>201</v>
      </c>
      <c r="V8" s="130" t="s">
        <v>327</v>
      </c>
      <c r="W8" s="130" t="s">
        <v>6</v>
      </c>
      <c r="X8" s="130" t="s">
        <v>327</v>
      </c>
      <c r="Y8" s="130" t="s">
        <v>61</v>
      </c>
    </row>
    <row r="9" spans="1:25" ht="17.25" x14ac:dyDescent="0.25">
      <c r="A9" t="s">
        <v>284</v>
      </c>
      <c r="B9" s="427" t="s">
        <v>8</v>
      </c>
      <c r="C9" s="427" t="s">
        <v>7</v>
      </c>
      <c r="D9" s="427" t="s">
        <v>155</v>
      </c>
      <c r="E9" s="427" t="s">
        <v>156</v>
      </c>
      <c r="F9" s="427" t="s">
        <v>157</v>
      </c>
      <c r="G9" s="223" t="s">
        <v>328</v>
      </c>
      <c r="H9" s="427" t="s">
        <v>6</v>
      </c>
      <c r="I9" s="427" t="s">
        <v>6</v>
      </c>
      <c r="J9" s="427" t="s">
        <v>6</v>
      </c>
      <c r="K9" s="427" t="s">
        <v>6</v>
      </c>
      <c r="L9" s="427" t="s">
        <v>6</v>
      </c>
      <c r="M9" s="427" t="s">
        <v>6</v>
      </c>
      <c r="N9" s="427" t="s">
        <v>6</v>
      </c>
      <c r="O9" s="427" t="s">
        <v>6</v>
      </c>
      <c r="P9" s="427" t="s">
        <v>6</v>
      </c>
      <c r="Q9" s="427" t="s">
        <v>6</v>
      </c>
      <c r="R9" s="427" t="s">
        <v>6</v>
      </c>
      <c r="S9" s="427" t="s">
        <v>6</v>
      </c>
      <c r="T9" s="427" t="s">
        <v>6</v>
      </c>
      <c r="U9" s="427" t="s">
        <v>6</v>
      </c>
      <c r="V9" s="130" t="s">
        <v>329</v>
      </c>
      <c r="W9" s="427" t="s">
        <v>62</v>
      </c>
      <c r="X9" s="130" t="s">
        <v>105</v>
      </c>
      <c r="Y9" s="427" t="s">
        <v>62</v>
      </c>
    </row>
    <row r="10" spans="1:25" x14ac:dyDescent="0.25">
      <c r="B10" s="130" t="s">
        <v>63</v>
      </c>
      <c r="C10" s="130" t="s">
        <v>64</v>
      </c>
      <c r="D10" s="133" t="s">
        <v>65</v>
      </c>
      <c r="E10" s="134" t="s">
        <v>66</v>
      </c>
      <c r="F10" s="130" t="s">
        <v>158</v>
      </c>
      <c r="G10" s="130" t="s">
        <v>159</v>
      </c>
      <c r="H10" s="130" t="s">
        <v>160</v>
      </c>
      <c r="I10" s="130" t="s">
        <v>67</v>
      </c>
      <c r="J10" s="130" t="s">
        <v>68</v>
      </c>
      <c r="K10" s="130" t="s">
        <v>69</v>
      </c>
      <c r="L10" s="130" t="s">
        <v>161</v>
      </c>
      <c r="M10" s="134" t="s">
        <v>162</v>
      </c>
      <c r="N10" s="134" t="s">
        <v>163</v>
      </c>
      <c r="O10" s="134" t="s">
        <v>164</v>
      </c>
      <c r="P10" s="134" t="s">
        <v>165</v>
      </c>
      <c r="Q10" s="134" t="s">
        <v>166</v>
      </c>
      <c r="R10" s="134" t="s">
        <v>234</v>
      </c>
      <c r="S10" s="134" t="s">
        <v>235</v>
      </c>
      <c r="T10" s="134" t="s">
        <v>330</v>
      </c>
      <c r="U10" s="134" t="s">
        <v>236</v>
      </c>
      <c r="V10" s="135" t="s">
        <v>331</v>
      </c>
      <c r="W10" s="130" t="s">
        <v>332</v>
      </c>
      <c r="X10" s="130" t="s">
        <v>333</v>
      </c>
      <c r="Y10" s="130" t="s">
        <v>334</v>
      </c>
    </row>
    <row r="11" spans="1:25" x14ac:dyDescent="0.25">
      <c r="A11" s="426">
        <v>1</v>
      </c>
      <c r="B11" t="s">
        <v>5</v>
      </c>
      <c r="C11" s="426" t="s">
        <v>167</v>
      </c>
      <c r="D11" s="259">
        <v>620836684.05687141</v>
      </c>
      <c r="E11" s="141">
        <v>403613457.09474093</v>
      </c>
      <c r="F11" s="137">
        <f t="shared" ref="F11:F16" si="0">(E11)/D11</f>
        <v>0.6501121268436002</v>
      </c>
      <c r="G11" s="259">
        <v>563922736</v>
      </c>
      <c r="H11" s="138">
        <f>F11*G11</f>
        <v>366613009.27642208</v>
      </c>
      <c r="I11" s="141">
        <v>313603072.72000003</v>
      </c>
      <c r="J11" s="141">
        <v>-113760133.53</v>
      </c>
      <c r="K11" s="141">
        <v>36109134.87256062</v>
      </c>
      <c r="L11" s="141">
        <v>20617015.228160001</v>
      </c>
      <c r="M11" s="136">
        <f>'Sch. 129'!$G$9</f>
        <v>48096970.153440006</v>
      </c>
      <c r="N11" s="141">
        <v>9000206.8665599991</v>
      </c>
      <c r="O11" s="141">
        <v>9445705.8279999979</v>
      </c>
      <c r="P11" s="141">
        <v>-1240630.0191999997</v>
      </c>
      <c r="Q11" s="141">
        <v>26357748.680639997</v>
      </c>
      <c r="R11" s="141">
        <v>-2024482.6222399997</v>
      </c>
      <c r="S11" s="141">
        <v>50753.046240000003</v>
      </c>
      <c r="T11" s="141">
        <v>40140020.348479994</v>
      </c>
      <c r="U11" s="141">
        <v>24203563.829999998</v>
      </c>
      <c r="V11" s="139">
        <f t="shared" ref="V11:V24" si="1">SUM(H11:U11)</f>
        <v>777211954.67906272</v>
      </c>
      <c r="W11" s="136">
        <f>'Sch. 129'!I9</f>
        <v>-40715221.539200008</v>
      </c>
      <c r="X11" s="553">
        <f>V11+W11</f>
        <v>736496733.13986278</v>
      </c>
      <c r="Y11" s="140">
        <f>W11/V11</f>
        <v>-5.2386252288171134E-2</v>
      </c>
    </row>
    <row r="12" spans="1:25" x14ac:dyDescent="0.25">
      <c r="A12" s="426">
        <f>A11+1</f>
        <v>2</v>
      </c>
      <c r="B12" t="s">
        <v>168</v>
      </c>
      <c r="C12" s="426">
        <v>16</v>
      </c>
      <c r="D12" s="259">
        <v>8190.2669999999998</v>
      </c>
      <c r="E12" s="141">
        <v>5233.1499999999996</v>
      </c>
      <c r="F12" s="137">
        <f t="shared" si="0"/>
        <v>0.63894742381414427</v>
      </c>
      <c r="G12" s="259">
        <v>6156</v>
      </c>
      <c r="H12" s="138">
        <f t="shared" ref="H12:H24" si="2">F12*G12</f>
        <v>3933.3603409998723</v>
      </c>
      <c r="I12" s="141">
        <v>3423.41</v>
      </c>
      <c r="J12" s="141">
        <v>-1241.8499999999999</v>
      </c>
      <c r="K12" s="141">
        <v>739.38882947368415</v>
      </c>
      <c r="L12" s="141">
        <v>225.06336000000002</v>
      </c>
      <c r="M12" s="136"/>
      <c r="N12" s="141"/>
      <c r="O12" s="141">
        <v>103.11299999999999</v>
      </c>
      <c r="P12" s="141">
        <v>-13.543199999999999</v>
      </c>
      <c r="Q12" s="141">
        <v>287.73143999999996</v>
      </c>
      <c r="R12" s="141">
        <v>-22.100039999999996</v>
      </c>
      <c r="S12" s="141">
        <v>0.55404000000000009</v>
      </c>
      <c r="T12" s="141">
        <v>438.18407999999994</v>
      </c>
      <c r="U12" s="141"/>
      <c r="V12" s="139">
        <f t="shared" si="1"/>
        <v>7873.3118504735558</v>
      </c>
      <c r="W12" s="136"/>
      <c r="X12" s="553">
        <f t="shared" ref="X12:X24" si="3">V12+W12</f>
        <v>7873.3118504735558</v>
      </c>
      <c r="Y12" s="140">
        <f t="shared" ref="Y12:Y25" si="4">W12/V12</f>
        <v>0</v>
      </c>
    </row>
    <row r="13" spans="1:25" x14ac:dyDescent="0.25">
      <c r="A13" s="426">
        <f t="shared" ref="A13:A36" si="5">A12+1</f>
        <v>3</v>
      </c>
      <c r="B13" t="s">
        <v>169</v>
      </c>
      <c r="C13" s="426">
        <v>31</v>
      </c>
      <c r="D13" s="259">
        <v>222166912.14539161</v>
      </c>
      <c r="E13" s="141">
        <v>122121000.06</v>
      </c>
      <c r="F13" s="137">
        <f t="shared" si="0"/>
        <v>0.54968131339054194</v>
      </c>
      <c r="G13" s="259">
        <v>230136848</v>
      </c>
      <c r="H13" s="138">
        <f t="shared" si="2"/>
        <v>126501924.86819951</v>
      </c>
      <c r="I13" s="141">
        <v>126478608.92</v>
      </c>
      <c r="J13" s="141">
        <v>-46073396.969999999</v>
      </c>
      <c r="K13" s="141">
        <v>23819948.612333745</v>
      </c>
      <c r="L13" s="141">
        <v>8413803.1628799997</v>
      </c>
      <c r="M13" s="136">
        <f>'Sch. 129'!$G$11</f>
        <v>12919882.646720001</v>
      </c>
      <c r="N13" s="141">
        <v>3152874.8176000002</v>
      </c>
      <c r="O13" s="141">
        <v>4117148.2107199999</v>
      </c>
      <c r="P13" s="141">
        <v>-464876.43296000001</v>
      </c>
      <c r="Q13" s="141">
        <v>9131830.1286399998</v>
      </c>
      <c r="R13" s="141">
        <v>-759451.59840000002</v>
      </c>
      <c r="S13" s="141">
        <v>13808.210880000001</v>
      </c>
      <c r="T13" s="141">
        <v>15025634.805919999</v>
      </c>
      <c r="U13" s="141">
        <v>1024108.9700000001</v>
      </c>
      <c r="V13" s="139">
        <f t="shared" si="1"/>
        <v>283301848.35253328</v>
      </c>
      <c r="W13" s="136">
        <f>'Sch. 129'!I11</f>
        <v>-10372267.739360001</v>
      </c>
      <c r="X13" s="553">
        <f t="shared" si="3"/>
        <v>272929580.61317331</v>
      </c>
      <c r="Y13" s="140">
        <f t="shared" si="4"/>
        <v>-3.6612072246182549E-2</v>
      </c>
    </row>
    <row r="14" spans="1:25" x14ac:dyDescent="0.25">
      <c r="A14" s="426">
        <f t="shared" si="5"/>
        <v>4</v>
      </c>
      <c r="B14" t="s">
        <v>170</v>
      </c>
      <c r="C14" s="426">
        <v>41</v>
      </c>
      <c r="D14" s="259">
        <v>62517991.156948164</v>
      </c>
      <c r="E14" s="141">
        <v>17786398.291046247</v>
      </c>
      <c r="F14" s="137">
        <f t="shared" si="0"/>
        <v>0.28450047677306872</v>
      </c>
      <c r="G14" s="259">
        <v>63165967</v>
      </c>
      <c r="H14" s="138">
        <f t="shared" si="2"/>
        <v>17970747.727331925</v>
      </c>
      <c r="I14" s="141">
        <v>33816570.43</v>
      </c>
      <c r="J14" s="141">
        <v>-12394426.039999999</v>
      </c>
      <c r="K14" s="141">
        <v>6476945.1889428794</v>
      </c>
      <c r="L14" s="141">
        <v>2309347.7535200003</v>
      </c>
      <c r="M14" s="136">
        <f>'Sch. 129'!$G$14</f>
        <v>1354909.9921500001</v>
      </c>
      <c r="N14" s="141">
        <v>424475.29824000003</v>
      </c>
      <c r="O14" s="141">
        <v>464269.85745000007</v>
      </c>
      <c r="P14" s="141">
        <v>-97275.58918000001</v>
      </c>
      <c r="Q14" s="141">
        <v>1751817.9117365959</v>
      </c>
      <c r="R14" s="141">
        <v>-79589.118419999984</v>
      </c>
      <c r="S14" s="141">
        <v>4421.61769</v>
      </c>
      <c r="T14" s="141">
        <v>1971409.8300700001</v>
      </c>
      <c r="U14" s="141">
        <v>-711413.1</v>
      </c>
      <c r="V14" s="139">
        <f t="shared" si="1"/>
        <v>53262211.759531401</v>
      </c>
      <c r="W14" s="136">
        <f>'Sch. 129'!I14</f>
        <v>-1009392.1526600001</v>
      </c>
      <c r="X14" s="553">
        <f t="shared" si="3"/>
        <v>52252819.606871404</v>
      </c>
      <c r="Y14" s="140">
        <f t="shared" si="4"/>
        <v>-1.8951375080276629E-2</v>
      </c>
    </row>
    <row r="15" spans="1:25" x14ac:dyDescent="0.25">
      <c r="A15" s="426">
        <f t="shared" si="5"/>
        <v>5</v>
      </c>
      <c r="B15" t="s">
        <v>4</v>
      </c>
      <c r="C15" s="426">
        <v>85</v>
      </c>
      <c r="D15" s="259">
        <v>19992939.502740219</v>
      </c>
      <c r="E15" s="141">
        <v>2272313.06</v>
      </c>
      <c r="F15" s="137">
        <f t="shared" si="0"/>
        <v>0.11365577631486147</v>
      </c>
      <c r="G15" s="259">
        <v>17599390</v>
      </c>
      <c r="H15" s="138">
        <f t="shared" si="2"/>
        <v>2000272.3331180098</v>
      </c>
      <c r="I15" s="141">
        <v>8774656.0099999998</v>
      </c>
      <c r="J15" s="141">
        <v>-3313437.16</v>
      </c>
      <c r="K15" s="141">
        <v>1498708.4434751938</v>
      </c>
      <c r="L15" s="141">
        <v>579547.91269999999</v>
      </c>
      <c r="M15" s="136">
        <f>'Sch. 129'!$G$21</f>
        <v>146349.86596806388</v>
      </c>
      <c r="N15" s="141">
        <v>56875.026734859013</v>
      </c>
      <c r="O15" s="141">
        <v>67933.645400000009</v>
      </c>
      <c r="P15" s="141">
        <v>-22703.213099999997</v>
      </c>
      <c r="Q15" s="141">
        <v>862270.01701206609</v>
      </c>
      <c r="R15" s="141">
        <v>-10031.652300000002</v>
      </c>
      <c r="S15" s="141">
        <v>1407.9512000000002</v>
      </c>
      <c r="T15" s="141">
        <v>334212.41609999997</v>
      </c>
      <c r="U15" s="141"/>
      <c r="V15" s="139">
        <f t="shared" si="1"/>
        <v>10976061.59630819</v>
      </c>
      <c r="W15" s="136">
        <f>'Sch. 129'!I21</f>
        <v>-101156.73032098345</v>
      </c>
      <c r="X15" s="553">
        <f t="shared" si="3"/>
        <v>10874904.865987208</v>
      </c>
      <c r="Y15" s="140">
        <f t="shared" si="4"/>
        <v>-9.2161226896729162E-3</v>
      </c>
    </row>
    <row r="16" spans="1:25" x14ac:dyDescent="0.25">
      <c r="A16" s="426">
        <f t="shared" si="5"/>
        <v>6</v>
      </c>
      <c r="B16" t="s">
        <v>171</v>
      </c>
      <c r="C16" s="426">
        <v>86</v>
      </c>
      <c r="D16" s="259">
        <v>5773170.4876905456</v>
      </c>
      <c r="E16" s="141">
        <v>1192875.52</v>
      </c>
      <c r="F16" s="137">
        <f t="shared" si="0"/>
        <v>0.20662398980654192</v>
      </c>
      <c r="G16" s="259">
        <v>4965740</v>
      </c>
      <c r="H16" s="138">
        <f t="shared" si="2"/>
        <v>1026041.0111419375</v>
      </c>
      <c r="I16" s="141">
        <v>2508651.3000000003</v>
      </c>
      <c r="J16" s="141">
        <v>-943589.91</v>
      </c>
      <c r="K16" s="141">
        <v>513741.83528</v>
      </c>
      <c r="L16" s="141">
        <v>163521.81820000001</v>
      </c>
      <c r="M16" s="136">
        <f>'Sch. 129'!$G$23</f>
        <v>85510.042799999996</v>
      </c>
      <c r="N16" s="141">
        <v>24729.385200000001</v>
      </c>
      <c r="O16" s="141">
        <v>25374.931400000001</v>
      </c>
      <c r="P16" s="141">
        <v>-1738.0090000000002</v>
      </c>
      <c r="Q16" s="141">
        <v>206558.12989026451</v>
      </c>
      <c r="R16" s="141">
        <v>-4320.1937999999991</v>
      </c>
      <c r="S16" s="141">
        <v>297.94440000000003</v>
      </c>
      <c r="T16" s="141">
        <v>78061.432799999995</v>
      </c>
      <c r="U16" s="141">
        <v>-41033.72</v>
      </c>
      <c r="V16" s="139">
        <f t="shared" si="1"/>
        <v>3641805.9983122023</v>
      </c>
      <c r="W16" s="136">
        <f>'Sch. 129'!I23</f>
        <v>-64703.592199999999</v>
      </c>
      <c r="X16" s="553">
        <f t="shared" si="3"/>
        <v>3577102.4061122024</v>
      </c>
      <c r="Y16" s="140">
        <f t="shared" si="4"/>
        <v>-1.7766897036796285E-2</v>
      </c>
    </row>
    <row r="17" spans="1:25" x14ac:dyDescent="0.25">
      <c r="A17" s="426">
        <f t="shared" si="5"/>
        <v>7</v>
      </c>
      <c r="B17" t="s">
        <v>172</v>
      </c>
      <c r="C17" s="426">
        <v>87</v>
      </c>
      <c r="D17" s="259">
        <v>21819455.762355208</v>
      </c>
      <c r="E17" s="141">
        <v>1509849.77</v>
      </c>
      <c r="F17" s="137">
        <f>(E17)/D17</f>
        <v>6.9197407416775353E-2</v>
      </c>
      <c r="G17" s="259">
        <v>18614042</v>
      </c>
      <c r="H17" s="138">
        <f t="shared" si="2"/>
        <v>1288043.447946968</v>
      </c>
      <c r="I17" s="141">
        <v>9164437.4399999995</v>
      </c>
      <c r="J17" s="141">
        <v>-3479150.59</v>
      </c>
      <c r="K17" s="141">
        <v>162465.6001044687</v>
      </c>
      <c r="L17" s="141">
        <v>612960.40306000004</v>
      </c>
      <c r="M17" s="136">
        <f>'Sch. 129'!$G$33</f>
        <v>62520.120699262879</v>
      </c>
      <c r="N17" s="141">
        <v>24721.305870314856</v>
      </c>
      <c r="O17" s="141">
        <v>39461.769039999999</v>
      </c>
      <c r="P17" s="141">
        <v>-10035.23972371848</v>
      </c>
      <c r="Q17" s="141">
        <v>350270.55195190496</v>
      </c>
      <c r="R17" s="141">
        <v>-5470.2559941978679</v>
      </c>
      <c r="S17" s="141">
        <v>1675.26378</v>
      </c>
      <c r="T17" s="141">
        <v>162371.42853041828</v>
      </c>
      <c r="U17" s="141"/>
      <c r="V17" s="139">
        <f t="shared" si="1"/>
        <v>8374271.2452654205</v>
      </c>
      <c r="W17" s="136">
        <f>'Sch. 129'!I33</f>
        <v>-43365.395381317867</v>
      </c>
      <c r="X17" s="553">
        <f t="shared" si="3"/>
        <v>8330905.8498841031</v>
      </c>
      <c r="Y17" s="140">
        <f>W17/V17</f>
        <v>-5.1784082592064894E-3</v>
      </c>
    </row>
    <row r="18" spans="1:25" x14ac:dyDescent="0.25">
      <c r="A18" s="426">
        <f t="shared" si="5"/>
        <v>8</v>
      </c>
      <c r="B18" t="s">
        <v>173</v>
      </c>
      <c r="C18" s="426" t="s">
        <v>174</v>
      </c>
      <c r="D18" s="259">
        <v>36958.529999999992</v>
      </c>
      <c r="E18" s="141">
        <v>23981.98</v>
      </c>
      <c r="F18" s="137">
        <f>(E18)/D18</f>
        <v>0.64888890331947735</v>
      </c>
      <c r="G18" s="259">
        <v>0</v>
      </c>
      <c r="H18" s="138">
        <f t="shared" si="2"/>
        <v>0</v>
      </c>
      <c r="I18" s="141"/>
      <c r="J18" s="141"/>
      <c r="K18" s="141">
        <v>0</v>
      </c>
      <c r="L18" s="141"/>
      <c r="M18" s="136">
        <f>'Sch. 129'!$G$12</f>
        <v>0</v>
      </c>
      <c r="N18" s="141">
        <v>0</v>
      </c>
      <c r="O18" s="141">
        <v>0</v>
      </c>
      <c r="P18" s="141"/>
      <c r="Q18" s="141"/>
      <c r="R18" s="141">
        <v>0</v>
      </c>
      <c r="S18" s="141">
        <v>0</v>
      </c>
      <c r="T18" s="141">
        <v>0</v>
      </c>
      <c r="U18" s="141">
        <v>0</v>
      </c>
      <c r="V18" s="139">
        <f t="shared" si="1"/>
        <v>0</v>
      </c>
      <c r="W18" s="136">
        <f>'Sch. 129'!I12</f>
        <v>0</v>
      </c>
      <c r="X18" s="553">
        <f t="shared" si="3"/>
        <v>0</v>
      </c>
      <c r="Y18" s="140">
        <f>Y13</f>
        <v>-3.6612072246182549E-2</v>
      </c>
    </row>
    <row r="19" spans="1:25" x14ac:dyDescent="0.25">
      <c r="A19" s="426">
        <f t="shared" si="5"/>
        <v>9</v>
      </c>
      <c r="B19" t="s">
        <v>175</v>
      </c>
      <c r="C19" s="426" t="s">
        <v>176</v>
      </c>
      <c r="D19" s="259">
        <v>19494505.608019032</v>
      </c>
      <c r="E19" s="141">
        <v>4475398.7622919884</v>
      </c>
      <c r="F19" s="137">
        <f t="shared" ref="F19:F25" si="6">(E19)/D19</f>
        <v>0.22957231397810063</v>
      </c>
      <c r="G19" s="259">
        <v>21100718</v>
      </c>
      <c r="H19" s="138">
        <f>F19*G19</f>
        <v>4844140.6578593599</v>
      </c>
      <c r="I19" s="141"/>
      <c r="J19" s="141"/>
      <c r="K19" s="141">
        <v>2283191.3100999994</v>
      </c>
      <c r="L19" s="141"/>
      <c r="M19" s="136">
        <f>'Sch. 129'!$G$15</f>
        <v>452610.40110000002</v>
      </c>
      <c r="N19" s="141">
        <v>141796.82496</v>
      </c>
      <c r="O19" s="141">
        <v>155090.27730000002</v>
      </c>
      <c r="P19" s="141"/>
      <c r="Q19" s="141"/>
      <c r="R19" s="141">
        <v>-44311.507799999999</v>
      </c>
      <c r="S19" s="141">
        <v>1477.05026</v>
      </c>
      <c r="T19" s="141">
        <v>658553.40878000006</v>
      </c>
      <c r="U19" s="141">
        <v>-209167.22999999998</v>
      </c>
      <c r="V19" s="139">
        <f t="shared" si="1"/>
        <v>8283381.1925593596</v>
      </c>
      <c r="W19" s="136">
        <f>'Sch. 129'!I15</f>
        <v>-337189.47363999998</v>
      </c>
      <c r="X19" s="553">
        <f t="shared" si="3"/>
        <v>7946191.7189193591</v>
      </c>
      <c r="Y19" s="140">
        <f t="shared" si="4"/>
        <v>-4.0706743514699557E-2</v>
      </c>
    </row>
    <row r="20" spans="1:25" x14ac:dyDescent="0.25">
      <c r="A20" s="426">
        <f t="shared" si="5"/>
        <v>10</v>
      </c>
      <c r="B20" t="s">
        <v>177</v>
      </c>
      <c r="C20" s="426" t="s">
        <v>3</v>
      </c>
      <c r="D20" s="259">
        <v>68886791.019958794</v>
      </c>
      <c r="E20" s="141">
        <v>7339677.3100000005</v>
      </c>
      <c r="F20" s="137">
        <f t="shared" si="6"/>
        <v>0.1065469475544804</v>
      </c>
      <c r="G20" s="259">
        <v>54997474</v>
      </c>
      <c r="H20" s="138">
        <f t="shared" si="2"/>
        <v>5859812.9779068995</v>
      </c>
      <c r="I20" s="141"/>
      <c r="J20" s="141"/>
      <c r="K20" s="141">
        <v>6243031.3552862257</v>
      </c>
      <c r="L20" s="141"/>
      <c r="M20" s="136">
        <f>'Sch. 129'!$G$39</f>
        <v>437183.16661323723</v>
      </c>
      <c r="N20" s="141">
        <v>169695.04280753375</v>
      </c>
      <c r="O20" s="141">
        <v>212290.24964000002</v>
      </c>
      <c r="P20" s="141"/>
      <c r="Q20" s="141"/>
      <c r="R20" s="141">
        <v>-70396.76672</v>
      </c>
      <c r="S20" s="141">
        <v>4399.79792</v>
      </c>
      <c r="T20" s="141">
        <v>1044402.03126</v>
      </c>
      <c r="U20" s="141"/>
      <c r="V20" s="139">
        <f t="shared" si="1"/>
        <v>13900417.854713896</v>
      </c>
      <c r="W20" s="136">
        <f>'Sch. 129'!I39</f>
        <v>-302426.50099707721</v>
      </c>
      <c r="X20" s="553">
        <f t="shared" si="3"/>
        <v>13597991.353716819</v>
      </c>
      <c r="Y20" s="140">
        <f t="shared" si="4"/>
        <v>-2.1756648192738943E-2</v>
      </c>
    </row>
    <row r="21" spans="1:25" x14ac:dyDescent="0.25">
      <c r="A21" s="426">
        <f t="shared" si="5"/>
        <v>11</v>
      </c>
      <c r="B21" t="s">
        <v>178</v>
      </c>
      <c r="C21" s="426" t="s">
        <v>179</v>
      </c>
      <c r="D21" s="259">
        <v>1718484.3400000003</v>
      </c>
      <c r="E21" s="141">
        <v>367155.5</v>
      </c>
      <c r="F21" s="137">
        <f t="shared" si="6"/>
        <v>0.21365076856039314</v>
      </c>
      <c r="G21" s="259">
        <v>1360679</v>
      </c>
      <c r="H21" s="138">
        <f t="shared" si="2"/>
        <v>290710.11411398719</v>
      </c>
      <c r="I21" s="141"/>
      <c r="J21" s="141"/>
      <c r="K21" s="141">
        <v>126937.93491999997</v>
      </c>
      <c r="L21" s="141"/>
      <c r="M21" s="136">
        <f>'Sch. 129'!$G$24</f>
        <v>23430.892379999998</v>
      </c>
      <c r="N21" s="141">
        <v>6776.1814199999999</v>
      </c>
      <c r="O21" s="141">
        <v>6953.0696900000003</v>
      </c>
      <c r="P21" s="141"/>
      <c r="Q21" s="141"/>
      <c r="R21" s="141">
        <v>-1442.3197399999999</v>
      </c>
      <c r="S21" s="141">
        <v>81.640740000000008</v>
      </c>
      <c r="T21" s="141">
        <v>21389.873879999996</v>
      </c>
      <c r="U21" s="141">
        <v>-10196.15</v>
      </c>
      <c r="V21" s="139">
        <f t="shared" si="1"/>
        <v>464641.23740398703</v>
      </c>
      <c r="W21" s="136">
        <f>'Sch. 129'!I24</f>
        <v>-17729.647369999999</v>
      </c>
      <c r="X21" s="553">
        <f t="shared" si="3"/>
        <v>446911.59003398701</v>
      </c>
      <c r="Y21" s="140">
        <f t="shared" si="4"/>
        <v>-3.8157713828970326E-2</v>
      </c>
    </row>
    <row r="22" spans="1:25" x14ac:dyDescent="0.25">
      <c r="A22" s="426">
        <f t="shared" si="5"/>
        <v>12</v>
      </c>
      <c r="B22" t="s">
        <v>180</v>
      </c>
      <c r="C22" s="426" t="s">
        <v>2</v>
      </c>
      <c r="D22" s="259">
        <v>97500425.645479575</v>
      </c>
      <c r="E22" s="141">
        <v>4790056.76</v>
      </c>
      <c r="F22" s="137">
        <f>(E22)/D22</f>
        <v>4.9128572806616068E-2</v>
      </c>
      <c r="G22" s="259">
        <v>74851665</v>
      </c>
      <c r="H22" s="138">
        <f t="shared" si="2"/>
        <v>3677355.4736489356</v>
      </c>
      <c r="I22" s="141"/>
      <c r="J22" s="141"/>
      <c r="K22" s="141">
        <v>332829.27853867959</v>
      </c>
      <c r="L22" s="141"/>
      <c r="M22" s="136">
        <f>'Sch. 129'!$G$48</f>
        <v>196948.48021796413</v>
      </c>
      <c r="N22" s="141">
        <v>78094.748468467849</v>
      </c>
      <c r="O22" s="141">
        <v>158685.52979999999</v>
      </c>
      <c r="P22" s="141"/>
      <c r="Q22" s="141"/>
      <c r="R22" s="141">
        <v>-31573.180610487212</v>
      </c>
      <c r="S22" s="141">
        <v>6736.6498500000007</v>
      </c>
      <c r="T22" s="141">
        <v>960759.87952484598</v>
      </c>
      <c r="U22" s="141"/>
      <c r="V22" s="139">
        <f>SUM(H22:U22)</f>
        <v>5379836.8594384054</v>
      </c>
      <c r="W22" s="136">
        <f>'Sch. 129'!I48</f>
        <v>-137069.62534843024</v>
      </c>
      <c r="X22" s="553">
        <f t="shared" si="3"/>
        <v>5242767.2340899752</v>
      </c>
      <c r="Y22" s="140">
        <f t="shared" si="4"/>
        <v>-2.5478398124276724E-2</v>
      </c>
    </row>
    <row r="23" spans="1:25" x14ac:dyDescent="0.25">
      <c r="A23" s="426">
        <f t="shared" si="5"/>
        <v>13</v>
      </c>
      <c r="B23" t="s">
        <v>335</v>
      </c>
      <c r="C23" s="426" t="s">
        <v>288</v>
      </c>
      <c r="D23" s="259">
        <v>44508541</v>
      </c>
      <c r="E23" s="141">
        <v>195933.21000000002</v>
      </c>
      <c r="F23" s="137">
        <f>(E23)/D23</f>
        <v>4.4021485673951888E-3</v>
      </c>
      <c r="G23" s="259">
        <v>33595800</v>
      </c>
      <c r="H23" s="138">
        <f t="shared" si="2"/>
        <v>147893.70284049527</v>
      </c>
      <c r="I23" s="141"/>
      <c r="J23" s="141"/>
      <c r="K23" s="141">
        <v>475168.55343999993</v>
      </c>
      <c r="L23" s="141"/>
      <c r="M23" s="136">
        <f>'Sch. 129'!G57</f>
        <v>61919.784</v>
      </c>
      <c r="N23" s="141">
        <v>24843.48</v>
      </c>
      <c r="O23" s="141">
        <v>71223.09599999999</v>
      </c>
      <c r="P23" s="141">
        <v>3741778.0260000001</v>
      </c>
      <c r="Q23" s="141"/>
      <c r="R23" s="141">
        <v>-6212.7060000000001</v>
      </c>
      <c r="S23" s="141">
        <v>3023.6220000000003</v>
      </c>
      <c r="T23" s="141">
        <v>157924.33799999999</v>
      </c>
      <c r="U23" s="141"/>
      <c r="V23" s="139">
        <f>SUM(H23:U23)</f>
        <v>4677561.8962804954</v>
      </c>
      <c r="W23" s="136">
        <f>'Sch. 129'!I57</f>
        <v>-42898.716</v>
      </c>
      <c r="X23" s="553">
        <f t="shared" si="3"/>
        <v>4634663.1802804954</v>
      </c>
      <c r="Y23" s="140">
        <f t="shared" si="4"/>
        <v>-9.1711701418878515E-3</v>
      </c>
    </row>
    <row r="24" spans="1:25" x14ac:dyDescent="0.25">
      <c r="A24" s="426">
        <f t="shared" si="5"/>
        <v>14</v>
      </c>
      <c r="B24" t="s">
        <v>181</v>
      </c>
      <c r="D24" s="259">
        <v>32154478.538398605</v>
      </c>
      <c r="E24" s="141">
        <v>1699064.4523564125</v>
      </c>
      <c r="F24" s="142">
        <f t="shared" si="6"/>
        <v>5.2840678175744761E-2</v>
      </c>
      <c r="G24" s="259">
        <v>33243510</v>
      </c>
      <c r="H24" s="138">
        <f t="shared" si="2"/>
        <v>1756609.6133421527</v>
      </c>
      <c r="I24" s="141"/>
      <c r="J24" s="141"/>
      <c r="K24" s="141">
        <v>1401276.6008886266</v>
      </c>
      <c r="L24" s="141"/>
      <c r="M24" s="136"/>
      <c r="N24" s="141"/>
      <c r="O24" s="141">
        <v>24267.762300000002</v>
      </c>
      <c r="P24" s="141"/>
      <c r="Q24" s="141"/>
      <c r="R24" s="141">
        <v>0</v>
      </c>
      <c r="S24" s="141">
        <v>3324.3510000000001</v>
      </c>
      <c r="T24" s="141">
        <v>0</v>
      </c>
      <c r="U24" s="141"/>
      <c r="V24" s="139">
        <f t="shared" si="1"/>
        <v>3185478.3275307794</v>
      </c>
      <c r="W24" s="136"/>
      <c r="X24" s="553">
        <f t="shared" si="3"/>
        <v>3185478.3275307794</v>
      </c>
      <c r="Y24" s="140">
        <f t="shared" si="4"/>
        <v>0</v>
      </c>
    </row>
    <row r="25" spans="1:25" x14ac:dyDescent="0.25">
      <c r="A25" s="426">
        <f t="shared" si="5"/>
        <v>15</v>
      </c>
      <c r="B25" t="s">
        <v>0</v>
      </c>
      <c r="D25" s="143">
        <f>SUM(D11:D24)</f>
        <v>1217415528.060853</v>
      </c>
      <c r="E25" s="144">
        <f>SUM(E11:E24)</f>
        <v>567392394.92043555</v>
      </c>
      <c r="F25" s="137">
        <f t="shared" si="6"/>
        <v>0.46606305065305048</v>
      </c>
      <c r="G25" s="143">
        <f>SUM(G11:G24)</f>
        <v>1117560725</v>
      </c>
      <c r="H25" s="144">
        <f>SUM(H11:H24)</f>
        <v>531980494.56421334</v>
      </c>
      <c r="I25" s="144">
        <f t="shared" ref="I25:L25" si="7">SUM(I11:I24)</f>
        <v>494349420.23000008</v>
      </c>
      <c r="J25" s="144">
        <f t="shared" si="7"/>
        <v>-179965376.04999998</v>
      </c>
      <c r="K25" s="144">
        <f t="shared" si="7"/>
        <v>79444118.974699914</v>
      </c>
      <c r="L25" s="144">
        <f t="shared" si="7"/>
        <v>32696421.341880001</v>
      </c>
      <c r="M25" s="144">
        <f>SUM(M11:M24)</f>
        <v>63838235.546088539</v>
      </c>
      <c r="N25" s="144">
        <f>SUM(N11:N24)</f>
        <v>13105088.977861177</v>
      </c>
      <c r="O25" s="144">
        <f>SUM(O11:O24)</f>
        <v>14788507.339739999</v>
      </c>
      <c r="P25" s="144">
        <f>SUM(P11:P24)</f>
        <v>1904505.9796362817</v>
      </c>
      <c r="Q25" s="144">
        <f>SUM(Q11:Q24)</f>
        <v>38660783.151310831</v>
      </c>
      <c r="R25" s="144">
        <f t="shared" ref="R25:V25" si="8">SUM(R11:R24)</f>
        <v>-3037304.0220646854</v>
      </c>
      <c r="S25" s="144">
        <f t="shared" si="8"/>
        <v>91407.7</v>
      </c>
      <c r="T25" s="144">
        <f t="shared" si="8"/>
        <v>60555177.977425255</v>
      </c>
      <c r="U25" s="144">
        <f t="shared" si="8"/>
        <v>24255862.599999998</v>
      </c>
      <c r="V25" s="145">
        <f t="shared" si="8"/>
        <v>1172667344.3107908</v>
      </c>
      <c r="W25" s="144">
        <f>SUM(W11:W24)</f>
        <v>-53143421.112477824</v>
      </c>
      <c r="X25" s="144">
        <f>SUM(X11:X24)</f>
        <v>1119523923.198313</v>
      </c>
      <c r="Y25" s="146">
        <f t="shared" si="4"/>
        <v>-4.5318411372418398E-2</v>
      </c>
    </row>
    <row r="26" spans="1:25" x14ac:dyDescent="0.25">
      <c r="A26" s="426"/>
      <c r="D26" s="147"/>
      <c r="E26" s="138"/>
      <c r="G26" s="147"/>
      <c r="M26" s="138"/>
      <c r="N26" s="138"/>
      <c r="U26" s="138"/>
      <c r="V26" s="138"/>
      <c r="Y26" s="148"/>
    </row>
    <row r="27" spans="1:25" s="153" customFormat="1" x14ac:dyDescent="0.25">
      <c r="A27" s="426"/>
      <c r="B27" s="149" t="s">
        <v>182</v>
      </c>
      <c r="C27" s="150"/>
      <c r="D27" s="151"/>
      <c r="E27" s="152"/>
      <c r="W27" s="154"/>
      <c r="X27" s="154"/>
      <c r="Y27" s="155"/>
    </row>
    <row r="28" spans="1:25" s="153" customFormat="1" x14ac:dyDescent="0.25">
      <c r="A28" s="426">
        <f>A25+1</f>
        <v>16</v>
      </c>
      <c r="B28" s="156" t="s">
        <v>5</v>
      </c>
      <c r="C28" s="224" t="s">
        <v>202</v>
      </c>
      <c r="D28" s="158">
        <f>D11+D12</f>
        <v>620844874.32387137</v>
      </c>
      <c r="E28" s="157">
        <f>E11+E12</f>
        <v>403618690.2447409</v>
      </c>
      <c r="F28" s="137">
        <f t="shared" ref="F28:F36" si="9">(E28)/D28</f>
        <v>0.65011197955737365</v>
      </c>
      <c r="G28" s="158">
        <f>G11+G12</f>
        <v>563928892</v>
      </c>
      <c r="H28" s="157">
        <f>H11+H12</f>
        <v>366616942.6367631</v>
      </c>
      <c r="I28" s="157">
        <f t="shared" ref="I28:U28" si="10">I11+I12</f>
        <v>313606496.13000005</v>
      </c>
      <c r="J28" s="157">
        <f t="shared" si="10"/>
        <v>-113761375.38</v>
      </c>
      <c r="K28" s="157">
        <f t="shared" si="10"/>
        <v>36109874.261390097</v>
      </c>
      <c r="L28" s="157">
        <f t="shared" si="10"/>
        <v>20617240.29152</v>
      </c>
      <c r="M28" s="157">
        <f t="shared" si="10"/>
        <v>48096970.153440006</v>
      </c>
      <c r="N28" s="157">
        <f t="shared" si="10"/>
        <v>9000206.8665599991</v>
      </c>
      <c r="O28" s="157">
        <f t="shared" si="10"/>
        <v>9445808.9409999978</v>
      </c>
      <c r="P28" s="157">
        <f t="shared" si="10"/>
        <v>-1240643.5623999997</v>
      </c>
      <c r="Q28" s="157">
        <f t="shared" si="10"/>
        <v>26358036.412079997</v>
      </c>
      <c r="R28" s="157">
        <f t="shared" si="10"/>
        <v>-2024504.7222799996</v>
      </c>
      <c r="S28" s="157">
        <f t="shared" si="10"/>
        <v>50753.600280000006</v>
      </c>
      <c r="T28" s="157">
        <f t="shared" si="10"/>
        <v>40140458.532559991</v>
      </c>
      <c r="U28" s="157">
        <f t="shared" si="10"/>
        <v>24203563.829999998</v>
      </c>
      <c r="V28" s="157">
        <f>V11+V12</f>
        <v>777219827.99091315</v>
      </c>
      <c r="W28" s="138">
        <f>SUM(W11:W12)</f>
        <v>-40715221.539200008</v>
      </c>
      <c r="X28" s="138">
        <f>SUM(X11:X12)</f>
        <v>736504606.4517132</v>
      </c>
      <c r="Y28" s="140">
        <f>W28/V28</f>
        <v>-5.2385721610380777E-2</v>
      </c>
    </row>
    <row r="29" spans="1:25" s="153" customFormat="1" x14ac:dyDescent="0.25">
      <c r="A29" s="426">
        <f t="shared" si="5"/>
        <v>17</v>
      </c>
      <c r="B29" s="160" t="s">
        <v>23</v>
      </c>
      <c r="C29" s="224" t="s">
        <v>203</v>
      </c>
      <c r="D29" s="158">
        <f t="shared" ref="D29:E33" si="11">D13+D18</f>
        <v>222203870.67539161</v>
      </c>
      <c r="E29" s="157">
        <f t="shared" si="11"/>
        <v>122144982.04000001</v>
      </c>
      <c r="F29" s="137">
        <f t="shared" si="9"/>
        <v>0.54969781430331843</v>
      </c>
      <c r="G29" s="158">
        <f t="shared" ref="G29:V33" si="12">G13+G18</f>
        <v>230136848</v>
      </c>
      <c r="H29" s="157">
        <f t="shared" si="12"/>
        <v>126501924.86819951</v>
      </c>
      <c r="I29" s="157">
        <f t="shared" si="12"/>
        <v>126478608.92</v>
      </c>
      <c r="J29" s="157">
        <f t="shared" si="12"/>
        <v>-46073396.969999999</v>
      </c>
      <c r="K29" s="157">
        <f t="shared" si="12"/>
        <v>23819948.612333745</v>
      </c>
      <c r="L29" s="157">
        <f t="shared" si="12"/>
        <v>8413803.1628799997</v>
      </c>
      <c r="M29" s="157">
        <f t="shared" si="12"/>
        <v>12919882.646720001</v>
      </c>
      <c r="N29" s="157">
        <f t="shared" si="12"/>
        <v>3152874.8176000002</v>
      </c>
      <c r="O29" s="157">
        <f t="shared" si="12"/>
        <v>4117148.2107199999</v>
      </c>
      <c r="P29" s="157">
        <f t="shared" si="12"/>
        <v>-464876.43296000001</v>
      </c>
      <c r="Q29" s="157">
        <f t="shared" si="12"/>
        <v>9131830.1286399998</v>
      </c>
      <c r="R29" s="157">
        <f t="shared" si="12"/>
        <v>-759451.59840000002</v>
      </c>
      <c r="S29" s="157">
        <f t="shared" si="12"/>
        <v>13808.210880000001</v>
      </c>
      <c r="T29" s="157">
        <f t="shared" si="12"/>
        <v>15025634.805919999</v>
      </c>
      <c r="U29" s="157">
        <f t="shared" si="12"/>
        <v>1024108.9700000001</v>
      </c>
      <c r="V29" s="157">
        <f t="shared" si="12"/>
        <v>283301848.35253328</v>
      </c>
      <c r="W29" s="138">
        <f t="shared" ref="W29:X33" si="13">SUM(W13,W18)</f>
        <v>-10372267.739360001</v>
      </c>
      <c r="X29" s="138">
        <f t="shared" si="13"/>
        <v>272929580.61317331</v>
      </c>
      <c r="Y29" s="140">
        <f t="shared" ref="Y29:Y36" si="14">W29/V29</f>
        <v>-3.6612072246182549E-2</v>
      </c>
    </row>
    <row r="30" spans="1:25" s="153" customFormat="1" x14ac:dyDescent="0.25">
      <c r="A30" s="426">
        <f t="shared" si="5"/>
        <v>18</v>
      </c>
      <c r="B30" s="156" t="s">
        <v>22</v>
      </c>
      <c r="C30" s="224" t="s">
        <v>204</v>
      </c>
      <c r="D30" s="158">
        <f t="shared" si="11"/>
        <v>82012496.764967203</v>
      </c>
      <c r="E30" s="157">
        <f t="shared" si="11"/>
        <v>22261797.053338237</v>
      </c>
      <c r="F30" s="137">
        <f t="shared" si="9"/>
        <v>0.27144396197492282</v>
      </c>
      <c r="G30" s="158">
        <f t="shared" si="12"/>
        <v>84266685</v>
      </c>
      <c r="H30" s="157">
        <f t="shared" si="12"/>
        <v>22814888.385191284</v>
      </c>
      <c r="I30" s="157">
        <f t="shared" si="12"/>
        <v>33816570.43</v>
      </c>
      <c r="J30" s="157">
        <f t="shared" si="12"/>
        <v>-12394426.039999999</v>
      </c>
      <c r="K30" s="157">
        <f t="shared" si="12"/>
        <v>8760136.4990428798</v>
      </c>
      <c r="L30" s="157">
        <f t="shared" si="12"/>
        <v>2309347.7535200003</v>
      </c>
      <c r="M30" s="157">
        <f t="shared" si="12"/>
        <v>1807520.3932500002</v>
      </c>
      <c r="N30" s="157">
        <f t="shared" si="12"/>
        <v>566272.12320000003</v>
      </c>
      <c r="O30" s="157">
        <f t="shared" si="12"/>
        <v>619360.13475000008</v>
      </c>
      <c r="P30" s="157">
        <f t="shared" si="12"/>
        <v>-97275.58918000001</v>
      </c>
      <c r="Q30" s="157">
        <f t="shared" si="12"/>
        <v>1751817.9117365959</v>
      </c>
      <c r="R30" s="157">
        <f t="shared" si="12"/>
        <v>-123900.62621999998</v>
      </c>
      <c r="S30" s="157">
        <f t="shared" si="12"/>
        <v>5898.66795</v>
      </c>
      <c r="T30" s="157">
        <f t="shared" si="12"/>
        <v>2629963.2388500003</v>
      </c>
      <c r="U30" s="157">
        <f t="shared" si="12"/>
        <v>-920580.33</v>
      </c>
      <c r="V30" s="157">
        <f t="shared" si="12"/>
        <v>61545592.952090763</v>
      </c>
      <c r="W30" s="138">
        <f t="shared" si="13"/>
        <v>-1346581.6263000001</v>
      </c>
      <c r="X30" s="138">
        <f t="shared" si="13"/>
        <v>60199011.325790763</v>
      </c>
      <c r="Y30" s="140">
        <f t="shared" si="14"/>
        <v>-2.1879415920945409E-2</v>
      </c>
    </row>
    <row r="31" spans="1:25" s="153" customFormat="1" x14ac:dyDescent="0.25">
      <c r="A31" s="426">
        <f t="shared" si="5"/>
        <v>19</v>
      </c>
      <c r="B31" s="156" t="s">
        <v>4</v>
      </c>
      <c r="C31" s="224" t="s">
        <v>205</v>
      </c>
      <c r="D31" s="158">
        <f t="shared" si="11"/>
        <v>88879730.522699013</v>
      </c>
      <c r="E31" s="157">
        <f t="shared" si="11"/>
        <v>9611990.370000001</v>
      </c>
      <c r="F31" s="137">
        <f t="shared" si="9"/>
        <v>0.10814603412355298</v>
      </c>
      <c r="G31" s="158">
        <f t="shared" si="12"/>
        <v>72596864</v>
      </c>
      <c r="H31" s="157">
        <f t="shared" si="12"/>
        <v>7860085.3110249098</v>
      </c>
      <c r="I31" s="157">
        <f t="shared" si="12"/>
        <v>8774656.0099999998</v>
      </c>
      <c r="J31" s="157">
        <f t="shared" si="12"/>
        <v>-3313437.16</v>
      </c>
      <c r="K31" s="157">
        <f t="shared" si="12"/>
        <v>7741739.79876142</v>
      </c>
      <c r="L31" s="157">
        <f t="shared" si="12"/>
        <v>579547.91269999999</v>
      </c>
      <c r="M31" s="157">
        <f t="shared" si="12"/>
        <v>583533.03258130117</v>
      </c>
      <c r="N31" s="157">
        <f t="shared" si="12"/>
        <v>226570.06954239277</v>
      </c>
      <c r="O31" s="157">
        <f t="shared" si="12"/>
        <v>280223.89504000003</v>
      </c>
      <c r="P31" s="157">
        <f t="shared" si="12"/>
        <v>-22703.213099999997</v>
      </c>
      <c r="Q31" s="157">
        <f t="shared" si="12"/>
        <v>862270.01701206609</v>
      </c>
      <c r="R31" s="157">
        <f t="shared" si="12"/>
        <v>-80428.419020000001</v>
      </c>
      <c r="S31" s="157">
        <f t="shared" si="12"/>
        <v>5807.7491200000004</v>
      </c>
      <c r="T31" s="157">
        <f t="shared" si="12"/>
        <v>1378614.4473599999</v>
      </c>
      <c r="U31" s="157">
        <f t="shared" si="12"/>
        <v>0</v>
      </c>
      <c r="V31" s="157">
        <f t="shared" si="12"/>
        <v>24876479.451022089</v>
      </c>
      <c r="W31" s="138">
        <f t="shared" si="13"/>
        <v>-403583.23131806066</v>
      </c>
      <c r="X31" s="138">
        <f t="shared" si="13"/>
        <v>24472896.219704024</v>
      </c>
      <c r="Y31" s="140">
        <f t="shared" si="14"/>
        <v>-1.6223486611626581E-2</v>
      </c>
    </row>
    <row r="32" spans="1:25" s="153" customFormat="1" x14ac:dyDescent="0.25">
      <c r="A32" s="426">
        <f t="shared" si="5"/>
        <v>20</v>
      </c>
      <c r="B32" s="156" t="s">
        <v>40</v>
      </c>
      <c r="C32" s="224" t="s">
        <v>206</v>
      </c>
      <c r="D32" s="158">
        <f t="shared" si="11"/>
        <v>7491654.8276905455</v>
      </c>
      <c r="E32" s="157">
        <f t="shared" si="11"/>
        <v>1560031.02</v>
      </c>
      <c r="F32" s="137">
        <f t="shared" si="9"/>
        <v>0.20823583785972574</v>
      </c>
      <c r="G32" s="158">
        <f t="shared" si="12"/>
        <v>6326419</v>
      </c>
      <c r="H32" s="157">
        <f t="shared" si="12"/>
        <v>1316751.1252559246</v>
      </c>
      <c r="I32" s="157">
        <f t="shared" si="12"/>
        <v>2508651.3000000003</v>
      </c>
      <c r="J32" s="157">
        <f t="shared" si="12"/>
        <v>-943589.91</v>
      </c>
      <c r="K32" s="157">
        <f t="shared" si="12"/>
        <v>640679.77019999991</v>
      </c>
      <c r="L32" s="157">
        <f t="shared" si="12"/>
        <v>163521.81820000001</v>
      </c>
      <c r="M32" s="157">
        <f t="shared" si="12"/>
        <v>108940.93518</v>
      </c>
      <c r="N32" s="157">
        <f t="shared" si="12"/>
        <v>31505.566620000001</v>
      </c>
      <c r="O32" s="157">
        <f t="shared" si="12"/>
        <v>32328.001090000002</v>
      </c>
      <c r="P32" s="157">
        <f t="shared" si="12"/>
        <v>-1738.0090000000002</v>
      </c>
      <c r="Q32" s="157">
        <f t="shared" si="12"/>
        <v>206558.12989026451</v>
      </c>
      <c r="R32" s="157">
        <f t="shared" si="12"/>
        <v>-5762.513539999999</v>
      </c>
      <c r="S32" s="157">
        <f t="shared" si="12"/>
        <v>379.58514000000002</v>
      </c>
      <c r="T32" s="157">
        <f t="shared" si="12"/>
        <v>99451.306679999994</v>
      </c>
      <c r="U32" s="157">
        <f t="shared" si="12"/>
        <v>-51229.87</v>
      </c>
      <c r="V32" s="157">
        <f t="shared" si="12"/>
        <v>4106447.2357161893</v>
      </c>
      <c r="W32" s="138">
        <f t="shared" si="13"/>
        <v>-82433.239570000005</v>
      </c>
      <c r="X32" s="138">
        <f t="shared" si="13"/>
        <v>4024013.9961461895</v>
      </c>
      <c r="Y32" s="140">
        <f t="shared" si="14"/>
        <v>-2.007410173276539E-2</v>
      </c>
    </row>
    <row r="33" spans="1:25" s="153" customFormat="1" x14ac:dyDescent="0.25">
      <c r="A33" s="426">
        <f t="shared" si="5"/>
        <v>21</v>
      </c>
      <c r="B33" s="161" t="s">
        <v>207</v>
      </c>
      <c r="C33" s="224" t="s">
        <v>208</v>
      </c>
      <c r="D33" s="158">
        <f t="shared" si="11"/>
        <v>119319881.40783478</v>
      </c>
      <c r="E33" s="157">
        <f t="shared" si="11"/>
        <v>6299906.5299999993</v>
      </c>
      <c r="F33" s="137">
        <f t="shared" si="9"/>
        <v>5.2798464561550719E-2</v>
      </c>
      <c r="G33" s="158">
        <f t="shared" si="12"/>
        <v>93465707</v>
      </c>
      <c r="H33" s="157">
        <f t="shared" si="12"/>
        <v>4965398.9215959031</v>
      </c>
      <c r="I33" s="157">
        <f t="shared" si="12"/>
        <v>9164437.4399999995</v>
      </c>
      <c r="J33" s="157">
        <f t="shared" si="12"/>
        <v>-3479150.59</v>
      </c>
      <c r="K33" s="157">
        <f t="shared" si="12"/>
        <v>495294.87864314829</v>
      </c>
      <c r="L33" s="157">
        <f t="shared" si="12"/>
        <v>612960.40306000004</v>
      </c>
      <c r="M33" s="157">
        <f t="shared" si="12"/>
        <v>259468.60091722701</v>
      </c>
      <c r="N33" s="157">
        <f t="shared" si="12"/>
        <v>102816.05433878271</v>
      </c>
      <c r="O33" s="157">
        <f t="shared" si="12"/>
        <v>198147.29884</v>
      </c>
      <c r="P33" s="157">
        <f t="shared" si="12"/>
        <v>-10035.23972371848</v>
      </c>
      <c r="Q33" s="157">
        <f t="shared" si="12"/>
        <v>350270.55195190496</v>
      </c>
      <c r="R33" s="157">
        <f t="shared" si="12"/>
        <v>-37043.436604685077</v>
      </c>
      <c r="S33" s="157">
        <f t="shared" si="12"/>
        <v>8411.9136300000009</v>
      </c>
      <c r="T33" s="157">
        <f t="shared" si="12"/>
        <v>1123131.3080552642</v>
      </c>
      <c r="U33" s="157">
        <f t="shared" si="12"/>
        <v>0</v>
      </c>
      <c r="V33" s="157">
        <f t="shared" si="12"/>
        <v>13754108.104703825</v>
      </c>
      <c r="W33" s="138">
        <f t="shared" si="13"/>
        <v>-180435.02072974812</v>
      </c>
      <c r="X33" s="138">
        <f t="shared" si="13"/>
        <v>13573673.083974078</v>
      </c>
      <c r="Y33" s="140">
        <f t="shared" si="14"/>
        <v>-1.3118627493413432E-2</v>
      </c>
    </row>
    <row r="34" spans="1:25" s="153" customFormat="1" x14ac:dyDescent="0.25">
      <c r="A34" s="426">
        <f t="shared" si="5"/>
        <v>22</v>
      </c>
      <c r="B34" s="161" t="s">
        <v>336</v>
      </c>
      <c r="C34" s="224" t="s">
        <v>288</v>
      </c>
      <c r="D34" s="158">
        <f>D23</f>
        <v>44508541</v>
      </c>
      <c r="E34" s="157">
        <f>E23</f>
        <v>195933.21000000002</v>
      </c>
      <c r="F34" s="137">
        <f t="shared" si="9"/>
        <v>4.4021485673951888E-3</v>
      </c>
      <c r="G34" s="158">
        <f>G23</f>
        <v>33595800</v>
      </c>
      <c r="H34" s="157">
        <f>H23</f>
        <v>147893.70284049527</v>
      </c>
      <c r="I34" s="157">
        <f t="shared" ref="I34:X35" si="15">I23</f>
        <v>0</v>
      </c>
      <c r="J34" s="157">
        <f t="shared" si="15"/>
        <v>0</v>
      </c>
      <c r="K34" s="157">
        <f t="shared" si="15"/>
        <v>475168.55343999993</v>
      </c>
      <c r="L34" s="157">
        <f t="shared" si="15"/>
        <v>0</v>
      </c>
      <c r="M34" s="157">
        <f t="shared" si="15"/>
        <v>61919.784</v>
      </c>
      <c r="N34" s="157">
        <f t="shared" si="15"/>
        <v>24843.48</v>
      </c>
      <c r="O34" s="157">
        <f t="shared" si="15"/>
        <v>71223.09599999999</v>
      </c>
      <c r="P34" s="157">
        <f t="shared" si="15"/>
        <v>3741778.0260000001</v>
      </c>
      <c r="Q34" s="157">
        <f t="shared" si="15"/>
        <v>0</v>
      </c>
      <c r="R34" s="157">
        <f t="shared" si="15"/>
        <v>-6212.7060000000001</v>
      </c>
      <c r="S34" s="157">
        <f t="shared" si="15"/>
        <v>3023.6220000000003</v>
      </c>
      <c r="T34" s="157">
        <f t="shared" si="15"/>
        <v>157924.33799999999</v>
      </c>
      <c r="U34" s="157">
        <f t="shared" si="15"/>
        <v>0</v>
      </c>
      <c r="V34" s="157">
        <f t="shared" si="15"/>
        <v>4677561.8962804954</v>
      </c>
      <c r="W34" s="138">
        <f t="shared" si="15"/>
        <v>-42898.716</v>
      </c>
      <c r="X34" s="138">
        <f t="shared" si="15"/>
        <v>4634663.1802804954</v>
      </c>
      <c r="Y34" s="140">
        <f t="shared" si="14"/>
        <v>-9.1711701418878515E-3</v>
      </c>
    </row>
    <row r="35" spans="1:25" s="153" customFormat="1" x14ac:dyDescent="0.25">
      <c r="A35" s="426">
        <f t="shared" si="5"/>
        <v>23</v>
      </c>
      <c r="B35" s="161" t="s">
        <v>181</v>
      </c>
      <c r="C35" s="156"/>
      <c r="D35" s="158">
        <f>D24</f>
        <v>32154478.538398605</v>
      </c>
      <c r="E35" s="157">
        <f>E24</f>
        <v>1699064.4523564125</v>
      </c>
      <c r="F35" s="137">
        <f t="shared" si="9"/>
        <v>5.2840678175744761E-2</v>
      </c>
      <c r="G35" s="158">
        <f>G24</f>
        <v>33243510</v>
      </c>
      <c r="H35" s="157">
        <f>H24</f>
        <v>1756609.6133421527</v>
      </c>
      <c r="I35" s="157">
        <f t="shared" si="15"/>
        <v>0</v>
      </c>
      <c r="J35" s="157">
        <f t="shared" si="15"/>
        <v>0</v>
      </c>
      <c r="K35" s="157">
        <f t="shared" si="15"/>
        <v>1401276.6008886266</v>
      </c>
      <c r="L35" s="157">
        <f t="shared" si="15"/>
        <v>0</v>
      </c>
      <c r="M35" s="157">
        <f t="shared" si="15"/>
        <v>0</v>
      </c>
      <c r="N35" s="157">
        <f t="shared" si="15"/>
        <v>0</v>
      </c>
      <c r="O35" s="157">
        <f t="shared" si="15"/>
        <v>24267.762300000002</v>
      </c>
      <c r="P35" s="157">
        <f t="shared" si="15"/>
        <v>0</v>
      </c>
      <c r="Q35" s="157">
        <f t="shared" si="15"/>
        <v>0</v>
      </c>
      <c r="R35" s="157">
        <f t="shared" si="15"/>
        <v>0</v>
      </c>
      <c r="S35" s="157">
        <f t="shared" si="15"/>
        <v>3324.3510000000001</v>
      </c>
      <c r="T35" s="157">
        <f t="shared" si="15"/>
        <v>0</v>
      </c>
      <c r="U35" s="157">
        <f t="shared" si="15"/>
        <v>0</v>
      </c>
      <c r="V35" s="157">
        <f>V24</f>
        <v>3185478.3275307794</v>
      </c>
      <c r="W35" s="138">
        <f>W24</f>
        <v>0</v>
      </c>
      <c r="X35" s="138">
        <f>X24</f>
        <v>3185478.3275307794</v>
      </c>
      <c r="Y35" s="140">
        <f t="shared" si="14"/>
        <v>0</v>
      </c>
    </row>
    <row r="36" spans="1:25" s="153" customFormat="1" x14ac:dyDescent="0.25">
      <c r="A36" s="426">
        <f t="shared" si="5"/>
        <v>24</v>
      </c>
      <c r="B36" s="161" t="s">
        <v>0</v>
      </c>
      <c r="C36" s="161"/>
      <c r="D36" s="164">
        <f>SUM(D28:D35)</f>
        <v>1217415528.0608532</v>
      </c>
      <c r="E36" s="162">
        <f>SUM(E28:E35)</f>
        <v>567392394.92043567</v>
      </c>
      <c r="F36" s="163">
        <f t="shared" si="9"/>
        <v>0.46606305065305048</v>
      </c>
      <c r="G36" s="164">
        <f>SUM(G28:G35)</f>
        <v>1117560725</v>
      </c>
      <c r="H36" s="162">
        <f>SUM(H28:H35)</f>
        <v>531980494.56421334</v>
      </c>
      <c r="I36" s="162">
        <f t="shared" ref="I36:U36" si="16">SUM(I28:I35)</f>
        <v>494349420.23000008</v>
      </c>
      <c r="J36" s="162">
        <f t="shared" si="16"/>
        <v>-179965376.04999998</v>
      </c>
      <c r="K36" s="162">
        <f t="shared" si="16"/>
        <v>79444118.974699914</v>
      </c>
      <c r="L36" s="162">
        <f t="shared" si="16"/>
        <v>32696421.341880001</v>
      </c>
      <c r="M36" s="162">
        <f t="shared" si="16"/>
        <v>63838235.546088539</v>
      </c>
      <c r="N36" s="162">
        <f t="shared" si="16"/>
        <v>13105088.977861175</v>
      </c>
      <c r="O36" s="162">
        <f t="shared" si="16"/>
        <v>14788507.339739997</v>
      </c>
      <c r="P36" s="162">
        <f t="shared" si="16"/>
        <v>1904505.9796362817</v>
      </c>
      <c r="Q36" s="162">
        <f t="shared" si="16"/>
        <v>38660783.151310831</v>
      </c>
      <c r="R36" s="162">
        <f t="shared" si="16"/>
        <v>-3037304.0220646849</v>
      </c>
      <c r="S36" s="162">
        <f t="shared" si="16"/>
        <v>91407.7</v>
      </c>
      <c r="T36" s="162">
        <f t="shared" si="16"/>
        <v>60555177.977425255</v>
      </c>
      <c r="U36" s="162">
        <f t="shared" si="16"/>
        <v>24255862.599999998</v>
      </c>
      <c r="V36" s="162">
        <f>SUM(V28:V35)</f>
        <v>1172667344.3107908</v>
      </c>
      <c r="W36" s="144">
        <f>SUM(W28:W35)</f>
        <v>-53143421.112477824</v>
      </c>
      <c r="X36" s="144">
        <f>SUM(X28:X35)</f>
        <v>1119523923.198313</v>
      </c>
      <c r="Y36" s="146">
        <f t="shared" si="14"/>
        <v>-4.5318411372418398E-2</v>
      </c>
    </row>
    <row r="37" spans="1:25" s="153" customFormat="1" x14ac:dyDescent="0.25">
      <c r="B37" s="165"/>
      <c r="C37" s="165"/>
      <c r="D37" s="165"/>
      <c r="E37" s="165"/>
      <c r="F37" s="165"/>
      <c r="I37" s="166"/>
      <c r="M37" s="165"/>
      <c r="N37" s="165"/>
      <c r="P37" s="165"/>
      <c r="Q37" s="165"/>
      <c r="R37" s="165"/>
      <c r="S37" s="165"/>
      <c r="T37" s="165"/>
      <c r="U37" s="165"/>
      <c r="V37" s="165"/>
      <c r="W37" s="167"/>
      <c r="X37" s="167"/>
    </row>
    <row r="38" spans="1:25" ht="17.25" x14ac:dyDescent="0.25">
      <c r="B38" t="s">
        <v>237</v>
      </c>
    </row>
    <row r="39" spans="1:25" ht="17.25" x14ac:dyDescent="0.25">
      <c r="B39" t="s">
        <v>337</v>
      </c>
    </row>
    <row r="41" spans="1:25" x14ac:dyDescent="0.25">
      <c r="B41" s="554" t="s">
        <v>338</v>
      </c>
      <c r="C41" s="554"/>
      <c r="D41" s="554"/>
      <c r="E41" s="554"/>
      <c r="F41" s="554"/>
      <c r="G41" s="554"/>
      <c r="H41" s="554"/>
      <c r="I41" s="554"/>
      <c r="J41" s="554"/>
      <c r="K41" s="554"/>
      <c r="L41" s="554"/>
      <c r="M41" s="554"/>
      <c r="N41" s="554"/>
      <c r="O41" s="554"/>
      <c r="P41" s="554"/>
      <c r="Q41" s="554"/>
      <c r="R41" s="554"/>
      <c r="S41" s="554"/>
      <c r="T41" s="554"/>
      <c r="U41" s="554"/>
      <c r="V41" s="555">
        <v>1.9744038581848145E-7</v>
      </c>
    </row>
  </sheetData>
  <printOptions horizontalCentered="1"/>
  <pageMargins left="0.45" right="0.45" top="0.75" bottom="0.75" header="0.3" footer="0.3"/>
  <pageSetup paperSize="5" scale="49" orientation="landscape" blackAndWhite="1" r:id="rId1"/>
  <headerFooter>
    <oddFooter>&amp;L&amp;F 
&amp;A&amp;C&amp;P&amp;R&amp;D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9"/>
  <sheetViews>
    <sheetView zoomScale="90" zoomScaleNormal="90" workbookViewId="0">
      <selection activeCell="K14" sqref="K14"/>
    </sheetView>
  </sheetViews>
  <sheetFormatPr defaultColWidth="9.140625" defaultRowHeight="15" x14ac:dyDescent="0.25"/>
  <cols>
    <col min="1" max="1" width="2.140625" style="168" customWidth="1"/>
    <col min="2" max="2" width="2.42578125" style="168" customWidth="1"/>
    <col min="3" max="3" width="34.85546875" style="168" customWidth="1"/>
    <col min="4" max="5" width="11.85546875" style="168" customWidth="1"/>
    <col min="6" max="6" width="2.7109375" style="179" customWidth="1"/>
    <col min="7" max="8" width="11.85546875" style="168" customWidth="1"/>
    <col min="9" max="16384" width="9.140625" style="168"/>
  </cols>
  <sheetData>
    <row r="1" spans="2:8" x14ac:dyDescent="0.25">
      <c r="B1" s="225" t="s">
        <v>12</v>
      </c>
      <c r="C1" s="225"/>
      <c r="D1" s="225"/>
      <c r="E1" s="225"/>
      <c r="F1" s="225"/>
      <c r="G1" s="225"/>
      <c r="H1" s="225"/>
    </row>
    <row r="2" spans="2:8" x14ac:dyDescent="0.25">
      <c r="B2" s="225" t="str">
        <f>'Rate Impacts Sch 129'!A2</f>
        <v>2024 Gas Schedule 129 Low Income Filing</v>
      </c>
      <c r="C2" s="225"/>
      <c r="D2" s="225"/>
      <c r="E2" s="225"/>
      <c r="F2" s="225"/>
      <c r="G2" s="225"/>
      <c r="H2" s="225"/>
    </row>
    <row r="3" spans="2:8" x14ac:dyDescent="0.25">
      <c r="B3" s="221" t="s">
        <v>183</v>
      </c>
      <c r="C3" s="221"/>
      <c r="D3" s="221"/>
      <c r="E3" s="221"/>
      <c r="F3" s="221"/>
      <c r="G3" s="221"/>
      <c r="H3" s="221"/>
    </row>
    <row r="4" spans="2:8" x14ac:dyDescent="0.25">
      <c r="B4" s="221" t="str">
        <f>'Rate Impacts Sch 129'!A4</f>
        <v>Proposed Rates Effective October 1, 2024</v>
      </c>
      <c r="C4" s="221"/>
      <c r="D4" s="221"/>
      <c r="E4" s="221"/>
      <c r="F4" s="221"/>
      <c r="G4" s="221"/>
      <c r="H4" s="221"/>
    </row>
    <row r="6" spans="2:8" x14ac:dyDescent="0.25">
      <c r="G6" s="226" t="s">
        <v>274</v>
      </c>
      <c r="H6" s="226"/>
    </row>
    <row r="7" spans="2:8" x14ac:dyDescent="0.25">
      <c r="D7" s="169" t="s">
        <v>184</v>
      </c>
      <c r="E7" s="169"/>
      <c r="F7" s="170"/>
      <c r="G7" s="169" t="s">
        <v>209</v>
      </c>
      <c r="H7" s="169"/>
    </row>
    <row r="8" spans="2:8" ht="17.25" x14ac:dyDescent="0.25">
      <c r="D8" s="430" t="s">
        <v>185</v>
      </c>
      <c r="E8" s="430" t="s">
        <v>70</v>
      </c>
      <c r="F8" s="171"/>
      <c r="G8" s="430" t="s">
        <v>71</v>
      </c>
      <c r="H8" s="430" t="s">
        <v>70</v>
      </c>
    </row>
    <row r="9" spans="2:8" x14ac:dyDescent="0.25">
      <c r="B9" s="168" t="s">
        <v>186</v>
      </c>
      <c r="D9" s="172">
        <v>64</v>
      </c>
      <c r="E9" s="173"/>
      <c r="F9" s="174"/>
      <c r="G9" s="172">
        <v>64</v>
      </c>
      <c r="H9" s="173"/>
    </row>
    <row r="10" spans="2:8" x14ac:dyDescent="0.25">
      <c r="D10" s="172"/>
      <c r="E10" s="173"/>
      <c r="F10" s="174"/>
      <c r="G10" s="172"/>
      <c r="H10" s="173"/>
    </row>
    <row r="11" spans="2:8" x14ac:dyDescent="0.25">
      <c r="B11" s="168" t="s">
        <v>187</v>
      </c>
      <c r="D11" s="172"/>
      <c r="E11" s="173"/>
      <c r="F11" s="174"/>
      <c r="G11" s="172"/>
      <c r="H11" s="173"/>
    </row>
    <row r="12" spans="2:8" x14ac:dyDescent="0.25">
      <c r="C12" s="168" t="s">
        <v>210</v>
      </c>
      <c r="D12" s="596">
        <v>12.5</v>
      </c>
      <c r="E12" s="173">
        <f>D12</f>
        <v>12.5</v>
      </c>
      <c r="F12" s="175"/>
      <c r="G12" s="176">
        <f>$D$12</f>
        <v>12.5</v>
      </c>
      <c r="H12" s="173">
        <f>G12</f>
        <v>12.5</v>
      </c>
    </row>
    <row r="13" spans="2:8" x14ac:dyDescent="0.25">
      <c r="C13" s="168" t="s">
        <v>1</v>
      </c>
      <c r="D13" s="556">
        <f>SUM(D12:D12)</f>
        <v>12.5</v>
      </c>
      <c r="E13" s="178">
        <f>SUM(E12:E12)</f>
        <v>12.5</v>
      </c>
      <c r="F13" s="175"/>
      <c r="G13" s="178">
        <f>SUM(G12:G12)</f>
        <v>12.5</v>
      </c>
      <c r="H13" s="178">
        <f>SUM(H12:H12)</f>
        <v>12.5</v>
      </c>
    </row>
    <row r="14" spans="2:8" x14ac:dyDescent="0.25">
      <c r="D14" s="557"/>
      <c r="E14" s="177"/>
      <c r="F14" s="175"/>
      <c r="G14" s="177"/>
      <c r="H14" s="177"/>
    </row>
    <row r="15" spans="2:8" x14ac:dyDescent="0.25">
      <c r="C15" s="168" t="s">
        <v>339</v>
      </c>
      <c r="D15" s="596">
        <v>-18.47</v>
      </c>
      <c r="E15" s="173">
        <f>D15</f>
        <v>-18.47</v>
      </c>
      <c r="F15" s="175"/>
      <c r="G15" s="558">
        <f>$D$15</f>
        <v>-18.47</v>
      </c>
      <c r="H15" s="173">
        <f>G15</f>
        <v>-18.47</v>
      </c>
    </row>
    <row r="16" spans="2:8" x14ac:dyDescent="0.25">
      <c r="D16" s="559"/>
      <c r="E16" s="173"/>
      <c r="F16" s="175"/>
      <c r="G16" s="176"/>
      <c r="H16" s="173"/>
    </row>
    <row r="17" spans="2:8" x14ac:dyDescent="0.25">
      <c r="B17" s="168" t="s">
        <v>188</v>
      </c>
      <c r="D17" s="210"/>
      <c r="E17" s="173"/>
      <c r="H17" s="173"/>
    </row>
    <row r="18" spans="2:8" x14ac:dyDescent="0.25">
      <c r="C18" s="168" t="s">
        <v>211</v>
      </c>
      <c r="D18" s="262">
        <v>0.45612999999999998</v>
      </c>
      <c r="E18" s="173"/>
      <c r="F18" s="181"/>
      <c r="G18" s="182">
        <f>$D$18</f>
        <v>0.45612999999999998</v>
      </c>
      <c r="H18" s="173"/>
    </row>
    <row r="19" spans="2:8" x14ac:dyDescent="0.25">
      <c r="C19" s="168" t="s">
        <v>213</v>
      </c>
      <c r="D19" s="262">
        <v>3.6560000000000002E-2</v>
      </c>
      <c r="E19" s="173"/>
      <c r="F19" s="181"/>
      <c r="G19" s="185">
        <f>$D$19</f>
        <v>3.6560000000000002E-2</v>
      </c>
      <c r="H19" s="173"/>
    </row>
    <row r="20" spans="2:8" x14ac:dyDescent="0.25">
      <c r="C20" s="168" t="s">
        <v>238</v>
      </c>
      <c r="D20" s="428">
        <f>'Sch. 129'!$E$9</f>
        <v>8.5290000000000005E-2</v>
      </c>
      <c r="E20" s="173"/>
      <c r="F20" s="181"/>
      <c r="G20" s="180">
        <f>'Sch. 129'!$F$9</f>
        <v>1.3089999999999999E-2</v>
      </c>
      <c r="H20" s="173"/>
    </row>
    <row r="21" spans="2:8" x14ac:dyDescent="0.25">
      <c r="C21" s="168" t="s">
        <v>239</v>
      </c>
      <c r="D21" s="262">
        <v>1.5959999999999998E-2</v>
      </c>
      <c r="E21" s="173"/>
      <c r="F21" s="181"/>
      <c r="G21" s="183">
        <f>$D$21</f>
        <v>1.5959999999999998E-2</v>
      </c>
      <c r="H21" s="173"/>
    </row>
    <row r="22" spans="2:8" x14ac:dyDescent="0.25">
      <c r="C22" s="168" t="s">
        <v>240</v>
      </c>
      <c r="D22" s="262">
        <v>1.6749999999999998E-2</v>
      </c>
      <c r="E22" s="173"/>
      <c r="F22" s="181"/>
      <c r="G22" s="183">
        <f>$D$22</f>
        <v>1.6749999999999998E-2</v>
      </c>
      <c r="H22" s="173"/>
    </row>
    <row r="23" spans="2:8" x14ac:dyDescent="0.25">
      <c r="C23" s="168" t="s">
        <v>241</v>
      </c>
      <c r="D23" s="262">
        <v>-2.1999999999999997E-3</v>
      </c>
      <c r="E23" s="173"/>
      <c r="F23" s="181"/>
      <c r="G23" s="183">
        <f>$D$23</f>
        <v>-2.1999999999999997E-3</v>
      </c>
      <c r="H23" s="173"/>
    </row>
    <row r="24" spans="2:8" x14ac:dyDescent="0.25">
      <c r="C24" s="168" t="s">
        <v>340</v>
      </c>
      <c r="D24" s="262">
        <v>4.6739999999999997E-2</v>
      </c>
      <c r="E24" s="173"/>
      <c r="F24" s="181"/>
      <c r="G24" s="183">
        <f>$D$24</f>
        <v>4.6739999999999997E-2</v>
      </c>
      <c r="H24" s="173"/>
    </row>
    <row r="25" spans="2:8" x14ac:dyDescent="0.25">
      <c r="C25" s="168" t="s">
        <v>242</v>
      </c>
      <c r="D25" s="262">
        <v>-3.5899999999999994E-3</v>
      </c>
      <c r="E25" s="173"/>
      <c r="F25" s="181"/>
      <c r="G25" s="183">
        <f>$D$25</f>
        <v>-3.5899999999999994E-3</v>
      </c>
      <c r="H25" s="173"/>
    </row>
    <row r="26" spans="2:8" x14ac:dyDescent="0.25">
      <c r="C26" s="168" t="s">
        <v>341</v>
      </c>
      <c r="D26" s="262">
        <v>9.0000000000000006E-5</v>
      </c>
      <c r="E26" s="173"/>
      <c r="F26" s="181"/>
      <c r="G26" s="183">
        <f>$D$26</f>
        <v>9.0000000000000006E-5</v>
      </c>
      <c r="H26" s="173"/>
    </row>
    <row r="27" spans="2:8" x14ac:dyDescent="0.25">
      <c r="C27" s="168" t="s">
        <v>243</v>
      </c>
      <c r="D27" s="262">
        <v>7.1179999999999993E-2</v>
      </c>
      <c r="E27" s="173"/>
      <c r="F27" s="181"/>
      <c r="G27" s="183">
        <f>$D$27</f>
        <v>7.1179999999999993E-2</v>
      </c>
      <c r="H27" s="173"/>
    </row>
    <row r="28" spans="2:8" x14ac:dyDescent="0.25">
      <c r="C28" s="168" t="s">
        <v>212</v>
      </c>
      <c r="D28" s="262">
        <v>4.292E-2</v>
      </c>
      <c r="E28" s="173"/>
      <c r="F28" s="181"/>
      <c r="G28" s="183">
        <f>$D$28</f>
        <v>4.292E-2</v>
      </c>
      <c r="H28" s="173"/>
    </row>
    <row r="29" spans="2:8" x14ac:dyDescent="0.25">
      <c r="C29" s="168" t="s">
        <v>1</v>
      </c>
      <c r="D29" s="560">
        <f>SUM(D18:D28)</f>
        <v>0.76583000000000001</v>
      </c>
      <c r="E29" s="173">
        <f>ROUND(D29*D$9,2)</f>
        <v>49.01</v>
      </c>
      <c r="F29" s="181"/>
      <c r="G29" s="184">
        <f>SUM(G18:G28)</f>
        <v>0.69363000000000008</v>
      </c>
      <c r="H29" s="173">
        <f>ROUND(G29*G$9,2)</f>
        <v>44.39</v>
      </c>
    </row>
    <row r="30" spans="2:8" x14ac:dyDescent="0.25">
      <c r="D30" s="210"/>
    </row>
    <row r="31" spans="2:8" x14ac:dyDescent="0.25">
      <c r="C31" s="168" t="s">
        <v>342</v>
      </c>
      <c r="D31" s="262">
        <v>0.39673999999999998</v>
      </c>
      <c r="E31" s="173">
        <f>ROUND(D31*D$9,2)</f>
        <v>25.39</v>
      </c>
      <c r="F31" s="181"/>
      <c r="G31" s="185">
        <f>$D$31</f>
        <v>0.39673999999999998</v>
      </c>
      <c r="H31" s="173">
        <f>ROUND(G31*G$9,2)</f>
        <v>25.39</v>
      </c>
    </row>
    <row r="32" spans="2:8" x14ac:dyDescent="0.25">
      <c r="D32" s="262"/>
      <c r="E32" s="173"/>
      <c r="F32" s="181"/>
      <c r="G32" s="182"/>
      <c r="H32" s="173"/>
    </row>
    <row r="33" spans="2:8" x14ac:dyDescent="0.25">
      <c r="C33" s="168" t="s">
        <v>214</v>
      </c>
      <c r="D33" s="262">
        <v>0.55610999999999999</v>
      </c>
      <c r="E33" s="173"/>
      <c r="F33" s="181"/>
      <c r="G33" s="183">
        <f>$D$33</f>
        <v>0.55610999999999999</v>
      </c>
      <c r="H33" s="173"/>
    </row>
    <row r="34" spans="2:8" x14ac:dyDescent="0.25">
      <c r="C34" s="168" t="s">
        <v>215</v>
      </c>
      <c r="D34" s="262">
        <v>-0.20172999999999999</v>
      </c>
      <c r="E34" s="173"/>
      <c r="F34" s="181"/>
      <c r="G34" s="183">
        <f>$D$34</f>
        <v>-0.20172999999999999</v>
      </c>
      <c r="H34" s="173"/>
    </row>
    <row r="35" spans="2:8" x14ac:dyDescent="0.25">
      <c r="C35" s="168" t="s">
        <v>1</v>
      </c>
      <c r="D35" s="560">
        <f>SUM(D33:D34)</f>
        <v>0.35438000000000003</v>
      </c>
      <c r="E35" s="173">
        <f>ROUND(D35*D$9,2)</f>
        <v>22.68</v>
      </c>
      <c r="F35" s="181"/>
      <c r="G35" s="184">
        <f>SUM(G33:G34)</f>
        <v>0.35438000000000003</v>
      </c>
      <c r="H35" s="173">
        <f>ROUND(G35*G$9,2)</f>
        <v>22.68</v>
      </c>
    </row>
    <row r="36" spans="2:8" x14ac:dyDescent="0.25">
      <c r="C36" s="168" t="s">
        <v>189</v>
      </c>
      <c r="D36" s="560">
        <f>D29+D31+D35</f>
        <v>1.51695</v>
      </c>
      <c r="E36" s="186">
        <f>SUM(E29,E31,E35)</f>
        <v>97.080000000000013</v>
      </c>
      <c r="F36" s="187"/>
      <c r="G36" s="184">
        <f>G29+G31+G35</f>
        <v>1.44475</v>
      </c>
      <c r="H36" s="186">
        <f>SUM(H29,H31,H35)</f>
        <v>92.460000000000008</v>
      </c>
    </row>
    <row r="37" spans="2:8" x14ac:dyDescent="0.25">
      <c r="E37" s="173"/>
      <c r="H37" s="173"/>
    </row>
    <row r="38" spans="2:8" x14ac:dyDescent="0.25">
      <c r="B38" s="168" t="s">
        <v>190</v>
      </c>
      <c r="D38" s="176"/>
      <c r="E38" s="173">
        <f>E13+E15+E36</f>
        <v>91.110000000000014</v>
      </c>
      <c r="F38" s="177"/>
      <c r="G38" s="176"/>
      <c r="H38" s="173">
        <f>H13+H15+H36</f>
        <v>86.490000000000009</v>
      </c>
    </row>
    <row r="39" spans="2:8" x14ac:dyDescent="0.25">
      <c r="B39" s="168" t="s">
        <v>191</v>
      </c>
      <c r="D39" s="176"/>
      <c r="E39" s="173"/>
      <c r="F39" s="177"/>
      <c r="G39" s="176"/>
      <c r="H39" s="173">
        <f>H38-$E38</f>
        <v>-4.6200000000000045</v>
      </c>
    </row>
    <row r="40" spans="2:8" x14ac:dyDescent="0.25">
      <c r="B40" s="168" t="s">
        <v>192</v>
      </c>
      <c r="D40" s="188"/>
      <c r="E40" s="188"/>
      <c r="F40" s="189"/>
      <c r="G40" s="188"/>
      <c r="H40" s="190">
        <f>H39/$E38</f>
        <v>-5.0707935462627633E-2</v>
      </c>
    </row>
    <row r="41" spans="2:8" x14ac:dyDescent="0.25">
      <c r="E41" s="173"/>
    </row>
    <row r="42" spans="2:8" x14ac:dyDescent="0.25">
      <c r="B42" s="168" t="s">
        <v>193</v>
      </c>
      <c r="D42" s="182">
        <f>D29+D31</f>
        <v>1.1625700000000001</v>
      </c>
      <c r="E42" s="173"/>
      <c r="F42" s="187"/>
      <c r="G42" s="182">
        <f>G29+G31</f>
        <v>1.0903700000000001</v>
      </c>
    </row>
    <row r="44" spans="2:8" ht="17.25" x14ac:dyDescent="0.25">
      <c r="B44" s="191" t="s">
        <v>343</v>
      </c>
      <c r="D44" s="191"/>
      <c r="E44" s="191"/>
      <c r="F44" s="192"/>
      <c r="G44" s="192"/>
      <c r="H44" s="192"/>
    </row>
    <row r="49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90" zoomScaleNormal="90" workbookViewId="0">
      <selection activeCell="H38" sqref="H38"/>
    </sheetView>
  </sheetViews>
  <sheetFormatPr defaultRowHeight="15" x14ac:dyDescent="0.25"/>
  <cols>
    <col min="1" max="1" width="4.7109375" bestFit="1" customWidth="1"/>
    <col min="2" max="2" width="37.85546875" customWidth="1"/>
    <col min="3" max="3" width="9.140625" bestFit="1" customWidth="1"/>
    <col min="4" max="5" width="20.42578125" bestFit="1" customWidth="1"/>
    <col min="6" max="6" width="12.7109375" bestFit="1" customWidth="1"/>
    <col min="7" max="7" width="2.5703125" customWidth="1"/>
    <col min="8" max="9" width="20.42578125" bestFit="1" customWidth="1"/>
    <col min="10" max="10" width="12.7109375" bestFit="1" customWidth="1"/>
    <col min="11" max="11" width="2.5703125" customWidth="1"/>
    <col min="12" max="12" width="11.140625" bestFit="1" customWidth="1"/>
    <col min="13" max="14" width="9.140625" customWidth="1"/>
  </cols>
  <sheetData>
    <row r="1" spans="1:14" x14ac:dyDescent="0.25">
      <c r="A1" s="598" t="s">
        <v>12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</row>
    <row r="2" spans="1:14" x14ac:dyDescent="0.25">
      <c r="A2" s="598" t="str">
        <f>'Rate Impacts Sch 129'!A2</f>
        <v>2024 Gas Schedule 129 Low Income Filing</v>
      </c>
      <c r="B2" s="598"/>
      <c r="C2" s="598"/>
      <c r="D2" s="598"/>
      <c r="E2" s="598"/>
      <c r="F2" s="598"/>
      <c r="G2" s="598"/>
      <c r="H2" s="598"/>
      <c r="I2" s="598"/>
      <c r="J2" s="598"/>
      <c r="K2" s="598"/>
      <c r="L2" s="598"/>
    </row>
    <row r="3" spans="1:14" x14ac:dyDescent="0.25">
      <c r="A3" s="599" t="s">
        <v>344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</row>
    <row r="4" spans="1:14" x14ac:dyDescent="0.25">
      <c r="A4" s="599" t="str">
        <f>'Rate Impacts Sch 129'!A4</f>
        <v>Proposed Rates Effective October 1, 2024</v>
      </c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</row>
    <row r="5" spans="1:14" x14ac:dyDescent="0.25"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</row>
    <row r="6" spans="1:14" ht="17.25" x14ac:dyDescent="0.25">
      <c r="D6" s="600" t="s">
        <v>345</v>
      </c>
      <c r="E6" s="600"/>
      <c r="F6" s="600"/>
      <c r="G6" s="426"/>
      <c r="H6" s="600" t="s">
        <v>105</v>
      </c>
      <c r="I6" s="600"/>
      <c r="J6" s="600"/>
    </row>
    <row r="7" spans="1:14" x14ac:dyDescent="0.25">
      <c r="B7" s="130"/>
      <c r="C7" s="130"/>
      <c r="D7" s="130" t="s">
        <v>153</v>
      </c>
      <c r="E7" s="193" t="s">
        <v>153</v>
      </c>
      <c r="F7" s="130"/>
      <c r="G7" s="130"/>
      <c r="H7" s="130" t="s">
        <v>153</v>
      </c>
      <c r="I7" s="193" t="s">
        <v>153</v>
      </c>
      <c r="J7" s="130"/>
      <c r="K7" s="130"/>
      <c r="L7" s="130"/>
    </row>
    <row r="8" spans="1:14" x14ac:dyDescent="0.25">
      <c r="A8" t="s">
        <v>35</v>
      </c>
      <c r="B8" s="130"/>
      <c r="C8" s="130" t="s">
        <v>11</v>
      </c>
      <c r="D8" s="130" t="s">
        <v>194</v>
      </c>
      <c r="E8" s="130" t="s">
        <v>6</v>
      </c>
      <c r="F8" s="130" t="s">
        <v>346</v>
      </c>
      <c r="G8" s="130"/>
      <c r="H8" s="130" t="s">
        <v>194</v>
      </c>
      <c r="I8" s="130" t="s">
        <v>6</v>
      </c>
      <c r="J8" s="130" t="s">
        <v>346</v>
      </c>
      <c r="K8" s="130"/>
      <c r="L8" s="130" t="s">
        <v>0</v>
      </c>
    </row>
    <row r="9" spans="1:14" x14ac:dyDescent="0.25">
      <c r="A9" t="s">
        <v>284</v>
      </c>
      <c r="B9" s="130" t="s">
        <v>8</v>
      </c>
      <c r="C9" s="130" t="s">
        <v>7</v>
      </c>
      <c r="D9" s="561" t="s">
        <v>347</v>
      </c>
      <c r="E9" s="562" t="str">
        <f>D9</f>
        <v>Oct. 2024 - Sept. 2025</v>
      </c>
      <c r="F9" s="130" t="s">
        <v>348</v>
      </c>
      <c r="G9" s="130"/>
      <c r="H9" s="562" t="str">
        <f>D9</f>
        <v>Oct. 2024 - Sept. 2025</v>
      </c>
      <c r="I9" s="562" t="str">
        <f>D9</f>
        <v>Oct. 2024 - Sept. 2025</v>
      </c>
      <c r="J9" s="130" t="s">
        <v>348</v>
      </c>
      <c r="K9" s="130"/>
      <c r="L9" s="130" t="s">
        <v>349</v>
      </c>
      <c r="N9" s="563" t="s">
        <v>338</v>
      </c>
    </row>
    <row r="10" spans="1:14" x14ac:dyDescent="0.25">
      <c r="A10" s="564"/>
      <c r="B10" s="565" t="s">
        <v>63</v>
      </c>
      <c r="C10" s="565" t="s">
        <v>64</v>
      </c>
      <c r="D10" s="565" t="s">
        <v>65</v>
      </c>
      <c r="E10" s="565" t="s">
        <v>66</v>
      </c>
      <c r="F10" s="566" t="s">
        <v>350</v>
      </c>
      <c r="G10" s="565"/>
      <c r="H10" s="565" t="s">
        <v>351</v>
      </c>
      <c r="I10" s="565" t="s">
        <v>352</v>
      </c>
      <c r="J10" s="566" t="s">
        <v>353</v>
      </c>
      <c r="K10" s="566"/>
      <c r="L10" s="567" t="s">
        <v>354</v>
      </c>
    </row>
    <row r="11" spans="1:14" x14ac:dyDescent="0.25">
      <c r="A11" s="426">
        <v>1</v>
      </c>
      <c r="B11" t="s">
        <v>5</v>
      </c>
      <c r="C11" s="426" t="s">
        <v>167</v>
      </c>
      <c r="D11" s="568">
        <f>'Rate Impacts Sch 129'!G11</f>
        <v>563922736</v>
      </c>
      <c r="E11" s="569">
        <f>'Rate Impacts Sch 129'!V11</f>
        <v>777211954.67906272</v>
      </c>
      <c r="F11" s="570">
        <f>E11/D11</f>
        <v>1.3782241875756942</v>
      </c>
      <c r="G11" s="137"/>
      <c r="H11" s="571">
        <f>D11</f>
        <v>563922736</v>
      </c>
      <c r="I11" s="569">
        <f>'Rate Impacts Sch 129'!X11</f>
        <v>736496733.13986278</v>
      </c>
      <c r="J11" s="570">
        <f>I11/H11</f>
        <v>1.3060241875756944</v>
      </c>
      <c r="K11" s="572"/>
      <c r="L11" s="140">
        <f>(I11-E11)/E11</f>
        <v>-5.2386252288171058E-2</v>
      </c>
      <c r="N11" s="573">
        <f>L11-'Rate Impacts Sch 129'!Y11</f>
        <v>7.6327832942979512E-17</v>
      </c>
    </row>
    <row r="12" spans="1:14" x14ac:dyDescent="0.25">
      <c r="A12" s="426">
        <f>A11+1</f>
        <v>2</v>
      </c>
      <c r="B12" t="s">
        <v>168</v>
      </c>
      <c r="C12" s="426">
        <v>16</v>
      </c>
      <c r="D12" s="568">
        <f>'Rate Impacts Sch 129'!G12</f>
        <v>6156</v>
      </c>
      <c r="E12" s="569">
        <f>'Rate Impacts Sch 129'!V12</f>
        <v>7873.3118504735558</v>
      </c>
      <c r="F12" s="570">
        <f t="shared" ref="F12:F24" si="0">E12/D12</f>
        <v>1.2789655377637354</v>
      </c>
      <c r="G12" s="137"/>
      <c r="H12" s="571">
        <f t="shared" ref="H12:H24" si="1">D12</f>
        <v>6156</v>
      </c>
      <c r="I12" s="569">
        <f>'Rate Impacts Sch 129'!X12</f>
        <v>7873.3118504735558</v>
      </c>
      <c r="J12" s="570">
        <f t="shared" ref="J12:J24" si="2">I12/H12</f>
        <v>1.2789655377637354</v>
      </c>
      <c r="K12" s="572"/>
      <c r="L12" s="140">
        <f t="shared" ref="L12:L24" si="3">(I12-E12)/E12</f>
        <v>0</v>
      </c>
      <c r="N12" s="573">
        <f>L12-'Rate Impacts Sch 129'!Y12</f>
        <v>0</v>
      </c>
    </row>
    <row r="13" spans="1:14" x14ac:dyDescent="0.25">
      <c r="A13" s="426">
        <f t="shared" ref="A13:A36" si="4">A12+1</f>
        <v>3</v>
      </c>
      <c r="B13" t="s">
        <v>169</v>
      </c>
      <c r="C13" s="426">
        <v>31</v>
      </c>
      <c r="D13" s="568">
        <f>'Rate Impacts Sch 129'!G13</f>
        <v>230136848</v>
      </c>
      <c r="E13" s="569">
        <f>'Rate Impacts Sch 129'!V13</f>
        <v>283301848.35253328</v>
      </c>
      <c r="F13" s="570">
        <f t="shared" si="0"/>
        <v>1.2310147236940225</v>
      </c>
      <c r="G13" s="137"/>
      <c r="H13" s="571">
        <f t="shared" si="1"/>
        <v>230136848</v>
      </c>
      <c r="I13" s="569">
        <f>'Rate Impacts Sch 129'!X13</f>
        <v>272929580.61317331</v>
      </c>
      <c r="J13" s="570">
        <f t="shared" si="2"/>
        <v>1.1859447236940228</v>
      </c>
      <c r="K13" s="572"/>
      <c r="L13" s="140">
        <f t="shared" si="3"/>
        <v>-3.6612072246182459E-2</v>
      </c>
      <c r="N13" s="573">
        <f>L13-'Rate Impacts Sch 129'!Y13</f>
        <v>9.0205620750793969E-17</v>
      </c>
    </row>
    <row r="14" spans="1:14" x14ac:dyDescent="0.25">
      <c r="A14" s="426">
        <f t="shared" si="4"/>
        <v>4</v>
      </c>
      <c r="B14" t="s">
        <v>170</v>
      </c>
      <c r="C14" s="426">
        <v>41</v>
      </c>
      <c r="D14" s="568">
        <f>'Rate Impacts Sch 129'!G14</f>
        <v>63165967</v>
      </c>
      <c r="E14" s="569">
        <f>'Rate Impacts Sch 129'!V14</f>
        <v>53262211.759531401</v>
      </c>
      <c r="F14" s="570">
        <f t="shared" si="0"/>
        <v>0.84321058141216143</v>
      </c>
      <c r="G14" s="137"/>
      <c r="H14" s="571">
        <f t="shared" si="1"/>
        <v>63165967</v>
      </c>
      <c r="I14" s="569">
        <f>'Rate Impacts Sch 129'!X14</f>
        <v>52252819.606871404</v>
      </c>
      <c r="J14" s="570">
        <f t="shared" si="2"/>
        <v>0.82723058141216144</v>
      </c>
      <c r="K14" s="572"/>
      <c r="L14" s="140">
        <f t="shared" si="3"/>
        <v>-1.8951375080276577E-2</v>
      </c>
      <c r="N14" s="573">
        <f>L14-'Rate Impacts Sch 129'!Y14</f>
        <v>5.2041704279304213E-17</v>
      </c>
    </row>
    <row r="15" spans="1:14" x14ac:dyDescent="0.25">
      <c r="A15" s="426">
        <f t="shared" si="4"/>
        <v>5</v>
      </c>
      <c r="B15" t="s">
        <v>4</v>
      </c>
      <c r="C15" s="426">
        <v>85</v>
      </c>
      <c r="D15" s="568">
        <f>'Rate Impacts Sch 129'!G15</f>
        <v>17599390</v>
      </c>
      <c r="E15" s="569">
        <f>'Rate Impacts Sch 129'!V15</f>
        <v>10976061.59630819</v>
      </c>
      <c r="F15" s="570">
        <f t="shared" si="0"/>
        <v>0.62366147896649771</v>
      </c>
      <c r="G15" s="137"/>
      <c r="H15" s="571">
        <f t="shared" si="1"/>
        <v>17599390</v>
      </c>
      <c r="I15" s="569">
        <f>'Rate Impacts Sch 129'!X15</f>
        <v>10874904.865987208</v>
      </c>
      <c r="J15" s="570">
        <f t="shared" si="2"/>
        <v>0.61791373825951967</v>
      </c>
      <c r="K15" s="572"/>
      <c r="L15" s="140">
        <f t="shared" si="3"/>
        <v>-9.2161226896728433E-3</v>
      </c>
      <c r="N15" s="573">
        <f>L15-'Rate Impacts Sch 129'!Y15</f>
        <v>7.2858385991025898E-17</v>
      </c>
    </row>
    <row r="16" spans="1:14" x14ac:dyDescent="0.25">
      <c r="A16" s="426">
        <f t="shared" si="4"/>
        <v>6</v>
      </c>
      <c r="B16" t="s">
        <v>171</v>
      </c>
      <c r="C16" s="426">
        <v>86</v>
      </c>
      <c r="D16" s="568">
        <f>'Rate Impacts Sch 129'!G16</f>
        <v>4965740</v>
      </c>
      <c r="E16" s="569">
        <f>'Rate Impacts Sch 129'!V16</f>
        <v>3641805.9983122023</v>
      </c>
      <c r="F16" s="570">
        <f t="shared" si="0"/>
        <v>0.73338636302186633</v>
      </c>
      <c r="G16" s="137"/>
      <c r="H16" s="571">
        <f t="shared" si="1"/>
        <v>4965740</v>
      </c>
      <c r="I16" s="569">
        <f>'Rate Impacts Sch 129'!X16</f>
        <v>3577102.4061122024</v>
      </c>
      <c r="J16" s="570">
        <f>I16/H16</f>
        <v>0.72035636302186634</v>
      </c>
      <c r="K16" s="572"/>
      <c r="L16" s="140">
        <f t="shared" si="3"/>
        <v>-1.776689703679624E-2</v>
      </c>
      <c r="N16" s="573">
        <f>L16-'Rate Impacts Sch 129'!Y16</f>
        <v>4.5102810375396984E-17</v>
      </c>
    </row>
    <row r="17" spans="1:14" x14ac:dyDescent="0.25">
      <c r="A17" s="426">
        <f t="shared" si="4"/>
        <v>7</v>
      </c>
      <c r="B17" t="s">
        <v>172</v>
      </c>
      <c r="C17" s="426">
        <v>87</v>
      </c>
      <c r="D17" s="568">
        <f>'Rate Impacts Sch 129'!G17</f>
        <v>18614042</v>
      </c>
      <c r="E17" s="569">
        <f>'Rate Impacts Sch 129'!V17</f>
        <v>8374271.2452654205</v>
      </c>
      <c r="F17" s="570">
        <f t="shared" si="0"/>
        <v>0.44988999408432734</v>
      </c>
      <c r="G17" s="137"/>
      <c r="H17" s="571">
        <f t="shared" si="1"/>
        <v>18614042</v>
      </c>
      <c r="I17" s="569">
        <f>'Rate Impacts Sch 129'!X17</f>
        <v>8330905.8498841031</v>
      </c>
      <c r="J17" s="570">
        <f t="shared" si="2"/>
        <v>0.44756028002322673</v>
      </c>
      <c r="K17" s="572"/>
      <c r="L17" s="140">
        <f t="shared" si="3"/>
        <v>-5.1784082592064426E-3</v>
      </c>
      <c r="N17" s="573">
        <f>L17-'Rate Impacts Sch 129'!Y17</f>
        <v>4.6837533851373792E-17</v>
      </c>
    </row>
    <row r="18" spans="1:14" x14ac:dyDescent="0.25">
      <c r="A18" s="426">
        <f t="shared" si="4"/>
        <v>8</v>
      </c>
      <c r="B18" t="s">
        <v>173</v>
      </c>
      <c r="C18" s="426" t="s">
        <v>174</v>
      </c>
      <c r="D18" s="568">
        <f>'Rate Impacts Sch 129'!G18</f>
        <v>0</v>
      </c>
      <c r="E18" s="569">
        <f>'Rate Impacts Sch 129'!V18</f>
        <v>0</v>
      </c>
      <c r="F18" s="574">
        <f>F13</f>
        <v>1.2310147236940225</v>
      </c>
      <c r="G18" s="137"/>
      <c r="H18" s="571">
        <f t="shared" si="1"/>
        <v>0</v>
      </c>
      <c r="I18" s="569">
        <f>'Rate Impacts Sch 129'!X18</f>
        <v>0</v>
      </c>
      <c r="J18" s="574">
        <f>J13</f>
        <v>1.1859447236940228</v>
      </c>
      <c r="K18" s="572"/>
      <c r="L18" s="140">
        <f>(J18-F18)/F18</f>
        <v>-3.661207224618232E-2</v>
      </c>
      <c r="N18" s="573">
        <f>L18-'Rate Impacts Sch 129'!Y18</f>
        <v>2.2898349882893854E-16</v>
      </c>
    </row>
    <row r="19" spans="1:14" x14ac:dyDescent="0.25">
      <c r="A19" s="426">
        <f t="shared" si="4"/>
        <v>9</v>
      </c>
      <c r="B19" t="s">
        <v>175</v>
      </c>
      <c r="C19" s="426" t="s">
        <v>176</v>
      </c>
      <c r="D19" s="568">
        <f>'Rate Impacts Sch 129'!G19</f>
        <v>21100718</v>
      </c>
      <c r="E19" s="569">
        <f>'Rate Impacts Sch 129'!V19</f>
        <v>8283381.1925593596</v>
      </c>
      <c r="F19" s="570">
        <f t="shared" si="0"/>
        <v>0.39256394936700068</v>
      </c>
      <c r="G19" s="137"/>
      <c r="H19" s="571">
        <f t="shared" si="1"/>
        <v>21100718</v>
      </c>
      <c r="I19" s="569">
        <f>'Rate Impacts Sch 129'!X19</f>
        <v>7946191.7189193591</v>
      </c>
      <c r="J19" s="570">
        <f t="shared" si="2"/>
        <v>0.37658394936700063</v>
      </c>
      <c r="K19" s="572"/>
      <c r="L19" s="140">
        <f t="shared" si="3"/>
        <v>-4.0706743514699613E-2</v>
      </c>
      <c r="N19" s="573">
        <f>L19-'Rate Impacts Sch 129'!Y19</f>
        <v>-5.5511151231257827E-17</v>
      </c>
    </row>
    <row r="20" spans="1:14" x14ac:dyDescent="0.25">
      <c r="A20" s="426">
        <f t="shared" si="4"/>
        <v>10</v>
      </c>
      <c r="B20" t="s">
        <v>177</v>
      </c>
      <c r="C20" s="426" t="s">
        <v>3</v>
      </c>
      <c r="D20" s="568">
        <f>'Rate Impacts Sch 129'!G20</f>
        <v>54997474</v>
      </c>
      <c r="E20" s="569">
        <f>'Rate Impacts Sch 129'!V20</f>
        <v>13900417.854713896</v>
      </c>
      <c r="F20" s="570">
        <f t="shared" si="0"/>
        <v>0.25274647804213513</v>
      </c>
      <c r="G20" s="137"/>
      <c r="H20" s="571">
        <f t="shared" si="1"/>
        <v>54997474</v>
      </c>
      <c r="I20" s="569">
        <f>'Rate Impacts Sch 129'!X20</f>
        <v>13597991.353716819</v>
      </c>
      <c r="J20" s="570">
        <f t="shared" si="2"/>
        <v>0.24724756183741856</v>
      </c>
      <c r="K20" s="572"/>
      <c r="L20" s="140">
        <f t="shared" si="3"/>
        <v>-2.1756648192738974E-2</v>
      </c>
      <c r="N20" s="573">
        <f>L20-'Rate Impacts Sch 129'!Y20</f>
        <v>-3.1225022567582528E-17</v>
      </c>
    </row>
    <row r="21" spans="1:14" x14ac:dyDescent="0.25">
      <c r="A21" s="426">
        <f t="shared" si="4"/>
        <v>11</v>
      </c>
      <c r="B21" t="s">
        <v>178</v>
      </c>
      <c r="C21" s="426" t="s">
        <v>179</v>
      </c>
      <c r="D21" s="568">
        <f>'Rate Impacts Sch 129'!G21</f>
        <v>1360679</v>
      </c>
      <c r="E21" s="569">
        <f>'Rate Impacts Sch 129'!V21</f>
        <v>464641.23740398703</v>
      </c>
      <c r="F21" s="570">
        <f t="shared" si="0"/>
        <v>0.3414774810252727</v>
      </c>
      <c r="G21" s="137"/>
      <c r="H21" s="571">
        <f t="shared" si="1"/>
        <v>1360679</v>
      </c>
      <c r="I21" s="569">
        <f>'Rate Impacts Sch 129'!X21</f>
        <v>446911.59003398701</v>
      </c>
      <c r="J21" s="570">
        <f t="shared" si="2"/>
        <v>0.32844748102527266</v>
      </c>
      <c r="K21" s="572"/>
      <c r="L21" s="140">
        <f t="shared" si="3"/>
        <v>-3.8157713828970367E-2</v>
      </c>
      <c r="N21" s="573">
        <f>L21-'Rate Impacts Sch 129'!Y21</f>
        <v>0</v>
      </c>
    </row>
    <row r="22" spans="1:14" x14ac:dyDescent="0.25">
      <c r="A22" s="426">
        <f t="shared" si="4"/>
        <v>12</v>
      </c>
      <c r="B22" t="s">
        <v>180</v>
      </c>
      <c r="C22" s="426" t="s">
        <v>2</v>
      </c>
      <c r="D22" s="568">
        <f>'Rate Impacts Sch 129'!G22</f>
        <v>74851665</v>
      </c>
      <c r="E22" s="569">
        <f>'Rate Impacts Sch 129'!V22</f>
        <v>5379836.8594384054</v>
      </c>
      <c r="F22" s="570">
        <f t="shared" si="0"/>
        <v>7.1873309156695514E-2</v>
      </c>
      <c r="G22" s="137"/>
      <c r="H22" s="571">
        <f t="shared" si="1"/>
        <v>74851665</v>
      </c>
      <c r="I22" s="569">
        <f>'Rate Impacts Sch 129'!X22</f>
        <v>5242767.2340899752</v>
      </c>
      <c r="J22" s="570">
        <f t="shared" si="2"/>
        <v>7.0042092371492004E-2</v>
      </c>
      <c r="K22" s="572"/>
      <c r="L22" s="140">
        <f t="shared" si="3"/>
        <v>-2.5478398124276703E-2</v>
      </c>
      <c r="N22" s="573">
        <f>L22-'Rate Impacts Sch 129'!Y22</f>
        <v>0</v>
      </c>
    </row>
    <row r="23" spans="1:14" x14ac:dyDescent="0.25">
      <c r="A23" s="426">
        <f t="shared" si="4"/>
        <v>13</v>
      </c>
      <c r="B23" t="s">
        <v>335</v>
      </c>
      <c r="C23" s="426" t="s">
        <v>288</v>
      </c>
      <c r="D23" s="568">
        <f>'Rate Impacts Sch 129'!G23</f>
        <v>33595800</v>
      </c>
      <c r="E23" s="569">
        <f>'Rate Impacts Sch 129'!V23</f>
        <v>4677561.8962804954</v>
      </c>
      <c r="F23" s="570">
        <f t="shared" si="0"/>
        <v>0.13923055549445154</v>
      </c>
      <c r="G23" s="137"/>
      <c r="H23" s="571">
        <f t="shared" si="1"/>
        <v>33595800</v>
      </c>
      <c r="I23" s="569">
        <f>'Rate Impacts Sch 129'!X23</f>
        <v>4634663.1802804954</v>
      </c>
      <c r="J23" s="570">
        <f t="shared" si="2"/>
        <v>0.13795364838106239</v>
      </c>
      <c r="K23" s="572"/>
      <c r="L23" s="140">
        <f t="shared" si="3"/>
        <v>-9.171170141887855E-3</v>
      </c>
      <c r="N23" s="573">
        <f>L23-'Rate Impacts Sch 129'!Y23</f>
        <v>0</v>
      </c>
    </row>
    <row r="24" spans="1:14" x14ac:dyDescent="0.25">
      <c r="A24" s="426">
        <f t="shared" si="4"/>
        <v>14</v>
      </c>
      <c r="B24" t="s">
        <v>181</v>
      </c>
      <c r="C24" s="426"/>
      <c r="D24" s="568">
        <f>'Rate Impacts Sch 129'!G24</f>
        <v>33243510</v>
      </c>
      <c r="E24" s="569">
        <f>'Rate Impacts Sch 129'!V24</f>
        <v>3185478.3275307794</v>
      </c>
      <c r="F24" s="570">
        <f t="shared" si="0"/>
        <v>9.582256288613264E-2</v>
      </c>
      <c r="G24" s="575"/>
      <c r="H24" s="571">
        <f t="shared" si="1"/>
        <v>33243510</v>
      </c>
      <c r="I24" s="569">
        <f>'Rate Impacts Sch 129'!X24</f>
        <v>3185478.3275307794</v>
      </c>
      <c r="J24" s="570">
        <f t="shared" si="2"/>
        <v>9.582256288613264E-2</v>
      </c>
      <c r="K24" s="572"/>
      <c r="L24" s="140">
        <f t="shared" si="3"/>
        <v>0</v>
      </c>
      <c r="M24" s="576"/>
      <c r="N24" s="573">
        <f>L24-'Rate Impacts Sch 129'!Y24</f>
        <v>0</v>
      </c>
    </row>
    <row r="25" spans="1:14" x14ac:dyDescent="0.25">
      <c r="A25" s="426">
        <f t="shared" si="4"/>
        <v>15</v>
      </c>
      <c r="B25" t="s">
        <v>0</v>
      </c>
      <c r="D25" s="577">
        <f>SUM(D11:D24)</f>
        <v>1117560725</v>
      </c>
      <c r="E25" s="144">
        <f>SUM(E11:E24)</f>
        <v>1172667344.3107908</v>
      </c>
      <c r="F25" s="578">
        <f>E25/D25</f>
        <v>1.0493097315233504</v>
      </c>
      <c r="G25" s="575"/>
      <c r="H25" s="577">
        <f>SUM(H11:H24)</f>
        <v>1117560725</v>
      </c>
      <c r="I25" s="144">
        <f>SUM(I11:I24)</f>
        <v>1119523923.198313</v>
      </c>
      <c r="J25" s="578">
        <f>I25/H25</f>
        <v>1.0017566814530934</v>
      </c>
      <c r="K25" s="194"/>
      <c r="L25" s="146">
        <f>(I25-E25)/E25</f>
        <v>-4.5318411372418363E-2</v>
      </c>
      <c r="M25" s="579"/>
      <c r="N25" s="573">
        <f>L25-'Rate Impacts Sch 129'!Y25</f>
        <v>0</v>
      </c>
    </row>
    <row r="26" spans="1:14" s="153" customFormat="1" x14ac:dyDescent="0.25">
      <c r="A26" s="426"/>
      <c r="B26" s="161"/>
      <c r="C26" s="580"/>
      <c r="D26" s="580"/>
      <c r="E26" s="580"/>
      <c r="F26" s="581"/>
      <c r="G26" s="582"/>
      <c r="H26" s="580"/>
      <c r="I26" s="580"/>
      <c r="J26" s="581"/>
      <c r="K26" s="581"/>
      <c r="L26" s="583"/>
      <c r="M26" s="166"/>
      <c r="N26" s="584"/>
    </row>
    <row r="27" spans="1:14" s="153" customFormat="1" x14ac:dyDescent="0.25">
      <c r="A27" s="426"/>
      <c r="B27" s="149" t="s">
        <v>182</v>
      </c>
      <c r="C27" s="150"/>
      <c r="D27" s="150"/>
      <c r="E27" s="150"/>
      <c r="F27" s="585"/>
      <c r="G27" s="166"/>
      <c r="H27" s="150"/>
      <c r="I27" s="150"/>
      <c r="J27" s="585"/>
      <c r="K27" s="585"/>
      <c r="L27" s="586"/>
      <c r="M27" s="166"/>
      <c r="N27" s="584"/>
    </row>
    <row r="28" spans="1:14" s="153" customFormat="1" x14ac:dyDescent="0.25">
      <c r="A28" s="426">
        <f>A25+1</f>
        <v>16</v>
      </c>
      <c r="B28" s="156" t="s">
        <v>5</v>
      </c>
      <c r="C28" s="224" t="s">
        <v>202</v>
      </c>
      <c r="D28" s="158">
        <f>D11+D12</f>
        <v>563928892</v>
      </c>
      <c r="E28" s="157">
        <f>E11+E12</f>
        <v>777219827.99091315</v>
      </c>
      <c r="F28" s="587">
        <f>E28/D28</f>
        <v>1.3782231040414812</v>
      </c>
      <c r="G28" s="588"/>
      <c r="H28" s="158">
        <f>H11+H12</f>
        <v>563928892</v>
      </c>
      <c r="I28" s="157">
        <f>I11+I12</f>
        <v>736504606.4517132</v>
      </c>
      <c r="J28" s="587">
        <f>I28/H28</f>
        <v>1.3060238921961693</v>
      </c>
      <c r="K28" s="581"/>
      <c r="L28" s="140">
        <f>(I28-E28)/E28</f>
        <v>-5.2385721610380701E-2</v>
      </c>
      <c r="M28" s="159"/>
      <c r="N28" s="573">
        <f>L28-'Rate Impacts Sch 129'!Y28</f>
        <v>7.6327832942979512E-17</v>
      </c>
    </row>
    <row r="29" spans="1:14" s="153" customFormat="1" x14ac:dyDescent="0.25">
      <c r="A29" s="426">
        <f t="shared" si="4"/>
        <v>17</v>
      </c>
      <c r="B29" s="160" t="s">
        <v>23</v>
      </c>
      <c r="C29" s="224" t="s">
        <v>203</v>
      </c>
      <c r="D29" s="158">
        <f t="shared" ref="D29:E33" si="5">D13+D18</f>
        <v>230136848</v>
      </c>
      <c r="E29" s="157">
        <f t="shared" si="5"/>
        <v>283301848.35253328</v>
      </c>
      <c r="F29" s="587">
        <f t="shared" ref="F29:F35" si="6">E29/D29</f>
        <v>1.2310147236940225</v>
      </c>
      <c r="G29" s="588"/>
      <c r="H29" s="158">
        <f t="shared" ref="H29:I33" si="7">H13+H18</f>
        <v>230136848</v>
      </c>
      <c r="I29" s="157">
        <f t="shared" si="7"/>
        <v>272929580.61317331</v>
      </c>
      <c r="J29" s="587">
        <f t="shared" ref="J29:J35" si="8">I29/H29</f>
        <v>1.1859447236940228</v>
      </c>
      <c r="K29" s="581"/>
      <c r="L29" s="140">
        <f t="shared" ref="L29:L36" si="9">(I29-E29)/E29</f>
        <v>-3.6612072246182459E-2</v>
      </c>
      <c r="M29" s="166"/>
      <c r="N29" s="573">
        <f>L29-'Rate Impacts Sch 129'!Y29</f>
        <v>9.0205620750793969E-17</v>
      </c>
    </row>
    <row r="30" spans="1:14" s="153" customFormat="1" x14ac:dyDescent="0.25">
      <c r="A30" s="426">
        <f t="shared" si="4"/>
        <v>18</v>
      </c>
      <c r="B30" s="156" t="s">
        <v>22</v>
      </c>
      <c r="C30" s="224" t="s">
        <v>204</v>
      </c>
      <c r="D30" s="158">
        <f t="shared" si="5"/>
        <v>84266685</v>
      </c>
      <c r="E30" s="157">
        <f t="shared" si="5"/>
        <v>61545592.952090763</v>
      </c>
      <c r="F30" s="587">
        <f t="shared" si="6"/>
        <v>0.73036684606841673</v>
      </c>
      <c r="G30" s="588"/>
      <c r="H30" s="158">
        <f t="shared" si="7"/>
        <v>84266685</v>
      </c>
      <c r="I30" s="157">
        <f t="shared" si="7"/>
        <v>60199011.325790763</v>
      </c>
      <c r="J30" s="587">
        <f t="shared" si="8"/>
        <v>0.71438684606841674</v>
      </c>
      <c r="K30" s="581"/>
      <c r="L30" s="140">
        <f t="shared" si="9"/>
        <v>-2.1879415920945399E-2</v>
      </c>
      <c r="M30" s="166"/>
      <c r="N30" s="573">
        <f>L30-'Rate Impacts Sch 129'!Y30</f>
        <v>0</v>
      </c>
    </row>
    <row r="31" spans="1:14" s="153" customFormat="1" x14ac:dyDescent="0.25">
      <c r="A31" s="426">
        <f t="shared" si="4"/>
        <v>19</v>
      </c>
      <c r="B31" s="156" t="s">
        <v>4</v>
      </c>
      <c r="C31" s="224" t="s">
        <v>205</v>
      </c>
      <c r="D31" s="158">
        <f t="shared" si="5"/>
        <v>72596864</v>
      </c>
      <c r="E31" s="157">
        <f t="shared" si="5"/>
        <v>24876479.451022089</v>
      </c>
      <c r="F31" s="587">
        <f t="shared" si="6"/>
        <v>0.34266603377002741</v>
      </c>
      <c r="G31" s="588"/>
      <c r="H31" s="158">
        <f t="shared" si="7"/>
        <v>72596864</v>
      </c>
      <c r="I31" s="157">
        <f t="shared" si="7"/>
        <v>24472896.219704024</v>
      </c>
      <c r="J31" s="587">
        <f t="shared" si="8"/>
        <v>0.33710679595890014</v>
      </c>
      <c r="K31" s="581"/>
      <c r="L31" s="140">
        <f t="shared" si="9"/>
        <v>-1.6223486611626717E-2</v>
      </c>
      <c r="M31" s="166"/>
      <c r="N31" s="573">
        <f>L31-'Rate Impacts Sch 129'!Y31</f>
        <v>-1.3530843112619095E-16</v>
      </c>
    </row>
    <row r="32" spans="1:14" s="153" customFormat="1" x14ac:dyDescent="0.25">
      <c r="A32" s="426">
        <f t="shared" si="4"/>
        <v>20</v>
      </c>
      <c r="B32" s="156" t="s">
        <v>40</v>
      </c>
      <c r="C32" s="224" t="s">
        <v>206</v>
      </c>
      <c r="D32" s="158">
        <f t="shared" si="5"/>
        <v>6326419</v>
      </c>
      <c r="E32" s="157">
        <f t="shared" si="5"/>
        <v>4106447.2357161893</v>
      </c>
      <c r="F32" s="587">
        <f t="shared" si="6"/>
        <v>0.64909504661581685</v>
      </c>
      <c r="G32" s="588"/>
      <c r="H32" s="158">
        <f t="shared" si="7"/>
        <v>6326419</v>
      </c>
      <c r="I32" s="157">
        <f t="shared" si="7"/>
        <v>4024013.9961461895</v>
      </c>
      <c r="J32" s="587">
        <f t="shared" si="8"/>
        <v>0.63606504661581686</v>
      </c>
      <c r="K32" s="581"/>
      <c r="L32" s="140">
        <f t="shared" si="9"/>
        <v>-2.0074101732765328E-2</v>
      </c>
      <c r="M32" s="166"/>
      <c r="N32" s="573">
        <f>L32-'Rate Impacts Sch 129'!Y32</f>
        <v>6.2450045135165055E-17</v>
      </c>
    </row>
    <row r="33" spans="1:14" s="153" customFormat="1" x14ac:dyDescent="0.25">
      <c r="A33" s="426">
        <f t="shared" si="4"/>
        <v>21</v>
      </c>
      <c r="B33" s="161" t="s">
        <v>207</v>
      </c>
      <c r="C33" s="224" t="s">
        <v>208</v>
      </c>
      <c r="D33" s="158">
        <f t="shared" si="5"/>
        <v>93465707</v>
      </c>
      <c r="E33" s="157">
        <f t="shared" si="5"/>
        <v>13754108.104703825</v>
      </c>
      <c r="F33" s="587">
        <f t="shared" si="6"/>
        <v>0.14715673316100658</v>
      </c>
      <c r="G33" s="588"/>
      <c r="H33" s="158">
        <f t="shared" si="7"/>
        <v>93465707</v>
      </c>
      <c r="I33" s="157">
        <f t="shared" si="7"/>
        <v>13573673.083974078</v>
      </c>
      <c r="J33" s="587">
        <f t="shared" si="8"/>
        <v>0.14522623879551971</v>
      </c>
      <c r="K33" s="581"/>
      <c r="L33" s="140">
        <f t="shared" si="9"/>
        <v>-1.3118627493413327E-2</v>
      </c>
      <c r="M33" s="166"/>
      <c r="N33" s="573">
        <f>L33-'Rate Impacts Sch 129'!Y33</f>
        <v>1.0581813203458523E-16</v>
      </c>
    </row>
    <row r="34" spans="1:14" s="153" customFormat="1" x14ac:dyDescent="0.25">
      <c r="A34" s="426">
        <f t="shared" si="4"/>
        <v>22</v>
      </c>
      <c r="B34" s="161" t="s">
        <v>355</v>
      </c>
      <c r="C34" s="224" t="s">
        <v>288</v>
      </c>
      <c r="D34" s="158">
        <f>D23</f>
        <v>33595800</v>
      </c>
      <c r="E34" s="157">
        <f>E23</f>
        <v>4677561.8962804954</v>
      </c>
      <c r="F34" s="587">
        <f t="shared" si="6"/>
        <v>0.13923055549445154</v>
      </c>
      <c r="G34" s="588"/>
      <c r="H34" s="158">
        <f>H23</f>
        <v>33595800</v>
      </c>
      <c r="I34" s="157">
        <f>I23</f>
        <v>4634663.1802804954</v>
      </c>
      <c r="J34" s="587">
        <f t="shared" si="8"/>
        <v>0.13795364838106239</v>
      </c>
      <c r="K34" s="581"/>
      <c r="L34" s="140">
        <f t="shared" si="9"/>
        <v>-9.171170141887855E-3</v>
      </c>
      <c r="M34" s="166"/>
      <c r="N34" s="573">
        <f>L34-'Rate Impacts Sch 129'!Y34</f>
        <v>0</v>
      </c>
    </row>
    <row r="35" spans="1:14" s="153" customFormat="1" x14ac:dyDescent="0.25">
      <c r="A35" s="426">
        <f t="shared" si="4"/>
        <v>23</v>
      </c>
      <c r="B35" s="161" t="s">
        <v>181</v>
      </c>
      <c r="C35" s="224"/>
      <c r="D35" s="158">
        <f>D24</f>
        <v>33243510</v>
      </c>
      <c r="E35" s="157">
        <f>E24</f>
        <v>3185478.3275307794</v>
      </c>
      <c r="F35" s="587">
        <f t="shared" si="6"/>
        <v>9.582256288613264E-2</v>
      </c>
      <c r="G35" s="588"/>
      <c r="H35" s="158">
        <f>H24</f>
        <v>33243510</v>
      </c>
      <c r="I35" s="157">
        <f>I24</f>
        <v>3185478.3275307794</v>
      </c>
      <c r="J35" s="587">
        <f t="shared" si="8"/>
        <v>9.582256288613264E-2</v>
      </c>
      <c r="K35" s="581"/>
      <c r="L35" s="140">
        <f t="shared" si="9"/>
        <v>0</v>
      </c>
      <c r="M35" s="166"/>
      <c r="N35" s="573">
        <f>L35-'Rate Impacts Sch 129'!Y35</f>
        <v>0</v>
      </c>
    </row>
    <row r="36" spans="1:14" s="153" customFormat="1" x14ac:dyDescent="0.25">
      <c r="A36" s="426">
        <f t="shared" si="4"/>
        <v>24</v>
      </c>
      <c r="B36" s="161" t="s">
        <v>0</v>
      </c>
      <c r="C36" s="161"/>
      <c r="D36" s="589">
        <f>SUM(D28:D35)</f>
        <v>1117560725</v>
      </c>
      <c r="E36" s="590">
        <f>SUM(E28:E35)</f>
        <v>1172667344.3107908</v>
      </c>
      <c r="F36" s="591">
        <f>E36/D36</f>
        <v>1.0493097315233504</v>
      </c>
      <c r="G36" s="588"/>
      <c r="H36" s="589">
        <f>SUM(H28:H35)</f>
        <v>1117560725</v>
      </c>
      <c r="I36" s="590">
        <f>SUM(I28:I35)</f>
        <v>1119523923.198313</v>
      </c>
      <c r="J36" s="591">
        <f>I36/H36</f>
        <v>1.0017566814530934</v>
      </c>
      <c r="K36" s="581"/>
      <c r="L36" s="146">
        <f t="shared" si="9"/>
        <v>-4.5318411372418363E-2</v>
      </c>
      <c r="M36" s="166"/>
      <c r="N36" s="573">
        <f>L36-'Rate Impacts Sch 129'!Y36</f>
        <v>0</v>
      </c>
    </row>
    <row r="37" spans="1:14" s="153" customFormat="1" x14ac:dyDescent="0.25">
      <c r="B37" s="161"/>
      <c r="C37" s="161"/>
      <c r="D37" s="161"/>
      <c r="E37" s="161"/>
      <c r="F37" s="157"/>
      <c r="G37" s="588"/>
      <c r="H37" s="161"/>
      <c r="I37" s="161"/>
      <c r="J37" s="157"/>
      <c r="K37" s="581"/>
      <c r="L37" s="592"/>
      <c r="M37" s="166"/>
      <c r="N37" s="573"/>
    </row>
    <row r="38" spans="1:14" ht="17.25" x14ac:dyDescent="0.25">
      <c r="B38" t="s">
        <v>356</v>
      </c>
    </row>
  </sheetData>
  <mergeCells count="6">
    <mergeCell ref="A1:L1"/>
    <mergeCell ref="A2:L2"/>
    <mergeCell ref="A3:L3"/>
    <mergeCell ref="A4:L4"/>
    <mergeCell ref="D6:F6"/>
    <mergeCell ref="H6:J6"/>
  </mergeCells>
  <printOptions horizontalCentered="1"/>
  <pageMargins left="0.7" right="0.7" top="0.75" bottom="0.75" header="0.3" footer="0.3"/>
  <pageSetup scale="69" orientation="landscape" blackAndWhite="1" r:id="rId1"/>
  <headerFooter>
    <oddFooter>&amp;L&amp;F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zoomScale="90" zoomScaleNormal="90" workbookViewId="0">
      <pane ySplit="8" topLeftCell="A33" activePane="bottomLeft" state="frozen"/>
      <selection activeCell="J41" sqref="J41"/>
      <selection pane="bottomLeft" activeCell="I62" sqref="I62"/>
    </sheetView>
  </sheetViews>
  <sheetFormatPr defaultColWidth="9.140625" defaultRowHeight="15" x14ac:dyDescent="0.25"/>
  <cols>
    <col min="1" max="1" width="3.5703125" style="168" customWidth="1"/>
    <col min="2" max="2" width="19.85546875" style="168" customWidth="1"/>
    <col min="3" max="3" width="8.7109375" style="168" bestFit="1" customWidth="1"/>
    <col min="4" max="4" width="18.5703125" style="168" bestFit="1" customWidth="1"/>
    <col min="5" max="5" width="13.7109375" style="168" customWidth="1"/>
    <col min="6" max="6" width="13.7109375" style="210" customWidth="1"/>
    <col min="7" max="9" width="14.42578125" style="168" customWidth="1"/>
    <col min="10" max="10" width="8.28515625" style="168" customWidth="1"/>
    <col min="11" max="11" width="11.85546875" style="168" bestFit="1" customWidth="1"/>
    <col min="12" max="12" width="11.28515625" style="168" bestFit="1" customWidth="1"/>
    <col min="13" max="13" width="10.5703125" style="168" customWidth="1"/>
    <col min="14" max="16384" width="9.140625" style="168"/>
  </cols>
  <sheetData>
    <row r="1" spans="1:10" ht="15" customHeight="1" x14ac:dyDescent="0.25">
      <c r="A1" s="601" t="s">
        <v>12</v>
      </c>
      <c r="B1" s="601"/>
      <c r="C1" s="601"/>
      <c r="D1" s="601"/>
      <c r="E1" s="601"/>
      <c r="F1" s="601"/>
      <c r="G1" s="601"/>
      <c r="H1" s="601"/>
      <c r="I1" s="601"/>
      <c r="J1" s="601"/>
    </row>
    <row r="2" spans="1:10" ht="15" customHeight="1" x14ac:dyDescent="0.25">
      <c r="A2" s="601" t="s">
        <v>275</v>
      </c>
      <c r="B2" s="601"/>
      <c r="C2" s="601"/>
      <c r="D2" s="601"/>
      <c r="E2" s="601"/>
      <c r="F2" s="601"/>
      <c r="G2" s="601"/>
      <c r="H2" s="601"/>
      <c r="I2" s="601"/>
      <c r="J2" s="601"/>
    </row>
    <row r="3" spans="1:10" ht="15" customHeight="1" x14ac:dyDescent="0.25">
      <c r="A3" s="601" t="s">
        <v>276</v>
      </c>
      <c r="B3" s="601"/>
      <c r="C3" s="601"/>
      <c r="D3" s="601"/>
      <c r="E3" s="601"/>
      <c r="F3" s="601"/>
      <c r="G3" s="601"/>
      <c r="H3" s="601"/>
      <c r="I3" s="601"/>
      <c r="J3" s="601"/>
    </row>
    <row r="4" spans="1:10" ht="15" customHeight="1" x14ac:dyDescent="0.25">
      <c r="A4" s="602" t="s">
        <v>321</v>
      </c>
      <c r="B4" s="602"/>
      <c r="C4" s="602"/>
      <c r="D4" s="602"/>
      <c r="E4" s="602"/>
      <c r="F4" s="602"/>
      <c r="G4" s="602"/>
      <c r="H4" s="602"/>
      <c r="I4" s="602"/>
      <c r="J4" s="602"/>
    </row>
    <row r="6" spans="1:10" x14ac:dyDescent="0.25">
      <c r="D6" s="193" t="s">
        <v>153</v>
      </c>
      <c r="E6" s="425"/>
      <c r="F6" s="219"/>
      <c r="G6" s="425" t="s">
        <v>153</v>
      </c>
      <c r="H6" s="425" t="s">
        <v>153</v>
      </c>
      <c r="I6" s="425" t="s">
        <v>277</v>
      </c>
    </row>
    <row r="7" spans="1:10" x14ac:dyDescent="0.25">
      <c r="C7" s="425" t="s">
        <v>11</v>
      </c>
      <c r="D7" s="193" t="s">
        <v>194</v>
      </c>
      <c r="E7" s="425" t="s">
        <v>74</v>
      </c>
      <c r="F7" s="219" t="s">
        <v>26</v>
      </c>
      <c r="G7" s="425" t="s">
        <v>6</v>
      </c>
      <c r="H7" s="425" t="s">
        <v>6</v>
      </c>
      <c r="I7" s="425" t="s">
        <v>6</v>
      </c>
      <c r="J7" s="193" t="s">
        <v>61</v>
      </c>
    </row>
    <row r="8" spans="1:10" x14ac:dyDescent="0.25">
      <c r="A8" s="603" t="s">
        <v>25</v>
      </c>
      <c r="B8" s="603"/>
      <c r="C8" s="430" t="s">
        <v>7</v>
      </c>
      <c r="D8" s="429" t="str">
        <f>'Rate Impacts Sch 129'!$V$6</f>
        <v>12ME Sept. 2025</v>
      </c>
      <c r="E8" s="430" t="s">
        <v>195</v>
      </c>
      <c r="F8" s="196" t="s">
        <v>11</v>
      </c>
      <c r="G8" s="430" t="s">
        <v>184</v>
      </c>
      <c r="H8" s="430" t="s">
        <v>105</v>
      </c>
      <c r="I8" s="430" t="s">
        <v>62</v>
      </c>
      <c r="J8" s="132" t="s">
        <v>62</v>
      </c>
    </row>
    <row r="9" spans="1:10" x14ac:dyDescent="0.25">
      <c r="A9" s="168" t="s">
        <v>5</v>
      </c>
      <c r="C9" s="425" t="s">
        <v>24</v>
      </c>
      <c r="D9" s="259">
        <v>563922736</v>
      </c>
      <c r="E9" s="197">
        <v>8.5290000000000005E-2</v>
      </c>
      <c r="F9" s="217">
        <f>Rates!$I$10</f>
        <v>1.3089999999999999E-2</v>
      </c>
      <c r="G9" s="195">
        <f>D9*(E9)</f>
        <v>48096970.153440006</v>
      </c>
      <c r="H9" s="195">
        <f>D9*(F9)</f>
        <v>7381748.6142399991</v>
      </c>
      <c r="I9" s="198">
        <f>H9-G9</f>
        <v>-40715221.539200008</v>
      </c>
      <c r="J9" s="188">
        <f>IF(G9=0,0,I9/G9)</f>
        <v>-0.84652362527846181</v>
      </c>
    </row>
    <row r="10" spans="1:10" x14ac:dyDescent="0.25">
      <c r="C10" s="425"/>
      <c r="D10" s="259"/>
      <c r="E10" s="197"/>
      <c r="F10" s="217"/>
      <c r="G10" s="195"/>
      <c r="H10" s="195"/>
      <c r="I10" s="198"/>
    </row>
    <row r="11" spans="1:10" x14ac:dyDescent="0.25">
      <c r="A11" s="168" t="s">
        <v>23</v>
      </c>
      <c r="C11" s="425">
        <v>31</v>
      </c>
      <c r="D11" s="260">
        <v>230136848</v>
      </c>
      <c r="E11" s="197">
        <v>5.6140000000000002E-2</v>
      </c>
      <c r="F11" s="217">
        <f>Rates!$I$12</f>
        <v>1.107E-2</v>
      </c>
      <c r="G11" s="195">
        <f>D11*(E11)</f>
        <v>12919882.646720001</v>
      </c>
      <c r="H11" s="195">
        <f>D11*(F11)</f>
        <v>2547614.9073600001</v>
      </c>
      <c r="I11" s="198">
        <f t="shared" ref="I11:I47" si="0">H11-G11</f>
        <v>-10372267.739360001</v>
      </c>
      <c r="J11" s="188">
        <f t="shared" ref="J11:J12" si="1">IF(G11=0,0,I11/G11)</f>
        <v>-0.80281439258995368</v>
      </c>
    </row>
    <row r="12" spans="1:10" x14ac:dyDescent="0.25">
      <c r="A12" s="168" t="s">
        <v>23</v>
      </c>
      <c r="C12" s="425" t="s">
        <v>174</v>
      </c>
      <c r="D12" s="260">
        <v>0</v>
      </c>
      <c r="E12" s="197">
        <v>5.6140000000000002E-2</v>
      </c>
      <c r="F12" s="217">
        <f>Rates!$I$12</f>
        <v>1.107E-2</v>
      </c>
      <c r="G12" s="195">
        <f>D12*(E12)</f>
        <v>0</v>
      </c>
      <c r="H12" s="195">
        <f>D12*(F12)</f>
        <v>0</v>
      </c>
      <c r="I12" s="198">
        <f t="shared" si="0"/>
        <v>0</v>
      </c>
      <c r="J12" s="188">
        <f t="shared" si="1"/>
        <v>0</v>
      </c>
    </row>
    <row r="13" spans="1:10" x14ac:dyDescent="0.25">
      <c r="C13" s="425"/>
      <c r="D13" s="259"/>
      <c r="E13" s="197"/>
      <c r="F13" s="217"/>
      <c r="G13" s="195"/>
      <c r="H13" s="195"/>
      <c r="I13" s="198"/>
    </row>
    <row r="14" spans="1:10" x14ac:dyDescent="0.25">
      <c r="A14" s="168" t="s">
        <v>22</v>
      </c>
      <c r="C14" s="425">
        <v>41</v>
      </c>
      <c r="D14" s="260">
        <v>63165967</v>
      </c>
      <c r="E14" s="197">
        <v>2.145E-2</v>
      </c>
      <c r="F14" s="217">
        <f>Rates!$I$14</f>
        <v>5.47E-3</v>
      </c>
      <c r="G14" s="195">
        <f>D14*(E14)</f>
        <v>1354909.9921500001</v>
      </c>
      <c r="H14" s="195">
        <f>D14*(F14)</f>
        <v>345517.83948999998</v>
      </c>
      <c r="I14" s="198">
        <f t="shared" si="0"/>
        <v>-1009392.1526600001</v>
      </c>
      <c r="J14" s="188">
        <f t="shared" ref="J14:J15" si="2">IF(G14=0,0,I14/G14)</f>
        <v>-0.7449883449883451</v>
      </c>
    </row>
    <row r="15" spans="1:10" x14ac:dyDescent="0.25">
      <c r="A15" s="168" t="s">
        <v>22</v>
      </c>
      <c r="C15" s="425" t="s">
        <v>176</v>
      </c>
      <c r="D15" s="261">
        <v>21100718</v>
      </c>
      <c r="E15" s="197">
        <v>2.145E-2</v>
      </c>
      <c r="F15" s="217">
        <f>Rates!$I$14</f>
        <v>5.47E-3</v>
      </c>
      <c r="G15" s="195">
        <f>D15*(E15)</f>
        <v>452610.40110000002</v>
      </c>
      <c r="H15" s="195">
        <f>D15*(F15)</f>
        <v>115420.92746000001</v>
      </c>
      <c r="I15" s="198">
        <f t="shared" si="0"/>
        <v>-337189.47363999998</v>
      </c>
      <c r="J15" s="188">
        <f t="shared" si="2"/>
        <v>-0.74498834498834487</v>
      </c>
    </row>
    <row r="16" spans="1:10" x14ac:dyDescent="0.25">
      <c r="C16" s="425"/>
      <c r="D16" s="259"/>
      <c r="E16" s="197"/>
      <c r="F16" s="217"/>
      <c r="G16" s="195"/>
      <c r="H16" s="195"/>
      <c r="I16" s="198"/>
    </row>
    <row r="17" spans="1:10" x14ac:dyDescent="0.25">
      <c r="A17" s="168" t="s">
        <v>4</v>
      </c>
      <c r="C17" s="425">
        <v>85</v>
      </c>
      <c r="D17" s="259"/>
      <c r="E17" s="197"/>
      <c r="F17" s="217"/>
      <c r="G17" s="195"/>
      <c r="H17" s="195"/>
      <c r="I17" s="198"/>
    </row>
    <row r="18" spans="1:10" x14ac:dyDescent="0.25">
      <c r="B18" s="168" t="s">
        <v>18</v>
      </c>
      <c r="C18" s="425"/>
      <c r="D18" s="259">
        <v>7270724.7456251755</v>
      </c>
      <c r="E18" s="200">
        <v>1.23E-2</v>
      </c>
      <c r="F18" s="218">
        <f>Rates!I17</f>
        <v>3.8500000000000001E-3</v>
      </c>
      <c r="G18" s="195">
        <f t="shared" ref="G18:G47" si="3">D18*(E18)</f>
        <v>89429.914371189661</v>
      </c>
      <c r="H18" s="195">
        <f t="shared" ref="H18:H47" si="4">D18*(F18)</f>
        <v>27992.290270656926</v>
      </c>
      <c r="I18" s="198">
        <f t="shared" si="0"/>
        <v>-61437.624100532732</v>
      </c>
      <c r="J18" s="188">
        <f t="shared" ref="J18:J21" si="5">IF(G18=0,0,I18/G18)</f>
        <v>-0.68699186991869921</v>
      </c>
    </row>
    <row r="19" spans="1:10" x14ac:dyDescent="0.25">
      <c r="B19" s="168" t="s">
        <v>17</v>
      </c>
      <c r="C19" s="425"/>
      <c r="D19" s="259">
        <v>3827071.010407425</v>
      </c>
      <c r="E19" s="200">
        <v>7.4999999999999997E-3</v>
      </c>
      <c r="F19" s="218">
        <f>Rates!I18</f>
        <v>2.32E-3</v>
      </c>
      <c r="G19" s="195">
        <f t="shared" si="3"/>
        <v>28703.032578055685</v>
      </c>
      <c r="H19" s="195">
        <f t="shared" si="4"/>
        <v>8878.8047441452254</v>
      </c>
      <c r="I19" s="198">
        <f t="shared" si="0"/>
        <v>-19824.22783391046</v>
      </c>
      <c r="J19" s="188">
        <f t="shared" si="5"/>
        <v>-0.69066666666666665</v>
      </c>
    </row>
    <row r="20" spans="1:10" x14ac:dyDescent="0.25">
      <c r="B20" s="168" t="s">
        <v>21</v>
      </c>
      <c r="C20" s="425"/>
      <c r="D20" s="259">
        <v>6501594.2439674009</v>
      </c>
      <c r="E20" s="200">
        <v>4.3400000000000001E-3</v>
      </c>
      <c r="F20" s="218">
        <f>Rates!I19</f>
        <v>1.2800000000000001E-3</v>
      </c>
      <c r="G20" s="195">
        <f t="shared" si="3"/>
        <v>28216.91901881852</v>
      </c>
      <c r="H20" s="195">
        <f t="shared" si="4"/>
        <v>8322.0406322782746</v>
      </c>
      <c r="I20" s="198">
        <f t="shared" si="0"/>
        <v>-19894.878386540244</v>
      </c>
      <c r="J20" s="593">
        <f t="shared" si="5"/>
        <v>-0.70506912442396297</v>
      </c>
    </row>
    <row r="21" spans="1:10" x14ac:dyDescent="0.25">
      <c r="B21" s="168" t="s">
        <v>0</v>
      </c>
      <c r="C21" s="425"/>
      <c r="D21" s="201">
        <f>SUM(D18:D20)</f>
        <v>17599390</v>
      </c>
      <c r="E21" s="197"/>
      <c r="F21" s="217"/>
      <c r="G21" s="202">
        <f>SUM(G18:G20)</f>
        <v>146349.86596806388</v>
      </c>
      <c r="H21" s="202">
        <f t="shared" ref="H21:I21" si="6">SUM(H18:H20)</f>
        <v>45193.135647080424</v>
      </c>
      <c r="I21" s="202">
        <f t="shared" si="6"/>
        <v>-101156.73032098345</v>
      </c>
      <c r="J21" s="188">
        <f t="shared" si="5"/>
        <v>-0.69119797036956376</v>
      </c>
    </row>
    <row r="22" spans="1:10" x14ac:dyDescent="0.25">
      <c r="C22" s="425"/>
      <c r="D22" s="199"/>
      <c r="E22" s="197"/>
      <c r="F22" s="217"/>
      <c r="G22" s="195"/>
      <c r="H22" s="195"/>
      <c r="I22" s="198"/>
    </row>
    <row r="23" spans="1:10" x14ac:dyDescent="0.25">
      <c r="A23" s="168" t="s">
        <v>4</v>
      </c>
      <c r="C23" s="425">
        <v>86</v>
      </c>
      <c r="D23" s="260">
        <v>4965740</v>
      </c>
      <c r="E23" s="197">
        <v>1.7219999999999999E-2</v>
      </c>
      <c r="F23" s="217">
        <f>Rates!$I$22</f>
        <v>4.1900000000000001E-3</v>
      </c>
      <c r="G23" s="195">
        <f t="shared" si="3"/>
        <v>85510.042799999996</v>
      </c>
      <c r="H23" s="195">
        <f t="shared" si="4"/>
        <v>20806.4506</v>
      </c>
      <c r="I23" s="198">
        <f t="shared" si="0"/>
        <v>-64703.592199999999</v>
      </c>
      <c r="J23" s="188">
        <f t="shared" ref="J23:J24" si="7">IF(G23=0,0,I23/G23)</f>
        <v>-0.75667828106852497</v>
      </c>
    </row>
    <row r="24" spans="1:10" x14ac:dyDescent="0.25">
      <c r="A24" s="168" t="s">
        <v>4</v>
      </c>
      <c r="C24" s="425" t="s">
        <v>179</v>
      </c>
      <c r="D24" s="261">
        <v>1360679</v>
      </c>
      <c r="E24" s="197">
        <v>1.7219999999999999E-2</v>
      </c>
      <c r="F24" s="217">
        <f>Rates!$I$22</f>
        <v>4.1900000000000001E-3</v>
      </c>
      <c r="G24" s="195">
        <f t="shared" si="3"/>
        <v>23430.892379999998</v>
      </c>
      <c r="H24" s="195">
        <f t="shared" si="4"/>
        <v>5701.2450100000005</v>
      </c>
      <c r="I24" s="198">
        <f t="shared" si="0"/>
        <v>-17729.647369999999</v>
      </c>
      <c r="J24" s="188">
        <f t="shared" si="7"/>
        <v>-0.75667828106852497</v>
      </c>
    </row>
    <row r="25" spans="1:10" x14ac:dyDescent="0.25">
      <c r="C25" s="425"/>
      <c r="D25" s="259"/>
      <c r="E25" s="197"/>
      <c r="F25" s="217"/>
      <c r="G25" s="195"/>
      <c r="H25" s="195"/>
      <c r="I25" s="198"/>
    </row>
    <row r="26" spans="1:10" x14ac:dyDescent="0.25">
      <c r="A26" s="168" t="s">
        <v>4</v>
      </c>
      <c r="C26" s="425">
        <v>87</v>
      </c>
      <c r="D26" s="259"/>
      <c r="E26" s="197"/>
      <c r="F26" s="217"/>
      <c r="G26" s="195"/>
      <c r="H26" s="195"/>
      <c r="I26" s="198"/>
    </row>
    <row r="27" spans="1:10" x14ac:dyDescent="0.25">
      <c r="B27" s="168" t="s">
        <v>18</v>
      </c>
      <c r="C27" s="425"/>
      <c r="D27" s="259">
        <v>1290042.4428857376</v>
      </c>
      <c r="E27" s="200">
        <v>1.23E-2</v>
      </c>
      <c r="F27" s="218">
        <f>Rates!I25</f>
        <v>3.8500000000000001E-3</v>
      </c>
      <c r="G27" s="195">
        <f t="shared" si="3"/>
        <v>15867.522047494573</v>
      </c>
      <c r="H27" s="195">
        <f t="shared" si="4"/>
        <v>4966.66340511009</v>
      </c>
      <c r="I27" s="198">
        <f t="shared" si="0"/>
        <v>-10900.858642384483</v>
      </c>
      <c r="J27" s="188">
        <f t="shared" ref="J27:J33" si="8">IF(G27=0,0,I27/G27)</f>
        <v>-0.68699186991869921</v>
      </c>
    </row>
    <row r="28" spans="1:10" x14ac:dyDescent="0.25">
      <c r="B28" s="168" t="s">
        <v>17</v>
      </c>
      <c r="C28" s="425"/>
      <c r="D28" s="259">
        <v>1192638.8524402829</v>
      </c>
      <c r="E28" s="200">
        <v>7.4999999999999997E-3</v>
      </c>
      <c r="F28" s="218">
        <f>Rates!I26</f>
        <v>2.32E-3</v>
      </c>
      <c r="G28" s="195">
        <f t="shared" si="3"/>
        <v>8944.7913933021209</v>
      </c>
      <c r="H28" s="195">
        <f t="shared" si="4"/>
        <v>2766.9221376614564</v>
      </c>
      <c r="I28" s="198">
        <f t="shared" si="0"/>
        <v>-6177.8692556406641</v>
      </c>
      <c r="J28" s="188">
        <f t="shared" si="8"/>
        <v>-0.69066666666666654</v>
      </c>
    </row>
    <row r="29" spans="1:10" x14ac:dyDescent="0.25">
      <c r="B29" s="168" t="s">
        <v>16</v>
      </c>
      <c r="C29" s="425"/>
      <c r="D29" s="259">
        <v>1976524.530494197</v>
      </c>
      <c r="E29" s="200">
        <v>4.8500000000000001E-3</v>
      </c>
      <c r="F29" s="218">
        <f>Rates!I27</f>
        <v>1.48E-3</v>
      </c>
      <c r="G29" s="195">
        <f t="shared" si="3"/>
        <v>9586.1439728968562</v>
      </c>
      <c r="H29" s="195">
        <f t="shared" si="4"/>
        <v>2925.2563051314114</v>
      </c>
      <c r="I29" s="198">
        <f t="shared" si="0"/>
        <v>-6660.8876677654443</v>
      </c>
      <c r="J29" s="188">
        <f t="shared" si="8"/>
        <v>-0.69484536082474224</v>
      </c>
    </row>
    <row r="30" spans="1:10" x14ac:dyDescent="0.25">
      <c r="B30" s="168" t="s">
        <v>15</v>
      </c>
      <c r="C30" s="425"/>
      <c r="D30" s="259">
        <v>2597889.7019822961</v>
      </c>
      <c r="E30" s="200">
        <v>3.1699999999999996E-3</v>
      </c>
      <c r="F30" s="218">
        <f>Rates!I28</f>
        <v>9.5E-4</v>
      </c>
      <c r="G30" s="195">
        <f t="shared" si="3"/>
        <v>8235.3103552838784</v>
      </c>
      <c r="H30" s="195">
        <f t="shared" si="4"/>
        <v>2467.9952168831815</v>
      </c>
      <c r="I30" s="198">
        <f t="shared" si="0"/>
        <v>-5767.3151384006969</v>
      </c>
      <c r="J30" s="188">
        <f t="shared" si="8"/>
        <v>-0.70031545741324919</v>
      </c>
    </row>
    <row r="31" spans="1:10" x14ac:dyDescent="0.25">
      <c r="B31" s="168" t="s">
        <v>14</v>
      </c>
      <c r="C31" s="425"/>
      <c r="D31" s="259">
        <v>3234967.6179455495</v>
      </c>
      <c r="E31" s="200">
        <v>2.3400000000000001E-3</v>
      </c>
      <c r="F31" s="218">
        <f>Rates!I29</f>
        <v>6.8000000000000005E-4</v>
      </c>
      <c r="G31" s="195">
        <f t="shared" si="3"/>
        <v>7569.8242259925864</v>
      </c>
      <c r="H31" s="195">
        <f t="shared" si="4"/>
        <v>2199.777980202974</v>
      </c>
      <c r="I31" s="198">
        <f t="shared" si="0"/>
        <v>-5370.0462457896119</v>
      </c>
      <c r="J31" s="188">
        <f t="shared" si="8"/>
        <v>-0.70940170940170932</v>
      </c>
    </row>
    <row r="32" spans="1:10" x14ac:dyDescent="0.25">
      <c r="B32" s="168" t="s">
        <v>19</v>
      </c>
      <c r="C32" s="425"/>
      <c r="D32" s="259">
        <v>8321978.8542519351</v>
      </c>
      <c r="E32" s="200">
        <v>1.48E-3</v>
      </c>
      <c r="F32" s="218">
        <f>Rates!I30</f>
        <v>4.6000000000000001E-4</v>
      </c>
      <c r="G32" s="195">
        <f t="shared" si="3"/>
        <v>12316.528704292863</v>
      </c>
      <c r="H32" s="195">
        <f t="shared" si="4"/>
        <v>3828.1102729558902</v>
      </c>
      <c r="I32" s="198">
        <f t="shared" si="0"/>
        <v>-8488.4184313369733</v>
      </c>
      <c r="J32" s="593">
        <f t="shared" si="8"/>
        <v>-0.68918918918918914</v>
      </c>
    </row>
    <row r="33" spans="1:10" x14ac:dyDescent="0.25">
      <c r="B33" s="168" t="s">
        <v>0</v>
      </c>
      <c r="C33" s="425"/>
      <c r="D33" s="201">
        <f>SUM(D27:D32)</f>
        <v>18614042</v>
      </c>
      <c r="E33" s="197"/>
      <c r="F33" s="217"/>
      <c r="G33" s="202">
        <f>SUM(G27:G32)</f>
        <v>62520.120699262879</v>
      </c>
      <c r="H33" s="202">
        <f t="shared" ref="H33:I33" si="9">SUM(H27:H32)</f>
        <v>19154.725317945005</v>
      </c>
      <c r="I33" s="202">
        <f t="shared" si="9"/>
        <v>-43365.395381317867</v>
      </c>
      <c r="J33" s="188">
        <f t="shared" si="8"/>
        <v>-0.69362302721576719</v>
      </c>
    </row>
    <row r="34" spans="1:10" x14ac:dyDescent="0.25">
      <c r="C34" s="425"/>
      <c r="D34" s="204"/>
      <c r="E34" s="197"/>
      <c r="F34" s="217"/>
      <c r="G34" s="195"/>
      <c r="H34" s="195"/>
      <c r="I34" s="198"/>
      <c r="J34" s="205"/>
    </row>
    <row r="35" spans="1:10" x14ac:dyDescent="0.25">
      <c r="A35" s="168" t="s">
        <v>20</v>
      </c>
      <c r="C35" s="425" t="s">
        <v>3</v>
      </c>
      <c r="D35" s="204"/>
      <c r="E35" s="197"/>
      <c r="F35" s="217"/>
      <c r="G35" s="195"/>
      <c r="H35" s="195"/>
      <c r="I35" s="198"/>
      <c r="J35" s="205"/>
    </row>
    <row r="36" spans="1:10" x14ac:dyDescent="0.25">
      <c r="B36" s="168" t="s">
        <v>18</v>
      </c>
      <c r="C36" s="425"/>
      <c r="D36" s="260">
        <v>19444110.174941685</v>
      </c>
      <c r="E36" s="200">
        <v>1.23E-2</v>
      </c>
      <c r="F36" s="218">
        <f>Rates!I34</f>
        <v>3.8500000000000001E-3</v>
      </c>
      <c r="G36" s="195">
        <f t="shared" si="3"/>
        <v>239162.55515178273</v>
      </c>
      <c r="H36" s="195">
        <f t="shared" si="4"/>
        <v>74859.824173525485</v>
      </c>
      <c r="I36" s="198">
        <f t="shared" si="0"/>
        <v>-164302.73097825726</v>
      </c>
      <c r="J36" s="188">
        <f t="shared" ref="J36:J39" si="10">IF(G36=0,0,I36/G36)</f>
        <v>-0.68699186991869921</v>
      </c>
    </row>
    <row r="37" spans="1:10" x14ac:dyDescent="0.25">
      <c r="B37" s="168" t="s">
        <v>17</v>
      </c>
      <c r="C37" s="425"/>
      <c r="D37" s="260">
        <v>13835130.525538433</v>
      </c>
      <c r="E37" s="200">
        <v>7.4999999999999997E-3</v>
      </c>
      <c r="F37" s="218">
        <f>Rates!I35</f>
        <v>2.32E-3</v>
      </c>
      <c r="G37" s="195">
        <f t="shared" si="3"/>
        <v>103763.47894153824</v>
      </c>
      <c r="H37" s="195">
        <f t="shared" si="4"/>
        <v>32097.502819249166</v>
      </c>
      <c r="I37" s="198">
        <f t="shared" si="0"/>
        <v>-71665.976122289081</v>
      </c>
      <c r="J37" s="188">
        <f t="shared" si="10"/>
        <v>-0.69066666666666665</v>
      </c>
    </row>
    <row r="38" spans="1:10" x14ac:dyDescent="0.25">
      <c r="B38" s="168" t="s">
        <v>21</v>
      </c>
      <c r="C38" s="425"/>
      <c r="D38" s="260">
        <v>21718233.299519885</v>
      </c>
      <c r="E38" s="200">
        <v>4.3400000000000001E-3</v>
      </c>
      <c r="F38" s="218">
        <f>Rates!I36</f>
        <v>1.2800000000000001E-3</v>
      </c>
      <c r="G38" s="195">
        <f t="shared" si="3"/>
        <v>94257.132519916311</v>
      </c>
      <c r="H38" s="195">
        <f t="shared" si="4"/>
        <v>27799.338623385454</v>
      </c>
      <c r="I38" s="198">
        <f t="shared" si="0"/>
        <v>-66457.793896530857</v>
      </c>
      <c r="J38" s="593">
        <f t="shared" si="10"/>
        <v>-0.70506912442396319</v>
      </c>
    </row>
    <row r="39" spans="1:10" x14ac:dyDescent="0.25">
      <c r="B39" s="168" t="s">
        <v>0</v>
      </c>
      <c r="C39" s="425"/>
      <c r="D39" s="201">
        <f>SUM(D36:D38)</f>
        <v>54997474</v>
      </c>
      <c r="E39" s="197"/>
      <c r="F39" s="217"/>
      <c r="G39" s="202">
        <f>SUM(G36:G38)</f>
        <v>437183.16661323723</v>
      </c>
      <c r="H39" s="202">
        <f t="shared" ref="H39:I39" si="11">SUM(H36:H38)</f>
        <v>134756.66561616008</v>
      </c>
      <c r="I39" s="202">
        <f t="shared" si="11"/>
        <v>-302426.50099707721</v>
      </c>
      <c r="J39" s="188">
        <f t="shared" si="10"/>
        <v>-0.69176154091180919</v>
      </c>
    </row>
    <row r="40" spans="1:10" x14ac:dyDescent="0.25">
      <c r="C40" s="425"/>
      <c r="D40" s="204"/>
      <c r="E40" s="197"/>
      <c r="F40" s="217"/>
      <c r="G40" s="195"/>
      <c r="H40" s="195"/>
      <c r="I40" s="198"/>
      <c r="J40" s="205"/>
    </row>
    <row r="41" spans="1:10" x14ac:dyDescent="0.25">
      <c r="A41" s="168" t="s">
        <v>20</v>
      </c>
      <c r="C41" s="425" t="s">
        <v>2</v>
      </c>
      <c r="D41" s="204"/>
      <c r="E41" s="197"/>
      <c r="F41" s="217"/>
      <c r="G41" s="195"/>
      <c r="H41" s="195"/>
      <c r="I41" s="198"/>
    </row>
    <row r="42" spans="1:10" x14ac:dyDescent="0.25">
      <c r="B42" s="168" t="s">
        <v>18</v>
      </c>
      <c r="C42" s="425"/>
      <c r="D42" s="260">
        <v>2302188.9217230035</v>
      </c>
      <c r="E42" s="200">
        <v>1.23E-2</v>
      </c>
      <c r="F42" s="218">
        <f>Rates!I40</f>
        <v>3.8500000000000001E-3</v>
      </c>
      <c r="G42" s="195">
        <f t="shared" si="3"/>
        <v>28316.923737192945</v>
      </c>
      <c r="H42" s="195">
        <f t="shared" si="4"/>
        <v>8863.4273486335642</v>
      </c>
      <c r="I42" s="198">
        <f t="shared" si="0"/>
        <v>-19453.496388559382</v>
      </c>
      <c r="J42" s="188">
        <f t="shared" ref="J42:J48" si="12">IF(G42=0,0,I42/G42)</f>
        <v>-0.68699186991869921</v>
      </c>
    </row>
    <row r="43" spans="1:10" x14ac:dyDescent="0.25">
      <c r="B43" s="168" t="s">
        <v>17</v>
      </c>
      <c r="C43" s="425"/>
      <c r="D43" s="260">
        <v>2303118.0993660721</v>
      </c>
      <c r="E43" s="200">
        <v>7.4999999999999997E-3</v>
      </c>
      <c r="F43" s="218">
        <f>Rates!I41</f>
        <v>2.32E-3</v>
      </c>
      <c r="G43" s="195">
        <f t="shared" si="3"/>
        <v>17273.385745245541</v>
      </c>
      <c r="H43" s="195">
        <f t="shared" si="4"/>
        <v>5343.2339905292874</v>
      </c>
      <c r="I43" s="198">
        <f t="shared" si="0"/>
        <v>-11930.151754716255</v>
      </c>
      <c r="J43" s="188">
        <f t="shared" si="12"/>
        <v>-0.69066666666666676</v>
      </c>
    </row>
    <row r="44" spans="1:10" x14ac:dyDescent="0.25">
      <c r="B44" s="168" t="s">
        <v>16</v>
      </c>
      <c r="C44" s="425"/>
      <c r="D44" s="260">
        <v>4606236.1987321442</v>
      </c>
      <c r="E44" s="200">
        <v>4.8500000000000001E-3</v>
      </c>
      <c r="F44" s="218">
        <f>Rates!I42</f>
        <v>1.48E-3</v>
      </c>
      <c r="G44" s="195">
        <f t="shared" si="3"/>
        <v>22340.245563850902</v>
      </c>
      <c r="H44" s="195">
        <f t="shared" si="4"/>
        <v>6817.229574123573</v>
      </c>
      <c r="I44" s="198">
        <f t="shared" si="0"/>
        <v>-15523.01598972733</v>
      </c>
      <c r="J44" s="188">
        <f t="shared" si="12"/>
        <v>-0.69484536082474235</v>
      </c>
    </row>
    <row r="45" spans="1:10" x14ac:dyDescent="0.25">
      <c r="B45" s="168" t="s">
        <v>15</v>
      </c>
      <c r="C45" s="425"/>
      <c r="D45" s="260">
        <v>8800744.7579007708</v>
      </c>
      <c r="E45" s="200">
        <v>3.1699999999999996E-3</v>
      </c>
      <c r="F45" s="218">
        <f>Rates!I43</f>
        <v>9.5E-4</v>
      </c>
      <c r="G45" s="195">
        <f t="shared" si="3"/>
        <v>27898.360882545439</v>
      </c>
      <c r="H45" s="195">
        <f t="shared" si="4"/>
        <v>8360.7075200057316</v>
      </c>
      <c r="I45" s="198">
        <f t="shared" si="0"/>
        <v>-19537.653362539706</v>
      </c>
      <c r="J45" s="188">
        <f t="shared" si="12"/>
        <v>-0.70031545741324908</v>
      </c>
    </row>
    <row r="46" spans="1:10" x14ac:dyDescent="0.25">
      <c r="B46" s="168" t="s">
        <v>14</v>
      </c>
      <c r="C46" s="425"/>
      <c r="D46" s="260">
        <v>19764286.390881229</v>
      </c>
      <c r="E46" s="200">
        <v>2.3400000000000001E-3</v>
      </c>
      <c r="F46" s="218">
        <f>Rates!I44</f>
        <v>6.8000000000000005E-4</v>
      </c>
      <c r="G46" s="195">
        <f t="shared" si="3"/>
        <v>46248.430154662077</v>
      </c>
      <c r="H46" s="195">
        <f t="shared" si="4"/>
        <v>13439.714745799236</v>
      </c>
      <c r="I46" s="198">
        <f t="shared" si="0"/>
        <v>-32808.715408862845</v>
      </c>
      <c r="J46" s="188">
        <f t="shared" si="12"/>
        <v>-0.70940170940170943</v>
      </c>
    </row>
    <row r="47" spans="1:10" x14ac:dyDescent="0.25">
      <c r="B47" s="168" t="s">
        <v>19</v>
      </c>
      <c r="C47" s="425"/>
      <c r="D47" s="260">
        <v>37075090.631396778</v>
      </c>
      <c r="E47" s="200">
        <v>1.48E-3</v>
      </c>
      <c r="F47" s="218">
        <f>Rates!I45</f>
        <v>4.6000000000000001E-4</v>
      </c>
      <c r="G47" s="195">
        <f t="shared" si="3"/>
        <v>54871.134134467233</v>
      </c>
      <c r="H47" s="195">
        <f t="shared" si="4"/>
        <v>17054.541690442518</v>
      </c>
      <c r="I47" s="198">
        <f t="shared" si="0"/>
        <v>-37816.592444024718</v>
      </c>
      <c r="J47" s="593">
        <f t="shared" si="12"/>
        <v>-0.68918918918918926</v>
      </c>
    </row>
    <row r="48" spans="1:10" x14ac:dyDescent="0.25">
      <c r="B48" s="168" t="s">
        <v>0</v>
      </c>
      <c r="C48" s="425"/>
      <c r="D48" s="201">
        <f>SUM(D42:D47)</f>
        <v>74851665</v>
      </c>
      <c r="E48" s="197"/>
      <c r="F48" s="594"/>
      <c r="G48" s="202">
        <f>SUM(G42:G47)</f>
        <v>196948.48021796413</v>
      </c>
      <c r="H48" s="202">
        <f t="shared" ref="H48:I48" si="13">SUM(H42:H47)</f>
        <v>59878.854869533912</v>
      </c>
      <c r="I48" s="202">
        <f t="shared" si="13"/>
        <v>-137069.62534843024</v>
      </c>
      <c r="J48" s="188">
        <f t="shared" si="12"/>
        <v>-0.69596691072068406</v>
      </c>
    </row>
    <row r="49" spans="1:12" x14ac:dyDescent="0.25">
      <c r="C49" s="425"/>
      <c r="D49" s="216"/>
      <c r="E49" s="197"/>
      <c r="F49" s="594"/>
      <c r="G49" s="194"/>
      <c r="H49" s="194"/>
      <c r="I49" s="194"/>
      <c r="J49" s="188"/>
    </row>
    <row r="50" spans="1:12" x14ac:dyDescent="0.25">
      <c r="A50" s="168" t="s">
        <v>20</v>
      </c>
      <c r="C50" s="425" t="s">
        <v>288</v>
      </c>
      <c r="D50" s="204"/>
      <c r="E50" s="197"/>
      <c r="F50" s="217"/>
      <c r="G50" s="195"/>
      <c r="H50" s="195"/>
      <c r="I50" s="198"/>
    </row>
    <row r="51" spans="1:12" x14ac:dyDescent="0.25">
      <c r="B51" s="168" t="s">
        <v>18</v>
      </c>
      <c r="C51" s="425"/>
      <c r="D51" s="260">
        <v>300000</v>
      </c>
      <c r="E51" s="200">
        <v>1.23E-2</v>
      </c>
      <c r="F51" s="218">
        <f>Rates!I40</f>
        <v>3.8500000000000001E-3</v>
      </c>
      <c r="G51" s="195">
        <f t="shared" ref="G51:G56" si="14">D51*(E51)</f>
        <v>3690</v>
      </c>
      <c r="H51" s="195">
        <f t="shared" ref="H51:H56" si="15">D51*(F51)</f>
        <v>1155</v>
      </c>
      <c r="I51" s="198">
        <f t="shared" ref="I51:I56" si="16">H51-G51</f>
        <v>-2535</v>
      </c>
      <c r="J51" s="188">
        <f t="shared" ref="J51:J57" si="17">IF(G51=0,0,I51/G51)</f>
        <v>-0.68699186991869921</v>
      </c>
    </row>
    <row r="52" spans="1:12" x14ac:dyDescent="0.25">
      <c r="B52" s="168" t="s">
        <v>17</v>
      </c>
      <c r="C52" s="425"/>
      <c r="D52" s="260">
        <v>300000</v>
      </c>
      <c r="E52" s="200">
        <v>7.4999999999999997E-3</v>
      </c>
      <c r="F52" s="218">
        <f>Rates!I41</f>
        <v>2.32E-3</v>
      </c>
      <c r="G52" s="195">
        <f t="shared" si="14"/>
        <v>2250</v>
      </c>
      <c r="H52" s="195">
        <f t="shared" si="15"/>
        <v>696</v>
      </c>
      <c r="I52" s="198">
        <f t="shared" si="16"/>
        <v>-1554</v>
      </c>
      <c r="J52" s="188">
        <f t="shared" si="17"/>
        <v>-0.69066666666666665</v>
      </c>
    </row>
    <row r="53" spans="1:12" x14ac:dyDescent="0.25">
      <c r="B53" s="168" t="s">
        <v>16</v>
      </c>
      <c r="C53" s="425"/>
      <c r="D53" s="260">
        <v>600000</v>
      </c>
      <c r="E53" s="200">
        <v>4.8500000000000001E-3</v>
      </c>
      <c r="F53" s="218">
        <f>Rates!I42</f>
        <v>1.48E-3</v>
      </c>
      <c r="G53" s="195">
        <f t="shared" si="14"/>
        <v>2910</v>
      </c>
      <c r="H53" s="195">
        <f t="shared" si="15"/>
        <v>888</v>
      </c>
      <c r="I53" s="198">
        <f t="shared" si="16"/>
        <v>-2022</v>
      </c>
      <c r="J53" s="188">
        <f t="shared" si="17"/>
        <v>-0.69484536082474224</v>
      </c>
    </row>
    <row r="54" spans="1:12" x14ac:dyDescent="0.25">
      <c r="B54" s="168" t="s">
        <v>15</v>
      </c>
      <c r="C54" s="425"/>
      <c r="D54" s="260">
        <v>1200000</v>
      </c>
      <c r="E54" s="200">
        <v>3.1699999999999996E-3</v>
      </c>
      <c r="F54" s="218">
        <f>Rates!I43</f>
        <v>9.5E-4</v>
      </c>
      <c r="G54" s="195">
        <f t="shared" si="14"/>
        <v>3803.9999999999995</v>
      </c>
      <c r="H54" s="195">
        <f t="shared" si="15"/>
        <v>1140</v>
      </c>
      <c r="I54" s="198">
        <f t="shared" si="16"/>
        <v>-2663.9999999999995</v>
      </c>
      <c r="J54" s="188">
        <f t="shared" si="17"/>
        <v>-0.70031545741324919</v>
      </c>
    </row>
    <row r="55" spans="1:12" x14ac:dyDescent="0.25">
      <c r="B55" s="168" t="s">
        <v>14</v>
      </c>
      <c r="C55" s="425"/>
      <c r="D55" s="260">
        <v>3600000</v>
      </c>
      <c r="E55" s="200">
        <v>2.3400000000000001E-3</v>
      </c>
      <c r="F55" s="218">
        <f>Rates!I44</f>
        <v>6.8000000000000005E-4</v>
      </c>
      <c r="G55" s="195">
        <f t="shared" si="14"/>
        <v>8424</v>
      </c>
      <c r="H55" s="195">
        <f t="shared" si="15"/>
        <v>2448</v>
      </c>
      <c r="I55" s="198">
        <f t="shared" si="16"/>
        <v>-5976</v>
      </c>
      <c r="J55" s="188">
        <f t="shared" si="17"/>
        <v>-0.70940170940170943</v>
      </c>
    </row>
    <row r="56" spans="1:12" x14ac:dyDescent="0.25">
      <c r="B56" s="168" t="s">
        <v>19</v>
      </c>
      <c r="C56" s="425"/>
      <c r="D56" s="260">
        <v>27595800</v>
      </c>
      <c r="E56" s="200">
        <v>1.48E-3</v>
      </c>
      <c r="F56" s="218">
        <f>Rates!I45</f>
        <v>4.6000000000000001E-4</v>
      </c>
      <c r="G56" s="195">
        <f t="shared" si="14"/>
        <v>40841.784</v>
      </c>
      <c r="H56" s="195">
        <f t="shared" si="15"/>
        <v>12694.068000000001</v>
      </c>
      <c r="I56" s="198">
        <f t="shared" si="16"/>
        <v>-28147.716</v>
      </c>
      <c r="J56" s="189">
        <f t="shared" si="17"/>
        <v>-0.68918918918918926</v>
      </c>
    </row>
    <row r="57" spans="1:12" x14ac:dyDescent="0.25">
      <c r="B57" s="168" t="s">
        <v>0</v>
      </c>
      <c r="C57" s="425"/>
      <c r="D57" s="201">
        <f>SUM(D51:D56)</f>
        <v>33595800</v>
      </c>
      <c r="E57" s="200"/>
      <c r="F57" s="595"/>
      <c r="G57" s="202">
        <f>SUM(G51:G56)</f>
        <v>61919.784</v>
      </c>
      <c r="H57" s="202">
        <f t="shared" ref="H57:I57" si="18">SUM(H51:H56)</f>
        <v>19021.067999999999</v>
      </c>
      <c r="I57" s="202">
        <f t="shared" si="18"/>
        <v>-42898.716</v>
      </c>
      <c r="J57" s="203">
        <f t="shared" si="17"/>
        <v>-0.69281113771327107</v>
      </c>
    </row>
    <row r="58" spans="1:12" x14ac:dyDescent="0.25">
      <c r="C58" s="425"/>
      <c r="D58" s="216"/>
      <c r="E58" s="197"/>
      <c r="F58" s="206"/>
      <c r="G58" s="194"/>
      <c r="H58" s="194"/>
      <c r="I58" s="194"/>
      <c r="J58" s="188"/>
    </row>
    <row r="59" spans="1:12" x14ac:dyDescent="0.25">
      <c r="B59" s="168" t="s">
        <v>0</v>
      </c>
      <c r="D59" s="207">
        <f>D9+D11+D14+D21+D23+D33+D39+D48+D12+D15+D24+D57</f>
        <v>1084311059</v>
      </c>
      <c r="E59" s="197"/>
      <c r="F59" s="206"/>
      <c r="G59" s="145">
        <f>G9+G11+G14+G21+G23+G33+G39+G48+G12+G15+G24+G57</f>
        <v>63838235.546088539</v>
      </c>
      <c r="H59" s="145">
        <f>H9+H11+H14+H21+H23+H33+H39+H48+H12+H15+H24+H57</f>
        <v>10694814.433610719</v>
      </c>
      <c r="I59" s="145">
        <f>I9+I11+I14+I21+I23+I33+I39+I48+I12+I15+I24+I57</f>
        <v>-53143421.112477824</v>
      </c>
      <c r="J59" s="203">
        <f>IF(G59=0,0,I59/G59)</f>
        <v>-0.83247008094561914</v>
      </c>
    </row>
    <row r="60" spans="1:12" x14ac:dyDescent="0.25">
      <c r="D60" s="179"/>
      <c r="E60" s="179"/>
      <c r="F60" s="208"/>
      <c r="G60" s="179"/>
      <c r="H60" s="179"/>
      <c r="J60" s="205"/>
    </row>
    <row r="61" spans="1:12" x14ac:dyDescent="0.25">
      <c r="D61" s="179"/>
      <c r="E61" s="179"/>
      <c r="F61" s="208"/>
      <c r="G61" s="209"/>
      <c r="H61" s="209"/>
    </row>
    <row r="62" spans="1:12" x14ac:dyDescent="0.25">
      <c r="L62" s="205"/>
    </row>
    <row r="63" spans="1:12" x14ac:dyDescent="0.25">
      <c r="B63" s="211"/>
      <c r="D63" s="212"/>
      <c r="E63" s="212"/>
      <c r="F63" s="213"/>
      <c r="G63" s="198"/>
      <c r="H63" s="198"/>
    </row>
    <row r="64" spans="1:12" x14ac:dyDescent="0.25">
      <c r="C64" s="208"/>
      <c r="D64" s="214"/>
      <c r="E64" s="179"/>
      <c r="F64" s="208"/>
    </row>
    <row r="65" spans="3:6" x14ac:dyDescent="0.25">
      <c r="C65" s="208"/>
      <c r="D65" s="179"/>
      <c r="E65" s="208"/>
      <c r="F65" s="208"/>
    </row>
    <row r="66" spans="3:6" x14ac:dyDescent="0.25">
      <c r="C66" s="208"/>
      <c r="D66" s="179"/>
      <c r="E66" s="215"/>
      <c r="F66" s="216"/>
    </row>
    <row r="67" spans="3:6" x14ac:dyDescent="0.25">
      <c r="C67" s="212"/>
      <c r="D67" s="212"/>
      <c r="E67" s="215"/>
      <c r="F67" s="216"/>
    </row>
    <row r="68" spans="3:6" x14ac:dyDescent="0.25">
      <c r="E68" s="215"/>
      <c r="F68" s="216"/>
    </row>
    <row r="69" spans="3:6" x14ac:dyDescent="0.25">
      <c r="E69" s="179"/>
      <c r="F69" s="208"/>
    </row>
    <row r="70" spans="3:6" x14ac:dyDescent="0.25">
      <c r="E70" s="179"/>
      <c r="F70" s="208"/>
    </row>
    <row r="71" spans="3:6" x14ac:dyDescent="0.25">
      <c r="E71" s="179"/>
      <c r="F71" s="208"/>
    </row>
  </sheetData>
  <mergeCells count="5">
    <mergeCell ref="A1:J1"/>
    <mergeCell ref="A2:J2"/>
    <mergeCell ref="A3:J3"/>
    <mergeCell ref="A4:J4"/>
    <mergeCell ref="A8:B8"/>
  </mergeCells>
  <printOptions horizontalCentered="1"/>
  <pageMargins left="0.75" right="0.75" top="1" bottom="1" header="0.5" footer="0.5"/>
  <pageSetup scale="64" orientation="landscape" blackAndWhite="1" horizontalDpi="300" verticalDpi="300" r:id="rId1"/>
  <headerFooter alignWithMargins="0"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O26" sqref="O26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zoomScale="90" zoomScaleNormal="90" workbookViewId="0">
      <pane ySplit="8" topLeftCell="A9" activePane="bottomLeft" state="frozen"/>
      <selection activeCell="Q23" sqref="Q23"/>
      <selection pane="bottomLeft" activeCell="O45" sqref="O45"/>
    </sheetView>
  </sheetViews>
  <sheetFormatPr defaultColWidth="8.85546875" defaultRowHeight="12.75" x14ac:dyDescent="0.2"/>
  <cols>
    <col min="1" max="1" width="4.5703125" style="38" customWidth="1"/>
    <col min="2" max="2" width="3.140625" style="38" customWidth="1"/>
    <col min="3" max="3" width="25.7109375" style="38" customWidth="1"/>
    <col min="4" max="4" width="12.140625" style="38" customWidth="1"/>
    <col min="5" max="5" width="9.7109375" style="38" bestFit="1" customWidth="1"/>
    <col min="6" max="6" width="15.85546875" style="38" bestFit="1" customWidth="1"/>
    <col min="7" max="7" width="13.28515625" style="38" customWidth="1"/>
    <col min="8" max="8" width="13.28515625" style="38" bestFit="1" customWidth="1"/>
    <col min="9" max="10" width="12.5703125" style="38" bestFit="1" customWidth="1"/>
    <col min="11" max="11" width="11.42578125" style="38" customWidth="1"/>
    <col min="12" max="12" width="10.85546875" style="38" customWidth="1"/>
    <col min="13" max="13" width="10.140625" style="38" bestFit="1" customWidth="1"/>
    <col min="14" max="16384" width="8.85546875" style="38"/>
  </cols>
  <sheetData>
    <row r="1" spans="1:13" x14ac:dyDescent="0.2">
      <c r="A1" s="604" t="s">
        <v>12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</row>
    <row r="2" spans="1:13" x14ac:dyDescent="0.2">
      <c r="A2" s="126" t="str">
        <f>Rates!$A$2</f>
        <v>2024 Gas Schedule 129 Low Income Program Rate Filing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x14ac:dyDescent="0.2">
      <c r="A3" s="605" t="s">
        <v>290</v>
      </c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</row>
    <row r="4" spans="1:13" x14ac:dyDescent="0.2">
      <c r="A4" s="52" t="str">
        <f>Rates!A4</f>
        <v>Proposed Effective October 1, 2024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9"/>
    </row>
    <row r="6" spans="1:13" x14ac:dyDescent="0.2">
      <c r="D6" s="220"/>
      <c r="E6" s="220"/>
      <c r="F6" s="436" t="s">
        <v>153</v>
      </c>
      <c r="G6" s="220"/>
      <c r="I6" s="220" t="s">
        <v>37</v>
      </c>
      <c r="J6" s="220" t="s">
        <v>54</v>
      </c>
      <c r="K6" s="220" t="s">
        <v>37</v>
      </c>
      <c r="L6" s="220"/>
    </row>
    <row r="7" spans="1:13" ht="14.25" x14ac:dyDescent="0.2">
      <c r="A7" s="435" t="s">
        <v>35</v>
      </c>
      <c r="D7" s="220" t="s">
        <v>57</v>
      </c>
      <c r="E7" s="220"/>
      <c r="F7" s="437" t="s">
        <v>83</v>
      </c>
      <c r="G7" s="220"/>
      <c r="H7" s="220" t="s">
        <v>42</v>
      </c>
      <c r="I7" s="220" t="s">
        <v>6</v>
      </c>
      <c r="J7" s="220" t="s">
        <v>6</v>
      </c>
      <c r="K7" s="220" t="s">
        <v>53</v>
      </c>
      <c r="L7" s="220" t="s">
        <v>27</v>
      </c>
    </row>
    <row r="8" spans="1:13" ht="14.25" x14ac:dyDescent="0.2">
      <c r="A8" s="433" t="s">
        <v>284</v>
      </c>
      <c r="B8" s="597" t="s">
        <v>52</v>
      </c>
      <c r="C8" s="597"/>
      <c r="D8" s="14" t="s">
        <v>50</v>
      </c>
      <c r="E8" s="14" t="s">
        <v>51</v>
      </c>
      <c r="F8" s="458" t="s">
        <v>283</v>
      </c>
      <c r="G8" s="14" t="s">
        <v>294</v>
      </c>
      <c r="H8" s="14" t="s">
        <v>49</v>
      </c>
      <c r="I8" s="14" t="s">
        <v>33</v>
      </c>
      <c r="J8" s="14" t="s">
        <v>33</v>
      </c>
      <c r="K8" s="14" t="s">
        <v>48</v>
      </c>
      <c r="L8" s="14" t="s">
        <v>6</v>
      </c>
    </row>
    <row r="9" spans="1:13" x14ac:dyDescent="0.2">
      <c r="A9" s="40"/>
      <c r="B9" s="40"/>
      <c r="C9" s="40" t="s">
        <v>254</v>
      </c>
      <c r="D9" s="40" t="s">
        <v>255</v>
      </c>
      <c r="E9" s="40" t="s">
        <v>285</v>
      </c>
      <c r="F9" s="40" t="s">
        <v>257</v>
      </c>
      <c r="G9" s="40" t="s">
        <v>258</v>
      </c>
      <c r="H9" s="40" t="s">
        <v>259</v>
      </c>
      <c r="I9" s="40" t="s">
        <v>260</v>
      </c>
      <c r="J9" s="40" t="s">
        <v>261</v>
      </c>
      <c r="K9" s="40" t="s">
        <v>262</v>
      </c>
      <c r="L9" s="40" t="s">
        <v>296</v>
      </c>
      <c r="M9" s="448"/>
    </row>
    <row r="10" spans="1:13" x14ac:dyDescent="0.2">
      <c r="A10" s="220">
        <v>1</v>
      </c>
      <c r="B10" s="38" t="s">
        <v>47</v>
      </c>
      <c r="D10" s="30"/>
      <c r="E10" s="30"/>
      <c r="F10" s="30"/>
    </row>
    <row r="11" spans="1:13" x14ac:dyDescent="0.2">
      <c r="A11" s="220">
        <v>2</v>
      </c>
      <c r="C11" s="38" t="s">
        <v>18</v>
      </c>
      <c r="D11" s="424">
        <v>8972356</v>
      </c>
      <c r="E11" s="27">
        <f>+D11/$D$18</f>
        <v>0.38904148482379985</v>
      </c>
      <c r="F11" s="21">
        <f t="shared" ref="F11:F16" si="0">+E11*$F$18</f>
        <v>6846892.8175931349</v>
      </c>
      <c r="G11" s="23">
        <f>G$40</f>
        <v>0.20754</v>
      </c>
      <c r="H11" s="20">
        <f t="shared" ref="H11:H16" si="1">ROUND(F11*G11,0)</f>
        <v>1421004</v>
      </c>
      <c r="J11" s="20">
        <f>ROUND(H11*$I$49,0)</f>
        <v>26342</v>
      </c>
      <c r="K11" s="23">
        <f>K30</f>
        <v>3.8500000000000001E-3</v>
      </c>
      <c r="L11" s="20">
        <f>F11*K11</f>
        <v>26360.537347733571</v>
      </c>
    </row>
    <row r="12" spans="1:13" x14ac:dyDescent="0.2">
      <c r="A12" s="220">
        <v>3</v>
      </c>
      <c r="C12" s="38" t="s">
        <v>17</v>
      </c>
      <c r="D12" s="424">
        <v>5286131</v>
      </c>
      <c r="E12" s="27">
        <f t="shared" ref="E12:E16" si="2">+D12/$D$18</f>
        <v>0.2292067159632451</v>
      </c>
      <c r="F12" s="21">
        <f t="shared" si="0"/>
        <v>4033898.3848563763</v>
      </c>
      <c r="G12" s="23">
        <f>G$41</f>
        <v>0.12540999999999999</v>
      </c>
      <c r="H12" s="20">
        <f t="shared" si="1"/>
        <v>505891</v>
      </c>
      <c r="J12" s="20">
        <f t="shared" ref="J12:J16" si="3">ROUND(H12*$I$49,0)</f>
        <v>9378</v>
      </c>
      <c r="K12" s="23">
        <f>K31</f>
        <v>2.32E-3</v>
      </c>
      <c r="L12" s="20">
        <f>F12*K12</f>
        <v>9358.644252866794</v>
      </c>
    </row>
    <row r="13" spans="1:13" x14ac:dyDescent="0.2">
      <c r="A13" s="220">
        <v>4</v>
      </c>
      <c r="C13" s="38" t="s">
        <v>16</v>
      </c>
      <c r="D13" s="424">
        <v>5234423</v>
      </c>
      <c r="E13" s="27">
        <f t="shared" si="2"/>
        <v>0.22696465634175114</v>
      </c>
      <c r="F13" s="21">
        <f t="shared" si="0"/>
        <v>3994439.5031744516</v>
      </c>
      <c r="G13" s="23">
        <f>G$42</f>
        <v>7.9810000000000006E-2</v>
      </c>
      <c r="H13" s="20">
        <f t="shared" si="1"/>
        <v>318796</v>
      </c>
      <c r="J13" s="20">
        <f t="shared" si="3"/>
        <v>5910</v>
      </c>
      <c r="K13" s="23"/>
    </row>
    <row r="14" spans="1:13" x14ac:dyDescent="0.2">
      <c r="A14" s="220">
        <v>5</v>
      </c>
      <c r="C14" s="38" t="s">
        <v>15</v>
      </c>
      <c r="D14" s="424">
        <v>3077524</v>
      </c>
      <c r="E14" s="27">
        <f t="shared" si="2"/>
        <v>0.13344148477176784</v>
      </c>
      <c r="F14" s="21">
        <f t="shared" si="0"/>
        <v>2348488.7326774034</v>
      </c>
      <c r="G14" s="23">
        <f>G$43</f>
        <v>5.117E-2</v>
      </c>
      <c r="H14" s="20">
        <f t="shared" si="1"/>
        <v>120172</v>
      </c>
      <c r="J14" s="20">
        <f t="shared" si="3"/>
        <v>2228</v>
      </c>
      <c r="K14" s="23"/>
    </row>
    <row r="15" spans="1:13" x14ac:dyDescent="0.2">
      <c r="A15" s="220">
        <v>6</v>
      </c>
      <c r="C15" s="38" t="s">
        <v>14</v>
      </c>
      <c r="D15" s="424">
        <v>492289</v>
      </c>
      <c r="E15" s="27">
        <f t="shared" si="2"/>
        <v>2.1345658099436046E-2</v>
      </c>
      <c r="F15" s="21">
        <f t="shared" si="0"/>
        <v>375670.56169863377</v>
      </c>
      <c r="G15" s="23">
        <f>G$44</f>
        <v>3.6830000000000002E-2</v>
      </c>
      <c r="H15" s="20">
        <f t="shared" si="1"/>
        <v>13836</v>
      </c>
      <c r="J15" s="20">
        <f t="shared" si="3"/>
        <v>256</v>
      </c>
      <c r="K15" s="23"/>
    </row>
    <row r="16" spans="1:13" x14ac:dyDescent="0.2">
      <c r="A16" s="220">
        <v>7</v>
      </c>
      <c r="C16" s="38" t="s">
        <v>19</v>
      </c>
      <c r="D16" s="424">
        <v>0</v>
      </c>
      <c r="E16" s="27">
        <f t="shared" si="2"/>
        <v>0</v>
      </c>
      <c r="F16" s="21">
        <f t="shared" si="0"/>
        <v>0</v>
      </c>
      <c r="G16" s="23">
        <f>G$45</f>
        <v>2.4830000000000001E-2</v>
      </c>
      <c r="H16" s="20">
        <f t="shared" si="1"/>
        <v>0</v>
      </c>
      <c r="J16" s="20">
        <f t="shared" si="3"/>
        <v>0</v>
      </c>
      <c r="K16" s="23"/>
    </row>
    <row r="17" spans="1:13" x14ac:dyDescent="0.2">
      <c r="A17" s="220">
        <v>8</v>
      </c>
      <c r="C17" s="38" t="s">
        <v>44</v>
      </c>
      <c r="D17" s="25">
        <f>SUM(D13:D16)</f>
        <v>8804236</v>
      </c>
      <c r="E17" s="246"/>
      <c r="F17" s="25">
        <f>SUM(F13:F16)</f>
        <v>6718598.7975504892</v>
      </c>
      <c r="G17" s="23"/>
      <c r="H17" s="24">
        <f>SUM(H13:H16)</f>
        <v>452804</v>
      </c>
      <c r="J17" s="24">
        <f>SUM(J13:J16)</f>
        <v>8394</v>
      </c>
      <c r="K17" s="23">
        <f>K36</f>
        <v>1.2800000000000001E-3</v>
      </c>
      <c r="L17" s="22">
        <f>F17*K17</f>
        <v>8599.8064608646273</v>
      </c>
    </row>
    <row r="18" spans="1:13" x14ac:dyDescent="0.2">
      <c r="A18" s="220">
        <v>9</v>
      </c>
      <c r="C18" s="38" t="s">
        <v>0</v>
      </c>
      <c r="D18" s="247">
        <f>SUM(D11:D16)</f>
        <v>23062723</v>
      </c>
      <c r="E18" s="26">
        <f>SUM(E11:E16)</f>
        <v>0.99999999999999989</v>
      </c>
      <c r="F18" s="446">
        <f>'Margin Revenue'!G20</f>
        <v>17599390</v>
      </c>
      <c r="G18" s="23"/>
      <c r="H18" s="24">
        <f>SUM(H11:H16)</f>
        <v>2379699</v>
      </c>
      <c r="I18" s="46">
        <f>Rates!H20</f>
        <v>40275.035299459181</v>
      </c>
      <c r="J18" s="24">
        <f>SUM(J11:J16)</f>
        <v>44114</v>
      </c>
      <c r="L18" s="24">
        <f>SUM(L11:L17)</f>
        <v>44318.988061464988</v>
      </c>
      <c r="M18" s="20">
        <f>L18-I18</f>
        <v>4043.952762005807</v>
      </c>
    </row>
    <row r="19" spans="1:13" x14ac:dyDescent="0.2">
      <c r="A19" s="220"/>
      <c r="C19" s="432"/>
      <c r="D19" s="431"/>
      <c r="E19" s="50"/>
      <c r="F19" s="30"/>
      <c r="G19" s="23"/>
    </row>
    <row r="20" spans="1:13" x14ac:dyDescent="0.2">
      <c r="A20" s="220">
        <v>10</v>
      </c>
      <c r="B20" s="38" t="s">
        <v>46</v>
      </c>
      <c r="D20" s="50"/>
      <c r="E20" s="50"/>
      <c r="F20" s="30"/>
      <c r="G20" s="23"/>
    </row>
    <row r="21" spans="1:13" x14ac:dyDescent="0.2">
      <c r="A21" s="220">
        <v>11</v>
      </c>
      <c r="C21" s="38" t="s">
        <v>18</v>
      </c>
      <c r="D21" s="424">
        <v>1200000</v>
      </c>
      <c r="E21" s="27">
        <f t="shared" ref="E21:E26" si="4">+D21/$D$27</f>
        <v>6.1089553569251345E-2</v>
      </c>
      <c r="F21" s="21">
        <f t="shared" ref="F21:F26" si="5">+E21*$F$27</f>
        <v>1137123.5158992945</v>
      </c>
      <c r="G21" s="23">
        <f>G$40</f>
        <v>0.20754</v>
      </c>
      <c r="H21" s="20">
        <f t="shared" ref="H21:H26" si="6">ROUND(F21*G21,0)</f>
        <v>235999</v>
      </c>
      <c r="J21" s="20">
        <f t="shared" ref="J21:J26" si="7">ROUND(H21*$I$49,0)</f>
        <v>4375</v>
      </c>
      <c r="K21" s="23">
        <f t="shared" ref="K21:K26" si="8">K40</f>
        <v>3.8500000000000001E-3</v>
      </c>
      <c r="L21" s="20">
        <f t="shared" ref="L21:L26" si="9">F21*K21</f>
        <v>4377.925536212284</v>
      </c>
    </row>
    <row r="22" spans="1:13" x14ac:dyDescent="0.2">
      <c r="A22" s="220">
        <v>12</v>
      </c>
      <c r="C22" s="38" t="s">
        <v>17</v>
      </c>
      <c r="D22" s="424">
        <v>1200000</v>
      </c>
      <c r="E22" s="27">
        <f t="shared" si="4"/>
        <v>6.1089553569251345E-2</v>
      </c>
      <c r="F22" s="21">
        <f t="shared" si="5"/>
        <v>1137123.5158992945</v>
      </c>
      <c r="G22" s="23">
        <f>G$41</f>
        <v>0.12540999999999999</v>
      </c>
      <c r="H22" s="20">
        <f t="shared" si="6"/>
        <v>142607</v>
      </c>
      <c r="J22" s="20">
        <f t="shared" si="7"/>
        <v>2644</v>
      </c>
      <c r="K22" s="23">
        <f t="shared" si="8"/>
        <v>2.32E-3</v>
      </c>
      <c r="L22" s="20">
        <f t="shared" si="9"/>
        <v>2638.1265568863632</v>
      </c>
    </row>
    <row r="23" spans="1:13" x14ac:dyDescent="0.2">
      <c r="A23" s="220">
        <v>13</v>
      </c>
      <c r="C23" s="38" t="s">
        <v>16</v>
      </c>
      <c r="D23" s="424">
        <v>2246779</v>
      </c>
      <c r="E23" s="27">
        <f t="shared" si="4"/>
        <v>0.11437893839897414</v>
      </c>
      <c r="F23" s="21">
        <f t="shared" si="5"/>
        <v>2129054.3632739177</v>
      </c>
      <c r="G23" s="23">
        <f>G$42</f>
        <v>7.9810000000000006E-2</v>
      </c>
      <c r="H23" s="20">
        <f t="shared" si="6"/>
        <v>169920</v>
      </c>
      <c r="J23" s="20">
        <f t="shared" si="7"/>
        <v>3150</v>
      </c>
      <c r="K23" s="23">
        <f t="shared" si="8"/>
        <v>1.48E-3</v>
      </c>
      <c r="L23" s="20">
        <f t="shared" si="9"/>
        <v>3151.000457645398</v>
      </c>
    </row>
    <row r="24" spans="1:13" x14ac:dyDescent="0.2">
      <c r="A24" s="220">
        <v>14</v>
      </c>
      <c r="C24" s="38" t="s">
        <v>15</v>
      </c>
      <c r="D24" s="424">
        <v>3103782</v>
      </c>
      <c r="E24" s="27">
        <f t="shared" si="4"/>
        <v>0.15800721396356507</v>
      </c>
      <c r="F24" s="21">
        <f t="shared" si="5"/>
        <v>2941152.9170207866</v>
      </c>
      <c r="G24" s="23">
        <f>G$43</f>
        <v>5.117E-2</v>
      </c>
      <c r="H24" s="20">
        <f t="shared" si="6"/>
        <v>150499</v>
      </c>
      <c r="J24" s="20">
        <f t="shared" si="7"/>
        <v>2790</v>
      </c>
      <c r="K24" s="23">
        <f t="shared" si="8"/>
        <v>9.5E-4</v>
      </c>
      <c r="L24" s="20">
        <f t="shared" si="9"/>
        <v>2794.0952711697473</v>
      </c>
    </row>
    <row r="25" spans="1:13" x14ac:dyDescent="0.2">
      <c r="A25" s="220">
        <v>15</v>
      </c>
      <c r="C25" s="38" t="s">
        <v>14</v>
      </c>
      <c r="D25" s="424">
        <v>3788912</v>
      </c>
      <c r="E25" s="27">
        <f t="shared" si="4"/>
        <v>0.19288578549431604</v>
      </c>
      <c r="F25" s="21">
        <f t="shared" si="5"/>
        <v>3590384.1123941895</v>
      </c>
      <c r="G25" s="23">
        <f>G$44</f>
        <v>3.6830000000000002E-2</v>
      </c>
      <c r="H25" s="20">
        <f t="shared" si="6"/>
        <v>132234</v>
      </c>
      <c r="J25" s="20">
        <f t="shared" si="7"/>
        <v>2451</v>
      </c>
      <c r="K25" s="23">
        <f t="shared" si="8"/>
        <v>6.8000000000000005E-4</v>
      </c>
      <c r="L25" s="20">
        <f t="shared" si="9"/>
        <v>2441.4611964280489</v>
      </c>
    </row>
    <row r="26" spans="1:13" x14ac:dyDescent="0.2">
      <c r="A26" s="220">
        <v>16</v>
      </c>
      <c r="C26" s="38" t="s">
        <v>19</v>
      </c>
      <c r="D26" s="449">
        <v>8103820</v>
      </c>
      <c r="E26" s="28">
        <f t="shared" si="4"/>
        <v>0.41254895500464206</v>
      </c>
      <c r="F26" s="21">
        <f t="shared" si="5"/>
        <v>7679203.5755125172</v>
      </c>
      <c r="G26" s="23">
        <f>G$45</f>
        <v>2.4830000000000001E-2</v>
      </c>
      <c r="H26" s="20">
        <f t="shared" si="6"/>
        <v>190675</v>
      </c>
      <c r="J26" s="20">
        <f t="shared" si="7"/>
        <v>3535</v>
      </c>
      <c r="K26" s="23">
        <f t="shared" si="8"/>
        <v>4.6000000000000001E-4</v>
      </c>
      <c r="L26" s="20">
        <f t="shared" si="9"/>
        <v>3532.4336447357582</v>
      </c>
    </row>
    <row r="27" spans="1:13" x14ac:dyDescent="0.2">
      <c r="A27" s="220">
        <v>17</v>
      </c>
      <c r="C27" s="38" t="s">
        <v>0</v>
      </c>
      <c r="D27" s="50">
        <f>SUM(D21:D26)</f>
        <v>19643293</v>
      </c>
      <c r="E27" s="27">
        <f>SUM(E21:E26)</f>
        <v>1</v>
      </c>
      <c r="F27" s="446">
        <f>'Margin Revenue'!G21</f>
        <v>18614042</v>
      </c>
      <c r="G27" s="23"/>
      <c r="H27" s="24">
        <f>SUM(H21:H26)</f>
        <v>1021934</v>
      </c>
      <c r="I27" s="46">
        <f>Rates!H31</f>
        <v>25934.466259620425</v>
      </c>
      <c r="J27" s="24">
        <f>SUM(J21:J26)</f>
        <v>18945</v>
      </c>
      <c r="L27" s="24">
        <f>SUM(L21:L26)</f>
        <v>18935.042663077598</v>
      </c>
      <c r="M27" s="20">
        <f>L27-I27</f>
        <v>-6999.423596542827</v>
      </c>
    </row>
    <row r="28" spans="1:13" x14ac:dyDescent="0.2">
      <c r="A28" s="220"/>
      <c r="C28" s="432"/>
      <c r="D28" s="431"/>
      <c r="E28" s="50"/>
      <c r="F28" s="2"/>
      <c r="G28" s="23"/>
      <c r="H28" s="5"/>
      <c r="I28" s="1"/>
      <c r="J28" s="5"/>
      <c r="L28" s="5"/>
    </row>
    <row r="29" spans="1:13" x14ac:dyDescent="0.2">
      <c r="A29" s="220">
        <f>A27+1</f>
        <v>18</v>
      </c>
      <c r="B29" s="38" t="s">
        <v>45</v>
      </c>
      <c r="D29" s="50"/>
      <c r="E29" s="50"/>
      <c r="F29" s="2"/>
      <c r="G29" s="23"/>
      <c r="H29" s="5"/>
      <c r="I29" s="1"/>
      <c r="J29" s="5"/>
      <c r="L29" s="5"/>
    </row>
    <row r="30" spans="1:13" x14ac:dyDescent="0.2">
      <c r="A30" s="220">
        <f t="shared" ref="A30:A37" si="10">A29+1</f>
        <v>19</v>
      </c>
      <c r="C30" s="38" t="s">
        <v>18</v>
      </c>
      <c r="D30" s="424">
        <v>22205824</v>
      </c>
      <c r="E30" s="27">
        <f t="shared" ref="E30:E35" si="11">+D30/$D$37</f>
        <v>0.38564670161260856</v>
      </c>
      <c r="F30" s="21">
        <f t="shared" ref="F30:F35" si="12">+E30*$F$37</f>
        <v>21209594.445125196</v>
      </c>
      <c r="G30" s="23">
        <f>G$40</f>
        <v>0.20754</v>
      </c>
      <c r="H30" s="20">
        <f t="shared" ref="H30:H35" si="13">ROUND(F30*G30,0)</f>
        <v>4401839</v>
      </c>
      <c r="I30" s="1"/>
      <c r="J30" s="20">
        <f t="shared" ref="J30:J35" si="14">ROUND(H30*$I$49,0)</f>
        <v>81600</v>
      </c>
      <c r="K30" s="23">
        <f>K40</f>
        <v>3.8500000000000001E-3</v>
      </c>
      <c r="L30" s="20">
        <f>F30*K30</f>
        <v>81656.938613732011</v>
      </c>
    </row>
    <row r="31" spans="1:13" x14ac:dyDescent="0.2">
      <c r="A31" s="220">
        <f t="shared" si="10"/>
        <v>20</v>
      </c>
      <c r="C31" s="38" t="s">
        <v>17</v>
      </c>
      <c r="D31" s="424">
        <v>14638516</v>
      </c>
      <c r="E31" s="27">
        <f t="shared" si="11"/>
        <v>0.25422589190580797</v>
      </c>
      <c r="F31" s="21">
        <f t="shared" si="12"/>
        <v>13981781.880216485</v>
      </c>
      <c r="G31" s="23">
        <f>G$41</f>
        <v>0.12540999999999999</v>
      </c>
      <c r="H31" s="20">
        <f t="shared" si="13"/>
        <v>1753455</v>
      </c>
      <c r="I31" s="1"/>
      <c r="J31" s="20">
        <f t="shared" si="14"/>
        <v>32505</v>
      </c>
      <c r="K31" s="23">
        <f>K41</f>
        <v>2.32E-3</v>
      </c>
      <c r="L31" s="20">
        <f>F31*K31</f>
        <v>32437.733962102244</v>
      </c>
    </row>
    <row r="32" spans="1:13" x14ac:dyDescent="0.2">
      <c r="A32" s="220">
        <f t="shared" si="10"/>
        <v>21</v>
      </c>
      <c r="C32" s="38" t="s">
        <v>16</v>
      </c>
      <c r="D32" s="424">
        <v>14197584</v>
      </c>
      <c r="E32" s="27">
        <f t="shared" si="11"/>
        <v>0.24656826247330185</v>
      </c>
      <c r="F32" s="21">
        <f t="shared" si="12"/>
        <v>13560631.604600593</v>
      </c>
      <c r="G32" s="23">
        <f>G$42</f>
        <v>7.9810000000000006E-2</v>
      </c>
      <c r="H32" s="20">
        <f t="shared" si="13"/>
        <v>1082274</v>
      </c>
      <c r="I32" s="1"/>
      <c r="J32" s="20">
        <f t="shared" si="14"/>
        <v>20063</v>
      </c>
      <c r="L32" s="5"/>
    </row>
    <row r="33" spans="1:13" x14ac:dyDescent="0.2">
      <c r="A33" s="220">
        <f t="shared" si="10"/>
        <v>22</v>
      </c>
      <c r="C33" s="38" t="s">
        <v>15</v>
      </c>
      <c r="D33" s="424">
        <v>4687936</v>
      </c>
      <c r="E33" s="27">
        <f t="shared" si="11"/>
        <v>8.1414995262999723E-2</v>
      </c>
      <c r="F33" s="21">
        <f t="shared" si="12"/>
        <v>4477619.0851869509</v>
      </c>
      <c r="G33" s="23">
        <f>G$43</f>
        <v>5.117E-2</v>
      </c>
      <c r="H33" s="20">
        <f t="shared" si="13"/>
        <v>229120</v>
      </c>
      <c r="I33" s="1"/>
      <c r="J33" s="20">
        <f t="shared" si="14"/>
        <v>4247</v>
      </c>
      <c r="L33" s="5"/>
    </row>
    <row r="34" spans="1:13" x14ac:dyDescent="0.2">
      <c r="A34" s="220">
        <f t="shared" si="10"/>
        <v>23</v>
      </c>
      <c r="C34" s="38" t="s">
        <v>14</v>
      </c>
      <c r="D34" s="424">
        <v>1615654</v>
      </c>
      <c r="E34" s="27">
        <f t="shared" si="11"/>
        <v>2.8058928866914259E-2</v>
      </c>
      <c r="F34" s="21">
        <f t="shared" si="12"/>
        <v>1543170.2108259664</v>
      </c>
      <c r="G34" s="23">
        <f>G$44</f>
        <v>3.6830000000000002E-2</v>
      </c>
      <c r="H34" s="20">
        <f t="shared" si="13"/>
        <v>56835</v>
      </c>
      <c r="I34" s="1"/>
      <c r="J34" s="20">
        <f t="shared" si="14"/>
        <v>1054</v>
      </c>
      <c r="L34" s="5"/>
    </row>
    <row r="35" spans="1:13" x14ac:dyDescent="0.2">
      <c r="A35" s="220">
        <f t="shared" si="10"/>
        <v>24</v>
      </c>
      <c r="C35" s="38" t="s">
        <v>19</v>
      </c>
      <c r="D35" s="424">
        <v>235230</v>
      </c>
      <c r="E35" s="27">
        <f t="shared" si="11"/>
        <v>4.0852198783676713E-3</v>
      </c>
      <c r="F35" s="21">
        <f t="shared" si="12"/>
        <v>224676.77404480916</v>
      </c>
      <c r="G35" s="23">
        <f>G$45</f>
        <v>2.4830000000000001E-2</v>
      </c>
      <c r="H35" s="20">
        <f t="shared" si="13"/>
        <v>5579</v>
      </c>
      <c r="I35" s="1"/>
      <c r="J35" s="20">
        <f t="shared" si="14"/>
        <v>103</v>
      </c>
      <c r="L35" s="5"/>
    </row>
    <row r="36" spans="1:13" x14ac:dyDescent="0.2">
      <c r="A36" s="220">
        <f t="shared" si="10"/>
        <v>25</v>
      </c>
      <c r="C36" s="38" t="s">
        <v>44</v>
      </c>
      <c r="D36" s="51">
        <f>SUM(D32:D35)</f>
        <v>20736404</v>
      </c>
      <c r="E36" s="53"/>
      <c r="F36" s="51">
        <f>SUM(F32:F35)</f>
        <v>19806097.674658317</v>
      </c>
      <c r="G36" s="23"/>
      <c r="H36" s="22">
        <f>SUM(H32:H35)</f>
        <v>1373808</v>
      </c>
      <c r="J36" s="22">
        <f>SUM(J32:J35)</f>
        <v>25467</v>
      </c>
      <c r="K36" s="23">
        <f>ROUND((J36+J17)/(F36+F17),5)</f>
        <v>1.2800000000000001E-3</v>
      </c>
      <c r="L36" s="22">
        <f>F36*K36</f>
        <v>25351.805023562647</v>
      </c>
    </row>
    <row r="37" spans="1:13" x14ac:dyDescent="0.2">
      <c r="A37" s="220">
        <f t="shared" si="10"/>
        <v>26</v>
      </c>
      <c r="C37" s="38" t="s">
        <v>0</v>
      </c>
      <c r="D37" s="50">
        <f>SUM(D30:D35)</f>
        <v>57580744</v>
      </c>
      <c r="E37" s="27">
        <f>SUM(E30:E35)</f>
        <v>1.0000000000000002</v>
      </c>
      <c r="F37" s="446">
        <f>'Margin Revenue'!G25</f>
        <v>54997474</v>
      </c>
      <c r="G37" s="23"/>
      <c r="H37" s="5">
        <f>SUM(H30:H35)</f>
        <v>7529102</v>
      </c>
      <c r="I37" s="46">
        <f>Rates!H37</f>
        <v>117986.02151615416</v>
      </c>
      <c r="J37" s="5">
        <f>SUM(J30:J35)</f>
        <v>139572</v>
      </c>
      <c r="L37" s="24">
        <f>SUM(L30:L36)</f>
        <v>139446.47759939689</v>
      </c>
      <c r="M37" s="20">
        <f>L37-I37</f>
        <v>21460.456083242738</v>
      </c>
    </row>
    <row r="38" spans="1:13" x14ac:dyDescent="0.2">
      <c r="A38" s="220"/>
      <c r="C38" s="432"/>
      <c r="D38" s="431"/>
      <c r="E38" s="50"/>
      <c r="F38" s="2"/>
      <c r="G38" s="23"/>
      <c r="H38" s="5"/>
      <c r="I38" s="1"/>
      <c r="J38" s="5"/>
      <c r="L38" s="5"/>
    </row>
    <row r="39" spans="1:13" x14ac:dyDescent="0.2">
      <c r="A39" s="220">
        <f>A37+1</f>
        <v>27</v>
      </c>
      <c r="B39" s="38" t="s">
        <v>292</v>
      </c>
      <c r="D39" s="50"/>
      <c r="E39" s="50"/>
      <c r="F39" s="2"/>
      <c r="G39" s="23"/>
      <c r="H39" s="20"/>
      <c r="I39" s="1"/>
      <c r="J39" s="5"/>
      <c r="L39" s="5"/>
    </row>
    <row r="40" spans="1:13" x14ac:dyDescent="0.2">
      <c r="A40" s="220">
        <f t="shared" ref="A40:A46" si="15">A39+1</f>
        <v>28</v>
      </c>
      <c r="C40" s="38" t="s">
        <v>18</v>
      </c>
      <c r="D40" s="424">
        <v>2975000</v>
      </c>
      <c r="E40" s="27">
        <f t="shared" ref="E40:E45" si="16">+D40/$D$46</f>
        <v>3.2496874701827522E-2</v>
      </c>
      <c r="F40" s="21">
        <f t="shared" ref="F40:F45" si="17">+E40*$F$46</f>
        <v>3524203.6818358256</v>
      </c>
      <c r="G40" s="447">
        <f>'Exh JDT-5 (JDT-INTRPL-RD)'!H128</f>
        <v>0.20754</v>
      </c>
      <c r="H40" s="20">
        <f t="shared" ref="H40:H45" si="18">ROUND(F40*G40,0)</f>
        <v>731413</v>
      </c>
      <c r="I40" s="1"/>
      <c r="J40" s="20">
        <f t="shared" ref="J40:J45" si="19">ROUND(H40*$I$49,0)</f>
        <v>13559</v>
      </c>
      <c r="K40" s="23">
        <f t="shared" ref="K40:K45" si="20">ROUND(J40/F40,5)</f>
        <v>3.8500000000000001E-3</v>
      </c>
      <c r="L40" s="20">
        <f t="shared" ref="L40:L45" si="21">F40*K40</f>
        <v>13568.184175067929</v>
      </c>
    </row>
    <row r="41" spans="1:13" x14ac:dyDescent="0.2">
      <c r="A41" s="220">
        <f t="shared" si="15"/>
        <v>29</v>
      </c>
      <c r="C41" s="38" t="s">
        <v>17</v>
      </c>
      <c r="D41" s="424">
        <v>2975000</v>
      </c>
      <c r="E41" s="27">
        <f t="shared" si="16"/>
        <v>3.2496874701827522E-2</v>
      </c>
      <c r="F41" s="21">
        <f t="shared" si="17"/>
        <v>3524203.6818358256</v>
      </c>
      <c r="G41" s="447">
        <f>'Exh JDT-5 (JDT-INTRPL-RD)'!H129</f>
        <v>0.12540999999999999</v>
      </c>
      <c r="H41" s="20">
        <f t="shared" si="18"/>
        <v>441970</v>
      </c>
      <c r="I41" s="1"/>
      <c r="J41" s="20">
        <f t="shared" si="19"/>
        <v>8193</v>
      </c>
      <c r="K41" s="23">
        <f t="shared" si="20"/>
        <v>2.32E-3</v>
      </c>
      <c r="L41" s="20">
        <f t="shared" si="21"/>
        <v>8176.1525418591154</v>
      </c>
    </row>
    <row r="42" spans="1:13" x14ac:dyDescent="0.2">
      <c r="A42" s="220">
        <f t="shared" si="15"/>
        <v>30</v>
      </c>
      <c r="C42" s="38" t="s">
        <v>16</v>
      </c>
      <c r="D42" s="424">
        <v>5950000</v>
      </c>
      <c r="E42" s="27">
        <f t="shared" si="16"/>
        <v>6.4993749403655043E-2</v>
      </c>
      <c r="F42" s="21">
        <f t="shared" si="17"/>
        <v>7048407.3636716511</v>
      </c>
      <c r="G42" s="447">
        <f>'Exh JDT-5 (JDT-INTRPL-RD)'!H130</f>
        <v>7.9810000000000006E-2</v>
      </c>
      <c r="H42" s="20">
        <f t="shared" si="18"/>
        <v>562533</v>
      </c>
      <c r="I42" s="1"/>
      <c r="J42" s="20">
        <f t="shared" si="19"/>
        <v>10428</v>
      </c>
      <c r="K42" s="23">
        <f t="shared" si="20"/>
        <v>1.48E-3</v>
      </c>
      <c r="L42" s="20">
        <f t="shared" si="21"/>
        <v>10431.642898234044</v>
      </c>
    </row>
    <row r="43" spans="1:13" x14ac:dyDescent="0.2">
      <c r="A43" s="220">
        <f t="shared" si="15"/>
        <v>31</v>
      </c>
      <c r="C43" s="38" t="s">
        <v>15</v>
      </c>
      <c r="D43" s="424">
        <v>11363180</v>
      </c>
      <c r="E43" s="27">
        <f t="shared" si="16"/>
        <v>0.12412364257960082</v>
      </c>
      <c r="F43" s="21">
        <f t="shared" si="17"/>
        <v>13460894.38432377</v>
      </c>
      <c r="G43" s="447">
        <f>'Exh JDT-5 (JDT-INTRPL-RD)'!H131</f>
        <v>5.117E-2</v>
      </c>
      <c r="H43" s="20">
        <f t="shared" si="18"/>
        <v>688794</v>
      </c>
      <c r="I43" s="1"/>
      <c r="J43" s="20">
        <f t="shared" si="19"/>
        <v>12769</v>
      </c>
      <c r="K43" s="23">
        <f t="shared" si="20"/>
        <v>9.5E-4</v>
      </c>
      <c r="L43" s="20">
        <f t="shared" si="21"/>
        <v>12787.849665107582</v>
      </c>
    </row>
    <row r="44" spans="1:13" x14ac:dyDescent="0.2">
      <c r="A44" s="220">
        <f t="shared" si="15"/>
        <v>32</v>
      </c>
      <c r="C44" s="38" t="s">
        <v>14</v>
      </c>
      <c r="D44" s="424">
        <v>25273527</v>
      </c>
      <c r="E44" s="27">
        <f t="shared" si="16"/>
        <v>0.27607080342596801</v>
      </c>
      <c r="F44" s="21">
        <f t="shared" si="17"/>
        <v>29939178.792059544</v>
      </c>
      <c r="G44" s="447">
        <f>'Exh JDT-5 (JDT-INTRPL-RD)'!H132</f>
        <v>3.6830000000000002E-2</v>
      </c>
      <c r="H44" s="20">
        <f t="shared" si="18"/>
        <v>1102660</v>
      </c>
      <c r="I44" s="1"/>
      <c r="J44" s="20">
        <f t="shared" si="19"/>
        <v>20441</v>
      </c>
      <c r="K44" s="23">
        <f t="shared" si="20"/>
        <v>6.8000000000000005E-4</v>
      </c>
      <c r="L44" s="20">
        <f t="shared" si="21"/>
        <v>20358.641578600491</v>
      </c>
    </row>
    <row r="45" spans="1:13" x14ac:dyDescent="0.2">
      <c r="A45" s="220">
        <f t="shared" si="15"/>
        <v>33</v>
      </c>
      <c r="C45" s="38" t="s">
        <v>19</v>
      </c>
      <c r="D45" s="424">
        <v>43010558</v>
      </c>
      <c r="E45" s="28">
        <f t="shared" si="16"/>
        <v>0.46981805518712111</v>
      </c>
      <c r="F45" s="21">
        <f t="shared" si="17"/>
        <v>50950577.096273385</v>
      </c>
      <c r="G45" s="447">
        <f>'Exh JDT-5 (JDT-INTRPL-RD)'!H133</f>
        <v>2.4830000000000001E-2</v>
      </c>
      <c r="H45" s="20">
        <f t="shared" si="18"/>
        <v>1265103</v>
      </c>
      <c r="I45" s="1"/>
      <c r="J45" s="19">
        <f t="shared" si="19"/>
        <v>23452</v>
      </c>
      <c r="K45" s="23">
        <f t="shared" si="20"/>
        <v>4.6000000000000001E-4</v>
      </c>
      <c r="L45" s="19">
        <f t="shared" si="21"/>
        <v>23437.265464285756</v>
      </c>
    </row>
    <row r="46" spans="1:13" x14ac:dyDescent="0.2">
      <c r="A46" s="220">
        <f t="shared" si="15"/>
        <v>34</v>
      </c>
      <c r="C46" s="38" t="s">
        <v>0</v>
      </c>
      <c r="D46" s="247">
        <f>SUM(D40:D45)</f>
        <v>91547265</v>
      </c>
      <c r="E46" s="27">
        <f>SUM(E40:E45)</f>
        <v>1</v>
      </c>
      <c r="F46" s="446">
        <f>'Margin Revenue'!G26</f>
        <v>108447465</v>
      </c>
      <c r="G46" s="23"/>
      <c r="H46" s="24">
        <f>SUM(H40:H45)</f>
        <v>4792473</v>
      </c>
      <c r="I46" s="46">
        <f>Rates!H46</f>
        <v>107275.452317394</v>
      </c>
      <c r="J46" s="24">
        <f>SUM(J40:J45)</f>
        <v>88842</v>
      </c>
      <c r="L46" s="5">
        <f>SUM(L40:L45)</f>
        <v>88759.73632315491</v>
      </c>
      <c r="M46" s="20">
        <f>L46-I46</f>
        <v>-18515.715994239086</v>
      </c>
    </row>
    <row r="47" spans="1:13" x14ac:dyDescent="0.2">
      <c r="A47" s="220"/>
      <c r="C47" s="432"/>
      <c r="D47" s="431"/>
      <c r="E47" s="50"/>
      <c r="F47" s="2"/>
      <c r="H47" s="5"/>
      <c r="I47" s="47"/>
      <c r="J47" s="5"/>
      <c r="L47" s="5"/>
    </row>
    <row r="48" spans="1:13" x14ac:dyDescent="0.2">
      <c r="A48" s="220"/>
      <c r="B48" s="38" t="s">
        <v>0</v>
      </c>
      <c r="D48" s="50">
        <f>D18+D27+D37+D46</f>
        <v>191834025</v>
      </c>
      <c r="E48" s="50"/>
      <c r="F48" s="50">
        <f>F18+F27+F37+F46</f>
        <v>199658371</v>
      </c>
      <c r="H48" s="5">
        <f>H18+H27+H37+H46</f>
        <v>15723208</v>
      </c>
      <c r="I48" s="5">
        <f>I18+I27+I37+I46</f>
        <v>291470.97539262776</v>
      </c>
      <c r="J48" s="5">
        <f>J18+J27+J37+J46</f>
        <v>291473</v>
      </c>
      <c r="L48" s="5">
        <f>L18+L27+L37+L46</f>
        <v>291460.2446470944</v>
      </c>
      <c r="M48" s="18">
        <f>L48-I48</f>
        <v>-10.730745533364825</v>
      </c>
    </row>
    <row r="49" spans="1:13" x14ac:dyDescent="0.2">
      <c r="A49" s="220"/>
      <c r="B49" s="38" t="s">
        <v>43</v>
      </c>
      <c r="D49" s="231"/>
      <c r="E49" s="231"/>
      <c r="F49" s="2"/>
      <c r="H49" s="5"/>
      <c r="I49" s="48">
        <f>I48/H48</f>
        <v>1.8537627651598054E-2</v>
      </c>
      <c r="J49" s="5"/>
      <c r="L49" s="5"/>
      <c r="M49" s="44">
        <f>M48/J48</f>
        <v>-3.6815573083492552E-5</v>
      </c>
    </row>
    <row r="50" spans="1:13" x14ac:dyDescent="0.2">
      <c r="A50" s="220"/>
      <c r="D50" s="231"/>
      <c r="E50" s="231"/>
      <c r="F50" s="2"/>
      <c r="H50" s="5"/>
      <c r="I50" s="48"/>
      <c r="J50" s="5"/>
      <c r="L50" s="5"/>
      <c r="M50" s="44"/>
    </row>
    <row r="51" spans="1:13" x14ac:dyDescent="0.2">
      <c r="A51" s="220"/>
    </row>
    <row r="52" spans="1:13" ht="12.75" customHeight="1" x14ac:dyDescent="0.2">
      <c r="A52" s="248" t="s">
        <v>29</v>
      </c>
      <c r="B52" s="245" t="s">
        <v>293</v>
      </c>
    </row>
    <row r="53" spans="1:13" ht="12.75" customHeight="1" x14ac:dyDescent="0.2">
      <c r="A53" s="244" t="s">
        <v>28</v>
      </c>
      <c r="B53" s="9" t="s">
        <v>295</v>
      </c>
      <c r="C53" s="249"/>
      <c r="D53" s="249"/>
      <c r="E53" s="249"/>
      <c r="F53" s="249"/>
      <c r="G53" s="249"/>
      <c r="H53" s="249"/>
      <c r="I53" s="249"/>
      <c r="J53" s="249"/>
      <c r="K53" s="249"/>
      <c r="L53" s="249"/>
    </row>
    <row r="54" spans="1:13" ht="13.5" thickBot="1" x14ac:dyDescent="0.25"/>
    <row r="55" spans="1:13" x14ac:dyDescent="0.2">
      <c r="F55" s="17" t="s">
        <v>13</v>
      </c>
    </row>
    <row r="56" spans="1:13" x14ac:dyDescent="0.2">
      <c r="F56" s="16">
        <f>F18-SUM(F11:F16)</f>
        <v>0</v>
      </c>
    </row>
    <row r="57" spans="1:13" x14ac:dyDescent="0.2">
      <c r="F57" s="16">
        <f>F27-SUM(F21:F26)</f>
        <v>0</v>
      </c>
    </row>
    <row r="58" spans="1:13" x14ac:dyDescent="0.2">
      <c r="F58" s="16">
        <f>F37-SUM(F30:F35)</f>
        <v>0</v>
      </c>
    </row>
    <row r="59" spans="1:13" ht="13.5" thickBot="1" x14ac:dyDescent="0.25">
      <c r="F59" s="15">
        <f>F46-SUM(F40:F45)</f>
        <v>0</v>
      </c>
    </row>
    <row r="63" spans="1:13" x14ac:dyDescent="0.2">
      <c r="H63" s="49"/>
      <c r="I63" s="49"/>
    </row>
    <row r="64" spans="1:13" x14ac:dyDescent="0.2">
      <c r="F64" s="49"/>
    </row>
    <row r="68" spans="6:9" x14ac:dyDescent="0.2">
      <c r="F68" s="49"/>
    </row>
    <row r="70" spans="6:9" x14ac:dyDescent="0.2">
      <c r="I70" s="49"/>
    </row>
    <row r="72" spans="6:9" x14ac:dyDescent="0.2">
      <c r="I72" s="49"/>
    </row>
  </sheetData>
  <mergeCells count="3">
    <mergeCell ref="B8:C8"/>
    <mergeCell ref="A1:M1"/>
    <mergeCell ref="A3:M3"/>
  </mergeCells>
  <printOptions horizontalCentered="1"/>
  <pageMargins left="0.75" right="0.75" top="1" bottom="1" header="0.5" footer="0.5"/>
  <pageSetup scale="71" orientation="landscape" blackAndWhite="1" horizontalDpi="300" verticalDpi="300" r:id="rId1"/>
  <headerFooter alignWithMargins="0">
    <oddFooter>&amp;L&amp;F 
&amp;A&amp;C&amp;P&amp;R&amp;D</oddFooter>
  </headerFooter>
  <rowBreaks count="1" manualBreakCount="1">
    <brk id="53" max="12" man="1"/>
  </rowBreaks>
  <colBreaks count="1" manualBreakCount="1">
    <brk id="12" max="1048575" man="1"/>
  </colBreaks>
  <customProperties>
    <customPr name="_pios_id" r:id="rId2"/>
    <customPr name="EpmWorksheetKeyString_GUID" r:id="rId3"/>
  </customProperties>
  <ignoredErrors>
    <ignoredError sqref="D17 D36" formulaRange="1"/>
    <ignoredError sqref="I18 I27 I37 I4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zoomScale="90" zoomScaleNormal="90" workbookViewId="0">
      <selection activeCell="K23" sqref="K23"/>
    </sheetView>
  </sheetViews>
  <sheetFormatPr defaultColWidth="8.85546875" defaultRowHeight="12.75" x14ac:dyDescent="0.2"/>
  <cols>
    <col min="1" max="1" width="4.85546875" style="38" bestFit="1" customWidth="1"/>
    <col min="2" max="2" width="27.7109375" style="38" customWidth="1"/>
    <col min="3" max="3" width="9.42578125" style="38" customWidth="1"/>
    <col min="4" max="4" width="13.85546875" style="38" customWidth="1"/>
    <col min="5" max="5" width="14.5703125" style="38" customWidth="1"/>
    <col min="6" max="6" width="13.5703125" style="38" customWidth="1"/>
    <col min="7" max="7" width="15.85546875" style="38" bestFit="1" customWidth="1"/>
    <col min="8" max="8" width="15.42578125" style="38" bestFit="1" customWidth="1"/>
    <col min="9" max="16" width="9.140625" style="38" customWidth="1"/>
    <col min="17" max="16384" width="8.85546875" style="38"/>
  </cols>
  <sheetData>
    <row r="1" spans="1:13" ht="15" customHeight="1" x14ac:dyDescent="0.2">
      <c r="A1" s="126" t="s">
        <v>12</v>
      </c>
      <c r="B1" s="52"/>
      <c r="C1" s="126"/>
      <c r="D1" s="126"/>
      <c r="E1" s="126"/>
      <c r="F1" s="126"/>
      <c r="G1" s="126"/>
      <c r="H1" s="126"/>
      <c r="I1" s="250"/>
      <c r="J1" s="52"/>
      <c r="K1" s="9"/>
      <c r="L1" s="9"/>
      <c r="M1" s="9"/>
    </row>
    <row r="2" spans="1:13" ht="15" customHeight="1" x14ac:dyDescent="0.2">
      <c r="A2" s="126" t="str">
        <f>Rates!$A$2</f>
        <v>2024 Gas Schedule 129 Low Income Program Rate Filing</v>
      </c>
      <c r="B2" s="126"/>
      <c r="C2" s="126"/>
      <c r="D2" s="126"/>
      <c r="E2" s="126"/>
      <c r="F2" s="126"/>
      <c r="G2" s="227"/>
      <c r="H2" s="227"/>
      <c r="I2" s="250"/>
      <c r="J2" s="52"/>
      <c r="K2" s="9"/>
      <c r="L2" s="9"/>
      <c r="M2" s="9"/>
    </row>
    <row r="3" spans="1:13" ht="15" customHeight="1" x14ac:dyDescent="0.2">
      <c r="A3" s="52" t="s">
        <v>286</v>
      </c>
      <c r="B3" s="52"/>
      <c r="C3" s="52"/>
      <c r="D3" s="52"/>
      <c r="E3" s="52"/>
      <c r="F3" s="52"/>
      <c r="G3" s="54"/>
      <c r="H3" s="54"/>
      <c r="I3" s="9"/>
      <c r="J3" s="52"/>
      <c r="K3" s="9"/>
      <c r="L3" s="9"/>
      <c r="M3" s="9"/>
    </row>
    <row r="4" spans="1:13" x14ac:dyDescent="0.2">
      <c r="D4" s="9"/>
      <c r="E4" s="9"/>
      <c r="F4" s="9"/>
    </row>
    <row r="5" spans="1:13" x14ac:dyDescent="0.2">
      <c r="F5" s="220"/>
    </row>
    <row r="6" spans="1:13" x14ac:dyDescent="0.2">
      <c r="D6" s="228" t="s">
        <v>224</v>
      </c>
      <c r="E6" s="220" t="str">
        <f>$D$6</f>
        <v>UG-220067</v>
      </c>
      <c r="F6" s="220" t="str">
        <f>$D$6</f>
        <v>UG-220067</v>
      </c>
      <c r="G6" s="434" t="s">
        <v>153</v>
      </c>
      <c r="H6" s="40" t="str">
        <f>+G6</f>
        <v>Forecasted</v>
      </c>
      <c r="I6" s="40"/>
    </row>
    <row r="7" spans="1:13" x14ac:dyDescent="0.2">
      <c r="A7" s="38" t="s">
        <v>35</v>
      </c>
      <c r="C7" s="220" t="s">
        <v>11</v>
      </c>
      <c r="D7" s="40" t="s">
        <v>10</v>
      </c>
      <c r="E7" s="40" t="s">
        <v>59</v>
      </c>
      <c r="F7" s="40" t="s">
        <v>227</v>
      </c>
      <c r="G7" s="435" t="s">
        <v>83</v>
      </c>
      <c r="H7" s="40" t="s">
        <v>36</v>
      </c>
      <c r="I7" s="40"/>
    </row>
    <row r="8" spans="1:13" ht="14.25" x14ac:dyDescent="0.2">
      <c r="A8" s="14" t="s">
        <v>284</v>
      </c>
      <c r="B8" s="14" t="s">
        <v>8</v>
      </c>
      <c r="C8" s="14" t="s">
        <v>7</v>
      </c>
      <c r="D8" s="14" t="s">
        <v>58</v>
      </c>
      <c r="E8" s="14" t="s">
        <v>60</v>
      </c>
      <c r="F8" s="14" t="s">
        <v>157</v>
      </c>
      <c r="G8" s="458" t="s">
        <v>283</v>
      </c>
      <c r="H8" s="14" t="s">
        <v>184</v>
      </c>
      <c r="I8" s="40"/>
    </row>
    <row r="9" spans="1:13" x14ac:dyDescent="0.2">
      <c r="A9" s="40"/>
      <c r="B9" s="40" t="s">
        <v>254</v>
      </c>
      <c r="C9" s="40" t="s">
        <v>255</v>
      </c>
      <c r="D9" s="40" t="s">
        <v>285</v>
      </c>
      <c r="E9" s="40" t="s">
        <v>257</v>
      </c>
      <c r="F9" s="40" t="s">
        <v>258</v>
      </c>
      <c r="G9" s="40" t="s">
        <v>259</v>
      </c>
      <c r="H9" s="40" t="s">
        <v>260</v>
      </c>
      <c r="I9" s="40"/>
    </row>
    <row r="10" spans="1:13" x14ac:dyDescent="0.2">
      <c r="A10" s="220">
        <v>1</v>
      </c>
      <c r="B10" s="8" t="s">
        <v>5</v>
      </c>
      <c r="C10" s="220" t="s">
        <v>24</v>
      </c>
      <c r="D10" s="441">
        <f>'Exh JDT-5 (JDT-RES_RD)'!D13+'Exh JDT-5 (JDT-RES_RD)'!D21</f>
        <v>620836684.05687141</v>
      </c>
      <c r="E10" s="442">
        <f>'Exh JDT-5 (JDT-RES_RD)'!I16+'Exh JDT-5 (JDT-RES_RD)'!I24</f>
        <v>403613457.09474093</v>
      </c>
      <c r="F10" s="37">
        <f>E10/D10</f>
        <v>0.6501121268436002</v>
      </c>
      <c r="G10" s="441">
        <f>SUM('Forecast Therms'!N9:N10)</f>
        <v>563922736</v>
      </c>
      <c r="H10" s="251">
        <f>F10*G10</f>
        <v>366613009.27642208</v>
      </c>
      <c r="I10" s="6"/>
      <c r="L10" s="252"/>
    </row>
    <row r="11" spans="1:13" x14ac:dyDescent="0.2">
      <c r="A11" s="220"/>
      <c r="B11" s="8"/>
      <c r="C11" s="220"/>
      <c r="D11" s="441"/>
      <c r="E11" s="442"/>
      <c r="G11" s="424"/>
      <c r="I11" s="41"/>
    </row>
    <row r="12" spans="1:13" x14ac:dyDescent="0.2">
      <c r="A12" s="220">
        <f>A10+1</f>
        <v>2</v>
      </c>
      <c r="B12" s="127" t="s">
        <v>23</v>
      </c>
      <c r="C12" s="220"/>
      <c r="D12" s="441"/>
      <c r="E12" s="442"/>
      <c r="G12" s="424"/>
      <c r="I12" s="41"/>
    </row>
    <row r="13" spans="1:13" x14ac:dyDescent="0.2">
      <c r="A13" s="220">
        <f t="shared" ref="A13:A28" si="0">A12+1</f>
        <v>3</v>
      </c>
      <c r="B13" s="13" t="s">
        <v>41</v>
      </c>
      <c r="C13" s="220" t="s">
        <v>32</v>
      </c>
      <c r="D13" s="441">
        <f>'Exh JDT-5 (JDT-C&amp;I-RD)'!D32</f>
        <v>222203870.67539161</v>
      </c>
      <c r="E13" s="442">
        <f>'Exh JDT-5 (JDT-C&amp;I-RD)'!I36</f>
        <v>122144982.04000001</v>
      </c>
      <c r="F13" s="37">
        <f>E13/D13</f>
        <v>0.54969781430331843</v>
      </c>
      <c r="G13" s="441">
        <f>SUM('Forecast Therms'!N11,'Forecast Therms'!N16)</f>
        <v>230136848</v>
      </c>
      <c r="H13" s="251">
        <f>F13*G13</f>
        <v>126505722.33625501</v>
      </c>
      <c r="I13" s="6"/>
      <c r="L13" s="252"/>
    </row>
    <row r="14" spans="1:13" x14ac:dyDescent="0.2">
      <c r="A14" s="220"/>
      <c r="B14" s="127"/>
      <c r="C14" s="40"/>
      <c r="D14" s="441"/>
      <c r="E14" s="442"/>
      <c r="G14" s="424"/>
      <c r="H14" s="251"/>
      <c r="I14" s="6"/>
    </row>
    <row r="15" spans="1:13" x14ac:dyDescent="0.2">
      <c r="A15" s="220">
        <f>A13+1</f>
        <v>4</v>
      </c>
      <c r="B15" s="8" t="s">
        <v>22</v>
      </c>
      <c r="C15" s="220" t="s">
        <v>31</v>
      </c>
      <c r="D15" s="441">
        <f>'Exh JDT-5 (JDT-C&amp;I-RD)'!D82</f>
        <v>82012496.764967203</v>
      </c>
      <c r="E15" s="442">
        <f>'Exh JDT-5 (JDT-C&amp;I-RD)'!I86</f>
        <v>22261797.053338237</v>
      </c>
      <c r="F15" s="37">
        <f>E15/D15</f>
        <v>0.27144396197492282</v>
      </c>
      <c r="G15" s="441">
        <f>SUM('Forecast Therms'!N12,'Forecast Therms'!N17)</f>
        <v>84266685</v>
      </c>
      <c r="H15" s="251">
        <f>F15*G15</f>
        <v>22873682.838892799</v>
      </c>
      <c r="I15" s="6"/>
      <c r="L15" s="252"/>
    </row>
    <row r="16" spans="1:13" x14ac:dyDescent="0.2">
      <c r="A16" s="220"/>
      <c r="B16" s="8"/>
      <c r="C16" s="220"/>
      <c r="D16" s="441"/>
      <c r="E16" s="442"/>
      <c r="F16" s="37"/>
      <c r="G16" s="424"/>
      <c r="H16" s="251"/>
      <c r="I16" s="6"/>
    </row>
    <row r="17" spans="1:19" x14ac:dyDescent="0.2">
      <c r="A17" s="220">
        <f>A15+1</f>
        <v>5</v>
      </c>
      <c r="B17" s="8" t="s">
        <v>40</v>
      </c>
      <c r="C17" s="220" t="s">
        <v>30</v>
      </c>
      <c r="D17" s="441">
        <f>'Exh JDT-5 (JDT-INTRPL-RD)'!D96</f>
        <v>7491654.8276905464</v>
      </c>
      <c r="E17" s="442">
        <f>'Exh JDT-5 (JDT-INTRPL-RD)'!I98</f>
        <v>1560031.02</v>
      </c>
      <c r="F17" s="37">
        <f>E17/D17</f>
        <v>0.20823583785972571</v>
      </c>
      <c r="G17" s="441">
        <f>SUM('Forecast Therms'!N14,'Forecast Therms'!N19)</f>
        <v>6326419</v>
      </c>
      <c r="H17" s="251">
        <f>F17*G17</f>
        <v>1317387.161116688</v>
      </c>
      <c r="I17" s="6"/>
      <c r="L17" s="252"/>
    </row>
    <row r="18" spans="1:19" x14ac:dyDescent="0.2">
      <c r="A18" s="220"/>
      <c r="B18" s="8"/>
      <c r="C18" s="220"/>
      <c r="D18" s="441"/>
      <c r="E18" s="442"/>
      <c r="G18" s="424"/>
      <c r="H18" s="251"/>
      <c r="I18" s="6"/>
    </row>
    <row r="19" spans="1:19" x14ac:dyDescent="0.2">
      <c r="A19" s="220">
        <f>A17+1</f>
        <v>6</v>
      </c>
      <c r="B19" s="8" t="s">
        <v>4</v>
      </c>
      <c r="C19" s="220"/>
      <c r="D19" s="443"/>
      <c r="E19" s="443"/>
      <c r="G19" s="424"/>
      <c r="H19" s="251"/>
      <c r="I19" s="6"/>
    </row>
    <row r="20" spans="1:19" x14ac:dyDescent="0.2">
      <c r="A20" s="220">
        <f t="shared" si="0"/>
        <v>7</v>
      </c>
      <c r="B20" s="253" t="s">
        <v>4</v>
      </c>
      <c r="C20" s="220">
        <v>85</v>
      </c>
      <c r="D20" s="441">
        <f>'Exh JDT-5 (JDT-INTRPL-RD)'!D21</f>
        <v>19992939.502740219</v>
      </c>
      <c r="E20" s="442">
        <f>'Exh JDT-5 (JDT-INTRPL-RD)'!I23</f>
        <v>2272313.06</v>
      </c>
      <c r="F20" s="37">
        <f>E20/D20</f>
        <v>0.11365577631486147</v>
      </c>
      <c r="G20" s="441">
        <f>'Forecast Therms'!N13</f>
        <v>17599390</v>
      </c>
      <c r="H20" s="251">
        <f>F20*G20</f>
        <v>2000272.3331180098</v>
      </c>
      <c r="I20" s="6"/>
      <c r="L20" s="252"/>
    </row>
    <row r="21" spans="1:19" x14ac:dyDescent="0.2">
      <c r="A21" s="220">
        <f t="shared" si="0"/>
        <v>8</v>
      </c>
      <c r="B21" s="13" t="s">
        <v>39</v>
      </c>
      <c r="C21" s="40">
        <v>87</v>
      </c>
      <c r="D21" s="441">
        <f>'Exh JDT-5 (JDT-INTRPL-RD)'!D116</f>
        <v>21819455.762355208</v>
      </c>
      <c r="E21" s="444">
        <f>'Exh JDT-5 (JDT-INTRPL-RD)'!I118</f>
        <v>1509849.77</v>
      </c>
      <c r="F21" s="37">
        <f>E21/D21</f>
        <v>6.9197407416775353E-2</v>
      </c>
      <c r="G21" s="441">
        <f>'Forecast Therms'!N15</f>
        <v>18614042</v>
      </c>
      <c r="H21" s="251">
        <f>F21*G21</f>
        <v>1288043.447946968</v>
      </c>
      <c r="I21" s="6"/>
      <c r="L21" s="252"/>
    </row>
    <row r="22" spans="1:19" x14ac:dyDescent="0.2">
      <c r="A22" s="220">
        <f t="shared" si="0"/>
        <v>9</v>
      </c>
      <c r="B22" s="13" t="s">
        <v>1</v>
      </c>
      <c r="C22" s="40"/>
      <c r="D22" s="12">
        <f t="shared" ref="D22" si="1">SUM(D20:D21)</f>
        <v>41812395.265095428</v>
      </c>
      <c r="E22" s="10">
        <f t="shared" ref="E22" si="2">SUM(E20:E21)</f>
        <v>3782162.83</v>
      </c>
      <c r="F22" s="37"/>
      <c r="G22" s="12">
        <f>SUM(G20:G21)</f>
        <v>36213432</v>
      </c>
      <c r="H22" s="10">
        <f>SUM(H20:H21)</f>
        <v>3288315.7810649779</v>
      </c>
      <c r="I22" s="6"/>
      <c r="L22" s="252"/>
    </row>
    <row r="23" spans="1:19" x14ac:dyDescent="0.2">
      <c r="A23" s="220"/>
      <c r="B23" s="13"/>
      <c r="C23" s="40"/>
      <c r="D23" s="35"/>
      <c r="E23" s="6"/>
      <c r="F23" s="37"/>
      <c r="G23" s="35"/>
      <c r="H23" s="6"/>
      <c r="I23" s="6"/>
    </row>
    <row r="24" spans="1:19" x14ac:dyDescent="0.2">
      <c r="A24" s="220">
        <f>A22+1</f>
        <v>10</v>
      </c>
      <c r="B24" s="127" t="s">
        <v>20</v>
      </c>
      <c r="C24" s="40"/>
      <c r="D24" s="445"/>
      <c r="E24" s="7"/>
      <c r="G24" s="30"/>
      <c r="H24" s="251"/>
      <c r="I24" s="6"/>
    </row>
    <row r="25" spans="1:19" x14ac:dyDescent="0.2">
      <c r="A25" s="220">
        <f t="shared" si="0"/>
        <v>11</v>
      </c>
      <c r="B25" s="253" t="s">
        <v>4</v>
      </c>
      <c r="C25" s="40" t="s">
        <v>3</v>
      </c>
      <c r="D25" s="441">
        <f>'Exh JDT-5 (JDT-INTRPL-RD)'!D36</f>
        <v>68886791.019958794</v>
      </c>
      <c r="E25" s="444">
        <f>'Exh JDT-5 (JDT-INTRPL-RD)'!I38</f>
        <v>7339677.3100000005</v>
      </c>
      <c r="F25" s="37">
        <f t="shared" ref="F25:F26" si="3">E25/D25</f>
        <v>0.1065469475544804</v>
      </c>
      <c r="G25" s="441">
        <f>'Forecast Therms'!N18</f>
        <v>54997474</v>
      </c>
      <c r="H25" s="251">
        <f>F25*G25</f>
        <v>5859812.9779068995</v>
      </c>
      <c r="I25" s="6"/>
      <c r="L25" s="252"/>
    </row>
    <row r="26" spans="1:19" x14ac:dyDescent="0.2">
      <c r="A26" s="220">
        <f t="shared" si="0"/>
        <v>12</v>
      </c>
      <c r="B26" s="13" t="s">
        <v>39</v>
      </c>
      <c r="C26" s="40" t="s">
        <v>291</v>
      </c>
      <c r="D26" s="441">
        <f>'Exh JDT-5 (JDT-INTRPL-RD)'!D134</f>
        <v>97500425.645479575</v>
      </c>
      <c r="E26" s="444">
        <f>'Exh JDT-5 (JDT-INTRPL-RD)'!I136</f>
        <v>4790056.76</v>
      </c>
      <c r="F26" s="37">
        <f t="shared" si="3"/>
        <v>4.9128572806616068E-2</v>
      </c>
      <c r="G26" s="441">
        <f>SUM('Forecast Therms'!N20:N21)</f>
        <v>108447465</v>
      </c>
      <c r="H26" s="251">
        <f>F26*G26</f>
        <v>5327869.1799454475</v>
      </c>
      <c r="I26" s="6"/>
      <c r="L26" s="252"/>
    </row>
    <row r="27" spans="1:19" x14ac:dyDescent="0.2">
      <c r="A27" s="437">
        <f t="shared" si="0"/>
        <v>13</v>
      </c>
      <c r="B27" s="127" t="s">
        <v>38</v>
      </c>
      <c r="C27" s="40"/>
      <c r="D27" s="11">
        <f>SUM(D25:D26)</f>
        <v>166387216.66543835</v>
      </c>
      <c r="E27" s="440">
        <f>SUM(E25:E26)</f>
        <v>12129734.07</v>
      </c>
      <c r="F27" s="37"/>
      <c r="G27" s="11">
        <f>SUM(G25:G26)</f>
        <v>163444939</v>
      </c>
      <c r="H27" s="440">
        <f>SUM(H25:H26)</f>
        <v>11187682.157852348</v>
      </c>
      <c r="I27" s="254"/>
      <c r="L27" s="252"/>
    </row>
    <row r="28" spans="1:19" x14ac:dyDescent="0.2">
      <c r="A28" s="437">
        <f t="shared" si="0"/>
        <v>14</v>
      </c>
      <c r="B28" s="127" t="s">
        <v>0</v>
      </c>
      <c r="C28" s="127"/>
      <c r="D28" s="12">
        <f>D10+D13+D15+D17+D22+D27</f>
        <v>1140744318.2554548</v>
      </c>
      <c r="E28" s="10">
        <f>E10+E13+E15+E17+E22+E27</f>
        <v>565492164.10807931</v>
      </c>
      <c r="F28" s="37"/>
      <c r="G28" s="12">
        <f>G10+G13+G15+G17+G22+G27</f>
        <v>1084311059</v>
      </c>
      <c r="H28" s="10">
        <f>H10+H13+H15+H17+H22+H27</f>
        <v>531785799.55160391</v>
      </c>
      <c r="I28" s="6"/>
      <c r="L28" s="252"/>
    </row>
    <row r="29" spans="1:19" x14ac:dyDescent="0.2">
      <c r="B29" s="8"/>
      <c r="C29" s="8"/>
      <c r="D29" s="35"/>
      <c r="E29" s="129"/>
      <c r="F29" s="129"/>
      <c r="I29" s="41"/>
    </row>
    <row r="30" spans="1:19" x14ac:dyDescent="0.2">
      <c r="B30" s="8"/>
      <c r="C30" s="8"/>
      <c r="D30" s="35"/>
      <c r="E30" s="129"/>
      <c r="F30" s="129"/>
      <c r="I30" s="41"/>
    </row>
    <row r="31" spans="1:19" ht="14.25" x14ac:dyDescent="0.2">
      <c r="A31" s="244" t="s">
        <v>29</v>
      </c>
      <c r="B31" s="9" t="s">
        <v>225</v>
      </c>
      <c r="C31" s="9"/>
      <c r="D31" s="9"/>
      <c r="E31" s="9"/>
      <c r="F31" s="9"/>
      <c r="G31" s="9"/>
      <c r="H31" s="9"/>
      <c r="I31" s="9"/>
      <c r="J31" s="9"/>
      <c r="N31" s="41"/>
      <c r="O31" s="41"/>
      <c r="P31" s="41"/>
      <c r="Q31" s="41"/>
      <c r="R31" s="41"/>
      <c r="S31" s="41"/>
    </row>
    <row r="32" spans="1:19" ht="14.25" x14ac:dyDescent="0.2">
      <c r="A32" s="244" t="s">
        <v>28</v>
      </c>
      <c r="B32" s="9" t="s">
        <v>226</v>
      </c>
      <c r="C32" s="249"/>
      <c r="D32" s="249"/>
      <c r="E32" s="249"/>
      <c r="F32" s="249"/>
      <c r="G32" s="249"/>
      <c r="H32" s="249"/>
      <c r="I32" s="249"/>
      <c r="J32" s="249"/>
      <c r="N32" s="41"/>
      <c r="O32" s="41"/>
      <c r="P32" s="41"/>
      <c r="Q32" s="41"/>
      <c r="R32" s="41"/>
      <c r="S32" s="41"/>
    </row>
    <row r="33" spans="2:19" x14ac:dyDescent="0.2">
      <c r="B33" s="8"/>
      <c r="C33" s="8"/>
      <c r="D33" s="8"/>
      <c r="E33" s="8"/>
      <c r="F33" s="8"/>
      <c r="G33" s="8"/>
      <c r="H33" s="8"/>
      <c r="I33" s="8"/>
      <c r="J33" s="8"/>
      <c r="N33" s="41"/>
      <c r="O33" s="41"/>
      <c r="P33" s="41"/>
      <c r="Q33" s="41"/>
      <c r="R33" s="41"/>
      <c r="S33" s="41"/>
    </row>
    <row r="34" spans="2:19" x14ac:dyDescent="0.2">
      <c r="B34" s="8"/>
      <c r="C34" s="8"/>
      <c r="D34" s="8"/>
      <c r="E34" s="8"/>
      <c r="F34" s="8"/>
      <c r="G34" s="8"/>
      <c r="H34" s="8"/>
      <c r="I34" s="8"/>
      <c r="J34" s="8"/>
      <c r="N34" s="41"/>
      <c r="O34" s="41"/>
      <c r="P34" s="41"/>
      <c r="Q34" s="41"/>
      <c r="R34" s="41"/>
      <c r="S34" s="41"/>
    </row>
    <row r="35" spans="2:19" x14ac:dyDescent="0.2">
      <c r="D35" s="4"/>
      <c r="E35" s="4"/>
      <c r="F35" s="4"/>
      <c r="G35" s="4"/>
      <c r="H35" s="4"/>
      <c r="I35" s="4"/>
      <c r="J35" s="4"/>
      <c r="K35" s="41"/>
      <c r="L35" s="41"/>
      <c r="M35" s="41"/>
      <c r="N35" s="4"/>
      <c r="O35" s="41"/>
      <c r="P35" s="41"/>
      <c r="Q35" s="41"/>
      <c r="R35" s="41"/>
      <c r="S35" s="41"/>
    </row>
    <row r="36" spans="2:19" x14ac:dyDescent="0.2">
      <c r="D36" s="4"/>
      <c r="E36" s="4"/>
      <c r="F36" s="4"/>
      <c r="G36" s="4"/>
      <c r="H36" s="4"/>
      <c r="I36" s="4"/>
      <c r="J36" s="4"/>
      <c r="K36" s="41"/>
      <c r="L36" s="41"/>
      <c r="M36" s="4"/>
      <c r="N36" s="4"/>
      <c r="O36" s="41"/>
      <c r="P36" s="41"/>
      <c r="Q36" s="41"/>
      <c r="R36" s="41"/>
      <c r="S36" s="41"/>
    </row>
    <row r="37" spans="2:19" x14ac:dyDescent="0.2">
      <c r="D37" s="4"/>
      <c r="E37" s="4"/>
      <c r="F37" s="4"/>
      <c r="G37" s="4"/>
      <c r="H37" s="4"/>
      <c r="I37" s="4"/>
      <c r="J37" s="4"/>
      <c r="K37" s="41"/>
      <c r="L37" s="41"/>
      <c r="M37" s="35"/>
      <c r="N37" s="4"/>
      <c r="O37" s="41"/>
      <c r="P37" s="41"/>
      <c r="Q37" s="41"/>
      <c r="R37" s="41"/>
      <c r="S37" s="41"/>
    </row>
    <row r="38" spans="2:19" x14ac:dyDescent="0.2">
      <c r="D38" s="4"/>
      <c r="E38" s="4"/>
      <c r="F38" s="4"/>
      <c r="G38" s="4"/>
      <c r="H38" s="4"/>
      <c r="I38" s="4"/>
      <c r="J38" s="4"/>
      <c r="K38" s="41"/>
      <c r="L38" s="41"/>
      <c r="M38" s="4"/>
      <c r="N38" s="4"/>
      <c r="O38" s="41"/>
      <c r="P38" s="41"/>
      <c r="Q38" s="41"/>
      <c r="R38" s="41"/>
      <c r="S38" s="41"/>
    </row>
    <row r="39" spans="2:19" x14ac:dyDescent="0.2">
      <c r="D39" s="4"/>
      <c r="E39" s="4"/>
      <c r="F39" s="4"/>
      <c r="G39" s="4"/>
      <c r="H39" s="4"/>
      <c r="I39" s="4"/>
      <c r="J39" s="4"/>
      <c r="K39" s="41"/>
      <c r="L39" s="41"/>
      <c r="M39" s="4"/>
      <c r="N39" s="4"/>
      <c r="O39" s="41"/>
      <c r="P39" s="41"/>
      <c r="Q39" s="41"/>
      <c r="R39" s="41"/>
      <c r="S39" s="41"/>
    </row>
    <row r="40" spans="2:19" x14ac:dyDescent="0.2">
      <c r="D40" s="4"/>
      <c r="E40" s="4"/>
      <c r="F40" s="4"/>
      <c r="G40" s="4"/>
      <c r="H40" s="4"/>
      <c r="I40" s="4"/>
      <c r="J40" s="4"/>
      <c r="K40" s="41"/>
      <c r="L40" s="41"/>
      <c r="M40" s="35"/>
      <c r="N40" s="4"/>
      <c r="O40" s="41"/>
      <c r="P40" s="41"/>
      <c r="Q40" s="41"/>
      <c r="R40" s="41"/>
      <c r="S40" s="41"/>
    </row>
    <row r="41" spans="2:19" x14ac:dyDescent="0.2">
      <c r="D41" s="4"/>
      <c r="E41" s="4"/>
      <c r="F41" s="4"/>
      <c r="G41" s="4"/>
      <c r="H41" s="4"/>
      <c r="I41" s="4"/>
      <c r="J41" s="4"/>
      <c r="K41" s="41"/>
      <c r="L41" s="41"/>
      <c r="M41" s="41"/>
      <c r="N41" s="4"/>
    </row>
    <row r="42" spans="2:19" x14ac:dyDescent="0.2">
      <c r="D42" s="4"/>
      <c r="E42" s="4"/>
      <c r="F42" s="4"/>
      <c r="G42" s="4"/>
      <c r="H42" s="4"/>
      <c r="I42" s="4"/>
      <c r="J42" s="4"/>
      <c r="K42" s="41"/>
      <c r="L42" s="41"/>
      <c r="M42" s="41"/>
      <c r="N42" s="4"/>
    </row>
    <row r="43" spans="2:19" x14ac:dyDescent="0.2">
      <c r="D43" s="4"/>
      <c r="E43" s="4"/>
      <c r="F43" s="4"/>
      <c r="G43" s="4"/>
      <c r="H43" s="4"/>
      <c r="I43" s="4"/>
      <c r="J43" s="4"/>
      <c r="K43" s="41"/>
      <c r="L43" s="41"/>
      <c r="M43" s="41"/>
      <c r="N43" s="4"/>
    </row>
    <row r="44" spans="2:19" x14ac:dyDescent="0.2">
      <c r="D44" s="4"/>
      <c r="E44" s="4"/>
      <c r="F44" s="4"/>
      <c r="G44" s="4"/>
      <c r="H44" s="4"/>
      <c r="I44" s="4"/>
      <c r="J44" s="4"/>
      <c r="K44" s="41"/>
      <c r="L44" s="41"/>
      <c r="M44" s="41"/>
      <c r="N44" s="4"/>
    </row>
    <row r="45" spans="2:19" x14ac:dyDescent="0.2">
      <c r="D45" s="4"/>
      <c r="E45" s="4"/>
      <c r="F45" s="4"/>
      <c r="G45" s="4"/>
      <c r="H45" s="4"/>
      <c r="I45" s="4"/>
      <c r="J45" s="4"/>
      <c r="K45" s="41"/>
      <c r="L45" s="41"/>
      <c r="M45" s="41"/>
      <c r="N45" s="4"/>
    </row>
    <row r="46" spans="2:19" x14ac:dyDescent="0.2">
      <c r="D46" s="4"/>
      <c r="E46" s="4"/>
      <c r="F46" s="4"/>
      <c r="G46" s="4"/>
      <c r="H46" s="4"/>
      <c r="I46" s="4"/>
      <c r="J46" s="4"/>
      <c r="K46" s="41"/>
      <c r="L46" s="41"/>
      <c r="M46" s="41"/>
      <c r="N46" s="4"/>
    </row>
    <row r="47" spans="2:19" x14ac:dyDescent="0.2">
      <c r="D47" s="4"/>
      <c r="E47" s="4"/>
      <c r="F47" s="4"/>
      <c r="G47" s="4"/>
      <c r="H47" s="4"/>
      <c r="I47" s="4"/>
      <c r="J47" s="4"/>
      <c r="K47" s="41"/>
      <c r="L47" s="41"/>
      <c r="M47" s="41"/>
      <c r="N47" s="4"/>
    </row>
    <row r="48" spans="2:19" x14ac:dyDescent="0.2">
      <c r="D48" s="41"/>
      <c r="E48" s="7"/>
      <c r="F48" s="7"/>
      <c r="G48" s="41"/>
      <c r="H48" s="41"/>
      <c r="I48" s="41"/>
      <c r="J48" s="41"/>
      <c r="K48" s="41"/>
      <c r="L48" s="41"/>
      <c r="M48" s="41"/>
      <c r="N48" s="4"/>
    </row>
    <row r="49" spans="4:14" x14ac:dyDescent="0.2">
      <c r="D49" s="41"/>
      <c r="E49" s="6"/>
      <c r="F49" s="6"/>
      <c r="G49" s="41"/>
      <c r="H49" s="41"/>
      <c r="I49" s="41"/>
      <c r="J49" s="41"/>
      <c r="K49" s="41"/>
      <c r="L49" s="41"/>
      <c r="M49" s="41"/>
      <c r="N49" s="4"/>
    </row>
    <row r="50" spans="4:14" x14ac:dyDescent="0.2">
      <c r="D50" s="41"/>
      <c r="E50" s="41"/>
      <c r="F50" s="41"/>
      <c r="G50" s="41"/>
      <c r="H50" s="41"/>
      <c r="I50" s="4"/>
      <c r="J50" s="4"/>
      <c r="K50" s="41"/>
      <c r="L50" s="41"/>
      <c r="M50" s="41"/>
      <c r="N50" s="4"/>
    </row>
    <row r="51" spans="4:14" x14ac:dyDescent="0.2">
      <c r="D51" s="41"/>
      <c r="E51" s="5"/>
      <c r="F51" s="5"/>
      <c r="G51" s="5"/>
      <c r="H51" s="41"/>
      <c r="I51" s="4"/>
      <c r="J51" s="5"/>
      <c r="K51" s="41"/>
      <c r="L51" s="41"/>
      <c r="M51" s="41"/>
      <c r="N51" s="41"/>
    </row>
    <row r="52" spans="4:14" x14ac:dyDescent="0.2">
      <c r="D52" s="41"/>
      <c r="E52" s="5"/>
      <c r="F52" s="5"/>
      <c r="G52" s="5"/>
      <c r="H52" s="4"/>
      <c r="I52" s="4"/>
      <c r="J52" s="5"/>
      <c r="K52" s="41"/>
      <c r="L52" s="41"/>
      <c r="M52" s="41"/>
      <c r="N52" s="41"/>
    </row>
    <row r="53" spans="4:14" x14ac:dyDescent="0.2">
      <c r="D53" s="41"/>
      <c r="E53" s="5"/>
      <c r="F53" s="5"/>
      <c r="G53" s="5"/>
      <c r="H53" s="4"/>
      <c r="I53" s="4"/>
      <c r="J53" s="4"/>
      <c r="K53" s="41"/>
      <c r="L53" s="41"/>
      <c r="M53" s="41"/>
      <c r="N53" s="41"/>
    </row>
    <row r="54" spans="4:14" x14ac:dyDescent="0.2">
      <c r="D54" s="6"/>
      <c r="E54" s="41"/>
      <c r="F54" s="41"/>
      <c r="G54" s="5"/>
      <c r="H54" s="4"/>
      <c r="I54" s="4"/>
      <c r="J54" s="4"/>
      <c r="K54" s="41"/>
      <c r="L54" s="41"/>
      <c r="M54" s="41"/>
      <c r="N54" s="41"/>
    </row>
    <row r="55" spans="4:14" x14ac:dyDescent="0.2">
      <c r="D55" s="41"/>
      <c r="E55" s="41"/>
      <c r="F55" s="41"/>
      <c r="G55" s="5"/>
      <c r="H55" s="4"/>
      <c r="I55" s="4"/>
      <c r="J55" s="4"/>
      <c r="K55" s="41"/>
      <c r="L55" s="41"/>
      <c r="M55" s="41"/>
      <c r="N55" s="41"/>
    </row>
    <row r="56" spans="4:14" x14ac:dyDescent="0.2">
      <c r="D56" s="41"/>
      <c r="E56" s="41"/>
      <c r="F56" s="41"/>
      <c r="G56" s="5"/>
      <c r="H56" s="4"/>
      <c r="I56" s="4"/>
      <c r="J56" s="4"/>
      <c r="K56" s="41"/>
      <c r="L56" s="41"/>
      <c r="M56" s="41"/>
      <c r="N56" s="41"/>
    </row>
    <row r="57" spans="4:14" x14ac:dyDescent="0.2">
      <c r="D57" s="41"/>
      <c r="E57" s="41"/>
      <c r="F57" s="41"/>
      <c r="G57" s="41"/>
      <c r="H57" s="4"/>
      <c r="I57" s="4"/>
      <c r="J57" s="4"/>
      <c r="K57" s="41"/>
      <c r="L57" s="41"/>
      <c r="M57" s="41"/>
      <c r="N57" s="41"/>
    </row>
    <row r="58" spans="4:14" x14ac:dyDescent="0.2">
      <c r="D58" s="41"/>
      <c r="E58" s="41"/>
      <c r="F58" s="41"/>
      <c r="G58" s="4"/>
      <c r="H58" s="4"/>
      <c r="I58" s="4"/>
      <c r="J58" s="4"/>
      <c r="K58" s="41"/>
      <c r="L58" s="41"/>
      <c r="M58" s="5"/>
      <c r="N58" s="41"/>
    </row>
    <row r="59" spans="4:14" x14ac:dyDescent="0.2">
      <c r="D59" s="41"/>
      <c r="E59" s="5"/>
      <c r="F59" s="5"/>
      <c r="G59" s="5"/>
      <c r="H59" s="5"/>
      <c r="I59" s="5"/>
      <c r="J59" s="5"/>
      <c r="K59" s="5"/>
      <c r="L59" s="5"/>
      <c r="M59" s="255"/>
      <c r="N59" s="41"/>
    </row>
    <row r="60" spans="4:14" x14ac:dyDescent="0.2">
      <c r="D60" s="41"/>
      <c r="E60" s="5"/>
      <c r="F60" s="5"/>
      <c r="G60" s="5"/>
      <c r="H60" s="5"/>
      <c r="I60" s="5"/>
      <c r="J60" s="5"/>
      <c r="K60" s="5"/>
      <c r="L60" s="5"/>
      <c r="M60" s="5"/>
      <c r="N60" s="41"/>
    </row>
    <row r="61" spans="4:14" x14ac:dyDescent="0.2">
      <c r="D61" s="41"/>
      <c r="E61" s="5"/>
      <c r="F61" s="5"/>
      <c r="G61" s="4"/>
      <c r="H61" s="5"/>
      <c r="I61" s="5"/>
      <c r="J61" s="5"/>
      <c r="K61" s="5"/>
      <c r="L61" s="5"/>
      <c r="M61" s="5"/>
      <c r="N61" s="41"/>
    </row>
    <row r="62" spans="4:14" x14ac:dyDescent="0.2">
      <c r="D62" s="41"/>
      <c r="E62" s="5"/>
      <c r="F62" s="5"/>
      <c r="G62" s="5"/>
      <c r="H62" s="5"/>
      <c r="I62" s="5"/>
      <c r="J62" s="5"/>
      <c r="K62" s="5"/>
      <c r="L62" s="5"/>
      <c r="M62" s="5"/>
      <c r="N62" s="41"/>
    </row>
    <row r="63" spans="4:14" x14ac:dyDescent="0.2">
      <c r="D63" s="41"/>
      <c r="E63" s="5"/>
      <c r="F63" s="5"/>
      <c r="G63" s="5"/>
      <c r="H63" s="5"/>
      <c r="I63" s="5"/>
      <c r="J63" s="5"/>
      <c r="K63" s="5"/>
      <c r="L63" s="5"/>
      <c r="M63" s="41"/>
      <c r="N63" s="41"/>
    </row>
    <row r="64" spans="4:14" x14ac:dyDescent="0.2">
      <c r="D64" s="41"/>
      <c r="E64" s="41"/>
      <c r="F64" s="41"/>
      <c r="G64" s="4"/>
      <c r="H64" s="4"/>
      <c r="I64" s="4"/>
      <c r="J64" s="4"/>
      <c r="K64" s="41"/>
      <c r="L64" s="41"/>
      <c r="M64" s="41"/>
      <c r="N64" s="41"/>
    </row>
    <row r="65" spans="4:14" x14ac:dyDescent="0.2">
      <c r="D65" s="41"/>
      <c r="E65" s="41"/>
      <c r="F65" s="41"/>
      <c r="G65" s="4"/>
      <c r="H65" s="4"/>
      <c r="I65" s="4"/>
      <c r="J65" s="4"/>
      <c r="K65" s="4"/>
      <c r="L65" s="41"/>
      <c r="M65" s="41"/>
      <c r="N65" s="41"/>
    </row>
    <row r="66" spans="4:14" x14ac:dyDescent="0.2">
      <c r="G66" s="3"/>
      <c r="H66" s="3"/>
      <c r="I66" s="3"/>
      <c r="J66" s="3"/>
      <c r="K66" s="3"/>
    </row>
    <row r="67" spans="4:14" x14ac:dyDescent="0.2">
      <c r="G67" s="3"/>
      <c r="H67" s="3"/>
      <c r="I67" s="3"/>
      <c r="J67" s="3"/>
      <c r="K67" s="3"/>
    </row>
    <row r="68" spans="4:14" x14ac:dyDescent="0.2">
      <c r="G68" s="3"/>
      <c r="H68" s="3"/>
      <c r="I68" s="3"/>
      <c r="J68" s="3"/>
      <c r="K68" s="3"/>
    </row>
    <row r="69" spans="4:14" x14ac:dyDescent="0.2">
      <c r="E69" s="3"/>
      <c r="F69" s="3"/>
      <c r="G69" s="3"/>
      <c r="H69" s="3"/>
      <c r="I69" s="3"/>
      <c r="J69" s="3"/>
      <c r="K69" s="3"/>
    </row>
    <row r="70" spans="4:14" x14ac:dyDescent="0.2">
      <c r="E70" s="43"/>
      <c r="F70" s="43"/>
      <c r="G70" s="3"/>
      <c r="H70" s="3"/>
      <c r="I70" s="3"/>
      <c r="J70" s="3"/>
      <c r="K70" s="3"/>
    </row>
    <row r="71" spans="4:14" x14ac:dyDescent="0.2">
      <c r="E71" s="43"/>
      <c r="F71" s="43"/>
      <c r="G71" s="3"/>
      <c r="H71" s="3"/>
      <c r="I71" s="3"/>
      <c r="J71" s="3"/>
      <c r="K71" s="3"/>
    </row>
    <row r="72" spans="4:14" x14ac:dyDescent="0.2">
      <c r="E72" s="43"/>
      <c r="F72" s="43"/>
      <c r="G72" s="3"/>
      <c r="H72" s="3"/>
      <c r="I72" s="3"/>
      <c r="J72" s="3"/>
      <c r="K72" s="3"/>
    </row>
    <row r="73" spans="4:14" x14ac:dyDescent="0.2">
      <c r="G73" s="3"/>
      <c r="H73" s="3"/>
      <c r="I73" s="3"/>
      <c r="J73" s="3"/>
      <c r="K73" s="3"/>
    </row>
    <row r="74" spans="4:14" x14ac:dyDescent="0.2">
      <c r="G74" s="3"/>
      <c r="H74" s="3"/>
      <c r="I74" s="3"/>
      <c r="J74" s="3"/>
      <c r="K74" s="3"/>
    </row>
    <row r="75" spans="4:14" x14ac:dyDescent="0.2">
      <c r="G75" s="3"/>
      <c r="H75" s="3"/>
      <c r="I75" s="3"/>
      <c r="J75" s="3"/>
      <c r="K75" s="3"/>
    </row>
    <row r="76" spans="4:14" x14ac:dyDescent="0.2">
      <c r="G76" s="3"/>
      <c r="H76" s="3"/>
      <c r="I76" s="3"/>
    </row>
  </sheetData>
  <printOptions horizontalCentered="1"/>
  <pageMargins left="0.5" right="0.5" top="1" bottom="1" header="0.5" footer="0.5"/>
  <pageSetup orientation="landscape" blackAndWhite="1" horizontalDpi="300" verticalDpi="300" r:id="rId1"/>
  <headerFooter alignWithMargins="0">
    <oddFooter>&amp;L&amp;F 
&amp;A&amp;C&amp;P&amp;R&amp;D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771402AD9AB24EA1F4888778750E4C" ma:contentTypeVersion="12" ma:contentTypeDescription="" ma:contentTypeScope="" ma:versionID="b8487f1c7de6013614896f3322a76a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2024-08-29T07:00:00+00:00</OpenedDate>
    <SignificantOrder xmlns="dc463f71-b30c-4ab2-9473-d307f9d35888">false</SignificantOrder>
    <Date1 xmlns="dc463f71-b30c-4ab2-9473-d307f9d35888">2024-08-29T07:00:00+00:00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240646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24DF7D1-4134-433F-85A5-5EF68AE4A76A}"/>
</file>

<file path=customXml/itemProps2.xml><?xml version="1.0" encoding="utf-8"?>
<ds:datastoreItem xmlns:ds="http://schemas.openxmlformats.org/officeDocument/2006/customXml" ds:itemID="{20E917E5-075D-42AF-95FC-28836E941462}"/>
</file>

<file path=customXml/itemProps3.xml><?xml version="1.0" encoding="utf-8"?>
<ds:datastoreItem xmlns:ds="http://schemas.openxmlformats.org/officeDocument/2006/customXml" ds:itemID="{3EE735EF-547B-41C0-AA19-903F9477384D}"/>
</file>

<file path=customXml/itemProps4.xml><?xml version="1.0" encoding="utf-8"?>
<ds:datastoreItem xmlns:ds="http://schemas.openxmlformats.org/officeDocument/2006/customXml" ds:itemID="{63BDEF6E-D553-4CFF-822D-48FDE5EF7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Rates</vt:lpstr>
      <vt:lpstr>Rate Impacts--&gt;</vt:lpstr>
      <vt:lpstr>Rate Impacts Sch 129</vt:lpstr>
      <vt:lpstr>Typical Res Bill Sch 129</vt:lpstr>
      <vt:lpstr>Avg. Per Therm Combined</vt:lpstr>
      <vt:lpstr>Sch. 129</vt:lpstr>
      <vt:lpstr>Work Papers--&gt;</vt:lpstr>
      <vt:lpstr>Sch 85 87 Rate Calc</vt:lpstr>
      <vt:lpstr>Margin Revenue</vt:lpstr>
      <vt:lpstr>Forecast Therms</vt:lpstr>
      <vt:lpstr>Revenue Requirement</vt:lpstr>
      <vt:lpstr>2022 GRC Rates--&gt;</vt:lpstr>
      <vt:lpstr>Exh JDT-5 (JDT-RES_RD)</vt:lpstr>
      <vt:lpstr>Exh JDT-5 (JDT-C&amp;I-RD)</vt:lpstr>
      <vt:lpstr>Exh JDT-5 (JDT-INTRPL-RD)</vt:lpstr>
      <vt:lpstr>'Avg. Per Therm Combined'!Print_Area</vt:lpstr>
      <vt:lpstr>'Forecast Therms'!Print_Area</vt:lpstr>
      <vt:lpstr>'Margin Revenue'!Print_Area</vt:lpstr>
      <vt:lpstr>'Rate Impacts Sch 129'!Print_Area</vt:lpstr>
      <vt:lpstr>Rates!Print_Area</vt:lpstr>
      <vt:lpstr>'Revenue Requirement'!Print_Area</vt:lpstr>
      <vt:lpstr>'Sch 85 87 Rate Calc'!Print_Area</vt:lpstr>
      <vt:lpstr>'Sch. 129'!Print_Area</vt:lpstr>
      <vt:lpstr>'Typical Res Bill Sch 129'!Print_Area</vt:lpstr>
      <vt:lpstr>'Exh JDT-5 (JDT-C&amp;I-RD)'!Print_Titles</vt:lpstr>
      <vt:lpstr>'Exh JDT-5 (JDT-INTRPL-RD)'!Print_Titles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Schmidt, Paul</cp:lastModifiedBy>
  <cp:lastPrinted>2024-07-30T01:27:46Z</cp:lastPrinted>
  <dcterms:created xsi:type="dcterms:W3CDTF">2016-08-18T16:48:49Z</dcterms:created>
  <dcterms:modified xsi:type="dcterms:W3CDTF">2024-07-31T20:05:10Z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0x0101006E56B4D1795A2E4DB2F0B01679ED314A001F771402AD9AB24EA1F4888778750E4C</vt:lpwstr>
  </property>
  <property fmtid="{D5CDD505-2E9C-101B-9397-08002B2CF9AE}" pid="3" name="_docset_NoMedatataSyncRequired">
    <vt:lpwstr>False</vt:lpwstr>
  </property>
</Properties>
</file>